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CloudDrive\2025\TAL\AMX\AMX Files\"/>
    </mc:Choice>
  </mc:AlternateContent>
  <xr:revisionPtr revIDLastSave="0" documentId="13_ncr:1_{DF288C85-847A-43DB-9A25-5003D192A89F}" xr6:coauthVersionLast="47" xr6:coauthVersionMax="47" xr10:uidLastSave="{00000000-0000-0000-0000-000000000000}"/>
  <bookViews>
    <workbookView xWindow="3945" yWindow="405" windowWidth="22440" windowHeight="19125" firstSheet="2" activeTab="13" xr2:uid="{00000000-000D-0000-FFFF-FFFF00000000}"/>
  </bookViews>
  <sheets>
    <sheet name="Sensitivity" sheetId="28" r:id="rId1"/>
    <sheet name="Assumptions" sheetId="15" r:id="rId2"/>
    <sheet name="Summary" sheetId="30" r:id="rId3"/>
    <sheet name="PL" sheetId="8" r:id="rId4"/>
    <sheet name="PL USD" sheetId="21" r:id="rId5"/>
    <sheet name="PL NPK" sheetId="32" state="hidden" r:id="rId6"/>
    <sheet name="PL NPK USD" sheetId="33" state="hidden" r:id="rId7"/>
    <sheet name="BS" sheetId="7" r:id="rId8"/>
    <sheet name="BS USD" sheetId="22" r:id="rId9"/>
    <sheet name="CF" sheetId="6" r:id="rId10"/>
    <sheet name="CF USD" sheetId="26" r:id="rId11"/>
    <sheet name="Detail Invest" sheetId="16" r:id="rId12"/>
    <sheet name="USD-DSCR" sheetId="29" r:id="rId13"/>
    <sheet name="Invest" sheetId="5" r:id="rId14"/>
    <sheet name="Loan" sheetId="14" r:id="rId15"/>
    <sheet name="Payroll" sheetId="17" r:id="rId16"/>
    <sheet name="WC parameters" sheetId="4" r:id="rId17"/>
    <sheet name="turnover" sheetId="3" r:id="rId18"/>
    <sheet name="break down export" sheetId="35" r:id="rId19"/>
    <sheet name="cogs" sheetId="10" r:id="rId20"/>
    <sheet name="Cost RMs" sheetId="12" r:id="rId21"/>
    <sheet name="Ammofos Price" sheetId="18" r:id="rId22"/>
    <sheet name="bom" sheetId="11" r:id="rId23"/>
    <sheet name="operating expenses" sheetId="9" r:id="rId24"/>
    <sheet name="tax" sheetId="1" r:id="rId25"/>
    <sheet name="equity" sheetId="36" r:id="rId26"/>
    <sheet name="Sheet1" sheetId="34" r:id="rId27"/>
    <sheet name="graphs" sheetId="37" r:id="rId28"/>
  </sheets>
  <externalReferences>
    <externalReference r:id="rId29"/>
  </externalReferences>
  <definedNames>
    <definedName name="acid">'[1]summary raw mat'!$P$13</definedName>
    <definedName name="_xlnm.Print_Area" localSheetId="7">BS!$A$1:$O$45</definedName>
    <definedName name="_xlnm.Print_Area" localSheetId="9">CF!$A$1:$N$94</definedName>
    <definedName name="_xlnm.Print_Area" localSheetId="10">'CF USD'!$A$1:$N$78</definedName>
    <definedName name="_xlnm.Print_Area" localSheetId="0">Sensitivity!$A$1:$O$37</definedName>
    <definedName name="_xlnm.Print_Area" localSheetId="2">Summary!$A$1:$Q$190</definedName>
    <definedName name="_xlnm.Print_Titles" localSheetId="22">bom!$A:$C,bom!$3:$4</definedName>
    <definedName name="sulfur">'[1]summary raw mat'!$P$14</definedName>
    <definedName name="usd">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30" l="1"/>
  <c r="AZ313" i="35"/>
  <c r="AW313" i="35"/>
  <c r="AT313" i="35"/>
  <c r="BZ341" i="35" l="1"/>
  <c r="BY341" i="35"/>
  <c r="BX341" i="35"/>
  <c r="BZ340" i="35"/>
  <c r="BY340" i="35"/>
  <c r="BX340" i="35"/>
  <c r="BZ325" i="35"/>
  <c r="BY325" i="35"/>
  <c r="BX325" i="35"/>
  <c r="BZ324" i="35"/>
  <c r="BY324" i="35"/>
  <c r="BX324" i="35"/>
  <c r="BZ323" i="35"/>
  <c r="BY323" i="35"/>
  <c r="BX323" i="35"/>
  <c r="BZ322" i="35"/>
  <c r="BY322" i="35"/>
  <c r="BX322" i="35"/>
  <c r="BZ321" i="35"/>
  <c r="BY321" i="35"/>
  <c r="BX321" i="35"/>
  <c r="BZ320" i="35"/>
  <c r="BY320" i="35"/>
  <c r="BX320" i="35"/>
  <c r="BZ319" i="35"/>
  <c r="BY319" i="35"/>
  <c r="BX319" i="35"/>
  <c r="BZ318" i="35"/>
  <c r="BY318" i="35"/>
  <c r="BX318" i="35"/>
  <c r="BZ317" i="35"/>
  <c r="BY317" i="35"/>
  <c r="BX317" i="35"/>
  <c r="BZ316" i="35"/>
  <c r="BY316" i="35"/>
  <c r="BX316" i="35"/>
  <c r="BZ315" i="35"/>
  <c r="BY315" i="35"/>
  <c r="BX315" i="35"/>
  <c r="BZ314" i="35"/>
  <c r="BY314" i="35"/>
  <c r="BX314" i="35"/>
  <c r="BZ313" i="35"/>
  <c r="BY313" i="35"/>
  <c r="BX313" i="35"/>
  <c r="BZ312" i="35"/>
  <c r="BY312" i="35"/>
  <c r="BX312" i="35"/>
  <c r="CP303" i="35"/>
  <c r="CQ303" i="35"/>
  <c r="CR303" i="35"/>
  <c r="CP304" i="35"/>
  <c r="BX304" i="35" s="1"/>
  <c r="CQ304" i="35"/>
  <c r="BY304" i="35" s="1"/>
  <c r="CR304" i="35"/>
  <c r="BZ304" i="35" s="1"/>
  <c r="CP190" i="35"/>
  <c r="CQ190" i="35"/>
  <c r="CR190" i="35"/>
  <c r="CP197" i="35"/>
  <c r="CQ197" i="35"/>
  <c r="CR197" i="35"/>
  <c r="CP204" i="35"/>
  <c r="CQ204" i="35"/>
  <c r="CR204" i="35"/>
  <c r="CP211" i="35"/>
  <c r="CQ211" i="35"/>
  <c r="CR211" i="35"/>
  <c r="CP218" i="35"/>
  <c r="CQ218" i="35"/>
  <c r="CR218" i="35"/>
  <c r="CP225" i="35"/>
  <c r="CQ225" i="35"/>
  <c r="CR225" i="35"/>
  <c r="CP232" i="35"/>
  <c r="CQ232" i="35"/>
  <c r="CR232" i="35"/>
  <c r="CP239" i="35"/>
  <c r="CQ239" i="35"/>
  <c r="CR239" i="35"/>
  <c r="CP246" i="35"/>
  <c r="CQ246" i="35"/>
  <c r="CR246" i="35"/>
  <c r="CP253" i="35"/>
  <c r="CQ253" i="35"/>
  <c r="CR253" i="35"/>
  <c r="CP260" i="35"/>
  <c r="CQ260" i="35"/>
  <c r="CR260" i="35"/>
  <c r="CP267" i="35"/>
  <c r="CQ267" i="35"/>
  <c r="CR267" i="35"/>
  <c r="CP274" i="35"/>
  <c r="CQ274" i="35"/>
  <c r="CR274" i="35"/>
  <c r="CP281" i="35"/>
  <c r="CQ281" i="35"/>
  <c r="CR281" i="35"/>
  <c r="CP288" i="35"/>
  <c r="CQ288" i="35"/>
  <c r="CR288" i="35"/>
  <c r="CP295" i="35"/>
  <c r="CQ295" i="35"/>
  <c r="CR295" i="35"/>
  <c r="CP302" i="35"/>
  <c r="CQ302" i="35"/>
  <c r="CR302" i="35"/>
  <c r="CR183" i="35"/>
  <c r="CQ183" i="35"/>
  <c r="CP183" i="35"/>
  <c r="CP3" i="35"/>
  <c r="CQ3" i="35"/>
  <c r="CR3" i="35"/>
  <c r="CP5" i="35"/>
  <c r="CQ5" i="35"/>
  <c r="CR5" i="35"/>
  <c r="CP6" i="35"/>
  <c r="CQ6" i="35"/>
  <c r="CR6" i="35"/>
  <c r="CP7" i="35"/>
  <c r="CQ7" i="35"/>
  <c r="CR7" i="35"/>
  <c r="CP9" i="35"/>
  <c r="CQ9" i="35"/>
  <c r="CR9" i="35"/>
  <c r="CP10" i="35"/>
  <c r="CQ10" i="35"/>
  <c r="CR10" i="35"/>
  <c r="CP12" i="35"/>
  <c r="CQ12" i="35"/>
  <c r="CR12" i="35"/>
  <c r="CP15" i="35"/>
  <c r="CQ15" i="35"/>
  <c r="CR15" i="35"/>
  <c r="CP17" i="35"/>
  <c r="CQ17" i="35"/>
  <c r="CR17" i="35"/>
  <c r="CP19" i="35"/>
  <c r="CQ19" i="35"/>
  <c r="CR19" i="35"/>
  <c r="CP20" i="35"/>
  <c r="CQ20" i="35"/>
  <c r="CR20" i="35"/>
  <c r="CP21" i="35"/>
  <c r="CQ21" i="35"/>
  <c r="CR21" i="35"/>
  <c r="CP23" i="35"/>
  <c r="CQ23" i="35"/>
  <c r="CR23" i="35"/>
  <c r="CP24" i="35"/>
  <c r="CQ24" i="35"/>
  <c r="CR24" i="35"/>
  <c r="CP25" i="35"/>
  <c r="CQ25" i="35"/>
  <c r="CR25" i="35"/>
  <c r="CP32" i="35"/>
  <c r="CQ32" i="35"/>
  <c r="CR32" i="35"/>
  <c r="CP33" i="35"/>
  <c r="CQ33" i="35"/>
  <c r="CR33" i="35"/>
  <c r="CP35" i="35"/>
  <c r="CQ35" i="35"/>
  <c r="CR35" i="35"/>
  <c r="CP38" i="35"/>
  <c r="CQ38" i="35"/>
  <c r="CR38" i="35"/>
  <c r="CP39" i="35"/>
  <c r="CQ39" i="35"/>
  <c r="CR39" i="35"/>
  <c r="CP40" i="35"/>
  <c r="CQ40" i="35"/>
  <c r="CR40" i="35"/>
  <c r="CP43" i="35"/>
  <c r="CQ43" i="35"/>
  <c r="CR43" i="35"/>
  <c r="CP45" i="35"/>
  <c r="CQ45" i="35"/>
  <c r="CR45" i="35"/>
  <c r="CP48" i="35"/>
  <c r="CQ48" i="35"/>
  <c r="CR48" i="35"/>
  <c r="CP49" i="35"/>
  <c r="CQ49" i="35"/>
  <c r="CR49" i="35"/>
  <c r="CP50" i="35"/>
  <c r="CQ50" i="35"/>
  <c r="CR50" i="35"/>
  <c r="CP53" i="35"/>
  <c r="CQ53" i="35"/>
  <c r="CR53" i="35"/>
  <c r="CP55" i="35"/>
  <c r="CQ55" i="35"/>
  <c r="CR55" i="35"/>
  <c r="CP58" i="35"/>
  <c r="CQ58" i="35"/>
  <c r="CR58" i="35"/>
  <c r="CP59" i="35"/>
  <c r="CQ59" i="35"/>
  <c r="CR59" i="35"/>
  <c r="CP60" i="35"/>
  <c r="CQ60" i="35"/>
  <c r="CR60" i="35"/>
  <c r="CP63" i="35"/>
  <c r="CQ63" i="35"/>
  <c r="CR63" i="35"/>
  <c r="CP64" i="35"/>
  <c r="CQ64" i="35"/>
  <c r="CR64" i="35"/>
  <c r="CP65" i="35"/>
  <c r="CQ65" i="35"/>
  <c r="CR65" i="35"/>
  <c r="CP68" i="35"/>
  <c r="CQ68" i="35"/>
  <c r="CR68" i="35"/>
  <c r="CP69" i="35"/>
  <c r="CQ69" i="35"/>
  <c r="CR69" i="35"/>
  <c r="CP70" i="35"/>
  <c r="CQ70" i="35"/>
  <c r="CR70" i="35"/>
  <c r="CP73" i="35"/>
  <c r="CQ73" i="35"/>
  <c r="CR73" i="35"/>
  <c r="CP75" i="35"/>
  <c r="CQ75" i="35"/>
  <c r="CR75" i="35"/>
  <c r="CP77" i="35"/>
  <c r="CQ77" i="35"/>
  <c r="CR77" i="35"/>
  <c r="CP78" i="35"/>
  <c r="CQ78" i="35"/>
  <c r="CR78" i="35"/>
  <c r="CP79" i="35"/>
  <c r="CQ79" i="35"/>
  <c r="CR79" i="35"/>
  <c r="CP80" i="35"/>
  <c r="CQ80" i="35"/>
  <c r="CR80" i="35"/>
  <c r="CP83" i="35"/>
  <c r="CQ83" i="35"/>
  <c r="CR83" i="35"/>
  <c r="CP85" i="35"/>
  <c r="CQ85" i="35"/>
  <c r="CR85" i="35"/>
  <c r="CP92" i="35"/>
  <c r="CQ92" i="35"/>
  <c r="CR92" i="35"/>
  <c r="CP93" i="35"/>
  <c r="CQ93" i="35"/>
  <c r="CR93" i="35"/>
  <c r="CP94" i="35"/>
  <c r="CQ94" i="35"/>
  <c r="CR94" i="35"/>
  <c r="CP97" i="35"/>
  <c r="CQ97" i="35"/>
  <c r="CR97" i="35"/>
  <c r="CP98" i="35"/>
  <c r="CQ98" i="35"/>
  <c r="CR98" i="35"/>
  <c r="CP99" i="35"/>
  <c r="CQ99" i="35"/>
  <c r="CR99" i="35"/>
  <c r="CP101" i="35"/>
  <c r="CQ101" i="35"/>
  <c r="CR101" i="35"/>
  <c r="CP102" i="35"/>
  <c r="CQ102" i="35"/>
  <c r="CR102" i="35"/>
  <c r="CP103" i="35"/>
  <c r="CQ103" i="35"/>
  <c r="CR103" i="35"/>
  <c r="CP110" i="35"/>
  <c r="CQ110" i="35"/>
  <c r="CR110" i="35"/>
  <c r="CP111" i="35"/>
  <c r="CQ111" i="35"/>
  <c r="CR111" i="35"/>
  <c r="CP112" i="35"/>
  <c r="CQ112" i="35"/>
  <c r="CR112" i="35"/>
  <c r="CP114" i="35"/>
  <c r="CQ114" i="35"/>
  <c r="CR114" i="35"/>
  <c r="CP115" i="35"/>
  <c r="CQ115" i="35"/>
  <c r="CR115" i="35"/>
  <c r="CP116" i="35"/>
  <c r="CQ116" i="35"/>
  <c r="CR116" i="35"/>
  <c r="CP119" i="35"/>
  <c r="CQ119" i="35"/>
  <c r="CR119" i="35"/>
  <c r="CP120" i="35"/>
  <c r="CQ120" i="35"/>
  <c r="CR120" i="35"/>
  <c r="CP126" i="35"/>
  <c r="CQ126" i="35"/>
  <c r="CR126" i="35"/>
  <c r="CP127" i="35"/>
  <c r="CQ127" i="35"/>
  <c r="CR127" i="35"/>
  <c r="CP128" i="35"/>
  <c r="CQ128" i="35"/>
  <c r="CR128" i="35"/>
  <c r="CP130" i="35"/>
  <c r="CQ130" i="35"/>
  <c r="CR130" i="35"/>
  <c r="CP131" i="35"/>
  <c r="CQ131" i="35"/>
  <c r="CR131" i="35"/>
  <c r="CP132" i="35"/>
  <c r="CQ132" i="35"/>
  <c r="CR132" i="35"/>
  <c r="CP134" i="35"/>
  <c r="CQ134" i="35"/>
  <c r="CR134" i="35"/>
  <c r="CP135" i="35"/>
  <c r="CQ135" i="35"/>
  <c r="CR135" i="35"/>
  <c r="CP136" i="35"/>
  <c r="CQ136" i="35"/>
  <c r="CR136" i="35"/>
  <c r="CR137" i="35"/>
  <c r="CP138" i="35"/>
  <c r="CQ138" i="35"/>
  <c r="CR138" i="35"/>
  <c r="CP139" i="35"/>
  <c r="CQ139" i="35"/>
  <c r="CR139" i="35"/>
  <c r="CP140" i="35"/>
  <c r="CQ140" i="35"/>
  <c r="CR140" i="35"/>
  <c r="CP142" i="35"/>
  <c r="CQ142" i="35"/>
  <c r="CR142" i="35"/>
  <c r="CP143" i="35"/>
  <c r="CQ143" i="35"/>
  <c r="CR143" i="35"/>
  <c r="CP144" i="35"/>
  <c r="CQ144" i="35"/>
  <c r="CR144" i="35"/>
  <c r="CP146" i="35"/>
  <c r="CQ146" i="35"/>
  <c r="CR146" i="35"/>
  <c r="CP147" i="35"/>
  <c r="CQ147" i="35"/>
  <c r="CR147" i="35"/>
  <c r="CP148" i="35"/>
  <c r="CQ148" i="35"/>
  <c r="CR148" i="35"/>
  <c r="CP151" i="35"/>
  <c r="CQ151" i="35"/>
  <c r="CR151" i="35"/>
  <c r="CP152" i="35"/>
  <c r="CQ152" i="35"/>
  <c r="CR152" i="35"/>
  <c r="CP153" i="35"/>
  <c r="CQ153" i="35"/>
  <c r="CR153" i="35"/>
  <c r="CP161" i="35"/>
  <c r="CQ161" i="35"/>
  <c r="CR161" i="35"/>
  <c r="CR2" i="35"/>
  <c r="CQ2" i="35"/>
  <c r="CP2" i="35"/>
  <c r="BZ302" i="35"/>
  <c r="BZ295" i="35"/>
  <c r="BZ288" i="35"/>
  <c r="BZ281" i="35"/>
  <c r="BZ274" i="35"/>
  <c r="BZ267" i="35"/>
  <c r="BZ260" i="35"/>
  <c r="BZ253" i="35"/>
  <c r="BZ246" i="35"/>
  <c r="BZ239" i="35"/>
  <c r="BZ232" i="35"/>
  <c r="BZ225" i="35"/>
  <c r="BZ218" i="35"/>
  <c r="BZ211" i="35"/>
  <c r="BZ204" i="35"/>
  <c r="BZ197" i="35"/>
  <c r="BZ190" i="35"/>
  <c r="BZ183" i="35"/>
  <c r="BY302" i="35"/>
  <c r="BY295" i="35"/>
  <c r="BY288" i="35"/>
  <c r="BY281" i="35"/>
  <c r="BY274" i="35"/>
  <c r="BY267" i="35"/>
  <c r="BY260" i="35"/>
  <c r="BY253" i="35"/>
  <c r="BY246" i="35"/>
  <c r="BY239" i="35"/>
  <c r="BY232" i="35"/>
  <c r="BY225" i="35"/>
  <c r="BY218" i="35"/>
  <c r="BY211" i="35"/>
  <c r="BY204" i="35"/>
  <c r="BY197" i="35"/>
  <c r="BY190" i="35"/>
  <c r="BY183" i="35"/>
  <c r="BX302" i="35"/>
  <c r="BX295" i="35"/>
  <c r="BX288" i="35"/>
  <c r="BX281" i="35"/>
  <c r="BX274" i="35"/>
  <c r="BX267" i="35"/>
  <c r="BX260" i="35"/>
  <c r="BX253" i="35"/>
  <c r="BX246" i="35"/>
  <c r="BX239" i="35"/>
  <c r="BX232" i="35"/>
  <c r="BX225" i="35"/>
  <c r="BX218" i="35"/>
  <c r="BX211" i="35"/>
  <c r="BX204" i="35"/>
  <c r="BX197" i="35"/>
  <c r="BX190" i="35"/>
  <c r="BX183" i="35"/>
  <c r="BX3" i="35"/>
  <c r="BY3" i="35"/>
  <c r="BZ3" i="35"/>
  <c r="BX161" i="35"/>
  <c r="BY161" i="35"/>
  <c r="BZ161" i="35"/>
  <c r="BX162" i="35"/>
  <c r="BY162" i="35"/>
  <c r="BZ162" i="35"/>
  <c r="BX169" i="35"/>
  <c r="BY169" i="35"/>
  <c r="BZ169" i="35"/>
  <c r="BZ2" i="35"/>
  <c r="BY2" i="35"/>
  <c r="BX2" i="35"/>
  <c r="AZ1" i="35"/>
  <c r="AW1" i="35"/>
  <c r="AT1" i="35"/>
  <c r="AY316" i="35"/>
  <c r="AY301" i="35"/>
  <c r="CR301" i="35" s="1"/>
  <c r="AY300" i="35"/>
  <c r="CR300" i="35" s="1"/>
  <c r="AY299" i="35"/>
  <c r="CR299" i="35" s="1"/>
  <c r="AY298" i="35"/>
  <c r="CR298" i="35" s="1"/>
  <c r="AY297" i="35"/>
  <c r="CR297" i="35" s="1"/>
  <c r="AY296" i="35"/>
  <c r="CR296" i="35" s="1"/>
  <c r="AY294" i="35"/>
  <c r="CR294" i="35" s="1"/>
  <c r="AY293" i="35"/>
  <c r="CR293" i="35" s="1"/>
  <c r="AY292" i="35"/>
  <c r="CR292" i="35" s="1"/>
  <c r="AY291" i="35"/>
  <c r="CR291" i="35" s="1"/>
  <c r="AY290" i="35"/>
  <c r="CR290" i="35" s="1"/>
  <c r="AY289" i="35"/>
  <c r="CR289" i="35" s="1"/>
  <c r="AY287" i="35"/>
  <c r="CR287" i="35" s="1"/>
  <c r="AY286" i="35"/>
  <c r="CR286" i="35" s="1"/>
  <c r="AY285" i="35"/>
  <c r="CR285" i="35" s="1"/>
  <c r="AY284" i="35"/>
  <c r="CR284" i="35" s="1"/>
  <c r="AY283" i="35"/>
  <c r="CR283" i="35" s="1"/>
  <c r="AY282" i="35"/>
  <c r="CR282" i="35" s="1"/>
  <c r="AY280" i="35"/>
  <c r="CR280" i="35" s="1"/>
  <c r="AY279" i="35"/>
  <c r="CR279" i="35" s="1"/>
  <c r="AY278" i="35"/>
  <c r="CR278" i="35" s="1"/>
  <c r="AY277" i="35"/>
  <c r="CR277" i="35" s="1"/>
  <c r="AY276" i="35"/>
  <c r="CR276" i="35" s="1"/>
  <c r="AY275" i="35"/>
  <c r="AY273" i="35"/>
  <c r="CR273" i="35" s="1"/>
  <c r="AY272" i="35"/>
  <c r="CR272" i="35" s="1"/>
  <c r="AY271" i="35"/>
  <c r="CR271" i="35" s="1"/>
  <c r="AY270" i="35"/>
  <c r="CR270" i="35" s="1"/>
  <c r="AY269" i="35"/>
  <c r="CR269" i="35" s="1"/>
  <c r="AY268" i="35"/>
  <c r="AY266" i="35"/>
  <c r="CR266" i="35" s="1"/>
  <c r="AY265" i="35"/>
  <c r="CR265" i="35" s="1"/>
  <c r="AY264" i="35"/>
  <c r="CR264" i="35" s="1"/>
  <c r="AY263" i="35"/>
  <c r="CR263" i="35" s="1"/>
  <c r="AY262" i="35"/>
  <c r="CR262" i="35" s="1"/>
  <c r="AY261" i="35"/>
  <c r="AY259" i="35"/>
  <c r="CR259" i="35" s="1"/>
  <c r="AY258" i="35"/>
  <c r="CR258" i="35" s="1"/>
  <c r="AY257" i="35"/>
  <c r="CR257" i="35" s="1"/>
  <c r="AY256" i="35"/>
  <c r="CR256" i="35" s="1"/>
  <c r="AY255" i="35"/>
  <c r="CR255" i="35" s="1"/>
  <c r="AY254" i="35"/>
  <c r="AY252" i="35"/>
  <c r="CR252" i="35" s="1"/>
  <c r="AY251" i="35"/>
  <c r="CR251" i="35" s="1"/>
  <c r="AY250" i="35"/>
  <c r="CR250" i="35" s="1"/>
  <c r="AY249" i="35"/>
  <c r="CR249" i="35" s="1"/>
  <c r="AY248" i="35"/>
  <c r="CR248" i="35" s="1"/>
  <c r="AY247" i="35"/>
  <c r="AY245" i="35"/>
  <c r="CR245" i="35" s="1"/>
  <c r="AY244" i="35"/>
  <c r="CR244" i="35" s="1"/>
  <c r="AY243" i="35"/>
  <c r="CR243" i="35" s="1"/>
  <c r="AY242" i="35"/>
  <c r="CR242" i="35" s="1"/>
  <c r="AY241" i="35"/>
  <c r="CR241" i="35" s="1"/>
  <c r="AY240" i="35"/>
  <c r="AY238" i="35"/>
  <c r="CR238" i="35" s="1"/>
  <c r="AY237" i="35"/>
  <c r="CR237" i="35" s="1"/>
  <c r="AY236" i="35"/>
  <c r="CR236" i="35" s="1"/>
  <c r="AY235" i="35"/>
  <c r="CR235" i="35" s="1"/>
  <c r="AY234" i="35"/>
  <c r="CR234" i="35" s="1"/>
  <c r="AY233" i="35"/>
  <c r="CR233" i="35" s="1"/>
  <c r="AY231" i="35"/>
  <c r="CR231" i="35" s="1"/>
  <c r="AY230" i="35"/>
  <c r="CR230" i="35" s="1"/>
  <c r="AY229" i="35"/>
  <c r="CR229" i="35" s="1"/>
  <c r="AY228" i="35"/>
  <c r="CR228" i="35" s="1"/>
  <c r="AY227" i="35"/>
  <c r="CR227" i="35" s="1"/>
  <c r="AY226" i="35"/>
  <c r="AY224" i="35"/>
  <c r="CR224" i="35" s="1"/>
  <c r="AY223" i="35"/>
  <c r="CR223" i="35" s="1"/>
  <c r="AY222" i="35"/>
  <c r="CR222" i="35" s="1"/>
  <c r="AY221" i="35"/>
  <c r="CR221" i="35" s="1"/>
  <c r="AY220" i="35"/>
  <c r="CR220" i="35" s="1"/>
  <c r="AY219" i="35"/>
  <c r="CR219" i="35" s="1"/>
  <c r="AY217" i="35"/>
  <c r="CR217" i="35" s="1"/>
  <c r="AY216" i="35"/>
  <c r="CR216" i="35" s="1"/>
  <c r="AY215" i="35"/>
  <c r="CR215" i="35" s="1"/>
  <c r="AY214" i="35"/>
  <c r="CR214" i="35" s="1"/>
  <c r="AY213" i="35"/>
  <c r="CR213" i="35" s="1"/>
  <c r="AY212" i="35"/>
  <c r="AY210" i="35"/>
  <c r="CR210" i="35" s="1"/>
  <c r="AY209" i="35"/>
  <c r="CR209" i="35" s="1"/>
  <c r="AY208" i="35"/>
  <c r="CR208" i="35" s="1"/>
  <c r="AY207" i="35"/>
  <c r="CR207" i="35" s="1"/>
  <c r="AY206" i="35"/>
  <c r="CR206" i="35" s="1"/>
  <c r="AY205" i="35"/>
  <c r="CR205" i="35" s="1"/>
  <c r="AY203" i="35"/>
  <c r="CR203" i="35" s="1"/>
  <c r="AY202" i="35"/>
  <c r="CR202" i="35" s="1"/>
  <c r="AY201" i="35"/>
  <c r="CR201" i="35" s="1"/>
  <c r="AY200" i="35"/>
  <c r="CR200" i="35" s="1"/>
  <c r="AY199" i="35"/>
  <c r="CR199" i="35" s="1"/>
  <c r="AY198" i="35"/>
  <c r="AY196" i="35"/>
  <c r="CR196" i="35" s="1"/>
  <c r="AY195" i="35"/>
  <c r="CR195" i="35" s="1"/>
  <c r="AY194" i="35"/>
  <c r="CR194" i="35" s="1"/>
  <c r="AY193" i="35"/>
  <c r="CR193" i="35" s="1"/>
  <c r="AY192" i="35"/>
  <c r="CR192" i="35" s="1"/>
  <c r="AY191" i="35"/>
  <c r="CR191" i="35" s="1"/>
  <c r="AY189" i="35"/>
  <c r="CR189" i="35" s="1"/>
  <c r="AY188" i="35"/>
  <c r="CR188" i="35" s="1"/>
  <c r="AY187" i="35"/>
  <c r="CR187" i="35" s="1"/>
  <c r="AY186" i="35"/>
  <c r="CR186" i="35" s="1"/>
  <c r="AY185" i="35"/>
  <c r="CR185" i="35" s="1"/>
  <c r="AY184" i="35"/>
  <c r="CR184" i="35" s="1"/>
  <c r="AY162" i="35"/>
  <c r="CR162" i="35" s="1"/>
  <c r="AY159" i="35"/>
  <c r="CR159" i="35" s="1"/>
  <c r="AY158" i="35"/>
  <c r="CR158" i="35" s="1"/>
  <c r="AY157" i="35"/>
  <c r="CR157" i="35" s="1"/>
  <c r="AY156" i="35"/>
  <c r="CR156" i="35" s="1"/>
  <c r="AY149" i="35"/>
  <c r="CR149" i="35" s="1"/>
  <c r="AY145" i="35"/>
  <c r="CR145" i="35" s="1"/>
  <c r="AY141" i="35"/>
  <c r="CR141" i="35" s="1"/>
  <c r="AY137" i="35"/>
  <c r="AY133" i="35"/>
  <c r="CR133" i="35" s="1"/>
  <c r="BA132" i="35"/>
  <c r="BZ132" i="35" s="1"/>
  <c r="BA131" i="35"/>
  <c r="BZ131" i="35" s="1"/>
  <c r="BA130" i="35"/>
  <c r="BZ130" i="35" s="1"/>
  <c r="AY129" i="35"/>
  <c r="CR129" i="35" s="1"/>
  <c r="AY124" i="35"/>
  <c r="CR124" i="35" s="1"/>
  <c r="AY123" i="35"/>
  <c r="CR123" i="35" s="1"/>
  <c r="AY117" i="35"/>
  <c r="CR117" i="35" s="1"/>
  <c r="AY113" i="35"/>
  <c r="CR113" i="35" s="1"/>
  <c r="AY108" i="35"/>
  <c r="CR108" i="35" s="1"/>
  <c r="AY107" i="35"/>
  <c r="CR107" i="35" s="1"/>
  <c r="AY106" i="35"/>
  <c r="CR106" i="35" s="1"/>
  <c r="AY104" i="35"/>
  <c r="CR104" i="35" s="1"/>
  <c r="AY95" i="35"/>
  <c r="CR95" i="35" s="1"/>
  <c r="AY90" i="35"/>
  <c r="CR90" i="35" s="1"/>
  <c r="AY88" i="35"/>
  <c r="CR88" i="35" s="1"/>
  <c r="AY81" i="35"/>
  <c r="CR81" i="35" s="1"/>
  <c r="AY30" i="35"/>
  <c r="CR30" i="35" s="1"/>
  <c r="AY28" i="35"/>
  <c r="AY26" i="35"/>
  <c r="CR26" i="35" s="1"/>
  <c r="AY22" i="35"/>
  <c r="CR22" i="35" s="1"/>
  <c r="AV316" i="35"/>
  <c r="AV301" i="35"/>
  <c r="CQ301" i="35" s="1"/>
  <c r="AV300" i="35"/>
  <c r="CQ300" i="35" s="1"/>
  <c r="AV299" i="35"/>
  <c r="CQ299" i="35" s="1"/>
  <c r="AV298" i="35"/>
  <c r="CQ298" i="35" s="1"/>
  <c r="AV297" i="35"/>
  <c r="CQ297" i="35" s="1"/>
  <c r="AV296" i="35"/>
  <c r="CQ296" i="35" s="1"/>
  <c r="AV294" i="35"/>
  <c r="CQ294" i="35" s="1"/>
  <c r="AV293" i="35"/>
  <c r="CQ293" i="35" s="1"/>
  <c r="AV292" i="35"/>
  <c r="CQ292" i="35" s="1"/>
  <c r="AV291" i="35"/>
  <c r="CQ291" i="35" s="1"/>
  <c r="AV290" i="35"/>
  <c r="CQ290" i="35" s="1"/>
  <c r="AV289" i="35"/>
  <c r="CQ289" i="35" s="1"/>
  <c r="AV287" i="35"/>
  <c r="CQ287" i="35" s="1"/>
  <c r="AV286" i="35"/>
  <c r="CQ286" i="35" s="1"/>
  <c r="AV285" i="35"/>
  <c r="CQ285" i="35" s="1"/>
  <c r="AV284" i="35"/>
  <c r="CQ284" i="35" s="1"/>
  <c r="AV283" i="35"/>
  <c r="CQ283" i="35" s="1"/>
  <c r="AV282" i="35"/>
  <c r="CQ282" i="35" s="1"/>
  <c r="AV280" i="35"/>
  <c r="CQ280" i="35" s="1"/>
  <c r="AV279" i="35"/>
  <c r="CQ279" i="35" s="1"/>
  <c r="AV278" i="35"/>
  <c r="CQ278" i="35" s="1"/>
  <c r="AV277" i="35"/>
  <c r="CQ277" i="35" s="1"/>
  <c r="AV276" i="35"/>
  <c r="CQ276" i="35" s="1"/>
  <c r="AV275" i="35"/>
  <c r="AV273" i="35"/>
  <c r="CQ273" i="35" s="1"/>
  <c r="AV272" i="35"/>
  <c r="CQ272" i="35" s="1"/>
  <c r="AV271" i="35"/>
  <c r="CQ271" i="35" s="1"/>
  <c r="AV270" i="35"/>
  <c r="CQ270" i="35" s="1"/>
  <c r="AV269" i="35"/>
  <c r="CQ269" i="35" s="1"/>
  <c r="AV268" i="35"/>
  <c r="AV266" i="35"/>
  <c r="CQ266" i="35" s="1"/>
  <c r="AV265" i="35"/>
  <c r="CQ265" i="35" s="1"/>
  <c r="AV264" i="35"/>
  <c r="CQ264" i="35" s="1"/>
  <c r="AV263" i="35"/>
  <c r="CQ263" i="35" s="1"/>
  <c r="AV262" i="35"/>
  <c r="CQ262" i="35" s="1"/>
  <c r="AV261" i="35"/>
  <c r="AV259" i="35"/>
  <c r="CQ259" i="35" s="1"/>
  <c r="AV258" i="35"/>
  <c r="CQ258" i="35" s="1"/>
  <c r="AV257" i="35"/>
  <c r="CQ257" i="35" s="1"/>
  <c r="AV256" i="35"/>
  <c r="CQ256" i="35" s="1"/>
  <c r="AV255" i="35"/>
  <c r="CQ255" i="35" s="1"/>
  <c r="AV254" i="35"/>
  <c r="AV252" i="35"/>
  <c r="CQ252" i="35" s="1"/>
  <c r="AV251" i="35"/>
  <c r="CQ251" i="35" s="1"/>
  <c r="AV250" i="35"/>
  <c r="CQ250" i="35" s="1"/>
  <c r="AV249" i="35"/>
  <c r="CQ249" i="35" s="1"/>
  <c r="AV248" i="35"/>
  <c r="CQ248" i="35" s="1"/>
  <c r="AV247" i="35"/>
  <c r="AV245" i="35"/>
  <c r="CQ245" i="35" s="1"/>
  <c r="AV244" i="35"/>
  <c r="CQ244" i="35" s="1"/>
  <c r="AV243" i="35"/>
  <c r="CQ243" i="35" s="1"/>
  <c r="AV242" i="35"/>
  <c r="CQ242" i="35" s="1"/>
  <c r="AV241" i="35"/>
  <c r="CQ241" i="35" s="1"/>
  <c r="AV240" i="35"/>
  <c r="AV238" i="35"/>
  <c r="CQ238" i="35" s="1"/>
  <c r="AV237" i="35"/>
  <c r="CQ237" i="35" s="1"/>
  <c r="AV236" i="35"/>
  <c r="CQ236" i="35" s="1"/>
  <c r="AV235" i="35"/>
  <c r="CQ235" i="35" s="1"/>
  <c r="AV234" i="35"/>
  <c r="CQ234" i="35" s="1"/>
  <c r="AV233" i="35"/>
  <c r="CQ233" i="35" s="1"/>
  <c r="AV231" i="35"/>
  <c r="CQ231" i="35" s="1"/>
  <c r="AV230" i="35"/>
  <c r="CQ230" i="35" s="1"/>
  <c r="AV229" i="35"/>
  <c r="CQ229" i="35" s="1"/>
  <c r="AV228" i="35"/>
  <c r="CQ228" i="35" s="1"/>
  <c r="AV227" i="35"/>
  <c r="CQ227" i="35" s="1"/>
  <c r="AV226" i="35"/>
  <c r="AV224" i="35"/>
  <c r="CQ224" i="35" s="1"/>
  <c r="AV223" i="35"/>
  <c r="CQ223" i="35" s="1"/>
  <c r="AV222" i="35"/>
  <c r="CQ222" i="35" s="1"/>
  <c r="AV221" i="35"/>
  <c r="CQ221" i="35" s="1"/>
  <c r="AV220" i="35"/>
  <c r="CQ220" i="35" s="1"/>
  <c r="AV219" i="35"/>
  <c r="CQ219" i="35" s="1"/>
  <c r="AV217" i="35"/>
  <c r="CQ217" i="35" s="1"/>
  <c r="AV216" i="35"/>
  <c r="CQ216" i="35" s="1"/>
  <c r="AV215" i="35"/>
  <c r="CQ215" i="35" s="1"/>
  <c r="AV214" i="35"/>
  <c r="CQ214" i="35" s="1"/>
  <c r="AV213" i="35"/>
  <c r="CQ213" i="35" s="1"/>
  <c r="AV212" i="35"/>
  <c r="AV210" i="35"/>
  <c r="CQ210" i="35" s="1"/>
  <c r="AV209" i="35"/>
  <c r="CQ209" i="35" s="1"/>
  <c r="AV208" i="35"/>
  <c r="CQ208" i="35" s="1"/>
  <c r="AV207" i="35"/>
  <c r="CQ207" i="35" s="1"/>
  <c r="AV206" i="35"/>
  <c r="CQ206" i="35" s="1"/>
  <c r="AV205" i="35"/>
  <c r="CQ205" i="35" s="1"/>
  <c r="AV203" i="35"/>
  <c r="CQ203" i="35" s="1"/>
  <c r="AV202" i="35"/>
  <c r="CQ202" i="35" s="1"/>
  <c r="AV201" i="35"/>
  <c r="CQ201" i="35" s="1"/>
  <c r="AV200" i="35"/>
  <c r="CQ200" i="35" s="1"/>
  <c r="AV199" i="35"/>
  <c r="CQ199" i="35" s="1"/>
  <c r="AV198" i="35"/>
  <c r="AV196" i="35"/>
  <c r="CQ196" i="35" s="1"/>
  <c r="AV195" i="35"/>
  <c r="CQ195" i="35" s="1"/>
  <c r="AV194" i="35"/>
  <c r="CQ194" i="35" s="1"/>
  <c r="AV193" i="35"/>
  <c r="CQ193" i="35" s="1"/>
  <c r="AV192" i="35"/>
  <c r="CQ192" i="35" s="1"/>
  <c r="AV191" i="35"/>
  <c r="CQ191" i="35" s="1"/>
  <c r="AV189" i="35"/>
  <c r="CQ189" i="35" s="1"/>
  <c r="AV188" i="35"/>
  <c r="CQ188" i="35" s="1"/>
  <c r="AV187" i="35"/>
  <c r="CQ187" i="35" s="1"/>
  <c r="AV186" i="35"/>
  <c r="CQ186" i="35" s="1"/>
  <c r="AV185" i="35"/>
  <c r="CQ185" i="35" s="1"/>
  <c r="AV184" i="35"/>
  <c r="CQ184" i="35" s="1"/>
  <c r="AV162" i="35"/>
  <c r="CQ162" i="35" s="1"/>
  <c r="AV159" i="35"/>
  <c r="CQ159" i="35" s="1"/>
  <c r="AV158" i="35"/>
  <c r="CQ158" i="35" s="1"/>
  <c r="AV157" i="35"/>
  <c r="CQ157" i="35" s="1"/>
  <c r="AV156" i="35"/>
  <c r="CQ156" i="35" s="1"/>
  <c r="AV149" i="35"/>
  <c r="CQ149" i="35" s="1"/>
  <c r="AV145" i="35"/>
  <c r="CQ145" i="35" s="1"/>
  <c r="AV141" i="35"/>
  <c r="CQ141" i="35" s="1"/>
  <c r="AV137" i="35"/>
  <c r="CQ137" i="35" s="1"/>
  <c r="AV133" i="35"/>
  <c r="CQ133" i="35" s="1"/>
  <c r="AX132" i="35"/>
  <c r="BY132" i="35" s="1"/>
  <c r="AX131" i="35"/>
  <c r="BY131" i="35" s="1"/>
  <c r="AX130" i="35"/>
  <c r="BY130" i="35" s="1"/>
  <c r="AV129" i="35"/>
  <c r="CQ129" i="35" s="1"/>
  <c r="AV124" i="35"/>
  <c r="CQ124" i="35" s="1"/>
  <c r="AV123" i="35"/>
  <c r="CQ123" i="35" s="1"/>
  <c r="AV117" i="35"/>
  <c r="CQ117" i="35" s="1"/>
  <c r="AV113" i="35"/>
  <c r="CQ113" i="35" s="1"/>
  <c r="AV108" i="35"/>
  <c r="CQ108" i="35" s="1"/>
  <c r="AV107" i="35"/>
  <c r="CQ107" i="35" s="1"/>
  <c r="AV106" i="35"/>
  <c r="CQ106" i="35" s="1"/>
  <c r="AV104" i="35"/>
  <c r="CQ104" i="35" s="1"/>
  <c r="AV95" i="35"/>
  <c r="CQ95" i="35" s="1"/>
  <c r="AV90" i="35"/>
  <c r="CQ90" i="35" s="1"/>
  <c r="AV88" i="35"/>
  <c r="CQ88" i="35" s="1"/>
  <c r="AV81" i="35"/>
  <c r="CQ81" i="35" s="1"/>
  <c r="AV30" i="35"/>
  <c r="CQ30" i="35" s="1"/>
  <c r="AV28" i="35"/>
  <c r="CQ28" i="35" s="1"/>
  <c r="AV26" i="35"/>
  <c r="CQ26" i="35" s="1"/>
  <c r="AV22" i="35"/>
  <c r="CQ22" i="35" s="1"/>
  <c r="AS316" i="35"/>
  <c r="AS301" i="35"/>
  <c r="CP301" i="35" s="1"/>
  <c r="AS300" i="35"/>
  <c r="CP300" i="35" s="1"/>
  <c r="AS299" i="35"/>
  <c r="CP299" i="35" s="1"/>
  <c r="AS298" i="35"/>
  <c r="CP298" i="35" s="1"/>
  <c r="AS297" i="35"/>
  <c r="CP297" i="35" s="1"/>
  <c r="AS296" i="35"/>
  <c r="CP296" i="35" s="1"/>
  <c r="AS294" i="35"/>
  <c r="CP294" i="35" s="1"/>
  <c r="AS293" i="35"/>
  <c r="CP293" i="35" s="1"/>
  <c r="AS292" i="35"/>
  <c r="CP292" i="35" s="1"/>
  <c r="AS291" i="35"/>
  <c r="CP291" i="35" s="1"/>
  <c r="AS290" i="35"/>
  <c r="CP290" i="35" s="1"/>
  <c r="AS289" i="35"/>
  <c r="CP289" i="35" s="1"/>
  <c r="AS287" i="35"/>
  <c r="CP287" i="35" s="1"/>
  <c r="AS286" i="35"/>
  <c r="CP286" i="35" s="1"/>
  <c r="AS285" i="35"/>
  <c r="CP285" i="35" s="1"/>
  <c r="AS284" i="35"/>
  <c r="CP284" i="35" s="1"/>
  <c r="AS283" i="35"/>
  <c r="CP283" i="35" s="1"/>
  <c r="AS282" i="35"/>
  <c r="CP282" i="35" s="1"/>
  <c r="AS280" i="35"/>
  <c r="CP280" i="35" s="1"/>
  <c r="AS279" i="35"/>
  <c r="CP279" i="35" s="1"/>
  <c r="AS278" i="35"/>
  <c r="CP278" i="35" s="1"/>
  <c r="AS277" i="35"/>
  <c r="CP277" i="35" s="1"/>
  <c r="AS276" i="35"/>
  <c r="CP276" i="35" s="1"/>
  <c r="AS275" i="35"/>
  <c r="CP275" i="35" s="1"/>
  <c r="AS273" i="35"/>
  <c r="CP273" i="35" s="1"/>
  <c r="AS272" i="35"/>
  <c r="CP272" i="35" s="1"/>
  <c r="AS271" i="35"/>
  <c r="CP271" i="35" s="1"/>
  <c r="AS270" i="35"/>
  <c r="CP270" i="35" s="1"/>
  <c r="AS269" i="35"/>
  <c r="CP269" i="35" s="1"/>
  <c r="AS268" i="35"/>
  <c r="CP268" i="35" s="1"/>
  <c r="AS266" i="35"/>
  <c r="CP266" i="35" s="1"/>
  <c r="AS265" i="35"/>
  <c r="CP265" i="35" s="1"/>
  <c r="AS264" i="35"/>
  <c r="CP264" i="35" s="1"/>
  <c r="AS263" i="35"/>
  <c r="CP263" i="35" s="1"/>
  <c r="AS262" i="35"/>
  <c r="CP262" i="35" s="1"/>
  <c r="AS261" i="35"/>
  <c r="CP261" i="35" s="1"/>
  <c r="AS259" i="35"/>
  <c r="CP259" i="35" s="1"/>
  <c r="AS258" i="35"/>
  <c r="CP258" i="35" s="1"/>
  <c r="AS257" i="35"/>
  <c r="CP257" i="35" s="1"/>
  <c r="AS256" i="35"/>
  <c r="CP256" i="35" s="1"/>
  <c r="AS255" i="35"/>
  <c r="CP255" i="35" s="1"/>
  <c r="AS254" i="35"/>
  <c r="CP254" i="35" s="1"/>
  <c r="AS252" i="35"/>
  <c r="CP252" i="35" s="1"/>
  <c r="AS251" i="35"/>
  <c r="CP251" i="35" s="1"/>
  <c r="AS250" i="35"/>
  <c r="CP250" i="35" s="1"/>
  <c r="AS249" i="35"/>
  <c r="CP249" i="35" s="1"/>
  <c r="AS248" i="35"/>
  <c r="CP248" i="35" s="1"/>
  <c r="AS247" i="35"/>
  <c r="CP247" i="35" s="1"/>
  <c r="AS245" i="35"/>
  <c r="CP245" i="35" s="1"/>
  <c r="AS244" i="35"/>
  <c r="CP244" i="35" s="1"/>
  <c r="AS243" i="35"/>
  <c r="CP243" i="35" s="1"/>
  <c r="AS242" i="35"/>
  <c r="CP242" i="35" s="1"/>
  <c r="AS241" i="35"/>
  <c r="CP241" i="35" s="1"/>
  <c r="AS240" i="35"/>
  <c r="CP240" i="35" s="1"/>
  <c r="AS238" i="35"/>
  <c r="CP238" i="35" s="1"/>
  <c r="AS237" i="35"/>
  <c r="CP237" i="35" s="1"/>
  <c r="AS236" i="35"/>
  <c r="CP236" i="35" s="1"/>
  <c r="AS235" i="35"/>
  <c r="CP235" i="35" s="1"/>
  <c r="AS234" i="35"/>
  <c r="CP234" i="35" s="1"/>
  <c r="AS233" i="35"/>
  <c r="CP233" i="35" s="1"/>
  <c r="AS231" i="35"/>
  <c r="CP231" i="35" s="1"/>
  <c r="AS230" i="35"/>
  <c r="CP230" i="35" s="1"/>
  <c r="AS229" i="35"/>
  <c r="CP229" i="35" s="1"/>
  <c r="AS228" i="35"/>
  <c r="CP228" i="35" s="1"/>
  <c r="AS227" i="35"/>
  <c r="CP227" i="35" s="1"/>
  <c r="AS226" i="35"/>
  <c r="CP226" i="35" s="1"/>
  <c r="AS224" i="35"/>
  <c r="CP224" i="35" s="1"/>
  <c r="AS223" i="35"/>
  <c r="CP223" i="35" s="1"/>
  <c r="AS222" i="35"/>
  <c r="CP222" i="35" s="1"/>
  <c r="AS221" i="35"/>
  <c r="CP221" i="35" s="1"/>
  <c r="AS220" i="35"/>
  <c r="CP220" i="35" s="1"/>
  <c r="AS219" i="35"/>
  <c r="CP219" i="35" s="1"/>
  <c r="AS217" i="35"/>
  <c r="CP217" i="35" s="1"/>
  <c r="AS216" i="35"/>
  <c r="CP216" i="35" s="1"/>
  <c r="AS215" i="35"/>
  <c r="CP215" i="35" s="1"/>
  <c r="AS214" i="35"/>
  <c r="CP214" i="35" s="1"/>
  <c r="AS213" i="35"/>
  <c r="CP213" i="35" s="1"/>
  <c r="AS212" i="35"/>
  <c r="CP212" i="35" s="1"/>
  <c r="AS210" i="35"/>
  <c r="CP210" i="35" s="1"/>
  <c r="AS209" i="35"/>
  <c r="CP209" i="35" s="1"/>
  <c r="AS208" i="35"/>
  <c r="CP208" i="35" s="1"/>
  <c r="AS207" i="35"/>
  <c r="CP207" i="35" s="1"/>
  <c r="AS206" i="35"/>
  <c r="CP206" i="35" s="1"/>
  <c r="AS205" i="35"/>
  <c r="CP205" i="35" s="1"/>
  <c r="AS203" i="35"/>
  <c r="CP203" i="35" s="1"/>
  <c r="AS202" i="35"/>
  <c r="CP202" i="35" s="1"/>
  <c r="AS201" i="35"/>
  <c r="CP201" i="35" s="1"/>
  <c r="AS200" i="35"/>
  <c r="CP200" i="35" s="1"/>
  <c r="AS199" i="35"/>
  <c r="CP199" i="35" s="1"/>
  <c r="AS198" i="35"/>
  <c r="CP198" i="35" s="1"/>
  <c r="AS196" i="35"/>
  <c r="CP196" i="35" s="1"/>
  <c r="AS195" i="35"/>
  <c r="CP195" i="35" s="1"/>
  <c r="AS194" i="35"/>
  <c r="CP194" i="35" s="1"/>
  <c r="AS193" i="35"/>
  <c r="CP193" i="35" s="1"/>
  <c r="AS192" i="35"/>
  <c r="CP192" i="35" s="1"/>
  <c r="AS191" i="35"/>
  <c r="CP191" i="35" s="1"/>
  <c r="AS189" i="35"/>
  <c r="CP189" i="35" s="1"/>
  <c r="AS188" i="35"/>
  <c r="CP188" i="35" s="1"/>
  <c r="AS187" i="35"/>
  <c r="CP187" i="35" s="1"/>
  <c r="AS186" i="35"/>
  <c r="CP186" i="35" s="1"/>
  <c r="AS185" i="35"/>
  <c r="CP185" i="35" s="1"/>
  <c r="AS184" i="35"/>
  <c r="CP184" i="35" s="1"/>
  <c r="AS162" i="35"/>
  <c r="CP162" i="35" s="1"/>
  <c r="AS159" i="35"/>
  <c r="CP159" i="35" s="1"/>
  <c r="AS158" i="35"/>
  <c r="CP158" i="35" s="1"/>
  <c r="AS157" i="35"/>
  <c r="CP157" i="35" s="1"/>
  <c r="AS156" i="35"/>
  <c r="CP156" i="35" s="1"/>
  <c r="AS149" i="35"/>
  <c r="CP149" i="35" s="1"/>
  <c r="AS145" i="35"/>
  <c r="CP145" i="35" s="1"/>
  <c r="AS141" i="35"/>
  <c r="CP141" i="35" s="1"/>
  <c r="AS137" i="35"/>
  <c r="CP137" i="35" s="1"/>
  <c r="AS133" i="35"/>
  <c r="CP133" i="35" s="1"/>
  <c r="AU132" i="35"/>
  <c r="BX132" i="35" s="1"/>
  <c r="AU131" i="35"/>
  <c r="BX131" i="35" s="1"/>
  <c r="AU130" i="35"/>
  <c r="AU133" i="35" s="1"/>
  <c r="BX133" i="35" s="1"/>
  <c r="AS129" i="35"/>
  <c r="CP129" i="35" s="1"/>
  <c r="AS124" i="35"/>
  <c r="AS123" i="35"/>
  <c r="CP123" i="35" s="1"/>
  <c r="AS117" i="35"/>
  <c r="CP117" i="35" s="1"/>
  <c r="AS113" i="35"/>
  <c r="CP113" i="35" s="1"/>
  <c r="AS108" i="35"/>
  <c r="CP108" i="35" s="1"/>
  <c r="AS107" i="35"/>
  <c r="CP107" i="35" s="1"/>
  <c r="AS106" i="35"/>
  <c r="CP106" i="35" s="1"/>
  <c r="AS104" i="35"/>
  <c r="CP104" i="35" s="1"/>
  <c r="AS95" i="35"/>
  <c r="CP95" i="35" s="1"/>
  <c r="AS90" i="35"/>
  <c r="CP90" i="35" s="1"/>
  <c r="AS88" i="35"/>
  <c r="CP88" i="35" s="1"/>
  <c r="AS81" i="35"/>
  <c r="CP81" i="35" s="1"/>
  <c r="AS30" i="35"/>
  <c r="AS28" i="35"/>
  <c r="CP28" i="35" s="1"/>
  <c r="AS26" i="35"/>
  <c r="CP26" i="35" s="1"/>
  <c r="AS22" i="35"/>
  <c r="CP22" i="35" s="1"/>
  <c r="BX130" i="35" l="1"/>
  <c r="AV328" i="35"/>
  <c r="CQ198" i="35"/>
  <c r="AV330" i="35"/>
  <c r="CQ212" i="35"/>
  <c r="AV332" i="35"/>
  <c r="CQ226" i="35"/>
  <c r="AV334" i="35"/>
  <c r="CQ240" i="35"/>
  <c r="AV335" i="35"/>
  <c r="CQ247" i="35"/>
  <c r="AV336" i="35"/>
  <c r="CQ254" i="35"/>
  <c r="AV337" i="35"/>
  <c r="CQ261" i="35"/>
  <c r="AV338" i="35"/>
  <c r="CQ268" i="35"/>
  <c r="AV339" i="35"/>
  <c r="CQ275" i="35"/>
  <c r="AY328" i="35"/>
  <c r="CR198" i="35"/>
  <c r="AY330" i="35"/>
  <c r="CR212" i="35"/>
  <c r="AY332" i="35"/>
  <c r="CR226" i="35"/>
  <c r="AY334" i="35"/>
  <c r="CR240" i="35"/>
  <c r="AY335" i="35"/>
  <c r="CR247" i="35"/>
  <c r="AY336" i="35"/>
  <c r="CR254" i="35"/>
  <c r="AY337" i="35"/>
  <c r="CR261" i="35"/>
  <c r="AY338" i="35"/>
  <c r="CR268" i="35"/>
  <c r="AY339" i="35"/>
  <c r="CR275" i="35"/>
  <c r="AY164" i="35"/>
  <c r="CR164" i="35" s="1"/>
  <c r="CR28" i="35"/>
  <c r="AS166" i="35"/>
  <c r="CP30" i="35"/>
  <c r="AS167" i="35"/>
  <c r="CP124" i="35"/>
  <c r="AS334" i="35"/>
  <c r="AS336" i="35"/>
  <c r="AS338" i="35"/>
  <c r="AY327" i="35"/>
  <c r="AY329" i="35"/>
  <c r="AY331" i="35"/>
  <c r="AY333" i="35"/>
  <c r="AS335" i="35"/>
  <c r="AS337" i="35"/>
  <c r="AS339" i="35"/>
  <c r="AV327" i="35"/>
  <c r="AV329" i="35"/>
  <c r="AV331" i="35"/>
  <c r="AV333" i="35"/>
  <c r="AV167" i="35"/>
  <c r="AY166" i="35"/>
  <c r="AY167" i="35"/>
  <c r="BA133" i="35"/>
  <c r="BZ133" i="35" s="1"/>
  <c r="AY326" i="35"/>
  <c r="AV164" i="35"/>
  <c r="CQ164" i="35" s="1"/>
  <c r="AV166" i="35"/>
  <c r="AX133" i="35"/>
  <c r="BY133" i="35" s="1"/>
  <c r="AV326" i="35"/>
  <c r="AS164" i="35"/>
  <c r="CP164" i="35" s="1"/>
  <c r="AS326" i="35"/>
  <c r="AS327" i="35"/>
  <c r="AS328" i="35"/>
  <c r="AS329" i="35"/>
  <c r="AS330" i="35"/>
  <c r="AS331" i="35"/>
  <c r="AS332" i="35"/>
  <c r="AS333" i="35"/>
  <c r="S20" i="28"/>
  <c r="R20" i="28"/>
  <c r="Q20" i="28"/>
  <c r="P20" i="28"/>
  <c r="O20" i="28"/>
  <c r="N20" i="28"/>
  <c r="M20" i="28"/>
  <c r="L20" i="28"/>
  <c r="K20" i="28"/>
  <c r="J20" i="28"/>
  <c r="CQ166" i="35" l="1"/>
  <c r="P99" i="3"/>
  <c r="CP166" i="35"/>
  <c r="O99" i="3"/>
  <c r="CR166" i="35"/>
  <c r="Q99" i="3"/>
  <c r="CR167" i="35"/>
  <c r="Q100" i="3"/>
  <c r="CP167" i="35"/>
  <c r="O100" i="3"/>
  <c r="CQ167" i="35"/>
  <c r="P100" i="3"/>
  <c r="I14" i="15"/>
  <c r="J14" i="15"/>
  <c r="S10" i="28"/>
  <c r="R10" i="28"/>
  <c r="Q10" i="28"/>
  <c r="P10" i="28"/>
  <c r="O10" i="28"/>
  <c r="N10" i="28"/>
  <c r="M10" i="28"/>
  <c r="L10" i="28"/>
  <c r="K10" i="28"/>
  <c r="J10" i="28"/>
  <c r="C15" i="17" l="1"/>
  <c r="C16" i="17" s="1"/>
  <c r="B15" i="17"/>
  <c r="B16" i="17" s="1"/>
  <c r="BJ312" i="35" l="1"/>
  <c r="BK312" i="35"/>
  <c r="BL312" i="35"/>
  <c r="BM312" i="35"/>
  <c r="BN312" i="35"/>
  <c r="BO312" i="35"/>
  <c r="BP312" i="35"/>
  <c r="BQ312" i="35"/>
  <c r="BR312" i="35"/>
  <c r="BS312" i="35"/>
  <c r="BT312" i="35"/>
  <c r="BU312" i="35"/>
  <c r="BV312" i="35"/>
  <c r="BW312" i="35"/>
  <c r="BJ313" i="35"/>
  <c r="BK313" i="35"/>
  <c r="BL313" i="35"/>
  <c r="BM313" i="35"/>
  <c r="BN313" i="35"/>
  <c r="BO313" i="35"/>
  <c r="BP313" i="35"/>
  <c r="BQ313" i="35"/>
  <c r="BR313" i="35"/>
  <c r="BS313" i="35"/>
  <c r="BT313" i="35"/>
  <c r="BU313" i="35"/>
  <c r="BV313" i="35"/>
  <c r="BW313" i="35"/>
  <c r="BJ314" i="35"/>
  <c r="BK314" i="35"/>
  <c r="BL314" i="35"/>
  <c r="BM314" i="35"/>
  <c r="BN314" i="35"/>
  <c r="BO314" i="35"/>
  <c r="BP314" i="35"/>
  <c r="BQ314" i="35"/>
  <c r="BR314" i="35"/>
  <c r="BS314" i="35"/>
  <c r="BT314" i="35"/>
  <c r="BU314" i="35"/>
  <c r="BV314" i="35"/>
  <c r="BW314" i="35"/>
  <c r="BJ315" i="35"/>
  <c r="BK315" i="35"/>
  <c r="BL315" i="35"/>
  <c r="BM315" i="35"/>
  <c r="BN315" i="35"/>
  <c r="BO315" i="35"/>
  <c r="BP315" i="35"/>
  <c r="BQ315" i="35"/>
  <c r="BR315" i="35"/>
  <c r="BS315" i="35"/>
  <c r="BT315" i="35"/>
  <c r="BU315" i="35"/>
  <c r="BV315" i="35"/>
  <c r="BW315" i="35"/>
  <c r="BJ316" i="35"/>
  <c r="BK316" i="35"/>
  <c r="BL316" i="35"/>
  <c r="BM316" i="35"/>
  <c r="BN316" i="35"/>
  <c r="BO316" i="35"/>
  <c r="BP316" i="35"/>
  <c r="BQ316" i="35"/>
  <c r="BR316" i="35"/>
  <c r="BS316" i="35"/>
  <c r="BT316" i="35"/>
  <c r="BU316" i="35"/>
  <c r="BV316" i="35"/>
  <c r="BW316" i="35"/>
  <c r="BJ317" i="35"/>
  <c r="BK317" i="35"/>
  <c r="BL317" i="35"/>
  <c r="BM317" i="35"/>
  <c r="BN317" i="35"/>
  <c r="BO317" i="35"/>
  <c r="BP317" i="35"/>
  <c r="BQ317" i="35"/>
  <c r="BR317" i="35"/>
  <c r="BS317" i="35"/>
  <c r="BT317" i="35"/>
  <c r="BU317" i="35"/>
  <c r="BV317" i="35"/>
  <c r="BW317" i="35"/>
  <c r="BJ318" i="35"/>
  <c r="BK318" i="35"/>
  <c r="BL318" i="35"/>
  <c r="BM318" i="35"/>
  <c r="BN318" i="35"/>
  <c r="BO318" i="35"/>
  <c r="BP318" i="35"/>
  <c r="BQ318" i="35"/>
  <c r="BR318" i="35"/>
  <c r="BS318" i="35"/>
  <c r="BT318" i="35"/>
  <c r="BU318" i="35"/>
  <c r="BV318" i="35"/>
  <c r="BW318" i="35"/>
  <c r="BJ319" i="35"/>
  <c r="BK319" i="35"/>
  <c r="BL319" i="35"/>
  <c r="BM319" i="35"/>
  <c r="BN319" i="35"/>
  <c r="BO319" i="35"/>
  <c r="BP319" i="35"/>
  <c r="BQ319" i="35"/>
  <c r="BR319" i="35"/>
  <c r="BS319" i="35"/>
  <c r="BT319" i="35"/>
  <c r="BU319" i="35"/>
  <c r="BV319" i="35"/>
  <c r="BW319" i="35"/>
  <c r="BJ320" i="35"/>
  <c r="BK320" i="35"/>
  <c r="BL320" i="35"/>
  <c r="BM320" i="35"/>
  <c r="BN320" i="35"/>
  <c r="BO320" i="35"/>
  <c r="BP320" i="35"/>
  <c r="BQ320" i="35"/>
  <c r="BR320" i="35"/>
  <c r="BS320" i="35"/>
  <c r="BT320" i="35"/>
  <c r="BU320" i="35"/>
  <c r="BV320" i="35"/>
  <c r="BW320" i="35"/>
  <c r="BJ321" i="35"/>
  <c r="BK321" i="35"/>
  <c r="BL321" i="35"/>
  <c r="BM321" i="35"/>
  <c r="BN321" i="35"/>
  <c r="BO321" i="35"/>
  <c r="BP321" i="35"/>
  <c r="BQ321" i="35"/>
  <c r="BR321" i="35"/>
  <c r="BS321" i="35"/>
  <c r="BT321" i="35"/>
  <c r="BU321" i="35"/>
  <c r="BV321" i="35"/>
  <c r="BW321" i="35"/>
  <c r="BJ322" i="35"/>
  <c r="BK322" i="35"/>
  <c r="BL322" i="35"/>
  <c r="BM322" i="35"/>
  <c r="BN322" i="35"/>
  <c r="BO322" i="35"/>
  <c r="BP322" i="35"/>
  <c r="BQ322" i="35"/>
  <c r="BR322" i="35"/>
  <c r="BS322" i="35"/>
  <c r="BT322" i="35"/>
  <c r="BU322" i="35"/>
  <c r="BV322" i="35"/>
  <c r="BW322" i="35"/>
  <c r="BJ323" i="35"/>
  <c r="BK323" i="35"/>
  <c r="BL323" i="35"/>
  <c r="BM323" i="35"/>
  <c r="BN323" i="35"/>
  <c r="BO323" i="35"/>
  <c r="BP323" i="35"/>
  <c r="BQ323" i="35"/>
  <c r="BR323" i="35"/>
  <c r="BS323" i="35"/>
  <c r="BT323" i="35"/>
  <c r="BU323" i="35"/>
  <c r="BV323" i="35"/>
  <c r="BW323" i="35"/>
  <c r="BJ324" i="35"/>
  <c r="BK324" i="35"/>
  <c r="BL324" i="35"/>
  <c r="BM324" i="35"/>
  <c r="BN324" i="35"/>
  <c r="BO324" i="35"/>
  <c r="BP324" i="35"/>
  <c r="BQ324" i="35"/>
  <c r="BR324" i="35"/>
  <c r="BS324" i="35"/>
  <c r="BT324" i="35"/>
  <c r="BU324" i="35"/>
  <c r="BV324" i="35"/>
  <c r="BW324" i="35"/>
  <c r="BJ325" i="35"/>
  <c r="BK325" i="35"/>
  <c r="BL325" i="35"/>
  <c r="BM325" i="35"/>
  <c r="BN325" i="35"/>
  <c r="BO325" i="35"/>
  <c r="BP325" i="35"/>
  <c r="BQ325" i="35"/>
  <c r="BR325" i="35"/>
  <c r="BS325" i="35"/>
  <c r="BT325" i="35"/>
  <c r="BU325" i="35"/>
  <c r="BV325" i="35"/>
  <c r="BW325" i="35"/>
  <c r="BJ340" i="35"/>
  <c r="BK340" i="35"/>
  <c r="BL340" i="35"/>
  <c r="BM340" i="35"/>
  <c r="BN340" i="35"/>
  <c r="BO340" i="35"/>
  <c r="BP340" i="35"/>
  <c r="BQ340" i="35"/>
  <c r="BR340" i="35"/>
  <c r="BS340" i="35"/>
  <c r="BT340" i="35"/>
  <c r="BU340" i="35"/>
  <c r="BV340" i="35"/>
  <c r="BW340" i="35"/>
  <c r="BJ341" i="35"/>
  <c r="BK341" i="35"/>
  <c r="BL341" i="35"/>
  <c r="BM341" i="35"/>
  <c r="BN341" i="35"/>
  <c r="BO341" i="35"/>
  <c r="BP341" i="35"/>
  <c r="BQ341" i="35"/>
  <c r="BR341" i="35"/>
  <c r="BS341" i="35"/>
  <c r="BT341" i="35"/>
  <c r="BU341" i="35"/>
  <c r="BV341" i="35"/>
  <c r="BW341" i="35"/>
  <c r="F326" i="35"/>
  <c r="G326" i="35"/>
  <c r="H326" i="35"/>
  <c r="BK326" i="35" s="1"/>
  <c r="I326" i="35"/>
  <c r="J326" i="35"/>
  <c r="K326" i="35"/>
  <c r="BL326" i="35" s="1"/>
  <c r="L326" i="35"/>
  <c r="M326" i="35"/>
  <c r="N326" i="35"/>
  <c r="BM326" i="35" s="1"/>
  <c r="O326" i="35"/>
  <c r="P326" i="35"/>
  <c r="Q326" i="35"/>
  <c r="BN326" i="35" s="1"/>
  <c r="R326" i="35"/>
  <c r="S326" i="35"/>
  <c r="T326" i="35"/>
  <c r="BO326" i="35" s="1"/>
  <c r="U326" i="35"/>
  <c r="V326" i="35"/>
  <c r="W326" i="35"/>
  <c r="BP326" i="35" s="1"/>
  <c r="X326" i="35"/>
  <c r="Y326" i="35"/>
  <c r="Z326" i="35"/>
  <c r="BQ326" i="35" s="1"/>
  <c r="F327" i="35"/>
  <c r="G327" i="35"/>
  <c r="H327" i="35"/>
  <c r="BK327" i="35" s="1"/>
  <c r="I327" i="35"/>
  <c r="J327" i="35"/>
  <c r="K327" i="35"/>
  <c r="BL327" i="35" s="1"/>
  <c r="L327" i="35"/>
  <c r="M327" i="35"/>
  <c r="N327" i="35"/>
  <c r="BM327" i="35" s="1"/>
  <c r="O327" i="35"/>
  <c r="P327" i="35"/>
  <c r="Q327" i="35"/>
  <c r="BN327" i="35" s="1"/>
  <c r="R327" i="35"/>
  <c r="S327" i="35"/>
  <c r="T327" i="35"/>
  <c r="BO327" i="35" s="1"/>
  <c r="U327" i="35"/>
  <c r="V327" i="35"/>
  <c r="W327" i="35"/>
  <c r="BP327" i="35" s="1"/>
  <c r="X327" i="35"/>
  <c r="Y327" i="35"/>
  <c r="Z327" i="35"/>
  <c r="BQ327" i="35" s="1"/>
  <c r="F328" i="35"/>
  <c r="G328" i="35"/>
  <c r="H328" i="35"/>
  <c r="BK328" i="35" s="1"/>
  <c r="I328" i="35"/>
  <c r="J328" i="35"/>
  <c r="K328" i="35"/>
  <c r="BL328" i="35" s="1"/>
  <c r="L328" i="35"/>
  <c r="M328" i="35"/>
  <c r="N328" i="35"/>
  <c r="BM328" i="35" s="1"/>
  <c r="O328" i="35"/>
  <c r="P328" i="35"/>
  <c r="Q328" i="35"/>
  <c r="BN328" i="35" s="1"/>
  <c r="R328" i="35"/>
  <c r="S328" i="35"/>
  <c r="T328" i="35"/>
  <c r="BO328" i="35" s="1"/>
  <c r="U328" i="35"/>
  <c r="V328" i="35"/>
  <c r="W328" i="35"/>
  <c r="BP328" i="35" s="1"/>
  <c r="X328" i="35"/>
  <c r="Y328" i="35"/>
  <c r="Z328" i="35"/>
  <c r="BQ328" i="35" s="1"/>
  <c r="F329" i="35"/>
  <c r="G329" i="35"/>
  <c r="H329" i="35"/>
  <c r="BK329" i="35" s="1"/>
  <c r="I329" i="35"/>
  <c r="J329" i="35"/>
  <c r="K329" i="35"/>
  <c r="BL329" i="35" s="1"/>
  <c r="L329" i="35"/>
  <c r="M329" i="35"/>
  <c r="N329" i="35"/>
  <c r="BM329" i="35" s="1"/>
  <c r="O329" i="35"/>
  <c r="P329" i="35"/>
  <c r="Q329" i="35"/>
  <c r="BN329" i="35" s="1"/>
  <c r="R329" i="35"/>
  <c r="S329" i="35"/>
  <c r="T329" i="35"/>
  <c r="BO329" i="35" s="1"/>
  <c r="U329" i="35"/>
  <c r="V329" i="35"/>
  <c r="W329" i="35"/>
  <c r="BP329" i="35" s="1"/>
  <c r="X329" i="35"/>
  <c r="Y329" i="35"/>
  <c r="Z329" i="35"/>
  <c r="BQ329" i="35" s="1"/>
  <c r="F330" i="35"/>
  <c r="G330" i="35"/>
  <c r="H330" i="35"/>
  <c r="BK330" i="35" s="1"/>
  <c r="I330" i="35"/>
  <c r="J330" i="35"/>
  <c r="K330" i="35"/>
  <c r="BL330" i="35" s="1"/>
  <c r="L330" i="35"/>
  <c r="M330" i="35"/>
  <c r="N330" i="35"/>
  <c r="BM330" i="35" s="1"/>
  <c r="O330" i="35"/>
  <c r="P330" i="35"/>
  <c r="Q330" i="35"/>
  <c r="BN330" i="35" s="1"/>
  <c r="R330" i="35"/>
  <c r="S330" i="35"/>
  <c r="T330" i="35"/>
  <c r="BO330" i="35" s="1"/>
  <c r="U330" i="35"/>
  <c r="V330" i="35"/>
  <c r="W330" i="35"/>
  <c r="BP330" i="35" s="1"/>
  <c r="X330" i="35"/>
  <c r="Y330" i="35"/>
  <c r="Z330" i="35"/>
  <c r="BQ330" i="35" s="1"/>
  <c r="F331" i="35"/>
  <c r="G331" i="35"/>
  <c r="H331" i="35"/>
  <c r="BK331" i="35" s="1"/>
  <c r="I331" i="35"/>
  <c r="J331" i="35"/>
  <c r="K331" i="35"/>
  <c r="BL331" i="35" s="1"/>
  <c r="L331" i="35"/>
  <c r="M331" i="35"/>
  <c r="N331" i="35"/>
  <c r="BM331" i="35" s="1"/>
  <c r="O331" i="35"/>
  <c r="P331" i="35"/>
  <c r="Q331" i="35"/>
  <c r="BN331" i="35" s="1"/>
  <c r="R331" i="35"/>
  <c r="S331" i="35"/>
  <c r="T331" i="35"/>
  <c r="BO331" i="35" s="1"/>
  <c r="U331" i="35"/>
  <c r="V331" i="35"/>
  <c r="W331" i="35"/>
  <c r="BP331" i="35" s="1"/>
  <c r="X331" i="35"/>
  <c r="Y331" i="35"/>
  <c r="Z331" i="35"/>
  <c r="BQ331" i="35" s="1"/>
  <c r="F332" i="35"/>
  <c r="G332" i="35"/>
  <c r="H332" i="35"/>
  <c r="BK332" i="35" s="1"/>
  <c r="I332" i="35"/>
  <c r="J332" i="35"/>
  <c r="K332" i="35"/>
  <c r="BL332" i="35" s="1"/>
  <c r="L332" i="35"/>
  <c r="M332" i="35"/>
  <c r="N332" i="35"/>
  <c r="BM332" i="35" s="1"/>
  <c r="O332" i="35"/>
  <c r="P332" i="35"/>
  <c r="Q332" i="35"/>
  <c r="BN332" i="35" s="1"/>
  <c r="R332" i="35"/>
  <c r="S332" i="35"/>
  <c r="T332" i="35"/>
  <c r="BO332" i="35" s="1"/>
  <c r="U332" i="35"/>
  <c r="V332" i="35"/>
  <c r="W332" i="35"/>
  <c r="BP332" i="35" s="1"/>
  <c r="X332" i="35"/>
  <c r="Y332" i="35"/>
  <c r="Z332" i="35"/>
  <c r="BQ332" i="35" s="1"/>
  <c r="F333" i="35"/>
  <c r="G333" i="35"/>
  <c r="H333" i="35"/>
  <c r="BK333" i="35" s="1"/>
  <c r="I333" i="35"/>
  <c r="J333" i="35"/>
  <c r="K333" i="35"/>
  <c r="BL333" i="35" s="1"/>
  <c r="L333" i="35"/>
  <c r="M333" i="35"/>
  <c r="N333" i="35"/>
  <c r="BM333" i="35" s="1"/>
  <c r="O333" i="35"/>
  <c r="P333" i="35"/>
  <c r="Q333" i="35"/>
  <c r="BN333" i="35" s="1"/>
  <c r="R333" i="35"/>
  <c r="S333" i="35"/>
  <c r="T333" i="35"/>
  <c r="BO333" i="35" s="1"/>
  <c r="U333" i="35"/>
  <c r="V333" i="35"/>
  <c r="W333" i="35"/>
  <c r="BP333" i="35" s="1"/>
  <c r="X333" i="35"/>
  <c r="Y333" i="35"/>
  <c r="Z333" i="35"/>
  <c r="BQ333" i="35" s="1"/>
  <c r="F334" i="35"/>
  <c r="G334" i="35"/>
  <c r="H334" i="35"/>
  <c r="BK334" i="35" s="1"/>
  <c r="I334" i="35"/>
  <c r="J334" i="35"/>
  <c r="K334" i="35"/>
  <c r="BL334" i="35" s="1"/>
  <c r="L334" i="35"/>
  <c r="M334" i="35"/>
  <c r="N334" i="35"/>
  <c r="BM334" i="35" s="1"/>
  <c r="O334" i="35"/>
  <c r="P334" i="35"/>
  <c r="Q334" i="35"/>
  <c r="BN334" i="35" s="1"/>
  <c r="R334" i="35"/>
  <c r="S334" i="35"/>
  <c r="T334" i="35"/>
  <c r="BO334" i="35" s="1"/>
  <c r="U334" i="35"/>
  <c r="V334" i="35"/>
  <c r="W334" i="35"/>
  <c r="BP334" i="35" s="1"/>
  <c r="X334" i="35"/>
  <c r="Y334" i="35"/>
  <c r="Z334" i="35"/>
  <c r="BQ334" i="35" s="1"/>
  <c r="F335" i="35"/>
  <c r="G335" i="35"/>
  <c r="H335" i="35"/>
  <c r="BK335" i="35" s="1"/>
  <c r="I335" i="35"/>
  <c r="J335" i="35"/>
  <c r="K335" i="35"/>
  <c r="BL335" i="35" s="1"/>
  <c r="L335" i="35"/>
  <c r="M335" i="35"/>
  <c r="N335" i="35"/>
  <c r="BM335" i="35" s="1"/>
  <c r="O335" i="35"/>
  <c r="P335" i="35"/>
  <c r="Q335" i="35"/>
  <c r="BN335" i="35" s="1"/>
  <c r="R335" i="35"/>
  <c r="S335" i="35"/>
  <c r="T335" i="35"/>
  <c r="BO335" i="35" s="1"/>
  <c r="U335" i="35"/>
  <c r="V335" i="35"/>
  <c r="W335" i="35"/>
  <c r="BP335" i="35" s="1"/>
  <c r="X335" i="35"/>
  <c r="Y335" i="35"/>
  <c r="Z335" i="35"/>
  <c r="BQ335" i="35" s="1"/>
  <c r="F336" i="35"/>
  <c r="G336" i="35"/>
  <c r="H336" i="35"/>
  <c r="BK336" i="35" s="1"/>
  <c r="I336" i="35"/>
  <c r="J336" i="35"/>
  <c r="K336" i="35"/>
  <c r="BL336" i="35" s="1"/>
  <c r="L336" i="35"/>
  <c r="M336" i="35"/>
  <c r="N336" i="35"/>
  <c r="BM336" i="35" s="1"/>
  <c r="O336" i="35"/>
  <c r="P336" i="35"/>
  <c r="Q336" i="35"/>
  <c r="BN336" i="35" s="1"/>
  <c r="R336" i="35"/>
  <c r="S336" i="35"/>
  <c r="T336" i="35"/>
  <c r="BO336" i="35" s="1"/>
  <c r="U336" i="35"/>
  <c r="V336" i="35"/>
  <c r="W336" i="35"/>
  <c r="BP336" i="35" s="1"/>
  <c r="X336" i="35"/>
  <c r="Y336" i="35"/>
  <c r="Z336" i="35"/>
  <c r="BQ336" i="35" s="1"/>
  <c r="F337" i="35"/>
  <c r="G337" i="35"/>
  <c r="H337" i="35"/>
  <c r="BK337" i="35" s="1"/>
  <c r="I337" i="35"/>
  <c r="J337" i="35"/>
  <c r="K337" i="35"/>
  <c r="BL337" i="35" s="1"/>
  <c r="L337" i="35"/>
  <c r="M337" i="35"/>
  <c r="N337" i="35"/>
  <c r="BM337" i="35" s="1"/>
  <c r="O337" i="35"/>
  <c r="P337" i="35"/>
  <c r="Q337" i="35"/>
  <c r="BN337" i="35" s="1"/>
  <c r="R337" i="35"/>
  <c r="S337" i="35"/>
  <c r="T337" i="35"/>
  <c r="BO337" i="35" s="1"/>
  <c r="U337" i="35"/>
  <c r="V337" i="35"/>
  <c r="W337" i="35"/>
  <c r="BP337" i="35" s="1"/>
  <c r="X337" i="35"/>
  <c r="Y337" i="35"/>
  <c r="Z337" i="35"/>
  <c r="BQ337" i="35" s="1"/>
  <c r="F338" i="35"/>
  <c r="G338" i="35"/>
  <c r="H338" i="35"/>
  <c r="BK338" i="35" s="1"/>
  <c r="I338" i="35"/>
  <c r="J338" i="35"/>
  <c r="K338" i="35"/>
  <c r="BL338" i="35" s="1"/>
  <c r="L338" i="35"/>
  <c r="M338" i="35"/>
  <c r="N338" i="35"/>
  <c r="BM338" i="35" s="1"/>
  <c r="O338" i="35"/>
  <c r="P338" i="35"/>
  <c r="Q338" i="35"/>
  <c r="BN338" i="35" s="1"/>
  <c r="R338" i="35"/>
  <c r="S338" i="35"/>
  <c r="T338" i="35"/>
  <c r="BO338" i="35" s="1"/>
  <c r="U338" i="35"/>
  <c r="V338" i="35"/>
  <c r="W338" i="35"/>
  <c r="BP338" i="35" s="1"/>
  <c r="X338" i="35"/>
  <c r="Y338" i="35"/>
  <c r="Z338" i="35"/>
  <c r="BQ338" i="35" s="1"/>
  <c r="F339" i="35"/>
  <c r="G339" i="35"/>
  <c r="H339" i="35"/>
  <c r="BK339" i="35" s="1"/>
  <c r="I339" i="35"/>
  <c r="J339" i="35"/>
  <c r="K339" i="35"/>
  <c r="BL339" i="35" s="1"/>
  <c r="L339" i="35"/>
  <c r="M339" i="35"/>
  <c r="N339" i="35"/>
  <c r="BM339" i="35" s="1"/>
  <c r="O339" i="35"/>
  <c r="P339" i="35"/>
  <c r="Q339" i="35"/>
  <c r="BN339" i="35" s="1"/>
  <c r="R339" i="35"/>
  <c r="S339" i="35"/>
  <c r="T339" i="35"/>
  <c r="BO339" i="35" s="1"/>
  <c r="U339" i="35"/>
  <c r="V339" i="35"/>
  <c r="W339" i="35"/>
  <c r="BP339" i="35" s="1"/>
  <c r="X339" i="35"/>
  <c r="Y339" i="35"/>
  <c r="Z339" i="35"/>
  <c r="BQ339" i="35" s="1"/>
  <c r="E339" i="35"/>
  <c r="BJ339" i="35" s="1"/>
  <c r="E338" i="35"/>
  <c r="BJ338" i="35" s="1"/>
  <c r="E337" i="35"/>
  <c r="BJ337" i="35" s="1"/>
  <c r="A337" i="35"/>
  <c r="E336" i="35"/>
  <c r="BJ336" i="35" s="1"/>
  <c r="A336" i="35"/>
  <c r="E335" i="35"/>
  <c r="BJ335" i="35" s="1"/>
  <c r="E334" i="35"/>
  <c r="BJ334" i="35" s="1"/>
  <c r="E333" i="35"/>
  <c r="BJ333" i="35" s="1"/>
  <c r="E332" i="35"/>
  <c r="BJ332" i="35" s="1"/>
  <c r="E331" i="35"/>
  <c r="BJ331" i="35" s="1"/>
  <c r="E330" i="35"/>
  <c r="BJ330" i="35" s="1"/>
  <c r="E329" i="35"/>
  <c r="BJ329" i="35" s="1"/>
  <c r="E328" i="35"/>
  <c r="BJ328" i="35" s="1"/>
  <c r="E327" i="35"/>
  <c r="BJ327" i="35" s="1"/>
  <c r="E326" i="35"/>
  <c r="BJ326" i="35" s="1"/>
  <c r="A339" i="35"/>
  <c r="A338" i="35"/>
  <c r="A335" i="35"/>
  <c r="A334" i="35"/>
  <c r="A333" i="35"/>
  <c r="A332" i="35"/>
  <c r="A331" i="35"/>
  <c r="A330" i="35"/>
  <c r="A329" i="35"/>
  <c r="A328" i="35"/>
  <c r="A327" i="35"/>
  <c r="A326" i="35"/>
  <c r="BR190" i="35"/>
  <c r="BS190" i="35"/>
  <c r="BT190" i="35"/>
  <c r="BU190" i="35"/>
  <c r="BV190" i="35"/>
  <c r="BW190" i="35"/>
  <c r="BR197" i="35"/>
  <c r="BS197" i="35"/>
  <c r="BT197" i="35"/>
  <c r="BU197" i="35"/>
  <c r="BV197" i="35"/>
  <c r="BW197" i="35"/>
  <c r="BR204" i="35"/>
  <c r="BS204" i="35"/>
  <c r="BT204" i="35"/>
  <c r="BU204" i="35"/>
  <c r="BV204" i="35"/>
  <c r="BW204" i="35"/>
  <c r="BR211" i="35"/>
  <c r="BS211" i="35"/>
  <c r="BT211" i="35"/>
  <c r="BU211" i="35"/>
  <c r="BV211" i="35"/>
  <c r="BW211" i="35"/>
  <c r="BR218" i="35"/>
  <c r="BS218" i="35"/>
  <c r="BT218" i="35"/>
  <c r="BU218" i="35"/>
  <c r="BV218" i="35"/>
  <c r="BW218" i="35"/>
  <c r="BR225" i="35"/>
  <c r="BS225" i="35"/>
  <c r="BT225" i="35"/>
  <c r="BU225" i="35"/>
  <c r="BV225" i="35"/>
  <c r="BW225" i="35"/>
  <c r="BR232" i="35"/>
  <c r="BS232" i="35"/>
  <c r="BT232" i="35"/>
  <c r="BU232" i="35"/>
  <c r="BV232" i="35"/>
  <c r="BW232" i="35"/>
  <c r="BR239" i="35"/>
  <c r="BS239" i="35"/>
  <c r="BT239" i="35"/>
  <c r="BU239" i="35"/>
  <c r="BV239" i="35"/>
  <c r="BW239" i="35"/>
  <c r="BR246" i="35"/>
  <c r="BS246" i="35"/>
  <c r="BT246" i="35"/>
  <c r="BU246" i="35"/>
  <c r="BV246" i="35"/>
  <c r="BW246" i="35"/>
  <c r="BR253" i="35"/>
  <c r="BS253" i="35"/>
  <c r="BT253" i="35"/>
  <c r="BU253" i="35"/>
  <c r="BV253" i="35"/>
  <c r="BW253" i="35"/>
  <c r="BR260" i="35"/>
  <c r="BS260" i="35"/>
  <c r="BT260" i="35"/>
  <c r="BU260" i="35"/>
  <c r="BV260" i="35"/>
  <c r="BW260" i="35"/>
  <c r="BR267" i="35"/>
  <c r="BS267" i="35"/>
  <c r="BT267" i="35"/>
  <c r="BU267" i="35"/>
  <c r="BV267" i="35"/>
  <c r="BW267" i="35"/>
  <c r="BR274" i="35"/>
  <c r="BS274" i="35"/>
  <c r="BT274" i="35"/>
  <c r="BU274" i="35"/>
  <c r="BV274" i="35"/>
  <c r="BW274" i="35"/>
  <c r="BR281" i="35"/>
  <c r="BS281" i="35"/>
  <c r="BT281" i="35"/>
  <c r="BU281" i="35"/>
  <c r="BV281" i="35"/>
  <c r="BW281" i="35"/>
  <c r="BR288" i="35"/>
  <c r="BS288" i="35"/>
  <c r="BT288" i="35"/>
  <c r="BU288" i="35"/>
  <c r="BV288" i="35"/>
  <c r="BW288" i="35"/>
  <c r="BR295" i="35"/>
  <c r="BS295" i="35"/>
  <c r="BT295" i="35"/>
  <c r="BU295" i="35"/>
  <c r="BV295" i="35"/>
  <c r="BW295" i="35"/>
  <c r="BR302" i="35"/>
  <c r="BS302" i="35"/>
  <c r="BT302" i="35"/>
  <c r="BU302" i="35"/>
  <c r="BV302" i="35"/>
  <c r="BW302" i="35"/>
  <c r="BW183" i="35"/>
  <c r="BV183" i="35"/>
  <c r="BU183" i="35"/>
  <c r="BT183" i="35"/>
  <c r="BS183" i="35"/>
  <c r="BR183" i="35"/>
  <c r="CB3" i="35"/>
  <c r="BJ3" i="35"/>
  <c r="CC3" i="35"/>
  <c r="BK3" i="35"/>
  <c r="CD3" i="35"/>
  <c r="BL3" i="35"/>
  <c r="CE3" i="35"/>
  <c r="BM3" i="35"/>
  <c r="CF3" i="35"/>
  <c r="BN3" i="35"/>
  <c r="CG3" i="35"/>
  <c r="BO3" i="35"/>
  <c r="CH3" i="35"/>
  <c r="BP3" i="35"/>
  <c r="CI3" i="35"/>
  <c r="BQ3" i="35"/>
  <c r="CJ3" i="35"/>
  <c r="BR3" i="35"/>
  <c r="CK3" i="35"/>
  <c r="BS3" i="35"/>
  <c r="CL3" i="35"/>
  <c r="BT3" i="35"/>
  <c r="CM3" i="35"/>
  <c r="BU3" i="35"/>
  <c r="CN3" i="35"/>
  <c r="BV3" i="35"/>
  <c r="CO3" i="35"/>
  <c r="BW3" i="35"/>
  <c r="CB4" i="35"/>
  <c r="CC4" i="35"/>
  <c r="CD4" i="35"/>
  <c r="CE4" i="35"/>
  <c r="CF4" i="35"/>
  <c r="CH4" i="35"/>
  <c r="CB5" i="35"/>
  <c r="CC5" i="35"/>
  <c r="CD5" i="35"/>
  <c r="CE5" i="35"/>
  <c r="CF5" i="35"/>
  <c r="CG5" i="35"/>
  <c r="CH5" i="35"/>
  <c r="CI5" i="35"/>
  <c r="CJ5" i="35"/>
  <c r="CK5" i="35"/>
  <c r="CL5" i="35"/>
  <c r="CM5" i="35"/>
  <c r="CN5" i="35"/>
  <c r="CO5" i="35"/>
  <c r="CB6" i="35"/>
  <c r="CC6" i="35"/>
  <c r="CD6" i="35"/>
  <c r="CE6" i="35"/>
  <c r="CF6" i="35"/>
  <c r="CG6" i="35"/>
  <c r="CH6" i="35"/>
  <c r="CI6" i="35"/>
  <c r="CJ6" i="35"/>
  <c r="CK6" i="35"/>
  <c r="CL6" i="35"/>
  <c r="CM6" i="35"/>
  <c r="CN6" i="35"/>
  <c r="CO6" i="35"/>
  <c r="CB7" i="35"/>
  <c r="CC7" i="35"/>
  <c r="CD7" i="35"/>
  <c r="CE7" i="35"/>
  <c r="CF7" i="35"/>
  <c r="CG7" i="35"/>
  <c r="CH7" i="35"/>
  <c r="CI7" i="35"/>
  <c r="CJ7" i="35"/>
  <c r="CK7" i="35"/>
  <c r="CL7" i="35"/>
  <c r="CM7" i="35"/>
  <c r="CN7" i="35"/>
  <c r="CO7" i="35"/>
  <c r="CB9" i="35"/>
  <c r="CC9" i="35"/>
  <c r="CD9" i="35"/>
  <c r="CE9" i="35"/>
  <c r="CF9" i="35"/>
  <c r="CG9" i="35"/>
  <c r="CH9" i="35"/>
  <c r="CI9" i="35"/>
  <c r="CJ9" i="35"/>
  <c r="CK9" i="35"/>
  <c r="CL9" i="35"/>
  <c r="CM9" i="35"/>
  <c r="CN9" i="35"/>
  <c r="CO9" i="35"/>
  <c r="CB10" i="35"/>
  <c r="CC10" i="35"/>
  <c r="CD10" i="35"/>
  <c r="CE10" i="35"/>
  <c r="CF10" i="35"/>
  <c r="CG10" i="35"/>
  <c r="CH10" i="35"/>
  <c r="CI10" i="35"/>
  <c r="CJ10" i="35"/>
  <c r="CK10" i="35"/>
  <c r="CL10" i="35"/>
  <c r="CM10" i="35"/>
  <c r="CN10" i="35"/>
  <c r="CO10" i="35"/>
  <c r="CB11" i="35"/>
  <c r="CC11" i="35"/>
  <c r="CD11" i="35"/>
  <c r="CE11" i="35"/>
  <c r="CF11" i="35"/>
  <c r="CG11" i="35"/>
  <c r="CH11" i="35"/>
  <c r="CB12" i="35"/>
  <c r="CC12" i="35"/>
  <c r="CD12" i="35"/>
  <c r="CE12" i="35"/>
  <c r="CF12" i="35"/>
  <c r="CG12" i="35"/>
  <c r="CH12" i="35"/>
  <c r="CI12" i="35"/>
  <c r="CJ12" i="35"/>
  <c r="CK12" i="35"/>
  <c r="CL12" i="35"/>
  <c r="CM12" i="35"/>
  <c r="CN12" i="35"/>
  <c r="CO12" i="35"/>
  <c r="CB14" i="35"/>
  <c r="CC14" i="35"/>
  <c r="CD14" i="35"/>
  <c r="CE14" i="35"/>
  <c r="CF14" i="35"/>
  <c r="CG14" i="35"/>
  <c r="CH14" i="35"/>
  <c r="CB15" i="35"/>
  <c r="CC15" i="35"/>
  <c r="CD15" i="35"/>
  <c r="CE15" i="35"/>
  <c r="CF15" i="35"/>
  <c r="CG15" i="35"/>
  <c r="CH15" i="35"/>
  <c r="CI15" i="35"/>
  <c r="CJ15" i="35"/>
  <c r="CK15" i="35"/>
  <c r="CL15" i="35"/>
  <c r="CM15" i="35"/>
  <c r="CN15" i="35"/>
  <c r="CO15" i="35"/>
  <c r="CB16" i="35"/>
  <c r="CC16" i="35"/>
  <c r="CD16" i="35"/>
  <c r="CE16" i="35"/>
  <c r="CF16" i="35"/>
  <c r="CH16" i="35"/>
  <c r="CB17" i="35"/>
  <c r="CC17" i="35"/>
  <c r="CD17" i="35"/>
  <c r="CE17" i="35"/>
  <c r="CF17" i="35"/>
  <c r="CG17" i="35"/>
  <c r="CH17" i="35"/>
  <c r="CI17" i="35"/>
  <c r="CJ17" i="35"/>
  <c r="CK17" i="35"/>
  <c r="CL17" i="35"/>
  <c r="CM17" i="35"/>
  <c r="CN17" i="35"/>
  <c r="CO17" i="35"/>
  <c r="CB19" i="35"/>
  <c r="CC19" i="35"/>
  <c r="CD19" i="35"/>
  <c r="CE19" i="35"/>
  <c r="CF19" i="35"/>
  <c r="CG19" i="35"/>
  <c r="CH19" i="35"/>
  <c r="CI19" i="35"/>
  <c r="CJ19" i="35"/>
  <c r="CK19" i="35"/>
  <c r="CL19" i="35"/>
  <c r="CM19" i="35"/>
  <c r="CN19" i="35"/>
  <c r="CO19" i="35"/>
  <c r="CB20" i="35"/>
  <c r="CC20" i="35"/>
  <c r="CD20" i="35"/>
  <c r="CE20" i="35"/>
  <c r="CF20" i="35"/>
  <c r="CG20" i="35"/>
  <c r="CH20" i="35"/>
  <c r="CI20" i="35"/>
  <c r="CJ20" i="35"/>
  <c r="CK20" i="35"/>
  <c r="CL20" i="35"/>
  <c r="CM20" i="35"/>
  <c r="CN20" i="35"/>
  <c r="CO20" i="35"/>
  <c r="CB21" i="35"/>
  <c r="CC21" i="35"/>
  <c r="CD21" i="35"/>
  <c r="CE21" i="35"/>
  <c r="CF21" i="35"/>
  <c r="CG21" i="35"/>
  <c r="CH21" i="35"/>
  <c r="CI21" i="35"/>
  <c r="CJ21" i="35"/>
  <c r="CK21" i="35"/>
  <c r="CL21" i="35"/>
  <c r="CM21" i="35"/>
  <c r="CN21" i="35"/>
  <c r="CO21" i="35"/>
  <c r="CB23" i="35"/>
  <c r="CC23" i="35"/>
  <c r="CD23" i="35"/>
  <c r="CE23" i="35"/>
  <c r="CF23" i="35"/>
  <c r="CG23" i="35"/>
  <c r="CH23" i="35"/>
  <c r="CI23" i="35"/>
  <c r="CJ23" i="35"/>
  <c r="CK23" i="35"/>
  <c r="CL23" i="35"/>
  <c r="CM23" i="35"/>
  <c r="CN23" i="35"/>
  <c r="CO23" i="35"/>
  <c r="CB24" i="35"/>
  <c r="CC24" i="35"/>
  <c r="CD24" i="35"/>
  <c r="CE24" i="35"/>
  <c r="CF24" i="35"/>
  <c r="CG24" i="35"/>
  <c r="CH24" i="35"/>
  <c r="CI24" i="35"/>
  <c r="CJ24" i="35"/>
  <c r="CK24" i="35"/>
  <c r="CL24" i="35"/>
  <c r="CM24" i="35"/>
  <c r="CN24" i="35"/>
  <c r="CO24" i="35"/>
  <c r="CB25" i="35"/>
  <c r="CC25" i="35"/>
  <c r="CD25" i="35"/>
  <c r="CE25" i="35"/>
  <c r="CF25" i="35"/>
  <c r="CG25" i="35"/>
  <c r="CH25" i="35"/>
  <c r="CI25" i="35"/>
  <c r="CJ25" i="35"/>
  <c r="CK25" i="35"/>
  <c r="CL25" i="35"/>
  <c r="CM25" i="35"/>
  <c r="CN25" i="35"/>
  <c r="CO25" i="35"/>
  <c r="CB32" i="35"/>
  <c r="CC32" i="35"/>
  <c r="CE32" i="35"/>
  <c r="CF32" i="35"/>
  <c r="CH32" i="35"/>
  <c r="CI32" i="35"/>
  <c r="CJ32" i="35"/>
  <c r="CK32" i="35"/>
  <c r="CL32" i="35"/>
  <c r="CM32" i="35"/>
  <c r="CN32" i="35"/>
  <c r="CO32" i="35"/>
  <c r="CB33" i="35"/>
  <c r="CC33" i="35"/>
  <c r="CD33" i="35"/>
  <c r="CE33" i="35"/>
  <c r="CF33" i="35"/>
  <c r="CG33" i="35"/>
  <c r="CH33" i="35"/>
  <c r="CI33" i="35"/>
  <c r="CJ33" i="35"/>
  <c r="CK33" i="35"/>
  <c r="CL33" i="35"/>
  <c r="CM33" i="35"/>
  <c r="CN33" i="35"/>
  <c r="CO33" i="35"/>
  <c r="CB34" i="35"/>
  <c r="CC34" i="35"/>
  <c r="CD34" i="35"/>
  <c r="CE34" i="35"/>
  <c r="CF34" i="35"/>
  <c r="CG34" i="35"/>
  <c r="CH34" i="35"/>
  <c r="CB35" i="35"/>
  <c r="CC35" i="35"/>
  <c r="CD35" i="35"/>
  <c r="CE35" i="35"/>
  <c r="CF35" i="35"/>
  <c r="CG35" i="35"/>
  <c r="CH35" i="35"/>
  <c r="CI35" i="35"/>
  <c r="CJ35" i="35"/>
  <c r="CK35" i="35"/>
  <c r="CL35" i="35"/>
  <c r="CM35" i="35"/>
  <c r="CN35" i="35"/>
  <c r="CO35" i="35"/>
  <c r="CB37" i="35"/>
  <c r="CC37" i="35"/>
  <c r="CD37" i="35"/>
  <c r="CE37" i="35"/>
  <c r="CF37" i="35"/>
  <c r="CH37" i="35"/>
  <c r="CB38" i="35"/>
  <c r="CC38" i="35"/>
  <c r="CD38" i="35"/>
  <c r="CE38" i="35"/>
  <c r="CF38" i="35"/>
  <c r="CH38" i="35"/>
  <c r="CI38" i="35"/>
  <c r="CJ38" i="35"/>
  <c r="CK38" i="35"/>
  <c r="CL38" i="35"/>
  <c r="CM38" i="35"/>
  <c r="CN38" i="35"/>
  <c r="CO38" i="35"/>
  <c r="CB39" i="35"/>
  <c r="CC39" i="35"/>
  <c r="CD39" i="35"/>
  <c r="CE39" i="35"/>
  <c r="CF39" i="35"/>
  <c r="CG39" i="35"/>
  <c r="CH39" i="35"/>
  <c r="CI39" i="35"/>
  <c r="CJ39" i="35"/>
  <c r="CK39" i="35"/>
  <c r="CL39" i="35"/>
  <c r="CM39" i="35"/>
  <c r="CN39" i="35"/>
  <c r="CO39" i="35"/>
  <c r="CB40" i="35"/>
  <c r="CC40" i="35"/>
  <c r="CD40" i="35"/>
  <c r="CE40" i="35"/>
  <c r="CF40" i="35"/>
  <c r="CG40" i="35"/>
  <c r="CH40" i="35"/>
  <c r="CI40" i="35"/>
  <c r="CJ40" i="35"/>
  <c r="CK40" i="35"/>
  <c r="CL40" i="35"/>
  <c r="CM40" i="35"/>
  <c r="CN40" i="35"/>
  <c r="CO40" i="35"/>
  <c r="CB42" i="35"/>
  <c r="CC42" i="35"/>
  <c r="CD42" i="35"/>
  <c r="CE42" i="35"/>
  <c r="CF42" i="35"/>
  <c r="CH42" i="35"/>
  <c r="CB43" i="35"/>
  <c r="CC43" i="35"/>
  <c r="CD43" i="35"/>
  <c r="CE43" i="35"/>
  <c r="CF43" i="35"/>
  <c r="CG43" i="35"/>
  <c r="CH43" i="35"/>
  <c r="CI43" i="35"/>
  <c r="CJ43" i="35"/>
  <c r="CK43" i="35"/>
  <c r="CL43" i="35"/>
  <c r="CM43" i="35"/>
  <c r="CN43" i="35"/>
  <c r="CO43" i="35"/>
  <c r="CB44" i="35"/>
  <c r="CC44" i="35"/>
  <c r="CD44" i="35"/>
  <c r="CE44" i="35"/>
  <c r="CF44" i="35"/>
  <c r="CH44" i="35"/>
  <c r="CB45" i="35"/>
  <c r="CC45" i="35"/>
  <c r="CD45" i="35"/>
  <c r="CE45" i="35"/>
  <c r="CF45" i="35"/>
  <c r="CG45" i="35"/>
  <c r="CH45" i="35"/>
  <c r="CI45" i="35"/>
  <c r="CJ45" i="35"/>
  <c r="CK45" i="35"/>
  <c r="CL45" i="35"/>
  <c r="CM45" i="35"/>
  <c r="CN45" i="35"/>
  <c r="CO45" i="35"/>
  <c r="CB47" i="35"/>
  <c r="CC47" i="35"/>
  <c r="CD47" i="35"/>
  <c r="CE47" i="35"/>
  <c r="CF47" i="35"/>
  <c r="CG47" i="35"/>
  <c r="CH47" i="35"/>
  <c r="CB48" i="35"/>
  <c r="CC48" i="35"/>
  <c r="CD48" i="35"/>
  <c r="CE48" i="35"/>
  <c r="CF48" i="35"/>
  <c r="CG48" i="35"/>
  <c r="CH48" i="35"/>
  <c r="CI48" i="35"/>
  <c r="CJ48" i="35"/>
  <c r="CK48" i="35"/>
  <c r="CL48" i="35"/>
  <c r="CM48" i="35"/>
  <c r="CN48" i="35"/>
  <c r="CO48" i="35"/>
  <c r="CB49" i="35"/>
  <c r="CC49" i="35"/>
  <c r="CD49" i="35"/>
  <c r="CE49" i="35"/>
  <c r="CF49" i="35"/>
  <c r="CG49" i="35"/>
  <c r="CH49" i="35"/>
  <c r="CI49" i="35"/>
  <c r="CJ49" i="35"/>
  <c r="CK49" i="35"/>
  <c r="CL49" i="35"/>
  <c r="CM49" i="35"/>
  <c r="CN49" i="35"/>
  <c r="CO49" i="35"/>
  <c r="CB50" i="35"/>
  <c r="CC50" i="35"/>
  <c r="CD50" i="35"/>
  <c r="CE50" i="35"/>
  <c r="CF50" i="35"/>
  <c r="CG50" i="35"/>
  <c r="CH50" i="35"/>
  <c r="CI50" i="35"/>
  <c r="CJ50" i="35"/>
  <c r="CK50" i="35"/>
  <c r="CL50" i="35"/>
  <c r="CM50" i="35"/>
  <c r="CN50" i="35"/>
  <c r="CO50" i="35"/>
  <c r="CB52" i="35"/>
  <c r="CC52" i="35"/>
  <c r="CD52" i="35"/>
  <c r="CE52" i="35"/>
  <c r="CF52" i="35"/>
  <c r="CH52" i="35"/>
  <c r="CB53" i="35"/>
  <c r="CC53" i="35"/>
  <c r="CD53" i="35"/>
  <c r="CE53" i="35"/>
  <c r="CF53" i="35"/>
  <c r="CG53" i="35"/>
  <c r="CH53" i="35"/>
  <c r="CI53" i="35"/>
  <c r="CJ53" i="35"/>
  <c r="CK53" i="35"/>
  <c r="CL53" i="35"/>
  <c r="CM53" i="35"/>
  <c r="CN53" i="35"/>
  <c r="CO53" i="35"/>
  <c r="CB54" i="35"/>
  <c r="CC54" i="35"/>
  <c r="CD54" i="35"/>
  <c r="CE54" i="35"/>
  <c r="CF54" i="35"/>
  <c r="CH54" i="35"/>
  <c r="CB55" i="35"/>
  <c r="CC55" i="35"/>
  <c r="CD55" i="35"/>
  <c r="CE55" i="35"/>
  <c r="CF55" i="35"/>
  <c r="CG55" i="35"/>
  <c r="CH55" i="35"/>
  <c r="CI55" i="35"/>
  <c r="CJ55" i="35"/>
  <c r="CK55" i="35"/>
  <c r="CL55" i="35"/>
  <c r="CM55" i="35"/>
  <c r="CN55" i="35"/>
  <c r="CO55" i="35"/>
  <c r="CB57" i="35"/>
  <c r="CC57" i="35"/>
  <c r="CD57" i="35"/>
  <c r="CE57" i="35"/>
  <c r="CF57" i="35"/>
  <c r="CH57" i="35"/>
  <c r="CB58" i="35"/>
  <c r="CC58" i="35"/>
  <c r="CD58" i="35"/>
  <c r="CE58" i="35"/>
  <c r="CF58" i="35"/>
  <c r="CG58" i="35"/>
  <c r="CH58" i="35"/>
  <c r="CI58" i="35"/>
  <c r="CJ58" i="35"/>
  <c r="CK58" i="35"/>
  <c r="CL58" i="35"/>
  <c r="CM58" i="35"/>
  <c r="CN58" i="35"/>
  <c r="CO58" i="35"/>
  <c r="CB59" i="35"/>
  <c r="CC59" i="35"/>
  <c r="CD59" i="35"/>
  <c r="CE59" i="35"/>
  <c r="CF59" i="35"/>
  <c r="CG59" i="35"/>
  <c r="CH59" i="35"/>
  <c r="CI59" i="35"/>
  <c r="CJ59" i="35"/>
  <c r="CK59" i="35"/>
  <c r="CL59" i="35"/>
  <c r="CM59" i="35"/>
  <c r="CN59" i="35"/>
  <c r="CO59" i="35"/>
  <c r="CB60" i="35"/>
  <c r="CC60" i="35"/>
  <c r="CD60" i="35"/>
  <c r="CE60" i="35"/>
  <c r="CF60" i="35"/>
  <c r="CG60" i="35"/>
  <c r="CH60" i="35"/>
  <c r="CI60" i="35"/>
  <c r="CJ60" i="35"/>
  <c r="CK60" i="35"/>
  <c r="CL60" i="35"/>
  <c r="CM60" i="35"/>
  <c r="CN60" i="35"/>
  <c r="CO60" i="35"/>
  <c r="CB62" i="35"/>
  <c r="CC62" i="35"/>
  <c r="CD62" i="35"/>
  <c r="CE62" i="35"/>
  <c r="CF62" i="35"/>
  <c r="CH62" i="35"/>
  <c r="CB63" i="35"/>
  <c r="CC63" i="35"/>
  <c r="CD63" i="35"/>
  <c r="CE63" i="35"/>
  <c r="CF63" i="35"/>
  <c r="CG63" i="35"/>
  <c r="CH63" i="35"/>
  <c r="CI63" i="35"/>
  <c r="CJ63" i="35"/>
  <c r="CK63" i="35"/>
  <c r="CL63" i="35"/>
  <c r="CM63" i="35"/>
  <c r="CN63" i="35"/>
  <c r="CO63" i="35"/>
  <c r="CB64" i="35"/>
  <c r="CC64" i="35"/>
  <c r="CD64" i="35"/>
  <c r="CE64" i="35"/>
  <c r="CF64" i="35"/>
  <c r="CG64" i="35"/>
  <c r="CH64" i="35"/>
  <c r="CI64" i="35"/>
  <c r="CJ64" i="35"/>
  <c r="CK64" i="35"/>
  <c r="CL64" i="35"/>
  <c r="CM64" i="35"/>
  <c r="CN64" i="35"/>
  <c r="CO64" i="35"/>
  <c r="CB65" i="35"/>
  <c r="CC65" i="35"/>
  <c r="CD65" i="35"/>
  <c r="CE65" i="35"/>
  <c r="CF65" i="35"/>
  <c r="CG65" i="35"/>
  <c r="CH65" i="35"/>
  <c r="CI65" i="35"/>
  <c r="CJ65" i="35"/>
  <c r="CK65" i="35"/>
  <c r="CL65" i="35"/>
  <c r="CM65" i="35"/>
  <c r="CN65" i="35"/>
  <c r="CO65" i="35"/>
  <c r="CB67" i="35"/>
  <c r="CC67" i="35"/>
  <c r="CD67" i="35"/>
  <c r="CE67" i="35"/>
  <c r="CF67" i="35"/>
  <c r="CH67" i="35"/>
  <c r="CB68" i="35"/>
  <c r="CC68" i="35"/>
  <c r="CD68" i="35"/>
  <c r="CE68" i="35"/>
  <c r="CF68" i="35"/>
  <c r="CG68" i="35"/>
  <c r="CH68" i="35"/>
  <c r="CI68" i="35"/>
  <c r="CJ68" i="35"/>
  <c r="CK68" i="35"/>
  <c r="CL68" i="35"/>
  <c r="CM68" i="35"/>
  <c r="CN68" i="35"/>
  <c r="CO68" i="35"/>
  <c r="CB69" i="35"/>
  <c r="CC69" i="35"/>
  <c r="CD69" i="35"/>
  <c r="CE69" i="35"/>
  <c r="CF69" i="35"/>
  <c r="CG69" i="35"/>
  <c r="CH69" i="35"/>
  <c r="CI69" i="35"/>
  <c r="CJ69" i="35"/>
  <c r="CK69" i="35"/>
  <c r="CL69" i="35"/>
  <c r="CM69" i="35"/>
  <c r="CN69" i="35"/>
  <c r="CO69" i="35"/>
  <c r="CB70" i="35"/>
  <c r="CC70" i="35"/>
  <c r="CD70" i="35"/>
  <c r="CE70" i="35"/>
  <c r="CF70" i="35"/>
  <c r="CG70" i="35"/>
  <c r="CH70" i="35"/>
  <c r="CI70" i="35"/>
  <c r="CJ70" i="35"/>
  <c r="CK70" i="35"/>
  <c r="CL70" i="35"/>
  <c r="CM70" i="35"/>
  <c r="CN70" i="35"/>
  <c r="CO70" i="35"/>
  <c r="CB72" i="35"/>
  <c r="CC72" i="35"/>
  <c r="CD72" i="35"/>
  <c r="CE72" i="35"/>
  <c r="CF72" i="35"/>
  <c r="CH72" i="35"/>
  <c r="CB73" i="35"/>
  <c r="CC73" i="35"/>
  <c r="CD73" i="35"/>
  <c r="CE73" i="35"/>
  <c r="CF73" i="35"/>
  <c r="CG73" i="35"/>
  <c r="CH73" i="35"/>
  <c r="CI73" i="35"/>
  <c r="CJ73" i="35"/>
  <c r="CK73" i="35"/>
  <c r="CL73" i="35"/>
  <c r="CM73" i="35"/>
  <c r="CN73" i="35"/>
  <c r="CO73" i="35"/>
  <c r="CB74" i="35"/>
  <c r="CC74" i="35"/>
  <c r="CD74" i="35"/>
  <c r="CE74" i="35"/>
  <c r="CF74" i="35"/>
  <c r="CG74" i="35"/>
  <c r="CH74" i="35"/>
  <c r="CB75" i="35"/>
  <c r="CC75" i="35"/>
  <c r="CD75" i="35"/>
  <c r="CE75" i="35"/>
  <c r="CF75" i="35"/>
  <c r="CG75" i="35"/>
  <c r="CH75" i="35"/>
  <c r="CI75" i="35"/>
  <c r="CJ75" i="35"/>
  <c r="CK75" i="35"/>
  <c r="CL75" i="35"/>
  <c r="CM75" i="35"/>
  <c r="CN75" i="35"/>
  <c r="CO75" i="35"/>
  <c r="CB77" i="35"/>
  <c r="CC77" i="35"/>
  <c r="CE77" i="35"/>
  <c r="CF77" i="35"/>
  <c r="CG77" i="35"/>
  <c r="CH77" i="35"/>
  <c r="CI77" i="35"/>
  <c r="CJ77" i="35"/>
  <c r="CK77" i="35"/>
  <c r="CL77" i="35"/>
  <c r="CM77" i="35"/>
  <c r="CN77" i="35"/>
  <c r="CO77" i="35"/>
  <c r="CB78" i="35"/>
  <c r="CC78" i="35"/>
  <c r="CD78" i="35"/>
  <c r="CE78" i="35"/>
  <c r="CF78" i="35"/>
  <c r="CG78" i="35"/>
  <c r="CH78" i="35"/>
  <c r="CI78" i="35"/>
  <c r="CJ78" i="35"/>
  <c r="CK78" i="35"/>
  <c r="CL78" i="35"/>
  <c r="CM78" i="35"/>
  <c r="CN78" i="35"/>
  <c r="CO78" i="35"/>
  <c r="CB79" i="35"/>
  <c r="CC79" i="35"/>
  <c r="CD79" i="35"/>
  <c r="CE79" i="35"/>
  <c r="CF79" i="35"/>
  <c r="CG79" i="35"/>
  <c r="CH79" i="35"/>
  <c r="CI79" i="35"/>
  <c r="CJ79" i="35"/>
  <c r="CK79" i="35"/>
  <c r="CL79" i="35"/>
  <c r="CM79" i="35"/>
  <c r="CN79" i="35"/>
  <c r="CO79" i="35"/>
  <c r="CB80" i="35"/>
  <c r="CC80" i="35"/>
  <c r="CD80" i="35"/>
  <c r="CE80" i="35"/>
  <c r="CF80" i="35"/>
  <c r="CG80" i="35"/>
  <c r="CH80" i="35"/>
  <c r="CI80" i="35"/>
  <c r="CJ80" i="35"/>
  <c r="CK80" i="35"/>
  <c r="CL80" i="35"/>
  <c r="CM80" i="35"/>
  <c r="CN80" i="35"/>
  <c r="CO80" i="35"/>
  <c r="CB82" i="35"/>
  <c r="CC82" i="35"/>
  <c r="CD82" i="35"/>
  <c r="CE82" i="35"/>
  <c r="CF82" i="35"/>
  <c r="CH82" i="35"/>
  <c r="CB83" i="35"/>
  <c r="BJ83" i="35"/>
  <c r="CC83" i="35"/>
  <c r="CD83" i="35"/>
  <c r="CE83" i="35"/>
  <c r="CF83" i="35"/>
  <c r="CG83" i="35"/>
  <c r="CH83" i="35"/>
  <c r="CI83" i="35"/>
  <c r="CJ83" i="35"/>
  <c r="CK83" i="35"/>
  <c r="CL83" i="35"/>
  <c r="CM83" i="35"/>
  <c r="CN83" i="35"/>
  <c r="CO83" i="35"/>
  <c r="CB84" i="35"/>
  <c r="CC84" i="35"/>
  <c r="CD84" i="35"/>
  <c r="CE84" i="35"/>
  <c r="CF84" i="35"/>
  <c r="CH84" i="35"/>
  <c r="CB85" i="35"/>
  <c r="CC85" i="35"/>
  <c r="CD85" i="35"/>
  <c r="CE85" i="35"/>
  <c r="CF85" i="35"/>
  <c r="CG85" i="35"/>
  <c r="CH85" i="35"/>
  <c r="CI85" i="35"/>
  <c r="CJ85" i="35"/>
  <c r="CK85" i="35"/>
  <c r="CL85" i="35"/>
  <c r="CM85" i="35"/>
  <c r="CN85" i="35"/>
  <c r="CO85" i="35"/>
  <c r="CB92" i="35"/>
  <c r="CC92" i="35"/>
  <c r="CD92" i="35"/>
  <c r="CE92" i="35"/>
  <c r="CF92" i="35"/>
  <c r="CG92" i="35"/>
  <c r="CH92" i="35"/>
  <c r="CI92" i="35"/>
  <c r="CJ92" i="35"/>
  <c r="CK92" i="35"/>
  <c r="CL92" i="35"/>
  <c r="CM92" i="35"/>
  <c r="CN92" i="35"/>
  <c r="CO92" i="35"/>
  <c r="CB93" i="35"/>
  <c r="CC93" i="35"/>
  <c r="CD93" i="35"/>
  <c r="CE93" i="35"/>
  <c r="CF93" i="35"/>
  <c r="CG93" i="35"/>
  <c r="CH93" i="35"/>
  <c r="CI93" i="35"/>
  <c r="CJ93" i="35"/>
  <c r="CK93" i="35"/>
  <c r="CL93" i="35"/>
  <c r="CM93" i="35"/>
  <c r="CN93" i="35"/>
  <c r="CO93" i="35"/>
  <c r="CB94" i="35"/>
  <c r="CC94" i="35"/>
  <c r="CD94" i="35"/>
  <c r="CE94" i="35"/>
  <c r="CF94" i="35"/>
  <c r="CG94" i="35"/>
  <c r="CH94" i="35"/>
  <c r="CI94" i="35"/>
  <c r="CJ94" i="35"/>
  <c r="CK94" i="35"/>
  <c r="CL94" i="35"/>
  <c r="CM94" i="35"/>
  <c r="CN94" i="35"/>
  <c r="CO94" i="35"/>
  <c r="CB96" i="35"/>
  <c r="CC96" i="35"/>
  <c r="CE96" i="35"/>
  <c r="CF96" i="35"/>
  <c r="CG96" i="35"/>
  <c r="CH96" i="35"/>
  <c r="CB97" i="35"/>
  <c r="CC97" i="35"/>
  <c r="CD97" i="35"/>
  <c r="CE97" i="35"/>
  <c r="CF97" i="35"/>
  <c r="CH97" i="35"/>
  <c r="CI97" i="35"/>
  <c r="CJ97" i="35"/>
  <c r="CK97" i="35"/>
  <c r="CL97" i="35"/>
  <c r="CM97" i="35"/>
  <c r="CN97" i="35"/>
  <c r="CO97" i="35"/>
  <c r="CB98" i="35"/>
  <c r="CC98" i="35"/>
  <c r="CD98" i="35"/>
  <c r="CE98" i="35"/>
  <c r="CF98" i="35"/>
  <c r="CG98" i="35"/>
  <c r="CH98" i="35"/>
  <c r="CI98" i="35"/>
  <c r="CJ98" i="35"/>
  <c r="CK98" i="35"/>
  <c r="CL98" i="35"/>
  <c r="CM98" i="35"/>
  <c r="CN98" i="35"/>
  <c r="CO98" i="35"/>
  <c r="CB99" i="35"/>
  <c r="CC99" i="35"/>
  <c r="CD99" i="35"/>
  <c r="CE99" i="35"/>
  <c r="CF99" i="35"/>
  <c r="CG99" i="35"/>
  <c r="CH99" i="35"/>
  <c r="CI99" i="35"/>
  <c r="CJ99" i="35"/>
  <c r="CK99" i="35"/>
  <c r="CL99" i="35"/>
  <c r="CM99" i="35"/>
  <c r="CN99" i="35"/>
  <c r="CO99" i="35"/>
  <c r="CB101" i="35"/>
  <c r="CC101" i="35"/>
  <c r="CD101" i="35"/>
  <c r="CE101" i="35"/>
  <c r="CF101" i="35"/>
  <c r="CG101" i="35"/>
  <c r="CH101" i="35"/>
  <c r="CI101" i="35"/>
  <c r="CJ101" i="35"/>
  <c r="CK101" i="35"/>
  <c r="CL101" i="35"/>
  <c r="CM101" i="35"/>
  <c r="CN101" i="35"/>
  <c r="CO101" i="35"/>
  <c r="CB102" i="35"/>
  <c r="CC102" i="35"/>
  <c r="CD102" i="35"/>
  <c r="CE102" i="35"/>
  <c r="CF102" i="35"/>
  <c r="CH102" i="35"/>
  <c r="CI102" i="35"/>
  <c r="CJ102" i="35"/>
  <c r="CK102" i="35"/>
  <c r="CL102" i="35"/>
  <c r="CM102" i="35"/>
  <c r="CN102" i="35"/>
  <c r="CO102" i="35"/>
  <c r="CB103" i="35"/>
  <c r="CC103" i="35"/>
  <c r="CD103" i="35"/>
  <c r="CE103" i="35"/>
  <c r="CF103" i="35"/>
  <c r="CG103" i="35"/>
  <c r="CH103" i="35"/>
  <c r="CI103" i="35"/>
  <c r="CJ103" i="35"/>
  <c r="CK103" i="35"/>
  <c r="CL103" i="35"/>
  <c r="CM103" i="35"/>
  <c r="CN103" i="35"/>
  <c r="CO103" i="35"/>
  <c r="CB110" i="35"/>
  <c r="CC110" i="35"/>
  <c r="CD110" i="35"/>
  <c r="CE110" i="35"/>
  <c r="CF110" i="35"/>
  <c r="CG110" i="35"/>
  <c r="CH110" i="35"/>
  <c r="CI110" i="35"/>
  <c r="CJ110" i="35"/>
  <c r="CK110" i="35"/>
  <c r="CL110" i="35"/>
  <c r="CM110" i="35"/>
  <c r="CN110" i="35"/>
  <c r="CO110" i="35"/>
  <c r="CB111" i="35"/>
  <c r="CC111" i="35"/>
  <c r="CD111" i="35"/>
  <c r="CE111" i="35"/>
  <c r="CF111" i="35"/>
  <c r="CG111" i="35"/>
  <c r="CH111" i="35"/>
  <c r="CI111" i="35"/>
  <c r="CJ111" i="35"/>
  <c r="CK111" i="35"/>
  <c r="CL111" i="35"/>
  <c r="CM111" i="35"/>
  <c r="CN111" i="35"/>
  <c r="CO111" i="35"/>
  <c r="CB112" i="35"/>
  <c r="CC112" i="35"/>
  <c r="CD112" i="35"/>
  <c r="CE112" i="35"/>
  <c r="CF112" i="35"/>
  <c r="CG112" i="35"/>
  <c r="CH112" i="35"/>
  <c r="CI112" i="35"/>
  <c r="CJ112" i="35"/>
  <c r="CK112" i="35"/>
  <c r="CL112" i="35"/>
  <c r="CM112" i="35"/>
  <c r="CN112" i="35"/>
  <c r="CO112" i="35"/>
  <c r="CB114" i="35"/>
  <c r="CC114" i="35"/>
  <c r="CD114" i="35"/>
  <c r="CE114" i="35"/>
  <c r="CF114" i="35"/>
  <c r="CH114" i="35"/>
  <c r="CI114" i="35"/>
  <c r="CJ114" i="35"/>
  <c r="CK114" i="35"/>
  <c r="CL114" i="35"/>
  <c r="CM114" i="35"/>
  <c r="CN114" i="35"/>
  <c r="CO114" i="35"/>
  <c r="CB115" i="35"/>
  <c r="CC115" i="35"/>
  <c r="CD115" i="35"/>
  <c r="CE115" i="35"/>
  <c r="CF115" i="35"/>
  <c r="CG115" i="35"/>
  <c r="CH115" i="35"/>
  <c r="CI115" i="35"/>
  <c r="CJ115" i="35"/>
  <c r="CK115" i="35"/>
  <c r="CL115" i="35"/>
  <c r="CM115" i="35"/>
  <c r="CN115" i="35"/>
  <c r="CO115" i="35"/>
  <c r="CB116" i="35"/>
  <c r="CC116" i="35"/>
  <c r="CD116" i="35"/>
  <c r="CE116" i="35"/>
  <c r="CF116" i="35"/>
  <c r="CG116" i="35"/>
  <c r="CH116" i="35"/>
  <c r="CI116" i="35"/>
  <c r="CJ116" i="35"/>
  <c r="CK116" i="35"/>
  <c r="CL116" i="35"/>
  <c r="CM116" i="35"/>
  <c r="CN116" i="35"/>
  <c r="CO116" i="35"/>
  <c r="CB118" i="35"/>
  <c r="CC118" i="35"/>
  <c r="CD118" i="35"/>
  <c r="CE118" i="35"/>
  <c r="CF118" i="35"/>
  <c r="CH118" i="35"/>
  <c r="CB119" i="35"/>
  <c r="CC119" i="35"/>
  <c r="CD119" i="35"/>
  <c r="CE119" i="35"/>
  <c r="CF119" i="35"/>
  <c r="CG119" i="35"/>
  <c r="CH119" i="35"/>
  <c r="CI119" i="35"/>
  <c r="CJ119" i="35"/>
  <c r="CK119" i="35"/>
  <c r="CL119" i="35"/>
  <c r="CM119" i="35"/>
  <c r="CN119" i="35"/>
  <c r="CO119" i="35"/>
  <c r="CB120" i="35"/>
  <c r="CC120" i="35"/>
  <c r="CD120" i="35"/>
  <c r="CE120" i="35"/>
  <c r="CF120" i="35"/>
  <c r="CG120" i="35"/>
  <c r="CH120" i="35"/>
  <c r="CI120" i="35"/>
  <c r="CJ120" i="35"/>
  <c r="CK120" i="35"/>
  <c r="CL120" i="35"/>
  <c r="CM120" i="35"/>
  <c r="CN120" i="35"/>
  <c r="CO120" i="35"/>
  <c r="CB126" i="35"/>
  <c r="CC126" i="35"/>
  <c r="CD126" i="35"/>
  <c r="CE126" i="35"/>
  <c r="CF126" i="35"/>
  <c r="CG126" i="35"/>
  <c r="CH126" i="35"/>
  <c r="CI126" i="35"/>
  <c r="CJ126" i="35"/>
  <c r="CK126" i="35"/>
  <c r="CL126" i="35"/>
  <c r="CM126" i="35"/>
  <c r="CN126" i="35"/>
  <c r="CO126" i="35"/>
  <c r="CB127" i="35"/>
  <c r="CC127" i="35"/>
  <c r="CD127" i="35"/>
  <c r="CE127" i="35"/>
  <c r="CF127" i="35"/>
  <c r="CG127" i="35"/>
  <c r="CH127" i="35"/>
  <c r="CI127" i="35"/>
  <c r="CJ127" i="35"/>
  <c r="CK127" i="35"/>
  <c r="CL127" i="35"/>
  <c r="CM127" i="35"/>
  <c r="CN127" i="35"/>
  <c r="CO127" i="35"/>
  <c r="CB128" i="35"/>
  <c r="CC128" i="35"/>
  <c r="CD128" i="35"/>
  <c r="CE128" i="35"/>
  <c r="CF128" i="35"/>
  <c r="CG128" i="35"/>
  <c r="CH128" i="35"/>
  <c r="CI128" i="35"/>
  <c r="CJ128" i="35"/>
  <c r="CK128" i="35"/>
  <c r="CL128" i="35"/>
  <c r="CM128" i="35"/>
  <c r="CN128" i="35"/>
  <c r="CO128" i="35"/>
  <c r="CD130" i="35"/>
  <c r="CE130" i="35"/>
  <c r="CF130" i="35"/>
  <c r="CG130" i="35"/>
  <c r="CH130" i="35"/>
  <c r="CI130" i="35"/>
  <c r="CJ130" i="35"/>
  <c r="CK130" i="35"/>
  <c r="CL130" i="35"/>
  <c r="CM130" i="35"/>
  <c r="CN130" i="35"/>
  <c r="CO130" i="35"/>
  <c r="CD131" i="35"/>
  <c r="CE131" i="35"/>
  <c r="CF131" i="35"/>
  <c r="CG131" i="35"/>
  <c r="CH131" i="35"/>
  <c r="CI131" i="35"/>
  <c r="CJ131" i="35"/>
  <c r="CK131" i="35"/>
  <c r="CL131" i="35"/>
  <c r="CM131" i="35"/>
  <c r="CN131" i="35"/>
  <c r="CO131" i="35"/>
  <c r="CD132" i="35"/>
  <c r="CE132" i="35"/>
  <c r="CF132" i="35"/>
  <c r="CG132" i="35"/>
  <c r="CH132" i="35"/>
  <c r="CI132" i="35"/>
  <c r="CJ132" i="35"/>
  <c r="CK132" i="35"/>
  <c r="CL132" i="35"/>
  <c r="CM132" i="35"/>
  <c r="CN132" i="35"/>
  <c r="CO132" i="35"/>
  <c r="CB134" i="35"/>
  <c r="CC134" i="35"/>
  <c r="CD134" i="35"/>
  <c r="CE134" i="35"/>
  <c r="CF134" i="35"/>
  <c r="CG134" i="35"/>
  <c r="CH134" i="35"/>
  <c r="CI134" i="35"/>
  <c r="CJ134" i="35"/>
  <c r="CK134" i="35"/>
  <c r="CL134" i="35"/>
  <c r="CM134" i="35"/>
  <c r="CN134" i="35"/>
  <c r="CO134" i="35"/>
  <c r="CB135" i="35"/>
  <c r="CC135" i="35"/>
  <c r="CD135" i="35"/>
  <c r="CE135" i="35"/>
  <c r="CF135" i="35"/>
  <c r="CG135" i="35"/>
  <c r="CH135" i="35"/>
  <c r="CI135" i="35"/>
  <c r="CJ135" i="35"/>
  <c r="CK135" i="35"/>
  <c r="CL135" i="35"/>
  <c r="CM135" i="35"/>
  <c r="CN135" i="35"/>
  <c r="CO135" i="35"/>
  <c r="CB136" i="35"/>
  <c r="CC136" i="35"/>
  <c r="CD136" i="35"/>
  <c r="CE136" i="35"/>
  <c r="CF136" i="35"/>
  <c r="CG136" i="35"/>
  <c r="CH136" i="35"/>
  <c r="CI136" i="35"/>
  <c r="CJ136" i="35"/>
  <c r="CK136" i="35"/>
  <c r="CL136" i="35"/>
  <c r="CM136" i="35"/>
  <c r="CN136" i="35"/>
  <c r="CO136" i="35"/>
  <c r="CB138" i="35"/>
  <c r="CC138" i="35"/>
  <c r="CD138" i="35"/>
  <c r="CE138" i="35"/>
  <c r="CF138" i="35"/>
  <c r="CG138" i="35"/>
  <c r="CH138" i="35"/>
  <c r="CI138" i="35"/>
  <c r="CJ138" i="35"/>
  <c r="CK138" i="35"/>
  <c r="CL138" i="35"/>
  <c r="CM138" i="35"/>
  <c r="CN138" i="35"/>
  <c r="CO138" i="35"/>
  <c r="CB139" i="35"/>
  <c r="CC139" i="35"/>
  <c r="CD139" i="35"/>
  <c r="CE139" i="35"/>
  <c r="CF139" i="35"/>
  <c r="CG139" i="35"/>
  <c r="CH139" i="35"/>
  <c r="CI139" i="35"/>
  <c r="CJ139" i="35"/>
  <c r="CK139" i="35"/>
  <c r="CL139" i="35"/>
  <c r="CM139" i="35"/>
  <c r="CN139" i="35"/>
  <c r="CO139" i="35"/>
  <c r="CB140" i="35"/>
  <c r="CC140" i="35"/>
  <c r="CD140" i="35"/>
  <c r="CE140" i="35"/>
  <c r="CF140" i="35"/>
  <c r="CG140" i="35"/>
  <c r="CH140" i="35"/>
  <c r="CI140" i="35"/>
  <c r="CJ140" i="35"/>
  <c r="CK140" i="35"/>
  <c r="CL140" i="35"/>
  <c r="CM140" i="35"/>
  <c r="CN140" i="35"/>
  <c r="CO140" i="35"/>
  <c r="CB142" i="35"/>
  <c r="CC142" i="35"/>
  <c r="CD142" i="35"/>
  <c r="CE142" i="35"/>
  <c r="CF142" i="35"/>
  <c r="CG142" i="35"/>
  <c r="CH142" i="35"/>
  <c r="CI142" i="35"/>
  <c r="CJ142" i="35"/>
  <c r="CK142" i="35"/>
  <c r="CL142" i="35"/>
  <c r="CM142" i="35"/>
  <c r="CN142" i="35"/>
  <c r="CO142" i="35"/>
  <c r="CB143" i="35"/>
  <c r="CC143" i="35"/>
  <c r="CD143" i="35"/>
  <c r="CE143" i="35"/>
  <c r="CF143" i="35"/>
  <c r="CG143" i="35"/>
  <c r="CH143" i="35"/>
  <c r="CI143" i="35"/>
  <c r="CJ143" i="35"/>
  <c r="CK143" i="35"/>
  <c r="CL143" i="35"/>
  <c r="CM143" i="35"/>
  <c r="CN143" i="35"/>
  <c r="CO143" i="35"/>
  <c r="CB144" i="35"/>
  <c r="CC144" i="35"/>
  <c r="CD144" i="35"/>
  <c r="CE144" i="35"/>
  <c r="CF144" i="35"/>
  <c r="CG144" i="35"/>
  <c r="CH144" i="35"/>
  <c r="CI144" i="35"/>
  <c r="CJ144" i="35"/>
  <c r="CK144" i="35"/>
  <c r="CL144" i="35"/>
  <c r="CM144" i="35"/>
  <c r="CN144" i="35"/>
  <c r="CO144" i="35"/>
  <c r="CB146" i="35"/>
  <c r="CC146" i="35"/>
  <c r="CD146" i="35"/>
  <c r="CE146" i="35"/>
  <c r="CF146" i="35"/>
  <c r="CG146" i="35"/>
  <c r="CH146" i="35"/>
  <c r="CI146" i="35"/>
  <c r="CJ146" i="35"/>
  <c r="CK146" i="35"/>
  <c r="CL146" i="35"/>
  <c r="CM146" i="35"/>
  <c r="CN146" i="35"/>
  <c r="CO146" i="35"/>
  <c r="CB147" i="35"/>
  <c r="CC147" i="35"/>
  <c r="CD147" i="35"/>
  <c r="CE147" i="35"/>
  <c r="CF147" i="35"/>
  <c r="CG147" i="35"/>
  <c r="CH147" i="35"/>
  <c r="CI147" i="35"/>
  <c r="CJ147" i="35"/>
  <c r="CK147" i="35"/>
  <c r="CL147" i="35"/>
  <c r="CM147" i="35"/>
  <c r="CN147" i="35"/>
  <c r="CO147" i="35"/>
  <c r="CB148" i="35"/>
  <c r="CC148" i="35"/>
  <c r="CD148" i="35"/>
  <c r="CE148" i="35"/>
  <c r="CF148" i="35"/>
  <c r="CG148" i="35"/>
  <c r="CH148" i="35"/>
  <c r="CI148" i="35"/>
  <c r="CJ148" i="35"/>
  <c r="CK148" i="35"/>
  <c r="CL148" i="35"/>
  <c r="CM148" i="35"/>
  <c r="CN148" i="35"/>
  <c r="CO148" i="35"/>
  <c r="CB150" i="35"/>
  <c r="CC150" i="35"/>
  <c r="CE150" i="35"/>
  <c r="CF150" i="35"/>
  <c r="CG150" i="35"/>
  <c r="CH150" i="35"/>
  <c r="CB151" i="35"/>
  <c r="CC151" i="35"/>
  <c r="CD151" i="35"/>
  <c r="CE151" i="35"/>
  <c r="CF151" i="35"/>
  <c r="CG151" i="35"/>
  <c r="CH151" i="35"/>
  <c r="CI151" i="35"/>
  <c r="CJ151" i="35"/>
  <c r="CK151" i="35"/>
  <c r="CL151" i="35"/>
  <c r="CM151" i="35"/>
  <c r="CN151" i="35"/>
  <c r="CO151" i="35"/>
  <c r="CB152" i="35"/>
  <c r="CC152" i="35"/>
  <c r="CD152" i="35"/>
  <c r="CE152" i="35"/>
  <c r="CF152" i="35"/>
  <c r="CG152" i="35"/>
  <c r="CH152" i="35"/>
  <c r="CI152" i="35"/>
  <c r="CJ152" i="35"/>
  <c r="CK152" i="35"/>
  <c r="CL152" i="35"/>
  <c r="CM152" i="35"/>
  <c r="CN152" i="35"/>
  <c r="CO152" i="35"/>
  <c r="CB153" i="35"/>
  <c r="CC153" i="35"/>
  <c r="CD153" i="35"/>
  <c r="CE153" i="35"/>
  <c r="CF153" i="35"/>
  <c r="CG153" i="35"/>
  <c r="CH153" i="35"/>
  <c r="CI153" i="35"/>
  <c r="CJ153" i="35"/>
  <c r="CK153" i="35"/>
  <c r="CL153" i="35"/>
  <c r="CM153" i="35"/>
  <c r="CN153" i="35"/>
  <c r="CO153" i="35"/>
  <c r="CB161" i="35"/>
  <c r="BJ161" i="35"/>
  <c r="CC161" i="35"/>
  <c r="BK161" i="35"/>
  <c r="CD161" i="35"/>
  <c r="BL161" i="35"/>
  <c r="CE161" i="35"/>
  <c r="BM161" i="35"/>
  <c r="CF161" i="35"/>
  <c r="BN161" i="35"/>
  <c r="CG161" i="35"/>
  <c r="BO161" i="35"/>
  <c r="CH161" i="35"/>
  <c r="BP161" i="35"/>
  <c r="CI161" i="35"/>
  <c r="BQ161" i="35"/>
  <c r="CJ161" i="35"/>
  <c r="BR161" i="35"/>
  <c r="CK161" i="35"/>
  <c r="BS161" i="35"/>
  <c r="CL161" i="35"/>
  <c r="BT161" i="35"/>
  <c r="CM161" i="35"/>
  <c r="BU161" i="35"/>
  <c r="CN161" i="35"/>
  <c r="BV161" i="35"/>
  <c r="CO161" i="35"/>
  <c r="BW161" i="35"/>
  <c r="BJ162" i="35"/>
  <c r="BK162" i="35"/>
  <c r="BL162" i="35"/>
  <c r="BM162" i="35"/>
  <c r="BN162" i="35"/>
  <c r="BO162" i="35"/>
  <c r="BP162" i="35"/>
  <c r="BQ162" i="35"/>
  <c r="BR162" i="35"/>
  <c r="BS162" i="35"/>
  <c r="BT162" i="35"/>
  <c r="BU162" i="35"/>
  <c r="BV162" i="35"/>
  <c r="BW162" i="35"/>
  <c r="BJ169" i="35"/>
  <c r="BK169" i="35"/>
  <c r="BL169" i="35"/>
  <c r="BM169" i="35"/>
  <c r="BN169" i="35"/>
  <c r="BO169" i="35"/>
  <c r="BP169" i="35"/>
  <c r="BQ169" i="35"/>
  <c r="BR169" i="35"/>
  <c r="BS169" i="35"/>
  <c r="BT169" i="35"/>
  <c r="BU169" i="35"/>
  <c r="BV169" i="35"/>
  <c r="BW169" i="35"/>
  <c r="CB183" i="35"/>
  <c r="BJ183" i="35"/>
  <c r="CC183" i="35"/>
  <c r="BK183" i="35"/>
  <c r="CD183" i="35"/>
  <c r="BL183" i="35"/>
  <c r="CE183" i="35"/>
  <c r="BM183" i="35"/>
  <c r="CF183" i="35"/>
  <c r="BN183" i="35"/>
  <c r="CG183" i="35"/>
  <c r="BO183" i="35"/>
  <c r="CH183" i="35"/>
  <c r="BP183" i="35"/>
  <c r="CI183" i="35"/>
  <c r="BQ183" i="35"/>
  <c r="CJ183" i="35"/>
  <c r="CK183" i="35"/>
  <c r="CL183" i="35"/>
  <c r="CM183" i="35"/>
  <c r="CN183" i="35"/>
  <c r="CO183" i="35"/>
  <c r="CB184" i="35"/>
  <c r="BJ184" i="35"/>
  <c r="CC184" i="35"/>
  <c r="BK184" i="35"/>
  <c r="CD184" i="35"/>
  <c r="BL184" i="35"/>
  <c r="CE184" i="35"/>
  <c r="BM184" i="35"/>
  <c r="CF184" i="35"/>
  <c r="BN184" i="35"/>
  <c r="CG184" i="35"/>
  <c r="BO184" i="35"/>
  <c r="CH184" i="35"/>
  <c r="BP184" i="35"/>
  <c r="CI184" i="35"/>
  <c r="BQ184" i="35"/>
  <c r="CB185" i="35"/>
  <c r="BJ185" i="35"/>
  <c r="CC185" i="35"/>
  <c r="BK185" i="35"/>
  <c r="CD185" i="35"/>
  <c r="BL185" i="35"/>
  <c r="CE185" i="35"/>
  <c r="BM185" i="35"/>
  <c r="CF185" i="35"/>
  <c r="BN185" i="35"/>
  <c r="CG185" i="35"/>
  <c r="BO185" i="35"/>
  <c r="CH185" i="35"/>
  <c r="BP185" i="35"/>
  <c r="CI185" i="35"/>
  <c r="BQ185" i="35"/>
  <c r="CB186" i="35"/>
  <c r="BJ186" i="35"/>
  <c r="CC186" i="35"/>
  <c r="BK186" i="35"/>
  <c r="CD186" i="35"/>
  <c r="BL186" i="35"/>
  <c r="CE186" i="35"/>
  <c r="BM186" i="35"/>
  <c r="CF186" i="35"/>
  <c r="BN186" i="35"/>
  <c r="CG186" i="35"/>
  <c r="BO186" i="35"/>
  <c r="CH186" i="35"/>
  <c r="BP186" i="35"/>
  <c r="CI186" i="35"/>
  <c r="BQ186" i="35"/>
  <c r="CB187" i="35"/>
  <c r="BJ187" i="35"/>
  <c r="CC187" i="35"/>
  <c r="BK187" i="35"/>
  <c r="CD187" i="35"/>
  <c r="BL187" i="35"/>
  <c r="CE187" i="35"/>
  <c r="BM187" i="35"/>
  <c r="CF187" i="35"/>
  <c r="BN187" i="35"/>
  <c r="CG187" i="35"/>
  <c r="BO187" i="35"/>
  <c r="CH187" i="35"/>
  <c r="BP187" i="35"/>
  <c r="CI187" i="35"/>
  <c r="BQ187" i="35"/>
  <c r="CB188" i="35"/>
  <c r="BJ188" i="35"/>
  <c r="CC188" i="35"/>
  <c r="BK188" i="35"/>
  <c r="CD188" i="35"/>
  <c r="BL188" i="35"/>
  <c r="CE188" i="35"/>
  <c r="BM188" i="35"/>
  <c r="CF188" i="35"/>
  <c r="BN188" i="35"/>
  <c r="CG188" i="35"/>
  <c r="BO188" i="35"/>
  <c r="CH188" i="35"/>
  <c r="BP188" i="35"/>
  <c r="CI188" i="35"/>
  <c r="BQ188" i="35"/>
  <c r="CB189" i="35"/>
  <c r="BJ189" i="35"/>
  <c r="CC189" i="35"/>
  <c r="BK189" i="35"/>
  <c r="CD189" i="35"/>
  <c r="BL189" i="35"/>
  <c r="CE189" i="35"/>
  <c r="BM189" i="35"/>
  <c r="CF189" i="35"/>
  <c r="BN189" i="35"/>
  <c r="CG189" i="35"/>
  <c r="BO189" i="35"/>
  <c r="CH189" i="35"/>
  <c r="BP189" i="35"/>
  <c r="CI189" i="35"/>
  <c r="BQ189" i="35"/>
  <c r="CB190" i="35"/>
  <c r="BJ190" i="35"/>
  <c r="CC190" i="35"/>
  <c r="BK190" i="35"/>
  <c r="CD190" i="35"/>
  <c r="BL190" i="35"/>
  <c r="CE190" i="35"/>
  <c r="BM190" i="35"/>
  <c r="CF190" i="35"/>
  <c r="BN190" i="35"/>
  <c r="CG190" i="35"/>
  <c r="BO190" i="35"/>
  <c r="CH190" i="35"/>
  <c r="BP190" i="35"/>
  <c r="CI190" i="35"/>
  <c r="BQ190" i="35"/>
  <c r="CJ190" i="35"/>
  <c r="CK190" i="35"/>
  <c r="CL190" i="35"/>
  <c r="CM190" i="35"/>
  <c r="CN190" i="35"/>
  <c r="CO190" i="35"/>
  <c r="CB191" i="35"/>
  <c r="BJ191" i="35"/>
  <c r="CC191" i="35"/>
  <c r="BK191" i="35"/>
  <c r="CD191" i="35"/>
  <c r="BL191" i="35"/>
  <c r="CE191" i="35"/>
  <c r="BM191" i="35"/>
  <c r="CF191" i="35"/>
  <c r="BN191" i="35"/>
  <c r="CG191" i="35"/>
  <c r="BO191" i="35"/>
  <c r="CH191" i="35"/>
  <c r="BP191" i="35"/>
  <c r="CI191" i="35"/>
  <c r="BQ191" i="35"/>
  <c r="CB192" i="35"/>
  <c r="BJ192" i="35"/>
  <c r="CC192" i="35"/>
  <c r="BK192" i="35"/>
  <c r="CD192" i="35"/>
  <c r="BL192" i="35"/>
  <c r="CE192" i="35"/>
  <c r="BM192" i="35"/>
  <c r="CF192" i="35"/>
  <c r="BN192" i="35"/>
  <c r="CG192" i="35"/>
  <c r="BO192" i="35"/>
  <c r="CH192" i="35"/>
  <c r="BP192" i="35"/>
  <c r="CI192" i="35"/>
  <c r="BQ192" i="35"/>
  <c r="CB193" i="35"/>
  <c r="BJ193" i="35"/>
  <c r="CC193" i="35"/>
  <c r="BK193" i="35"/>
  <c r="CD193" i="35"/>
  <c r="BL193" i="35"/>
  <c r="CE193" i="35"/>
  <c r="BM193" i="35"/>
  <c r="CF193" i="35"/>
  <c r="BN193" i="35"/>
  <c r="CG193" i="35"/>
  <c r="BO193" i="35"/>
  <c r="CH193" i="35"/>
  <c r="BP193" i="35"/>
  <c r="CI193" i="35"/>
  <c r="BQ193" i="35"/>
  <c r="CB194" i="35"/>
  <c r="BJ194" i="35"/>
  <c r="CC194" i="35"/>
  <c r="BK194" i="35"/>
  <c r="CD194" i="35"/>
  <c r="BL194" i="35"/>
  <c r="CE194" i="35"/>
  <c r="BM194" i="35"/>
  <c r="CF194" i="35"/>
  <c r="BN194" i="35"/>
  <c r="CG194" i="35"/>
  <c r="BO194" i="35"/>
  <c r="CH194" i="35"/>
  <c r="BP194" i="35"/>
  <c r="CI194" i="35"/>
  <c r="BQ194" i="35"/>
  <c r="CB195" i="35"/>
  <c r="BJ195" i="35"/>
  <c r="CC195" i="35"/>
  <c r="BK195" i="35"/>
  <c r="CD195" i="35"/>
  <c r="BL195" i="35"/>
  <c r="CE195" i="35"/>
  <c r="BM195" i="35"/>
  <c r="CF195" i="35"/>
  <c r="BN195" i="35"/>
  <c r="CG195" i="35"/>
  <c r="BO195" i="35"/>
  <c r="CH195" i="35"/>
  <c r="BP195" i="35"/>
  <c r="CI195" i="35"/>
  <c r="BQ195" i="35"/>
  <c r="CB196" i="35"/>
  <c r="BJ196" i="35"/>
  <c r="CC196" i="35"/>
  <c r="BK196" i="35"/>
  <c r="CD196" i="35"/>
  <c r="BL196" i="35"/>
  <c r="CE196" i="35"/>
  <c r="BM196" i="35"/>
  <c r="CF196" i="35"/>
  <c r="BN196" i="35"/>
  <c r="CG196" i="35"/>
  <c r="BO196" i="35"/>
  <c r="CH196" i="35"/>
  <c r="BP196" i="35"/>
  <c r="CI196" i="35"/>
  <c r="BQ196" i="35"/>
  <c r="CB197" i="35"/>
  <c r="BJ197" i="35"/>
  <c r="CC197" i="35"/>
  <c r="BK197" i="35"/>
  <c r="CD197" i="35"/>
  <c r="BL197" i="35"/>
  <c r="CE197" i="35"/>
  <c r="BM197" i="35"/>
  <c r="CF197" i="35"/>
  <c r="BN197" i="35"/>
  <c r="CG197" i="35"/>
  <c r="BO197" i="35"/>
  <c r="CH197" i="35"/>
  <c r="BP197" i="35"/>
  <c r="CI197" i="35"/>
  <c r="BQ197" i="35"/>
  <c r="CJ197" i="35"/>
  <c r="CK197" i="35"/>
  <c r="CL197" i="35"/>
  <c r="CM197" i="35"/>
  <c r="CN197" i="35"/>
  <c r="CO197" i="35"/>
  <c r="CB198" i="35"/>
  <c r="BJ198" i="35"/>
  <c r="CC198" i="35"/>
  <c r="BK198" i="35"/>
  <c r="CD198" i="35"/>
  <c r="BL198" i="35"/>
  <c r="CE198" i="35"/>
  <c r="BM198" i="35"/>
  <c r="CF198" i="35"/>
  <c r="BN198" i="35"/>
  <c r="CG198" i="35"/>
  <c r="BO198" i="35"/>
  <c r="CH198" i="35"/>
  <c r="BP198" i="35"/>
  <c r="CI198" i="35"/>
  <c r="BQ198" i="35"/>
  <c r="CB199" i="35"/>
  <c r="BJ199" i="35"/>
  <c r="CC199" i="35"/>
  <c r="BK199" i="35"/>
  <c r="CD199" i="35"/>
  <c r="BL199" i="35"/>
  <c r="CE199" i="35"/>
  <c r="BM199" i="35"/>
  <c r="CF199" i="35"/>
  <c r="BN199" i="35"/>
  <c r="CG199" i="35"/>
  <c r="BO199" i="35"/>
  <c r="CH199" i="35"/>
  <c r="BP199" i="35"/>
  <c r="CI199" i="35"/>
  <c r="BQ199" i="35"/>
  <c r="CB200" i="35"/>
  <c r="BJ200" i="35"/>
  <c r="CC200" i="35"/>
  <c r="BK200" i="35"/>
  <c r="CD200" i="35"/>
  <c r="BL200" i="35"/>
  <c r="CE200" i="35"/>
  <c r="BM200" i="35"/>
  <c r="CF200" i="35"/>
  <c r="BN200" i="35"/>
  <c r="CG200" i="35"/>
  <c r="BO200" i="35"/>
  <c r="CH200" i="35"/>
  <c r="BP200" i="35"/>
  <c r="CI200" i="35"/>
  <c r="BQ200" i="35"/>
  <c r="CB201" i="35"/>
  <c r="BJ201" i="35"/>
  <c r="CC201" i="35"/>
  <c r="BK201" i="35"/>
  <c r="CD201" i="35"/>
  <c r="BL201" i="35"/>
  <c r="CE201" i="35"/>
  <c r="BM201" i="35"/>
  <c r="CF201" i="35"/>
  <c r="BN201" i="35"/>
  <c r="CG201" i="35"/>
  <c r="BO201" i="35"/>
  <c r="CH201" i="35"/>
  <c r="BP201" i="35"/>
  <c r="CI201" i="35"/>
  <c r="BQ201" i="35"/>
  <c r="CB202" i="35"/>
  <c r="BJ202" i="35"/>
  <c r="CC202" i="35"/>
  <c r="BK202" i="35"/>
  <c r="CD202" i="35"/>
  <c r="BL202" i="35"/>
  <c r="CE202" i="35"/>
  <c r="BM202" i="35"/>
  <c r="CF202" i="35"/>
  <c r="BN202" i="35"/>
  <c r="CG202" i="35"/>
  <c r="BO202" i="35"/>
  <c r="CH202" i="35"/>
  <c r="BP202" i="35"/>
  <c r="CI202" i="35"/>
  <c r="BQ202" i="35"/>
  <c r="CB203" i="35"/>
  <c r="BJ203" i="35"/>
  <c r="CC203" i="35"/>
  <c r="BK203" i="35"/>
  <c r="CD203" i="35"/>
  <c r="BL203" i="35"/>
  <c r="CE203" i="35"/>
  <c r="BM203" i="35"/>
  <c r="CF203" i="35"/>
  <c r="BN203" i="35"/>
  <c r="CG203" i="35"/>
  <c r="BO203" i="35"/>
  <c r="CH203" i="35"/>
  <c r="BP203" i="35"/>
  <c r="CI203" i="35"/>
  <c r="BQ203" i="35"/>
  <c r="CB204" i="35"/>
  <c r="BJ204" i="35"/>
  <c r="CC204" i="35"/>
  <c r="BK204" i="35"/>
  <c r="CD204" i="35"/>
  <c r="BL204" i="35"/>
  <c r="CE204" i="35"/>
  <c r="BM204" i="35"/>
  <c r="CF204" i="35"/>
  <c r="BN204" i="35"/>
  <c r="CG204" i="35"/>
  <c r="BO204" i="35"/>
  <c r="CH204" i="35"/>
  <c r="BP204" i="35"/>
  <c r="CI204" i="35"/>
  <c r="BQ204" i="35"/>
  <c r="CJ204" i="35"/>
  <c r="CK204" i="35"/>
  <c r="CL204" i="35"/>
  <c r="CM204" i="35"/>
  <c r="CN204" i="35"/>
  <c r="CO204" i="35"/>
  <c r="CB205" i="35"/>
  <c r="BJ205" i="35"/>
  <c r="CC205" i="35"/>
  <c r="BK205" i="35"/>
  <c r="CD205" i="35"/>
  <c r="BL205" i="35"/>
  <c r="CE205" i="35"/>
  <c r="BM205" i="35"/>
  <c r="CF205" i="35"/>
  <c r="BN205" i="35"/>
  <c r="CG205" i="35"/>
  <c r="BO205" i="35"/>
  <c r="CH205" i="35"/>
  <c r="BP205" i="35"/>
  <c r="CI205" i="35"/>
  <c r="BQ205" i="35"/>
  <c r="CB206" i="35"/>
  <c r="BJ206" i="35"/>
  <c r="CC206" i="35"/>
  <c r="BK206" i="35"/>
  <c r="CD206" i="35"/>
  <c r="BL206" i="35"/>
  <c r="CE206" i="35"/>
  <c r="BM206" i="35"/>
  <c r="CF206" i="35"/>
  <c r="BN206" i="35"/>
  <c r="CG206" i="35"/>
  <c r="BO206" i="35"/>
  <c r="CH206" i="35"/>
  <c r="BP206" i="35"/>
  <c r="CI206" i="35"/>
  <c r="BQ206" i="35"/>
  <c r="CB207" i="35"/>
  <c r="BJ207" i="35"/>
  <c r="CC207" i="35"/>
  <c r="BK207" i="35"/>
  <c r="CD207" i="35"/>
  <c r="BL207" i="35"/>
  <c r="CE207" i="35"/>
  <c r="BM207" i="35"/>
  <c r="CF207" i="35"/>
  <c r="BN207" i="35"/>
  <c r="CG207" i="35"/>
  <c r="BO207" i="35"/>
  <c r="CH207" i="35"/>
  <c r="BP207" i="35"/>
  <c r="CI207" i="35"/>
  <c r="BQ207" i="35"/>
  <c r="CB208" i="35"/>
  <c r="BJ208" i="35"/>
  <c r="CC208" i="35"/>
  <c r="BK208" i="35"/>
  <c r="CD208" i="35"/>
  <c r="BL208" i="35"/>
  <c r="CE208" i="35"/>
  <c r="BM208" i="35"/>
  <c r="CF208" i="35"/>
  <c r="BN208" i="35"/>
  <c r="CG208" i="35"/>
  <c r="BO208" i="35"/>
  <c r="CH208" i="35"/>
  <c r="BP208" i="35"/>
  <c r="CI208" i="35"/>
  <c r="BQ208" i="35"/>
  <c r="CB209" i="35"/>
  <c r="BJ209" i="35"/>
  <c r="CC209" i="35"/>
  <c r="BK209" i="35"/>
  <c r="CD209" i="35"/>
  <c r="BL209" i="35"/>
  <c r="CE209" i="35"/>
  <c r="BM209" i="35"/>
  <c r="CF209" i="35"/>
  <c r="BN209" i="35"/>
  <c r="CG209" i="35"/>
  <c r="BO209" i="35"/>
  <c r="CH209" i="35"/>
  <c r="BP209" i="35"/>
  <c r="CI209" i="35"/>
  <c r="BQ209" i="35"/>
  <c r="CB210" i="35"/>
  <c r="BJ210" i="35"/>
  <c r="CC210" i="35"/>
  <c r="BK210" i="35"/>
  <c r="CD210" i="35"/>
  <c r="BL210" i="35"/>
  <c r="CE210" i="35"/>
  <c r="BM210" i="35"/>
  <c r="CF210" i="35"/>
  <c r="BN210" i="35"/>
  <c r="CG210" i="35"/>
  <c r="BO210" i="35"/>
  <c r="CH210" i="35"/>
  <c r="BP210" i="35"/>
  <c r="CI210" i="35"/>
  <c r="BQ210" i="35"/>
  <c r="CB211" i="35"/>
  <c r="BJ211" i="35"/>
  <c r="CC211" i="35"/>
  <c r="BK211" i="35"/>
  <c r="CD211" i="35"/>
  <c r="BL211" i="35"/>
  <c r="CE211" i="35"/>
  <c r="BM211" i="35"/>
  <c r="CF211" i="35"/>
  <c r="BN211" i="35"/>
  <c r="CG211" i="35"/>
  <c r="BO211" i="35"/>
  <c r="CH211" i="35"/>
  <c r="BP211" i="35"/>
  <c r="CI211" i="35"/>
  <c r="BQ211" i="35"/>
  <c r="CJ211" i="35"/>
  <c r="CK211" i="35"/>
  <c r="CL211" i="35"/>
  <c r="CM211" i="35"/>
  <c r="CN211" i="35"/>
  <c r="CO211" i="35"/>
  <c r="CB212" i="35"/>
  <c r="BJ212" i="35"/>
  <c r="CC212" i="35"/>
  <c r="BK212" i="35"/>
  <c r="CD212" i="35"/>
  <c r="BL212" i="35"/>
  <c r="CE212" i="35"/>
  <c r="BM212" i="35"/>
  <c r="CF212" i="35"/>
  <c r="BN212" i="35"/>
  <c r="CG212" i="35"/>
  <c r="BO212" i="35"/>
  <c r="CH212" i="35"/>
  <c r="BP212" i="35"/>
  <c r="CI212" i="35"/>
  <c r="BQ212" i="35"/>
  <c r="CB213" i="35"/>
  <c r="BJ213" i="35"/>
  <c r="CC213" i="35"/>
  <c r="BK213" i="35"/>
  <c r="CD213" i="35"/>
  <c r="BL213" i="35"/>
  <c r="CE213" i="35"/>
  <c r="BM213" i="35"/>
  <c r="CF213" i="35"/>
  <c r="BN213" i="35"/>
  <c r="CG213" i="35"/>
  <c r="BO213" i="35"/>
  <c r="CH213" i="35"/>
  <c r="BP213" i="35"/>
  <c r="CI213" i="35"/>
  <c r="BQ213" i="35"/>
  <c r="CB214" i="35"/>
  <c r="BJ214" i="35"/>
  <c r="CC214" i="35"/>
  <c r="BK214" i="35"/>
  <c r="CD214" i="35"/>
  <c r="BL214" i="35"/>
  <c r="CE214" i="35"/>
  <c r="BM214" i="35"/>
  <c r="CF214" i="35"/>
  <c r="BN214" i="35"/>
  <c r="CG214" i="35"/>
  <c r="BO214" i="35"/>
  <c r="CH214" i="35"/>
  <c r="BP214" i="35"/>
  <c r="CI214" i="35"/>
  <c r="BQ214" i="35"/>
  <c r="CB215" i="35"/>
  <c r="BJ215" i="35"/>
  <c r="CC215" i="35"/>
  <c r="BK215" i="35"/>
  <c r="CD215" i="35"/>
  <c r="BL215" i="35"/>
  <c r="CE215" i="35"/>
  <c r="BM215" i="35"/>
  <c r="CF215" i="35"/>
  <c r="BN215" i="35"/>
  <c r="CG215" i="35"/>
  <c r="BO215" i="35"/>
  <c r="CH215" i="35"/>
  <c r="BP215" i="35"/>
  <c r="CI215" i="35"/>
  <c r="BQ215" i="35"/>
  <c r="CB216" i="35"/>
  <c r="BJ216" i="35"/>
  <c r="CC216" i="35"/>
  <c r="BK216" i="35"/>
  <c r="CD216" i="35"/>
  <c r="BL216" i="35"/>
  <c r="CE216" i="35"/>
  <c r="BM216" i="35"/>
  <c r="CF216" i="35"/>
  <c r="BN216" i="35"/>
  <c r="CG216" i="35"/>
  <c r="BO216" i="35"/>
  <c r="CH216" i="35"/>
  <c r="BP216" i="35"/>
  <c r="CI216" i="35"/>
  <c r="BQ216" i="35"/>
  <c r="CB217" i="35"/>
  <c r="BJ217" i="35"/>
  <c r="CC217" i="35"/>
  <c r="BK217" i="35"/>
  <c r="CD217" i="35"/>
  <c r="BL217" i="35"/>
  <c r="CE217" i="35"/>
  <c r="BM217" i="35"/>
  <c r="CF217" i="35"/>
  <c r="BN217" i="35"/>
  <c r="CG217" i="35"/>
  <c r="BO217" i="35"/>
  <c r="CH217" i="35"/>
  <c r="BP217" i="35"/>
  <c r="CI217" i="35"/>
  <c r="BQ217" i="35"/>
  <c r="CB218" i="35"/>
  <c r="BJ218" i="35"/>
  <c r="CC218" i="35"/>
  <c r="BK218" i="35"/>
  <c r="CD218" i="35"/>
  <c r="BL218" i="35"/>
  <c r="CE218" i="35"/>
  <c r="BM218" i="35"/>
  <c r="CF218" i="35"/>
  <c r="BN218" i="35"/>
  <c r="CG218" i="35"/>
  <c r="BO218" i="35"/>
  <c r="CH218" i="35"/>
  <c r="BP218" i="35"/>
  <c r="CI218" i="35"/>
  <c r="BQ218" i="35"/>
  <c r="CJ218" i="35"/>
  <c r="CK218" i="35"/>
  <c r="CL218" i="35"/>
  <c r="CM218" i="35"/>
  <c r="CN218" i="35"/>
  <c r="CO218" i="35"/>
  <c r="CB219" i="35"/>
  <c r="BJ219" i="35"/>
  <c r="CC219" i="35"/>
  <c r="BK219" i="35"/>
  <c r="CD219" i="35"/>
  <c r="BL219" i="35"/>
  <c r="CE219" i="35"/>
  <c r="BM219" i="35"/>
  <c r="CF219" i="35"/>
  <c r="BN219" i="35"/>
  <c r="CG219" i="35"/>
  <c r="BO219" i="35"/>
  <c r="CH219" i="35"/>
  <c r="BP219" i="35"/>
  <c r="CI219" i="35"/>
  <c r="BQ219" i="35"/>
  <c r="CB220" i="35"/>
  <c r="BJ220" i="35"/>
  <c r="CC220" i="35"/>
  <c r="BK220" i="35"/>
  <c r="CD220" i="35"/>
  <c r="BL220" i="35"/>
  <c r="CE220" i="35"/>
  <c r="BM220" i="35"/>
  <c r="CF220" i="35"/>
  <c r="BN220" i="35"/>
  <c r="CG220" i="35"/>
  <c r="BO220" i="35"/>
  <c r="CH220" i="35"/>
  <c r="BP220" i="35"/>
  <c r="CI220" i="35"/>
  <c r="BQ220" i="35"/>
  <c r="CB221" i="35"/>
  <c r="BJ221" i="35"/>
  <c r="CC221" i="35"/>
  <c r="BK221" i="35"/>
  <c r="CD221" i="35"/>
  <c r="BL221" i="35"/>
  <c r="CE221" i="35"/>
  <c r="BM221" i="35"/>
  <c r="CF221" i="35"/>
  <c r="BN221" i="35"/>
  <c r="CG221" i="35"/>
  <c r="BO221" i="35"/>
  <c r="CH221" i="35"/>
  <c r="BP221" i="35"/>
  <c r="CI221" i="35"/>
  <c r="BQ221" i="35"/>
  <c r="CB222" i="35"/>
  <c r="BJ222" i="35"/>
  <c r="CC222" i="35"/>
  <c r="BK222" i="35"/>
  <c r="CD222" i="35"/>
  <c r="BL222" i="35"/>
  <c r="CE222" i="35"/>
  <c r="BM222" i="35"/>
  <c r="CF222" i="35"/>
  <c r="BN222" i="35"/>
  <c r="CG222" i="35"/>
  <c r="BO222" i="35"/>
  <c r="CH222" i="35"/>
  <c r="BP222" i="35"/>
  <c r="CI222" i="35"/>
  <c r="BQ222" i="35"/>
  <c r="CB223" i="35"/>
  <c r="BJ223" i="35"/>
  <c r="CC223" i="35"/>
  <c r="BK223" i="35"/>
  <c r="CD223" i="35"/>
  <c r="BL223" i="35"/>
  <c r="CE223" i="35"/>
  <c r="BM223" i="35"/>
  <c r="CF223" i="35"/>
  <c r="BN223" i="35"/>
  <c r="CG223" i="35"/>
  <c r="BO223" i="35"/>
  <c r="CH223" i="35"/>
  <c r="BP223" i="35"/>
  <c r="CI223" i="35"/>
  <c r="BQ223" i="35"/>
  <c r="CB224" i="35"/>
  <c r="BJ224" i="35"/>
  <c r="CC224" i="35"/>
  <c r="BK224" i="35"/>
  <c r="CD224" i="35"/>
  <c r="BL224" i="35"/>
  <c r="CE224" i="35"/>
  <c r="BM224" i="35"/>
  <c r="CF224" i="35"/>
  <c r="BN224" i="35"/>
  <c r="CG224" i="35"/>
  <c r="BO224" i="35"/>
  <c r="CH224" i="35"/>
  <c r="BP224" i="35"/>
  <c r="CI224" i="35"/>
  <c r="BQ224" i="35"/>
  <c r="CB225" i="35"/>
  <c r="BJ225" i="35"/>
  <c r="CC225" i="35"/>
  <c r="BK225" i="35"/>
  <c r="CD225" i="35"/>
  <c r="BL225" i="35"/>
  <c r="CE225" i="35"/>
  <c r="BM225" i="35"/>
  <c r="CF225" i="35"/>
  <c r="BN225" i="35"/>
  <c r="CG225" i="35"/>
  <c r="BO225" i="35"/>
  <c r="CH225" i="35"/>
  <c r="BP225" i="35"/>
  <c r="CI225" i="35"/>
  <c r="BQ225" i="35"/>
  <c r="CJ225" i="35"/>
  <c r="CK225" i="35"/>
  <c r="CL225" i="35"/>
  <c r="CM225" i="35"/>
  <c r="CN225" i="35"/>
  <c r="CO225" i="35"/>
  <c r="CB226" i="35"/>
  <c r="BJ226" i="35"/>
  <c r="CC226" i="35"/>
  <c r="BK226" i="35"/>
  <c r="CD226" i="35"/>
  <c r="BL226" i="35"/>
  <c r="CE226" i="35"/>
  <c r="BM226" i="35"/>
  <c r="CF226" i="35"/>
  <c r="BN226" i="35"/>
  <c r="CG226" i="35"/>
  <c r="BO226" i="35"/>
  <c r="CH226" i="35"/>
  <c r="BP226" i="35"/>
  <c r="CI226" i="35"/>
  <c r="BQ226" i="35"/>
  <c r="CB227" i="35"/>
  <c r="BJ227" i="35"/>
  <c r="CC227" i="35"/>
  <c r="BK227" i="35"/>
  <c r="CD227" i="35"/>
  <c r="BL227" i="35"/>
  <c r="CE227" i="35"/>
  <c r="BM227" i="35"/>
  <c r="CF227" i="35"/>
  <c r="BN227" i="35"/>
  <c r="CG227" i="35"/>
  <c r="BO227" i="35"/>
  <c r="CH227" i="35"/>
  <c r="BP227" i="35"/>
  <c r="CI227" i="35"/>
  <c r="BQ227" i="35"/>
  <c r="CB228" i="35"/>
  <c r="BJ228" i="35"/>
  <c r="CC228" i="35"/>
  <c r="BK228" i="35"/>
  <c r="CD228" i="35"/>
  <c r="BL228" i="35"/>
  <c r="CE228" i="35"/>
  <c r="BM228" i="35"/>
  <c r="CF228" i="35"/>
  <c r="BN228" i="35"/>
  <c r="CG228" i="35"/>
  <c r="BO228" i="35"/>
  <c r="CH228" i="35"/>
  <c r="BP228" i="35"/>
  <c r="CI228" i="35"/>
  <c r="BQ228" i="35"/>
  <c r="CB229" i="35"/>
  <c r="BJ229" i="35"/>
  <c r="CC229" i="35"/>
  <c r="BK229" i="35"/>
  <c r="CD229" i="35"/>
  <c r="BL229" i="35"/>
  <c r="CE229" i="35"/>
  <c r="BM229" i="35"/>
  <c r="CF229" i="35"/>
  <c r="BN229" i="35"/>
  <c r="CG229" i="35"/>
  <c r="BO229" i="35"/>
  <c r="CH229" i="35"/>
  <c r="BP229" i="35"/>
  <c r="CI229" i="35"/>
  <c r="BQ229" i="35"/>
  <c r="CB230" i="35"/>
  <c r="BJ230" i="35"/>
  <c r="CC230" i="35"/>
  <c r="BK230" i="35"/>
  <c r="CD230" i="35"/>
  <c r="BL230" i="35"/>
  <c r="CE230" i="35"/>
  <c r="BM230" i="35"/>
  <c r="CF230" i="35"/>
  <c r="BN230" i="35"/>
  <c r="CG230" i="35"/>
  <c r="BO230" i="35"/>
  <c r="CH230" i="35"/>
  <c r="BP230" i="35"/>
  <c r="CI230" i="35"/>
  <c r="BQ230" i="35"/>
  <c r="CB231" i="35"/>
  <c r="BJ231" i="35"/>
  <c r="CC231" i="35"/>
  <c r="BK231" i="35"/>
  <c r="CD231" i="35"/>
  <c r="BL231" i="35"/>
  <c r="CE231" i="35"/>
  <c r="BM231" i="35"/>
  <c r="CF231" i="35"/>
  <c r="BN231" i="35"/>
  <c r="CG231" i="35"/>
  <c r="BO231" i="35"/>
  <c r="CH231" i="35"/>
  <c r="BP231" i="35"/>
  <c r="CI231" i="35"/>
  <c r="BQ231" i="35"/>
  <c r="CB232" i="35"/>
  <c r="BJ232" i="35"/>
  <c r="CC232" i="35"/>
  <c r="BK232" i="35"/>
  <c r="CD232" i="35"/>
  <c r="BL232" i="35"/>
  <c r="CE232" i="35"/>
  <c r="BM232" i="35"/>
  <c r="CF232" i="35"/>
  <c r="BN232" i="35"/>
  <c r="CG232" i="35"/>
  <c r="BO232" i="35"/>
  <c r="CH232" i="35"/>
  <c r="BP232" i="35"/>
  <c r="CI232" i="35"/>
  <c r="BQ232" i="35"/>
  <c r="CJ232" i="35"/>
  <c r="CK232" i="35"/>
  <c r="CL232" i="35"/>
  <c r="CM232" i="35"/>
  <c r="CN232" i="35"/>
  <c r="CO232" i="35"/>
  <c r="CB233" i="35"/>
  <c r="BJ233" i="35"/>
  <c r="CC233" i="35"/>
  <c r="BK233" i="35"/>
  <c r="CD233" i="35"/>
  <c r="BL233" i="35"/>
  <c r="CE233" i="35"/>
  <c r="BM233" i="35"/>
  <c r="CF233" i="35"/>
  <c r="BN233" i="35"/>
  <c r="CG233" i="35"/>
  <c r="BO233" i="35"/>
  <c r="CH233" i="35"/>
  <c r="BP233" i="35"/>
  <c r="CI233" i="35"/>
  <c r="BQ233" i="35"/>
  <c r="CB234" i="35"/>
  <c r="BJ234" i="35"/>
  <c r="CC234" i="35"/>
  <c r="BK234" i="35"/>
  <c r="CD234" i="35"/>
  <c r="BL234" i="35"/>
  <c r="CE234" i="35"/>
  <c r="BM234" i="35"/>
  <c r="CF234" i="35"/>
  <c r="BN234" i="35"/>
  <c r="CG234" i="35"/>
  <c r="BO234" i="35"/>
  <c r="CH234" i="35"/>
  <c r="BP234" i="35"/>
  <c r="CI234" i="35"/>
  <c r="BQ234" i="35"/>
  <c r="CB235" i="35"/>
  <c r="BJ235" i="35"/>
  <c r="CC235" i="35"/>
  <c r="BK235" i="35"/>
  <c r="CD235" i="35"/>
  <c r="BL235" i="35"/>
  <c r="CE235" i="35"/>
  <c r="BM235" i="35"/>
  <c r="CF235" i="35"/>
  <c r="BN235" i="35"/>
  <c r="CG235" i="35"/>
  <c r="BO235" i="35"/>
  <c r="CH235" i="35"/>
  <c r="BP235" i="35"/>
  <c r="CI235" i="35"/>
  <c r="BQ235" i="35"/>
  <c r="CB236" i="35"/>
  <c r="BJ236" i="35"/>
  <c r="CC236" i="35"/>
  <c r="BK236" i="35"/>
  <c r="CD236" i="35"/>
  <c r="BL236" i="35"/>
  <c r="CE236" i="35"/>
  <c r="BM236" i="35"/>
  <c r="CF236" i="35"/>
  <c r="BN236" i="35"/>
  <c r="CG236" i="35"/>
  <c r="BO236" i="35"/>
  <c r="CH236" i="35"/>
  <c r="BP236" i="35"/>
  <c r="CI236" i="35"/>
  <c r="BQ236" i="35"/>
  <c r="CB237" i="35"/>
  <c r="BJ237" i="35"/>
  <c r="CC237" i="35"/>
  <c r="BK237" i="35"/>
  <c r="CD237" i="35"/>
  <c r="BL237" i="35"/>
  <c r="CE237" i="35"/>
  <c r="BM237" i="35"/>
  <c r="CF237" i="35"/>
  <c r="BN237" i="35"/>
  <c r="CG237" i="35"/>
  <c r="BO237" i="35"/>
  <c r="CH237" i="35"/>
  <c r="BP237" i="35"/>
  <c r="CI237" i="35"/>
  <c r="BQ237" i="35"/>
  <c r="CB238" i="35"/>
  <c r="BJ238" i="35"/>
  <c r="CC238" i="35"/>
  <c r="BK238" i="35"/>
  <c r="CD238" i="35"/>
  <c r="BL238" i="35"/>
  <c r="CE238" i="35"/>
  <c r="BM238" i="35"/>
  <c r="CF238" i="35"/>
  <c r="BN238" i="35"/>
  <c r="CG238" i="35"/>
  <c r="BO238" i="35"/>
  <c r="CH238" i="35"/>
  <c r="BP238" i="35"/>
  <c r="CI238" i="35"/>
  <c r="BQ238" i="35"/>
  <c r="CB239" i="35"/>
  <c r="BJ239" i="35"/>
  <c r="CC239" i="35"/>
  <c r="BK239" i="35"/>
  <c r="CD239" i="35"/>
  <c r="BL239" i="35"/>
  <c r="CE239" i="35"/>
  <c r="BM239" i="35"/>
  <c r="CF239" i="35"/>
  <c r="BN239" i="35"/>
  <c r="CG239" i="35"/>
  <c r="BO239" i="35"/>
  <c r="CH239" i="35"/>
  <c r="BP239" i="35"/>
  <c r="CI239" i="35"/>
  <c r="BQ239" i="35"/>
  <c r="CJ239" i="35"/>
  <c r="CK239" i="35"/>
  <c r="CL239" i="35"/>
  <c r="CM239" i="35"/>
  <c r="CN239" i="35"/>
  <c r="CO239" i="35"/>
  <c r="CB240" i="35"/>
  <c r="BJ240" i="35"/>
  <c r="CC240" i="35"/>
  <c r="BK240" i="35"/>
  <c r="CD240" i="35"/>
  <c r="BL240" i="35"/>
  <c r="CE240" i="35"/>
  <c r="BM240" i="35"/>
  <c r="CF240" i="35"/>
  <c r="BN240" i="35"/>
  <c r="CG240" i="35"/>
  <c r="BO240" i="35"/>
  <c r="CH240" i="35"/>
  <c r="BP240" i="35"/>
  <c r="CI240" i="35"/>
  <c r="BQ240" i="35"/>
  <c r="CB241" i="35"/>
  <c r="BJ241" i="35"/>
  <c r="CC241" i="35"/>
  <c r="BK241" i="35"/>
  <c r="CD241" i="35"/>
  <c r="BL241" i="35"/>
  <c r="CE241" i="35"/>
  <c r="BM241" i="35"/>
  <c r="CF241" i="35"/>
  <c r="BN241" i="35"/>
  <c r="CG241" i="35"/>
  <c r="BO241" i="35"/>
  <c r="CH241" i="35"/>
  <c r="BP241" i="35"/>
  <c r="CI241" i="35"/>
  <c r="BQ241" i="35"/>
  <c r="CB242" i="35"/>
  <c r="BJ242" i="35"/>
  <c r="CC242" i="35"/>
  <c r="BK242" i="35"/>
  <c r="CD242" i="35"/>
  <c r="BL242" i="35"/>
  <c r="CE242" i="35"/>
  <c r="BM242" i="35"/>
  <c r="CF242" i="35"/>
  <c r="BN242" i="35"/>
  <c r="CG242" i="35"/>
  <c r="BO242" i="35"/>
  <c r="CH242" i="35"/>
  <c r="BP242" i="35"/>
  <c r="CI242" i="35"/>
  <c r="BQ242" i="35"/>
  <c r="CB243" i="35"/>
  <c r="BJ243" i="35"/>
  <c r="CC243" i="35"/>
  <c r="BK243" i="35"/>
  <c r="CD243" i="35"/>
  <c r="BL243" i="35"/>
  <c r="CE243" i="35"/>
  <c r="BM243" i="35"/>
  <c r="CF243" i="35"/>
  <c r="BN243" i="35"/>
  <c r="CG243" i="35"/>
  <c r="BO243" i="35"/>
  <c r="CH243" i="35"/>
  <c r="BP243" i="35"/>
  <c r="CI243" i="35"/>
  <c r="BQ243" i="35"/>
  <c r="CB244" i="35"/>
  <c r="BJ244" i="35"/>
  <c r="CC244" i="35"/>
  <c r="BK244" i="35"/>
  <c r="CD244" i="35"/>
  <c r="BL244" i="35"/>
  <c r="CE244" i="35"/>
  <c r="BM244" i="35"/>
  <c r="CF244" i="35"/>
  <c r="BN244" i="35"/>
  <c r="CG244" i="35"/>
  <c r="BO244" i="35"/>
  <c r="CH244" i="35"/>
  <c r="BP244" i="35"/>
  <c r="CI244" i="35"/>
  <c r="BQ244" i="35"/>
  <c r="CB245" i="35"/>
  <c r="BJ245" i="35"/>
  <c r="CC245" i="35"/>
  <c r="BK245" i="35"/>
  <c r="CD245" i="35"/>
  <c r="BL245" i="35"/>
  <c r="CE245" i="35"/>
  <c r="BM245" i="35"/>
  <c r="CF245" i="35"/>
  <c r="BN245" i="35"/>
  <c r="CG245" i="35"/>
  <c r="BO245" i="35"/>
  <c r="CH245" i="35"/>
  <c r="BP245" i="35"/>
  <c r="CI245" i="35"/>
  <c r="BQ245" i="35"/>
  <c r="CB246" i="35"/>
  <c r="BJ246" i="35"/>
  <c r="CC246" i="35"/>
  <c r="BK246" i="35"/>
  <c r="CD246" i="35"/>
  <c r="BL246" i="35"/>
  <c r="CE246" i="35"/>
  <c r="BM246" i="35"/>
  <c r="CF246" i="35"/>
  <c r="BN246" i="35"/>
  <c r="CG246" i="35"/>
  <c r="BO246" i="35"/>
  <c r="CH246" i="35"/>
  <c r="BP246" i="35"/>
  <c r="CI246" i="35"/>
  <c r="BQ246" i="35"/>
  <c r="CJ246" i="35"/>
  <c r="CK246" i="35"/>
  <c r="CL246" i="35"/>
  <c r="CM246" i="35"/>
  <c r="CN246" i="35"/>
  <c r="CO246" i="35"/>
  <c r="CB247" i="35"/>
  <c r="BJ247" i="35"/>
  <c r="CC247" i="35"/>
  <c r="BK247" i="35"/>
  <c r="CD247" i="35"/>
  <c r="BL247" i="35"/>
  <c r="CE247" i="35"/>
  <c r="BM247" i="35"/>
  <c r="CF247" i="35"/>
  <c r="BN247" i="35"/>
  <c r="CG247" i="35"/>
  <c r="BO247" i="35"/>
  <c r="CH247" i="35"/>
  <c r="BP247" i="35"/>
  <c r="CI247" i="35"/>
  <c r="BQ247" i="35"/>
  <c r="CB248" i="35"/>
  <c r="BJ248" i="35"/>
  <c r="CC248" i="35"/>
  <c r="BK248" i="35"/>
  <c r="CD248" i="35"/>
  <c r="BL248" i="35"/>
  <c r="CE248" i="35"/>
  <c r="BM248" i="35"/>
  <c r="CF248" i="35"/>
  <c r="BN248" i="35"/>
  <c r="CG248" i="35"/>
  <c r="BO248" i="35"/>
  <c r="CH248" i="35"/>
  <c r="BP248" i="35"/>
  <c r="CI248" i="35"/>
  <c r="BQ248" i="35"/>
  <c r="CB249" i="35"/>
  <c r="BJ249" i="35"/>
  <c r="CC249" i="35"/>
  <c r="BK249" i="35"/>
  <c r="CD249" i="35"/>
  <c r="BL249" i="35"/>
  <c r="CE249" i="35"/>
  <c r="BM249" i="35"/>
  <c r="CF249" i="35"/>
  <c r="BN249" i="35"/>
  <c r="CG249" i="35"/>
  <c r="BO249" i="35"/>
  <c r="CH249" i="35"/>
  <c r="BP249" i="35"/>
  <c r="CI249" i="35"/>
  <c r="BQ249" i="35"/>
  <c r="CB250" i="35"/>
  <c r="BJ250" i="35"/>
  <c r="CC250" i="35"/>
  <c r="BK250" i="35"/>
  <c r="CD250" i="35"/>
  <c r="BL250" i="35"/>
  <c r="CE250" i="35"/>
  <c r="BM250" i="35"/>
  <c r="CF250" i="35"/>
  <c r="BN250" i="35"/>
  <c r="CG250" i="35"/>
  <c r="BO250" i="35"/>
  <c r="CH250" i="35"/>
  <c r="BP250" i="35"/>
  <c r="CI250" i="35"/>
  <c r="BQ250" i="35"/>
  <c r="CB251" i="35"/>
  <c r="BJ251" i="35"/>
  <c r="CC251" i="35"/>
  <c r="BK251" i="35"/>
  <c r="CD251" i="35"/>
  <c r="BL251" i="35"/>
  <c r="CE251" i="35"/>
  <c r="BM251" i="35"/>
  <c r="CF251" i="35"/>
  <c r="BN251" i="35"/>
  <c r="CG251" i="35"/>
  <c r="BO251" i="35"/>
  <c r="CH251" i="35"/>
  <c r="BP251" i="35"/>
  <c r="CI251" i="35"/>
  <c r="BQ251" i="35"/>
  <c r="CB252" i="35"/>
  <c r="BJ252" i="35"/>
  <c r="CC252" i="35"/>
  <c r="BK252" i="35"/>
  <c r="CD252" i="35"/>
  <c r="BL252" i="35"/>
  <c r="CE252" i="35"/>
  <c r="BM252" i="35"/>
  <c r="CF252" i="35"/>
  <c r="BN252" i="35"/>
  <c r="CG252" i="35"/>
  <c r="BO252" i="35"/>
  <c r="CH252" i="35"/>
  <c r="BP252" i="35"/>
  <c r="CI252" i="35"/>
  <c r="BQ252" i="35"/>
  <c r="CB253" i="35"/>
  <c r="BJ253" i="35"/>
  <c r="CC253" i="35"/>
  <c r="BK253" i="35"/>
  <c r="CD253" i="35"/>
  <c r="BL253" i="35"/>
  <c r="CE253" i="35"/>
  <c r="BM253" i="35"/>
  <c r="CF253" i="35"/>
  <c r="BN253" i="35"/>
  <c r="CG253" i="35"/>
  <c r="BO253" i="35"/>
  <c r="CH253" i="35"/>
  <c r="BP253" i="35"/>
  <c r="CI253" i="35"/>
  <c r="BQ253" i="35"/>
  <c r="CJ253" i="35"/>
  <c r="CK253" i="35"/>
  <c r="CL253" i="35"/>
  <c r="CM253" i="35"/>
  <c r="CN253" i="35"/>
  <c r="CO253" i="35"/>
  <c r="CB254" i="35"/>
  <c r="BJ254" i="35"/>
  <c r="CC254" i="35"/>
  <c r="BK254" i="35"/>
  <c r="CD254" i="35"/>
  <c r="BL254" i="35"/>
  <c r="CE254" i="35"/>
  <c r="BM254" i="35"/>
  <c r="CF254" i="35"/>
  <c r="BN254" i="35"/>
  <c r="CG254" i="35"/>
  <c r="BO254" i="35"/>
  <c r="CH254" i="35"/>
  <c r="BP254" i="35"/>
  <c r="CI254" i="35"/>
  <c r="BQ254" i="35"/>
  <c r="CB255" i="35"/>
  <c r="BJ255" i="35"/>
  <c r="CC255" i="35"/>
  <c r="BK255" i="35"/>
  <c r="CD255" i="35"/>
  <c r="BL255" i="35"/>
  <c r="CE255" i="35"/>
  <c r="BM255" i="35"/>
  <c r="CF255" i="35"/>
  <c r="BN255" i="35"/>
  <c r="CG255" i="35"/>
  <c r="BO255" i="35"/>
  <c r="CH255" i="35"/>
  <c r="BP255" i="35"/>
  <c r="CI255" i="35"/>
  <c r="BQ255" i="35"/>
  <c r="CB256" i="35"/>
  <c r="BJ256" i="35"/>
  <c r="CC256" i="35"/>
  <c r="BK256" i="35"/>
  <c r="CD256" i="35"/>
  <c r="BL256" i="35"/>
  <c r="CE256" i="35"/>
  <c r="BM256" i="35"/>
  <c r="CF256" i="35"/>
  <c r="BN256" i="35"/>
  <c r="CG256" i="35"/>
  <c r="BO256" i="35"/>
  <c r="CH256" i="35"/>
  <c r="BP256" i="35"/>
  <c r="CI256" i="35"/>
  <c r="BQ256" i="35"/>
  <c r="CB257" i="35"/>
  <c r="BJ257" i="35"/>
  <c r="CC257" i="35"/>
  <c r="BK257" i="35"/>
  <c r="CD257" i="35"/>
  <c r="BL257" i="35"/>
  <c r="CE257" i="35"/>
  <c r="BM257" i="35"/>
  <c r="CF257" i="35"/>
  <c r="BN257" i="35"/>
  <c r="CG257" i="35"/>
  <c r="BO257" i="35"/>
  <c r="CH257" i="35"/>
  <c r="BP257" i="35"/>
  <c r="CI257" i="35"/>
  <c r="BQ257" i="35"/>
  <c r="CB258" i="35"/>
  <c r="BJ258" i="35"/>
  <c r="CC258" i="35"/>
  <c r="BK258" i="35"/>
  <c r="CD258" i="35"/>
  <c r="BL258" i="35"/>
  <c r="CE258" i="35"/>
  <c r="BM258" i="35"/>
  <c r="CF258" i="35"/>
  <c r="BN258" i="35"/>
  <c r="CG258" i="35"/>
  <c r="BO258" i="35"/>
  <c r="CH258" i="35"/>
  <c r="BP258" i="35"/>
  <c r="CI258" i="35"/>
  <c r="BQ258" i="35"/>
  <c r="CB259" i="35"/>
  <c r="BJ259" i="35"/>
  <c r="CC259" i="35"/>
  <c r="BK259" i="35"/>
  <c r="CD259" i="35"/>
  <c r="BL259" i="35"/>
  <c r="CE259" i="35"/>
  <c r="BM259" i="35"/>
  <c r="CF259" i="35"/>
  <c r="BN259" i="35"/>
  <c r="CG259" i="35"/>
  <c r="BO259" i="35"/>
  <c r="CH259" i="35"/>
  <c r="BP259" i="35"/>
  <c r="CI259" i="35"/>
  <c r="BQ259" i="35"/>
  <c r="CB260" i="35"/>
  <c r="BJ260" i="35"/>
  <c r="CC260" i="35"/>
  <c r="BK260" i="35"/>
  <c r="CD260" i="35"/>
  <c r="BL260" i="35"/>
  <c r="CE260" i="35"/>
  <c r="BM260" i="35"/>
  <c r="CF260" i="35"/>
  <c r="BN260" i="35"/>
  <c r="CG260" i="35"/>
  <c r="BO260" i="35"/>
  <c r="CH260" i="35"/>
  <c r="BP260" i="35"/>
  <c r="CI260" i="35"/>
  <c r="BQ260" i="35"/>
  <c r="CJ260" i="35"/>
  <c r="CK260" i="35"/>
  <c r="CL260" i="35"/>
  <c r="CM260" i="35"/>
  <c r="CN260" i="35"/>
  <c r="CO260" i="35"/>
  <c r="CB261" i="35"/>
  <c r="BJ261" i="35"/>
  <c r="CC261" i="35"/>
  <c r="BK261" i="35"/>
  <c r="CD261" i="35"/>
  <c r="BL261" i="35"/>
  <c r="CE261" i="35"/>
  <c r="BM261" i="35"/>
  <c r="CF261" i="35"/>
  <c r="BN261" i="35"/>
  <c r="CG261" i="35"/>
  <c r="BO261" i="35"/>
  <c r="CH261" i="35"/>
  <c r="BP261" i="35"/>
  <c r="CI261" i="35"/>
  <c r="BQ261" i="35"/>
  <c r="CB262" i="35"/>
  <c r="BJ262" i="35"/>
  <c r="CC262" i="35"/>
  <c r="BK262" i="35"/>
  <c r="CD262" i="35"/>
  <c r="BL262" i="35"/>
  <c r="CE262" i="35"/>
  <c r="BM262" i="35"/>
  <c r="CF262" i="35"/>
  <c r="BN262" i="35"/>
  <c r="CG262" i="35"/>
  <c r="BO262" i="35"/>
  <c r="CH262" i="35"/>
  <c r="BP262" i="35"/>
  <c r="CI262" i="35"/>
  <c r="BQ262" i="35"/>
  <c r="CB263" i="35"/>
  <c r="BJ263" i="35"/>
  <c r="CC263" i="35"/>
  <c r="BK263" i="35"/>
  <c r="CD263" i="35"/>
  <c r="BL263" i="35"/>
  <c r="CE263" i="35"/>
  <c r="BM263" i="35"/>
  <c r="CF263" i="35"/>
  <c r="BN263" i="35"/>
  <c r="CG263" i="35"/>
  <c r="BO263" i="35"/>
  <c r="CH263" i="35"/>
  <c r="BP263" i="35"/>
  <c r="CI263" i="35"/>
  <c r="BQ263" i="35"/>
  <c r="CB264" i="35"/>
  <c r="BJ264" i="35"/>
  <c r="CC264" i="35"/>
  <c r="BK264" i="35"/>
  <c r="CD264" i="35"/>
  <c r="BL264" i="35"/>
  <c r="CE264" i="35"/>
  <c r="BM264" i="35"/>
  <c r="CF264" i="35"/>
  <c r="BN264" i="35"/>
  <c r="CG264" i="35"/>
  <c r="BO264" i="35"/>
  <c r="CH264" i="35"/>
  <c r="BP264" i="35"/>
  <c r="CI264" i="35"/>
  <c r="BQ264" i="35"/>
  <c r="CB265" i="35"/>
  <c r="BJ265" i="35"/>
  <c r="CC265" i="35"/>
  <c r="BK265" i="35"/>
  <c r="CD265" i="35"/>
  <c r="BL265" i="35"/>
  <c r="CE265" i="35"/>
  <c r="BM265" i="35"/>
  <c r="CF265" i="35"/>
  <c r="BN265" i="35"/>
  <c r="CG265" i="35"/>
  <c r="BO265" i="35"/>
  <c r="CH265" i="35"/>
  <c r="BP265" i="35"/>
  <c r="CI265" i="35"/>
  <c r="BQ265" i="35"/>
  <c r="CB266" i="35"/>
  <c r="BJ266" i="35"/>
  <c r="CC266" i="35"/>
  <c r="BK266" i="35"/>
  <c r="CD266" i="35"/>
  <c r="BL266" i="35"/>
  <c r="CE266" i="35"/>
  <c r="BM266" i="35"/>
  <c r="CF266" i="35"/>
  <c r="BN266" i="35"/>
  <c r="CG266" i="35"/>
  <c r="BO266" i="35"/>
  <c r="CH266" i="35"/>
  <c r="BP266" i="35"/>
  <c r="CI266" i="35"/>
  <c r="BQ266" i="35"/>
  <c r="CB267" i="35"/>
  <c r="BJ267" i="35"/>
  <c r="CC267" i="35"/>
  <c r="BK267" i="35"/>
  <c r="CD267" i="35"/>
  <c r="BL267" i="35"/>
  <c r="CE267" i="35"/>
  <c r="BM267" i="35"/>
  <c r="CF267" i="35"/>
  <c r="BN267" i="35"/>
  <c r="CG267" i="35"/>
  <c r="BO267" i="35"/>
  <c r="CH267" i="35"/>
  <c r="BP267" i="35"/>
  <c r="CI267" i="35"/>
  <c r="BQ267" i="35"/>
  <c r="CJ267" i="35"/>
  <c r="CK267" i="35"/>
  <c r="CL267" i="35"/>
  <c r="CM267" i="35"/>
  <c r="CN267" i="35"/>
  <c r="CO267" i="35"/>
  <c r="CB268" i="35"/>
  <c r="BJ268" i="35"/>
  <c r="CC268" i="35"/>
  <c r="BK268" i="35"/>
  <c r="CD268" i="35"/>
  <c r="BL268" i="35"/>
  <c r="CE268" i="35"/>
  <c r="BM268" i="35"/>
  <c r="CF268" i="35"/>
  <c r="BN268" i="35"/>
  <c r="CG268" i="35"/>
  <c r="BO268" i="35"/>
  <c r="CH268" i="35"/>
  <c r="BP268" i="35"/>
  <c r="CI268" i="35"/>
  <c r="BQ268" i="35"/>
  <c r="CB269" i="35"/>
  <c r="BJ269" i="35"/>
  <c r="CC269" i="35"/>
  <c r="BK269" i="35"/>
  <c r="CD269" i="35"/>
  <c r="BL269" i="35"/>
  <c r="CE269" i="35"/>
  <c r="BM269" i="35"/>
  <c r="CF269" i="35"/>
  <c r="BN269" i="35"/>
  <c r="CG269" i="35"/>
  <c r="BO269" i="35"/>
  <c r="CH269" i="35"/>
  <c r="BP269" i="35"/>
  <c r="CI269" i="35"/>
  <c r="BQ269" i="35"/>
  <c r="CB270" i="35"/>
  <c r="BJ270" i="35"/>
  <c r="CC270" i="35"/>
  <c r="BK270" i="35"/>
  <c r="CD270" i="35"/>
  <c r="BL270" i="35"/>
  <c r="CE270" i="35"/>
  <c r="BM270" i="35"/>
  <c r="CF270" i="35"/>
  <c r="BN270" i="35"/>
  <c r="CG270" i="35"/>
  <c r="BO270" i="35"/>
  <c r="CH270" i="35"/>
  <c r="BP270" i="35"/>
  <c r="CI270" i="35"/>
  <c r="BQ270" i="35"/>
  <c r="CB271" i="35"/>
  <c r="BJ271" i="35"/>
  <c r="CC271" i="35"/>
  <c r="BK271" i="35"/>
  <c r="CD271" i="35"/>
  <c r="BL271" i="35"/>
  <c r="CE271" i="35"/>
  <c r="BM271" i="35"/>
  <c r="CF271" i="35"/>
  <c r="BN271" i="35"/>
  <c r="CG271" i="35"/>
  <c r="BO271" i="35"/>
  <c r="CH271" i="35"/>
  <c r="BP271" i="35"/>
  <c r="CI271" i="35"/>
  <c r="BQ271" i="35"/>
  <c r="CB272" i="35"/>
  <c r="BJ272" i="35"/>
  <c r="CC272" i="35"/>
  <c r="BK272" i="35"/>
  <c r="CD272" i="35"/>
  <c r="BL272" i="35"/>
  <c r="CE272" i="35"/>
  <c r="BM272" i="35"/>
  <c r="CF272" i="35"/>
  <c r="BN272" i="35"/>
  <c r="CG272" i="35"/>
  <c r="BO272" i="35"/>
  <c r="CH272" i="35"/>
  <c r="BP272" i="35"/>
  <c r="CI272" i="35"/>
  <c r="BQ272" i="35"/>
  <c r="CB273" i="35"/>
  <c r="BJ273" i="35"/>
  <c r="CC273" i="35"/>
  <c r="BK273" i="35"/>
  <c r="CD273" i="35"/>
  <c r="BL273" i="35"/>
  <c r="CE273" i="35"/>
  <c r="BM273" i="35"/>
  <c r="CF273" i="35"/>
  <c r="BN273" i="35"/>
  <c r="CG273" i="35"/>
  <c r="BO273" i="35"/>
  <c r="CH273" i="35"/>
  <c r="BP273" i="35"/>
  <c r="CI273" i="35"/>
  <c r="BQ273" i="35"/>
  <c r="CB274" i="35"/>
  <c r="BJ274" i="35"/>
  <c r="CC274" i="35"/>
  <c r="BK274" i="35"/>
  <c r="CD274" i="35"/>
  <c r="BL274" i="35"/>
  <c r="CE274" i="35"/>
  <c r="BM274" i="35"/>
  <c r="CF274" i="35"/>
  <c r="BN274" i="35"/>
  <c r="CG274" i="35"/>
  <c r="BO274" i="35"/>
  <c r="CH274" i="35"/>
  <c r="BP274" i="35"/>
  <c r="CI274" i="35"/>
  <c r="BQ274" i="35"/>
  <c r="CJ274" i="35"/>
  <c r="CK274" i="35"/>
  <c r="CL274" i="35"/>
  <c r="CM274" i="35"/>
  <c r="CN274" i="35"/>
  <c r="CO274" i="35"/>
  <c r="CB275" i="35"/>
  <c r="BJ275" i="35"/>
  <c r="CC275" i="35"/>
  <c r="BK275" i="35"/>
  <c r="CD275" i="35"/>
  <c r="BL275" i="35"/>
  <c r="CE275" i="35"/>
  <c r="BM275" i="35"/>
  <c r="CF275" i="35"/>
  <c r="BN275" i="35"/>
  <c r="CG275" i="35"/>
  <c r="BO275" i="35"/>
  <c r="CH275" i="35"/>
  <c r="BP275" i="35"/>
  <c r="CI275" i="35"/>
  <c r="BQ275" i="35"/>
  <c r="CB276" i="35"/>
  <c r="BJ276" i="35"/>
  <c r="CC276" i="35"/>
  <c r="BK276" i="35"/>
  <c r="CD276" i="35"/>
  <c r="BL276" i="35"/>
  <c r="CE276" i="35"/>
  <c r="BM276" i="35"/>
  <c r="CF276" i="35"/>
  <c r="BN276" i="35"/>
  <c r="CG276" i="35"/>
  <c r="BO276" i="35"/>
  <c r="CH276" i="35"/>
  <c r="BP276" i="35"/>
  <c r="CI276" i="35"/>
  <c r="BQ276" i="35"/>
  <c r="CB277" i="35"/>
  <c r="BJ277" i="35"/>
  <c r="CC277" i="35"/>
  <c r="BK277" i="35"/>
  <c r="CD277" i="35"/>
  <c r="BL277" i="35"/>
  <c r="CE277" i="35"/>
  <c r="BM277" i="35"/>
  <c r="CF277" i="35"/>
  <c r="BN277" i="35"/>
  <c r="CG277" i="35"/>
  <c r="BO277" i="35"/>
  <c r="CH277" i="35"/>
  <c r="BP277" i="35"/>
  <c r="CI277" i="35"/>
  <c r="BQ277" i="35"/>
  <c r="CB278" i="35"/>
  <c r="BJ278" i="35"/>
  <c r="CC278" i="35"/>
  <c r="BK278" i="35"/>
  <c r="CD278" i="35"/>
  <c r="BL278" i="35"/>
  <c r="CE278" i="35"/>
  <c r="BM278" i="35"/>
  <c r="CF278" i="35"/>
  <c r="BN278" i="35"/>
  <c r="CG278" i="35"/>
  <c r="BO278" i="35"/>
  <c r="CH278" i="35"/>
  <c r="BP278" i="35"/>
  <c r="CI278" i="35"/>
  <c r="BQ278" i="35"/>
  <c r="CB279" i="35"/>
  <c r="BJ279" i="35"/>
  <c r="CC279" i="35"/>
  <c r="BK279" i="35"/>
  <c r="CD279" i="35"/>
  <c r="BL279" i="35"/>
  <c r="CE279" i="35"/>
  <c r="BM279" i="35"/>
  <c r="CF279" i="35"/>
  <c r="BN279" i="35"/>
  <c r="CG279" i="35"/>
  <c r="BO279" i="35"/>
  <c r="CH279" i="35"/>
  <c r="BP279" i="35"/>
  <c r="CI279" i="35"/>
  <c r="BQ279" i="35"/>
  <c r="CB280" i="35"/>
  <c r="BJ280" i="35"/>
  <c r="CC280" i="35"/>
  <c r="BK280" i="35"/>
  <c r="CD280" i="35"/>
  <c r="BL280" i="35"/>
  <c r="CE280" i="35"/>
  <c r="BM280" i="35"/>
  <c r="CF280" i="35"/>
  <c r="BN280" i="35"/>
  <c r="CG280" i="35"/>
  <c r="BO280" i="35"/>
  <c r="CH280" i="35"/>
  <c r="BP280" i="35"/>
  <c r="CI280" i="35"/>
  <c r="BQ280" i="35"/>
  <c r="CB281" i="35"/>
  <c r="BJ281" i="35"/>
  <c r="CC281" i="35"/>
  <c r="BK281" i="35"/>
  <c r="CD281" i="35"/>
  <c r="BL281" i="35"/>
  <c r="CE281" i="35"/>
  <c r="BM281" i="35"/>
  <c r="CF281" i="35"/>
  <c r="BN281" i="35"/>
  <c r="CG281" i="35"/>
  <c r="BO281" i="35"/>
  <c r="CH281" i="35"/>
  <c r="BP281" i="35"/>
  <c r="CI281" i="35"/>
  <c r="BQ281" i="35"/>
  <c r="CJ281" i="35"/>
  <c r="CK281" i="35"/>
  <c r="CL281" i="35"/>
  <c r="CM281" i="35"/>
  <c r="CN281" i="35"/>
  <c r="CO281" i="35"/>
  <c r="CB282" i="35"/>
  <c r="BJ282" i="35"/>
  <c r="CC282" i="35"/>
  <c r="BK282" i="35"/>
  <c r="CD282" i="35"/>
  <c r="BL282" i="35"/>
  <c r="CE282" i="35"/>
  <c r="BM282" i="35"/>
  <c r="CF282" i="35"/>
  <c r="BN282" i="35"/>
  <c r="CG282" i="35"/>
  <c r="BO282" i="35"/>
  <c r="CH282" i="35"/>
  <c r="BP282" i="35"/>
  <c r="CI282" i="35"/>
  <c r="BQ282" i="35"/>
  <c r="CB283" i="35"/>
  <c r="BJ283" i="35"/>
  <c r="CC283" i="35"/>
  <c r="BK283" i="35"/>
  <c r="CD283" i="35"/>
  <c r="BL283" i="35"/>
  <c r="CE283" i="35"/>
  <c r="BM283" i="35"/>
  <c r="CF283" i="35"/>
  <c r="BN283" i="35"/>
  <c r="CG283" i="35"/>
  <c r="BO283" i="35"/>
  <c r="CH283" i="35"/>
  <c r="BP283" i="35"/>
  <c r="CI283" i="35"/>
  <c r="BQ283" i="35"/>
  <c r="CB284" i="35"/>
  <c r="BJ284" i="35"/>
  <c r="CC284" i="35"/>
  <c r="BK284" i="35"/>
  <c r="CD284" i="35"/>
  <c r="BL284" i="35"/>
  <c r="CE284" i="35"/>
  <c r="BM284" i="35"/>
  <c r="CF284" i="35"/>
  <c r="BN284" i="35"/>
  <c r="CG284" i="35"/>
  <c r="BO284" i="35"/>
  <c r="CH284" i="35"/>
  <c r="BP284" i="35"/>
  <c r="CI284" i="35"/>
  <c r="BQ284" i="35"/>
  <c r="CB285" i="35"/>
  <c r="BJ285" i="35"/>
  <c r="CC285" i="35"/>
  <c r="BK285" i="35"/>
  <c r="CD285" i="35"/>
  <c r="BL285" i="35"/>
  <c r="CE285" i="35"/>
  <c r="BM285" i="35"/>
  <c r="CF285" i="35"/>
  <c r="BN285" i="35"/>
  <c r="CG285" i="35"/>
  <c r="BO285" i="35"/>
  <c r="CH285" i="35"/>
  <c r="BP285" i="35"/>
  <c r="CI285" i="35"/>
  <c r="BQ285" i="35"/>
  <c r="CB286" i="35"/>
  <c r="BJ286" i="35"/>
  <c r="CC286" i="35"/>
  <c r="BK286" i="35"/>
  <c r="CD286" i="35"/>
  <c r="BL286" i="35"/>
  <c r="CE286" i="35"/>
  <c r="BM286" i="35"/>
  <c r="CF286" i="35"/>
  <c r="BN286" i="35"/>
  <c r="CG286" i="35"/>
  <c r="BO286" i="35"/>
  <c r="CH286" i="35"/>
  <c r="BP286" i="35"/>
  <c r="CI286" i="35"/>
  <c r="BQ286" i="35"/>
  <c r="CB287" i="35"/>
  <c r="BJ287" i="35"/>
  <c r="CC287" i="35"/>
  <c r="BK287" i="35"/>
  <c r="CD287" i="35"/>
  <c r="BL287" i="35"/>
  <c r="CE287" i="35"/>
  <c r="BM287" i="35"/>
  <c r="CF287" i="35"/>
  <c r="BN287" i="35"/>
  <c r="CG287" i="35"/>
  <c r="BO287" i="35"/>
  <c r="CH287" i="35"/>
  <c r="BP287" i="35"/>
  <c r="CI287" i="35"/>
  <c r="BQ287" i="35"/>
  <c r="CB288" i="35"/>
  <c r="BJ288" i="35"/>
  <c r="CC288" i="35"/>
  <c r="BK288" i="35"/>
  <c r="CD288" i="35"/>
  <c r="BL288" i="35"/>
  <c r="CE288" i="35"/>
  <c r="BM288" i="35"/>
  <c r="CF288" i="35"/>
  <c r="BN288" i="35"/>
  <c r="CG288" i="35"/>
  <c r="BO288" i="35"/>
  <c r="CH288" i="35"/>
  <c r="BP288" i="35"/>
  <c r="CI288" i="35"/>
  <c r="BQ288" i="35"/>
  <c r="CJ288" i="35"/>
  <c r="CK288" i="35"/>
  <c r="CL288" i="35"/>
  <c r="CM288" i="35"/>
  <c r="CN288" i="35"/>
  <c r="CO288" i="35"/>
  <c r="CB289" i="35"/>
  <c r="BJ289" i="35"/>
  <c r="CC289" i="35"/>
  <c r="BK289" i="35"/>
  <c r="CD289" i="35"/>
  <c r="BL289" i="35"/>
  <c r="CE289" i="35"/>
  <c r="BM289" i="35"/>
  <c r="CF289" i="35"/>
  <c r="BN289" i="35"/>
  <c r="CG289" i="35"/>
  <c r="BO289" i="35"/>
  <c r="CH289" i="35"/>
  <c r="BP289" i="35"/>
  <c r="CI289" i="35"/>
  <c r="BQ289" i="35"/>
  <c r="CB290" i="35"/>
  <c r="BJ290" i="35"/>
  <c r="CC290" i="35"/>
  <c r="BK290" i="35"/>
  <c r="CD290" i="35"/>
  <c r="BL290" i="35"/>
  <c r="CE290" i="35"/>
  <c r="BM290" i="35"/>
  <c r="CF290" i="35"/>
  <c r="BN290" i="35"/>
  <c r="CG290" i="35"/>
  <c r="BO290" i="35"/>
  <c r="CH290" i="35"/>
  <c r="BP290" i="35"/>
  <c r="CI290" i="35"/>
  <c r="BQ290" i="35"/>
  <c r="CB291" i="35"/>
  <c r="BJ291" i="35"/>
  <c r="CC291" i="35"/>
  <c r="BK291" i="35"/>
  <c r="CD291" i="35"/>
  <c r="BL291" i="35"/>
  <c r="CE291" i="35"/>
  <c r="BM291" i="35"/>
  <c r="CF291" i="35"/>
  <c r="BN291" i="35"/>
  <c r="CG291" i="35"/>
  <c r="BO291" i="35"/>
  <c r="CH291" i="35"/>
  <c r="BP291" i="35"/>
  <c r="CI291" i="35"/>
  <c r="BQ291" i="35"/>
  <c r="CB292" i="35"/>
  <c r="BJ292" i="35"/>
  <c r="CC292" i="35"/>
  <c r="BK292" i="35"/>
  <c r="CD292" i="35"/>
  <c r="BL292" i="35"/>
  <c r="CE292" i="35"/>
  <c r="BM292" i="35"/>
  <c r="CF292" i="35"/>
  <c r="BN292" i="35"/>
  <c r="CG292" i="35"/>
  <c r="BO292" i="35"/>
  <c r="CH292" i="35"/>
  <c r="BP292" i="35"/>
  <c r="CI292" i="35"/>
  <c r="BQ292" i="35"/>
  <c r="CB293" i="35"/>
  <c r="BJ293" i="35"/>
  <c r="CC293" i="35"/>
  <c r="BK293" i="35"/>
  <c r="CD293" i="35"/>
  <c r="BL293" i="35"/>
  <c r="CE293" i="35"/>
  <c r="BM293" i="35"/>
  <c r="CF293" i="35"/>
  <c r="BN293" i="35"/>
  <c r="CG293" i="35"/>
  <c r="BO293" i="35"/>
  <c r="CH293" i="35"/>
  <c r="BP293" i="35"/>
  <c r="CI293" i="35"/>
  <c r="BQ293" i="35"/>
  <c r="CB294" i="35"/>
  <c r="BJ294" i="35"/>
  <c r="CC294" i="35"/>
  <c r="BK294" i="35"/>
  <c r="CD294" i="35"/>
  <c r="BL294" i="35"/>
  <c r="CE294" i="35"/>
  <c r="BM294" i="35"/>
  <c r="CF294" i="35"/>
  <c r="BN294" i="35"/>
  <c r="CG294" i="35"/>
  <c r="BO294" i="35"/>
  <c r="CH294" i="35"/>
  <c r="BP294" i="35"/>
  <c r="CI294" i="35"/>
  <c r="BQ294" i="35"/>
  <c r="CB295" i="35"/>
  <c r="BJ295" i="35"/>
  <c r="CC295" i="35"/>
  <c r="BK295" i="35"/>
  <c r="CD295" i="35"/>
  <c r="BL295" i="35"/>
  <c r="CE295" i="35"/>
  <c r="BM295" i="35"/>
  <c r="CF295" i="35"/>
  <c r="BN295" i="35"/>
  <c r="CG295" i="35"/>
  <c r="BO295" i="35"/>
  <c r="CH295" i="35"/>
  <c r="BP295" i="35"/>
  <c r="CI295" i="35"/>
  <c r="BQ295" i="35"/>
  <c r="CJ295" i="35"/>
  <c r="CK295" i="35"/>
  <c r="CL295" i="35"/>
  <c r="CM295" i="35"/>
  <c r="CN295" i="35"/>
  <c r="CO295" i="35"/>
  <c r="CB296" i="35"/>
  <c r="BJ296" i="35"/>
  <c r="CC296" i="35"/>
  <c r="BK296" i="35"/>
  <c r="CD296" i="35"/>
  <c r="BL296" i="35"/>
  <c r="CE296" i="35"/>
  <c r="BM296" i="35"/>
  <c r="CF296" i="35"/>
  <c r="BN296" i="35"/>
  <c r="CG296" i="35"/>
  <c r="BO296" i="35"/>
  <c r="CH296" i="35"/>
  <c r="BP296" i="35"/>
  <c r="CI296" i="35"/>
  <c r="BQ296" i="35"/>
  <c r="CB297" i="35"/>
  <c r="BJ297" i="35"/>
  <c r="CC297" i="35"/>
  <c r="BK297" i="35"/>
  <c r="CD297" i="35"/>
  <c r="BL297" i="35"/>
  <c r="CE297" i="35"/>
  <c r="BM297" i="35"/>
  <c r="CF297" i="35"/>
  <c r="BN297" i="35"/>
  <c r="CG297" i="35"/>
  <c r="BO297" i="35"/>
  <c r="CH297" i="35"/>
  <c r="BP297" i="35"/>
  <c r="CI297" i="35"/>
  <c r="BQ297" i="35"/>
  <c r="CB298" i="35"/>
  <c r="BJ298" i="35"/>
  <c r="CC298" i="35"/>
  <c r="BK298" i="35"/>
  <c r="CD298" i="35"/>
  <c r="BL298" i="35"/>
  <c r="CE298" i="35"/>
  <c r="BM298" i="35"/>
  <c r="CF298" i="35"/>
  <c r="BN298" i="35"/>
  <c r="CG298" i="35"/>
  <c r="BO298" i="35"/>
  <c r="CH298" i="35"/>
  <c r="BP298" i="35"/>
  <c r="CI298" i="35"/>
  <c r="BQ298" i="35"/>
  <c r="CB299" i="35"/>
  <c r="BJ299" i="35"/>
  <c r="CC299" i="35"/>
  <c r="BK299" i="35"/>
  <c r="CD299" i="35"/>
  <c r="BL299" i="35"/>
  <c r="CE299" i="35"/>
  <c r="BM299" i="35"/>
  <c r="CF299" i="35"/>
  <c r="BN299" i="35"/>
  <c r="CG299" i="35"/>
  <c r="BO299" i="35"/>
  <c r="CH299" i="35"/>
  <c r="BP299" i="35"/>
  <c r="CI299" i="35"/>
  <c r="BQ299" i="35"/>
  <c r="CB300" i="35"/>
  <c r="BJ300" i="35"/>
  <c r="CC300" i="35"/>
  <c r="BK300" i="35"/>
  <c r="CD300" i="35"/>
  <c r="BL300" i="35"/>
  <c r="CE300" i="35"/>
  <c r="BM300" i="35"/>
  <c r="CF300" i="35"/>
  <c r="BN300" i="35"/>
  <c r="CG300" i="35"/>
  <c r="BO300" i="35"/>
  <c r="CH300" i="35"/>
  <c r="BP300" i="35"/>
  <c r="CI300" i="35"/>
  <c r="BQ300" i="35"/>
  <c r="CB301" i="35"/>
  <c r="BJ301" i="35"/>
  <c r="CC301" i="35"/>
  <c r="BK301" i="35"/>
  <c r="CD301" i="35"/>
  <c r="BL301" i="35"/>
  <c r="CE301" i="35"/>
  <c r="BM301" i="35"/>
  <c r="CF301" i="35"/>
  <c r="BN301" i="35"/>
  <c r="CG301" i="35"/>
  <c r="BO301" i="35"/>
  <c r="CH301" i="35"/>
  <c r="BP301" i="35"/>
  <c r="CI301" i="35"/>
  <c r="BQ301" i="35"/>
  <c r="CB302" i="35"/>
  <c r="BJ302" i="35"/>
  <c r="CC302" i="35"/>
  <c r="BK302" i="35"/>
  <c r="CD302" i="35"/>
  <c r="BL302" i="35"/>
  <c r="CE302" i="35"/>
  <c r="BM302" i="35"/>
  <c r="CF302" i="35"/>
  <c r="BN302" i="35"/>
  <c r="CG302" i="35"/>
  <c r="BO302" i="35"/>
  <c r="CH302" i="35"/>
  <c r="BP302" i="35"/>
  <c r="CI302" i="35"/>
  <c r="BQ302" i="35"/>
  <c r="CJ302" i="35"/>
  <c r="CK302" i="35"/>
  <c r="CL302" i="35"/>
  <c r="CM302" i="35"/>
  <c r="CN302" i="35"/>
  <c r="CO302" i="35"/>
  <c r="CB304" i="35"/>
  <c r="BJ304" i="35" s="1"/>
  <c r="CC304" i="35"/>
  <c r="BK304" i="35" s="1"/>
  <c r="CD304" i="35"/>
  <c r="BL304" i="35" s="1"/>
  <c r="CE304" i="35"/>
  <c r="BM304" i="35" s="1"/>
  <c r="CF304" i="35"/>
  <c r="BN304" i="35" s="1"/>
  <c r="CG304" i="35"/>
  <c r="BO304" i="35" s="1"/>
  <c r="CH304" i="35"/>
  <c r="BP304" i="35" s="1"/>
  <c r="CI304" i="35"/>
  <c r="BQ304" i="35" s="1"/>
  <c r="CJ304" i="35"/>
  <c r="BR304" i="35" s="1"/>
  <c r="CK304" i="35"/>
  <c r="BS304" i="35" s="1"/>
  <c r="CL304" i="35"/>
  <c r="BT304" i="35" s="1"/>
  <c r="CM304" i="35"/>
  <c r="BU304" i="35" s="1"/>
  <c r="CN304" i="35"/>
  <c r="BV304" i="35" s="1"/>
  <c r="CO304" i="35"/>
  <c r="BW304" i="35" s="1"/>
  <c r="CL2" i="35"/>
  <c r="BT2" i="35"/>
  <c r="CM2" i="35"/>
  <c r="BU2" i="35"/>
  <c r="CN2" i="35"/>
  <c r="BV2" i="35"/>
  <c r="CO2" i="35"/>
  <c r="BW2" i="35"/>
  <c r="BJ2" i="35"/>
  <c r="CC2" i="35"/>
  <c r="BK2" i="35"/>
  <c r="CD2" i="35"/>
  <c r="BL2" i="35"/>
  <c r="CE2" i="35"/>
  <c r="BM2" i="35"/>
  <c r="CF2" i="35"/>
  <c r="BN2" i="35"/>
  <c r="CG2" i="35"/>
  <c r="BO2" i="35"/>
  <c r="CH2" i="35"/>
  <c r="BP2" i="35"/>
  <c r="CI2" i="35"/>
  <c r="BQ2" i="35"/>
  <c r="CJ2" i="35"/>
  <c r="BR2" i="35"/>
  <c r="CK2" i="35"/>
  <c r="BS2" i="35"/>
  <c r="CB2" i="35"/>
  <c r="BD247" i="35"/>
  <c r="BD268" i="35"/>
  <c r="H15" i="15" l="1"/>
  <c r="X159" i="35"/>
  <c r="CI159" i="35" s="1"/>
  <c r="X158" i="35"/>
  <c r="CI158" i="35" s="1"/>
  <c r="X157" i="35"/>
  <c r="CI157" i="35" s="1"/>
  <c r="X156" i="35"/>
  <c r="CI156" i="35" s="1"/>
  <c r="X149" i="35"/>
  <c r="CI149" i="35" s="1"/>
  <c r="X145" i="35"/>
  <c r="CI145" i="35" s="1"/>
  <c r="X141" i="35"/>
  <c r="CI141" i="35" s="1"/>
  <c r="X137" i="35"/>
  <c r="CI137" i="35" s="1"/>
  <c r="X133" i="35"/>
  <c r="CI133" i="35" s="1"/>
  <c r="X129" i="35"/>
  <c r="CI129" i="35" s="1"/>
  <c r="X124" i="35"/>
  <c r="CI124" i="35" s="1"/>
  <c r="X123" i="35"/>
  <c r="CI123" i="35" s="1"/>
  <c r="X117" i="35"/>
  <c r="CI117" i="35" s="1"/>
  <c r="X113" i="35"/>
  <c r="CI113" i="35" s="1"/>
  <c r="X108" i="35"/>
  <c r="CI108" i="35" s="1"/>
  <c r="X107" i="35"/>
  <c r="CI107" i="35" s="1"/>
  <c r="X106" i="35"/>
  <c r="CI106" i="35" s="1"/>
  <c r="X104" i="35"/>
  <c r="CI104" i="35" s="1"/>
  <c r="X95" i="35"/>
  <c r="CI95" i="35" s="1"/>
  <c r="X90" i="35"/>
  <c r="CI90" i="35" s="1"/>
  <c r="X88" i="35"/>
  <c r="CI88" i="35" s="1"/>
  <c r="X81" i="35"/>
  <c r="CI81" i="35" s="1"/>
  <c r="X30" i="35"/>
  <c r="CI30" i="35" s="1"/>
  <c r="X28" i="35"/>
  <c r="CI28" i="35" s="1"/>
  <c r="X26" i="35"/>
  <c r="CI26" i="35" s="1"/>
  <c r="X22" i="35"/>
  <c r="CI22" i="35" s="1"/>
  <c r="U172" i="35"/>
  <c r="G72" i="11" l="1"/>
  <c r="H72" i="11" s="1"/>
  <c r="I72" i="11" s="1"/>
  <c r="J72" i="11" s="1"/>
  <c r="K72" i="11" s="1"/>
  <c r="L72" i="11" s="1"/>
  <c r="M72" i="11" s="1"/>
  <c r="N72" i="11" s="1"/>
  <c r="O72" i="11" s="1"/>
  <c r="P72" i="11" s="1"/>
  <c r="Q72" i="11" s="1"/>
  <c r="R72" i="11" s="1"/>
  <c r="G73" i="11"/>
  <c r="H73" i="11" s="1"/>
  <c r="I73" i="11" s="1"/>
  <c r="J73" i="11" s="1"/>
  <c r="K73" i="11" s="1"/>
  <c r="L73" i="11" s="1"/>
  <c r="M73" i="11" s="1"/>
  <c r="N73" i="11" s="1"/>
  <c r="O73" i="11" s="1"/>
  <c r="P73" i="11" s="1"/>
  <c r="Q73" i="11" s="1"/>
  <c r="R73" i="11" s="1"/>
  <c r="G74" i="11"/>
  <c r="H74" i="11" s="1"/>
  <c r="I74" i="11" s="1"/>
  <c r="J74" i="11" s="1"/>
  <c r="K74" i="11" s="1"/>
  <c r="L74" i="11" s="1"/>
  <c r="M74" i="11" s="1"/>
  <c r="N74" i="11" s="1"/>
  <c r="O74" i="11" s="1"/>
  <c r="P74" i="11" s="1"/>
  <c r="Q74" i="11" s="1"/>
  <c r="R74" i="11" s="1"/>
  <c r="G75" i="11"/>
  <c r="H75" i="11" s="1"/>
  <c r="I75" i="11" s="1"/>
  <c r="J75" i="11" s="1"/>
  <c r="K75" i="11" s="1"/>
  <c r="L75" i="11" s="1"/>
  <c r="M75" i="11" s="1"/>
  <c r="N75" i="11" s="1"/>
  <c r="O75" i="11" s="1"/>
  <c r="P75" i="11" s="1"/>
  <c r="Q75" i="11" s="1"/>
  <c r="R75" i="11" s="1"/>
  <c r="G76" i="11"/>
  <c r="H76" i="11" s="1"/>
  <c r="I76" i="11" s="1"/>
  <c r="J76" i="11" s="1"/>
  <c r="K76" i="11" s="1"/>
  <c r="L76" i="11" s="1"/>
  <c r="M76" i="11" s="1"/>
  <c r="N76" i="11" s="1"/>
  <c r="O76" i="11" s="1"/>
  <c r="P76" i="11" s="1"/>
  <c r="Q76" i="11" s="1"/>
  <c r="R76" i="11" s="1"/>
  <c r="G77" i="11"/>
  <c r="H77" i="11" s="1"/>
  <c r="I77" i="11" s="1"/>
  <c r="J77" i="11" s="1"/>
  <c r="K77" i="11" s="1"/>
  <c r="L77" i="11" s="1"/>
  <c r="M77" i="11" s="1"/>
  <c r="N77" i="11" s="1"/>
  <c r="O77" i="11" s="1"/>
  <c r="P77" i="11" s="1"/>
  <c r="Q77" i="11" s="1"/>
  <c r="R77" i="11" s="1"/>
  <c r="G78" i="11"/>
  <c r="H78" i="11" s="1"/>
  <c r="I78" i="11" s="1"/>
  <c r="J78" i="11" s="1"/>
  <c r="K78" i="11" s="1"/>
  <c r="L78" i="11" s="1"/>
  <c r="M78" i="11" s="1"/>
  <c r="N78" i="11" s="1"/>
  <c r="O78" i="11" s="1"/>
  <c r="P78" i="11" s="1"/>
  <c r="Q78" i="11" s="1"/>
  <c r="R78" i="11" s="1"/>
  <c r="G79" i="11"/>
  <c r="H79" i="11" s="1"/>
  <c r="I79" i="11" s="1"/>
  <c r="J79" i="11" s="1"/>
  <c r="K79" i="11" s="1"/>
  <c r="L79" i="11" s="1"/>
  <c r="M79" i="11" s="1"/>
  <c r="N79" i="11" s="1"/>
  <c r="O79" i="11" s="1"/>
  <c r="P79" i="11" s="1"/>
  <c r="Q79" i="11" s="1"/>
  <c r="R79" i="11" s="1"/>
  <c r="G80" i="11"/>
  <c r="H80" i="11" s="1"/>
  <c r="I80" i="11" s="1"/>
  <c r="J80" i="11" s="1"/>
  <c r="K80" i="11" s="1"/>
  <c r="L80" i="11" s="1"/>
  <c r="M80" i="11" s="1"/>
  <c r="N80" i="11" s="1"/>
  <c r="O80" i="11" s="1"/>
  <c r="P80" i="11" s="1"/>
  <c r="Q80" i="11" s="1"/>
  <c r="R80" i="11" s="1"/>
  <c r="G81" i="11"/>
  <c r="H81" i="11" s="1"/>
  <c r="I81" i="11" s="1"/>
  <c r="J81" i="11" s="1"/>
  <c r="K81" i="11" s="1"/>
  <c r="L81" i="11" s="1"/>
  <c r="M81" i="11" s="1"/>
  <c r="N81" i="11" s="1"/>
  <c r="O81" i="11" s="1"/>
  <c r="P81" i="11" s="1"/>
  <c r="Q81" i="11" s="1"/>
  <c r="R81" i="11" s="1"/>
  <c r="G82" i="11"/>
  <c r="H82" i="11" s="1"/>
  <c r="I82" i="11" s="1"/>
  <c r="J82" i="11" s="1"/>
  <c r="K82" i="11" s="1"/>
  <c r="L82" i="11" s="1"/>
  <c r="M82" i="11" s="1"/>
  <c r="N82" i="11" s="1"/>
  <c r="O82" i="11" s="1"/>
  <c r="P82" i="11" s="1"/>
  <c r="Q82" i="11" s="1"/>
  <c r="R82" i="11" s="1"/>
  <c r="G83" i="11"/>
  <c r="H83" i="11" s="1"/>
  <c r="I83" i="11" s="1"/>
  <c r="J83" i="11" s="1"/>
  <c r="K83" i="11" s="1"/>
  <c r="L83" i="11" s="1"/>
  <c r="M83" i="11" s="1"/>
  <c r="N83" i="11" s="1"/>
  <c r="O83" i="11" s="1"/>
  <c r="P83" i="11" s="1"/>
  <c r="Q83" i="11" s="1"/>
  <c r="R83" i="11" s="1"/>
  <c r="G84" i="11"/>
  <c r="H84" i="11" s="1"/>
  <c r="I84" i="11" s="1"/>
  <c r="J84" i="11" s="1"/>
  <c r="K84" i="11" s="1"/>
  <c r="L84" i="11" s="1"/>
  <c r="M84" i="11" s="1"/>
  <c r="N84" i="11" s="1"/>
  <c r="O84" i="11" s="1"/>
  <c r="P84" i="11" s="1"/>
  <c r="Q84" i="11" s="1"/>
  <c r="R84" i="11" s="1"/>
  <c r="G85" i="11"/>
  <c r="H85" i="11" s="1"/>
  <c r="I85" i="11" s="1"/>
  <c r="J85" i="11" s="1"/>
  <c r="K85" i="11" s="1"/>
  <c r="L85" i="11" s="1"/>
  <c r="M85" i="11" s="1"/>
  <c r="N85" i="11" s="1"/>
  <c r="O85" i="11" s="1"/>
  <c r="P85" i="11" s="1"/>
  <c r="Q85" i="11" s="1"/>
  <c r="R85" i="11" s="1"/>
  <c r="G86" i="11"/>
  <c r="H86" i="11" s="1"/>
  <c r="I86" i="11" s="1"/>
  <c r="J86" i="11" s="1"/>
  <c r="K86" i="11" s="1"/>
  <c r="L86" i="11" s="1"/>
  <c r="M86" i="11" s="1"/>
  <c r="N86" i="11" s="1"/>
  <c r="O86" i="11" s="1"/>
  <c r="P86" i="11" s="1"/>
  <c r="Q86" i="11" s="1"/>
  <c r="R86" i="11" s="1"/>
  <c r="G87" i="11"/>
  <c r="H87" i="11" s="1"/>
  <c r="I87" i="11" s="1"/>
  <c r="J87" i="11" s="1"/>
  <c r="K87" i="11" s="1"/>
  <c r="L87" i="11" s="1"/>
  <c r="M87" i="11" s="1"/>
  <c r="N87" i="11" s="1"/>
  <c r="O87" i="11" s="1"/>
  <c r="P87" i="11" s="1"/>
  <c r="Q87" i="11" s="1"/>
  <c r="R87" i="11" s="1"/>
  <c r="G88" i="11"/>
  <c r="H88" i="11" s="1"/>
  <c r="I88" i="11" s="1"/>
  <c r="J88" i="11" s="1"/>
  <c r="K88" i="11" s="1"/>
  <c r="L88" i="11" s="1"/>
  <c r="M88" i="11" s="1"/>
  <c r="N88" i="11" s="1"/>
  <c r="O88" i="11" s="1"/>
  <c r="P88" i="11" s="1"/>
  <c r="Q88" i="11" s="1"/>
  <c r="R88" i="11" s="1"/>
  <c r="G89" i="11"/>
  <c r="H89" i="11" s="1"/>
  <c r="I89" i="11" s="1"/>
  <c r="J89" i="11" s="1"/>
  <c r="K89" i="11" s="1"/>
  <c r="L89" i="11" s="1"/>
  <c r="M89" i="11" s="1"/>
  <c r="N89" i="11" s="1"/>
  <c r="O89" i="11" s="1"/>
  <c r="P89" i="11" s="1"/>
  <c r="Q89" i="11" s="1"/>
  <c r="R89" i="11" s="1"/>
  <c r="G90" i="11"/>
  <c r="H90" i="11" s="1"/>
  <c r="I90" i="11" s="1"/>
  <c r="J90" i="11" s="1"/>
  <c r="K90" i="11" s="1"/>
  <c r="L90" i="11" s="1"/>
  <c r="M90" i="11" s="1"/>
  <c r="N90" i="11" s="1"/>
  <c r="O90" i="11" s="1"/>
  <c r="P90" i="11" s="1"/>
  <c r="Q90" i="11" s="1"/>
  <c r="R90" i="11" s="1"/>
  <c r="G91" i="11"/>
  <c r="H91" i="11" s="1"/>
  <c r="I91" i="11" s="1"/>
  <c r="J91" i="11" s="1"/>
  <c r="K91" i="11" s="1"/>
  <c r="L91" i="11" s="1"/>
  <c r="M91" i="11" s="1"/>
  <c r="N91" i="11" s="1"/>
  <c r="O91" i="11" s="1"/>
  <c r="P91" i="11" s="1"/>
  <c r="Q91" i="11" s="1"/>
  <c r="R91" i="11" s="1"/>
  <c r="G92" i="11"/>
  <c r="H92" i="11" s="1"/>
  <c r="I92" i="11" s="1"/>
  <c r="J92" i="11" s="1"/>
  <c r="K92" i="11" s="1"/>
  <c r="L92" i="11" s="1"/>
  <c r="M92" i="11" s="1"/>
  <c r="N92" i="11" s="1"/>
  <c r="O92" i="11" s="1"/>
  <c r="P92" i="11" s="1"/>
  <c r="Q92" i="11" s="1"/>
  <c r="R92" i="11" s="1"/>
  <c r="G93" i="11"/>
  <c r="H93" i="11" s="1"/>
  <c r="I93" i="11" s="1"/>
  <c r="J93" i="11" s="1"/>
  <c r="K93" i="11" s="1"/>
  <c r="L93" i="11" s="1"/>
  <c r="M93" i="11" s="1"/>
  <c r="N93" i="11" s="1"/>
  <c r="O93" i="11" s="1"/>
  <c r="P93" i="11" s="1"/>
  <c r="Q93" i="11" s="1"/>
  <c r="R93" i="11" s="1"/>
  <c r="G94" i="11"/>
  <c r="H94" i="11" s="1"/>
  <c r="I94" i="11" s="1"/>
  <c r="J94" i="11" s="1"/>
  <c r="K94" i="11" s="1"/>
  <c r="L94" i="11" s="1"/>
  <c r="M94" i="11" s="1"/>
  <c r="N94" i="11" s="1"/>
  <c r="O94" i="11" s="1"/>
  <c r="P94" i="11" s="1"/>
  <c r="Q94" i="11" s="1"/>
  <c r="R94" i="11" s="1"/>
  <c r="G95" i="11"/>
  <c r="H95" i="11" s="1"/>
  <c r="I95" i="11" s="1"/>
  <c r="J95" i="11" s="1"/>
  <c r="K95" i="11" s="1"/>
  <c r="L95" i="11" s="1"/>
  <c r="M95" i="11" s="1"/>
  <c r="N95" i="11" s="1"/>
  <c r="O95" i="11" s="1"/>
  <c r="P95" i="11" s="1"/>
  <c r="Q95" i="11" s="1"/>
  <c r="R95" i="11" s="1"/>
  <c r="G96" i="11"/>
  <c r="H96" i="11" s="1"/>
  <c r="I96" i="11" s="1"/>
  <c r="J96" i="11" s="1"/>
  <c r="K96" i="11" s="1"/>
  <c r="L96" i="11" s="1"/>
  <c r="M96" i="11" s="1"/>
  <c r="N96" i="11" s="1"/>
  <c r="O96" i="11" s="1"/>
  <c r="P96" i="11" s="1"/>
  <c r="Q96" i="11" s="1"/>
  <c r="R96" i="11" s="1"/>
  <c r="G97" i="11"/>
  <c r="H97" i="11" s="1"/>
  <c r="I97" i="11" s="1"/>
  <c r="J97" i="11" s="1"/>
  <c r="K97" i="11" s="1"/>
  <c r="L97" i="11" s="1"/>
  <c r="M97" i="11" s="1"/>
  <c r="N97" i="11" s="1"/>
  <c r="O97" i="11" s="1"/>
  <c r="P97" i="11" s="1"/>
  <c r="Q97" i="11" s="1"/>
  <c r="R97" i="11" s="1"/>
  <c r="G98" i="11"/>
  <c r="H98" i="11" s="1"/>
  <c r="I98" i="11" s="1"/>
  <c r="J98" i="11" s="1"/>
  <c r="K98" i="11" s="1"/>
  <c r="L98" i="11" s="1"/>
  <c r="M98" i="11" s="1"/>
  <c r="N98" i="11" s="1"/>
  <c r="O98" i="11" s="1"/>
  <c r="P98" i="11" s="1"/>
  <c r="Q98" i="11" s="1"/>
  <c r="R98" i="11" s="1"/>
  <c r="G99" i="11"/>
  <c r="H99" i="11" s="1"/>
  <c r="I99" i="11" s="1"/>
  <c r="J99" i="11" s="1"/>
  <c r="K99" i="11" s="1"/>
  <c r="L99" i="11" s="1"/>
  <c r="M99" i="11" s="1"/>
  <c r="N99" i="11" s="1"/>
  <c r="O99" i="11" s="1"/>
  <c r="P99" i="11" s="1"/>
  <c r="Q99" i="11" s="1"/>
  <c r="R99" i="11" s="1"/>
  <c r="G100" i="11"/>
  <c r="H100" i="11" s="1"/>
  <c r="I100" i="11" s="1"/>
  <c r="J100" i="11" s="1"/>
  <c r="K100" i="11" s="1"/>
  <c r="L100" i="11" s="1"/>
  <c r="M100" i="11" s="1"/>
  <c r="N100" i="11" s="1"/>
  <c r="O100" i="11" s="1"/>
  <c r="P100" i="11" s="1"/>
  <c r="Q100" i="11" s="1"/>
  <c r="R100" i="11" s="1"/>
  <c r="G101" i="11"/>
  <c r="H101" i="11" s="1"/>
  <c r="I101" i="11" s="1"/>
  <c r="J101" i="11" s="1"/>
  <c r="K101" i="11" s="1"/>
  <c r="L101" i="11" s="1"/>
  <c r="M101" i="11" s="1"/>
  <c r="N101" i="11" s="1"/>
  <c r="O101" i="11" s="1"/>
  <c r="P101" i="11" s="1"/>
  <c r="Q101" i="11" s="1"/>
  <c r="R101" i="11" s="1"/>
  <c r="G102" i="11"/>
  <c r="H102" i="11" s="1"/>
  <c r="I102" i="11" s="1"/>
  <c r="J102" i="11" s="1"/>
  <c r="K102" i="11" s="1"/>
  <c r="L102" i="11" s="1"/>
  <c r="M102" i="11" s="1"/>
  <c r="N102" i="11" s="1"/>
  <c r="O102" i="11" s="1"/>
  <c r="P102" i="11" s="1"/>
  <c r="Q102" i="11" s="1"/>
  <c r="R102" i="11" s="1"/>
  <c r="G103" i="11"/>
  <c r="H103" i="11" s="1"/>
  <c r="I103" i="11" s="1"/>
  <c r="J103" i="11" s="1"/>
  <c r="K103" i="11" s="1"/>
  <c r="L103" i="11" s="1"/>
  <c r="M103" i="11" s="1"/>
  <c r="N103" i="11" s="1"/>
  <c r="O103" i="11" s="1"/>
  <c r="P103" i="11" s="1"/>
  <c r="Q103" i="11" s="1"/>
  <c r="R103" i="11" s="1"/>
  <c r="G104" i="11"/>
  <c r="H104" i="11" s="1"/>
  <c r="I104" i="11" s="1"/>
  <c r="J104" i="11" s="1"/>
  <c r="K104" i="11" s="1"/>
  <c r="L104" i="11" s="1"/>
  <c r="M104" i="11" s="1"/>
  <c r="N104" i="11" s="1"/>
  <c r="O104" i="11" s="1"/>
  <c r="P104" i="11" s="1"/>
  <c r="Q104" i="11" s="1"/>
  <c r="R104" i="11" s="1"/>
  <c r="G105" i="11"/>
  <c r="H105" i="11" s="1"/>
  <c r="I105" i="11" s="1"/>
  <c r="J105" i="11" s="1"/>
  <c r="K105" i="11" s="1"/>
  <c r="L105" i="11" s="1"/>
  <c r="M105" i="11" s="1"/>
  <c r="N105" i="11" s="1"/>
  <c r="O105" i="11" s="1"/>
  <c r="P105" i="11" s="1"/>
  <c r="Q105" i="11" s="1"/>
  <c r="R105" i="11" s="1"/>
  <c r="G106" i="11"/>
  <c r="H106" i="11" s="1"/>
  <c r="I106" i="11" s="1"/>
  <c r="J106" i="11" s="1"/>
  <c r="K106" i="11" s="1"/>
  <c r="L106" i="11" s="1"/>
  <c r="M106" i="11" s="1"/>
  <c r="N106" i="11" s="1"/>
  <c r="O106" i="11" s="1"/>
  <c r="P106" i="11" s="1"/>
  <c r="Q106" i="11" s="1"/>
  <c r="R106" i="11" s="1"/>
  <c r="G107" i="11"/>
  <c r="H107" i="11" s="1"/>
  <c r="I107" i="11" s="1"/>
  <c r="J107" i="11" s="1"/>
  <c r="K107" i="11" s="1"/>
  <c r="L107" i="11" s="1"/>
  <c r="M107" i="11" s="1"/>
  <c r="N107" i="11" s="1"/>
  <c r="O107" i="11" s="1"/>
  <c r="P107" i="11" s="1"/>
  <c r="Q107" i="11" s="1"/>
  <c r="R107" i="11" s="1"/>
  <c r="G108" i="11"/>
  <c r="H108" i="11" s="1"/>
  <c r="I108" i="11" s="1"/>
  <c r="J108" i="11" s="1"/>
  <c r="K108" i="11" s="1"/>
  <c r="L108" i="11" s="1"/>
  <c r="M108" i="11" s="1"/>
  <c r="N108" i="11" s="1"/>
  <c r="O108" i="11" s="1"/>
  <c r="P108" i="11" s="1"/>
  <c r="Q108" i="11" s="1"/>
  <c r="R108" i="11" s="1"/>
  <c r="G109" i="11"/>
  <c r="H109" i="11" s="1"/>
  <c r="I109" i="11" s="1"/>
  <c r="J109" i="11" s="1"/>
  <c r="K109" i="11" s="1"/>
  <c r="L109" i="11" s="1"/>
  <c r="M109" i="11" s="1"/>
  <c r="N109" i="11" s="1"/>
  <c r="O109" i="11" s="1"/>
  <c r="P109" i="11" s="1"/>
  <c r="Q109" i="11" s="1"/>
  <c r="R109" i="11" s="1"/>
  <c r="G110" i="11"/>
  <c r="H110" i="11" s="1"/>
  <c r="I110" i="11" s="1"/>
  <c r="J110" i="11" s="1"/>
  <c r="K110" i="11" s="1"/>
  <c r="L110" i="11" s="1"/>
  <c r="M110" i="11" s="1"/>
  <c r="N110" i="11" s="1"/>
  <c r="O110" i="11" s="1"/>
  <c r="P110" i="11" s="1"/>
  <c r="Q110" i="11" s="1"/>
  <c r="R110" i="11" s="1"/>
  <c r="G111" i="11"/>
  <c r="H111" i="11" s="1"/>
  <c r="I111" i="11" s="1"/>
  <c r="J111" i="11" s="1"/>
  <c r="K111" i="11" s="1"/>
  <c r="L111" i="11" s="1"/>
  <c r="M111" i="11" s="1"/>
  <c r="N111" i="11" s="1"/>
  <c r="O111" i="11" s="1"/>
  <c r="P111" i="11" s="1"/>
  <c r="Q111" i="11" s="1"/>
  <c r="R111" i="11" s="1"/>
  <c r="G112" i="11"/>
  <c r="H112" i="11" s="1"/>
  <c r="I112" i="11" s="1"/>
  <c r="J112" i="11" s="1"/>
  <c r="K112" i="11" s="1"/>
  <c r="L112" i="11" s="1"/>
  <c r="M112" i="11" s="1"/>
  <c r="N112" i="11" s="1"/>
  <c r="O112" i="11" s="1"/>
  <c r="P112" i="11" s="1"/>
  <c r="Q112" i="11" s="1"/>
  <c r="R112" i="11" s="1"/>
  <c r="G113" i="11"/>
  <c r="H113" i="11" s="1"/>
  <c r="I113" i="11" s="1"/>
  <c r="J113" i="11" s="1"/>
  <c r="K113" i="11" s="1"/>
  <c r="L113" i="11" s="1"/>
  <c r="M113" i="11" s="1"/>
  <c r="N113" i="11" s="1"/>
  <c r="O113" i="11" s="1"/>
  <c r="P113" i="11" s="1"/>
  <c r="Q113" i="11" s="1"/>
  <c r="R113" i="11" s="1"/>
  <c r="G114" i="11"/>
  <c r="H114" i="11" s="1"/>
  <c r="I114" i="11" s="1"/>
  <c r="J114" i="11" s="1"/>
  <c r="K114" i="11" s="1"/>
  <c r="L114" i="11" s="1"/>
  <c r="M114" i="11" s="1"/>
  <c r="N114" i="11" s="1"/>
  <c r="O114" i="11" s="1"/>
  <c r="P114" i="11" s="1"/>
  <c r="Q114" i="11" s="1"/>
  <c r="R114" i="11" s="1"/>
  <c r="G115" i="11"/>
  <c r="H115" i="11" s="1"/>
  <c r="I115" i="11" s="1"/>
  <c r="J115" i="11" s="1"/>
  <c r="K115" i="11" s="1"/>
  <c r="L115" i="11" s="1"/>
  <c r="M115" i="11" s="1"/>
  <c r="N115" i="11" s="1"/>
  <c r="O115" i="11" s="1"/>
  <c r="P115" i="11" s="1"/>
  <c r="Q115" i="11" s="1"/>
  <c r="R115" i="11" s="1"/>
  <c r="G116" i="11"/>
  <c r="H116" i="11" s="1"/>
  <c r="I116" i="11" s="1"/>
  <c r="J116" i="11" s="1"/>
  <c r="K116" i="11" s="1"/>
  <c r="L116" i="11" s="1"/>
  <c r="M116" i="11" s="1"/>
  <c r="N116" i="11" s="1"/>
  <c r="O116" i="11" s="1"/>
  <c r="P116" i="11" s="1"/>
  <c r="Q116" i="11" s="1"/>
  <c r="R116" i="11" s="1"/>
  <c r="G117" i="11"/>
  <c r="H117" i="11" s="1"/>
  <c r="I117" i="11" s="1"/>
  <c r="J117" i="11" s="1"/>
  <c r="K117" i="11" s="1"/>
  <c r="L117" i="11" s="1"/>
  <c r="M117" i="11" s="1"/>
  <c r="N117" i="11" s="1"/>
  <c r="O117" i="11" s="1"/>
  <c r="P117" i="11" s="1"/>
  <c r="Q117" i="11" s="1"/>
  <c r="R117" i="11" s="1"/>
  <c r="G118" i="11"/>
  <c r="H118" i="11" s="1"/>
  <c r="I118" i="11" s="1"/>
  <c r="J118" i="11" s="1"/>
  <c r="K118" i="11" s="1"/>
  <c r="L118" i="11" s="1"/>
  <c r="M118" i="11" s="1"/>
  <c r="N118" i="11" s="1"/>
  <c r="O118" i="11" s="1"/>
  <c r="P118" i="11" s="1"/>
  <c r="Q118" i="11" s="1"/>
  <c r="R118" i="11" s="1"/>
  <c r="G119" i="11"/>
  <c r="H119" i="11" s="1"/>
  <c r="I119" i="11" s="1"/>
  <c r="J119" i="11" s="1"/>
  <c r="K119" i="11" s="1"/>
  <c r="L119" i="11" s="1"/>
  <c r="M119" i="11" s="1"/>
  <c r="N119" i="11" s="1"/>
  <c r="O119" i="11" s="1"/>
  <c r="P119" i="11" s="1"/>
  <c r="Q119" i="11" s="1"/>
  <c r="R119" i="11" s="1"/>
  <c r="G120" i="11"/>
  <c r="H120" i="11" s="1"/>
  <c r="I120" i="11" s="1"/>
  <c r="J120" i="11" s="1"/>
  <c r="K120" i="11" s="1"/>
  <c r="L120" i="11" s="1"/>
  <c r="M120" i="11" s="1"/>
  <c r="N120" i="11" s="1"/>
  <c r="O120" i="11" s="1"/>
  <c r="P120" i="11" s="1"/>
  <c r="Q120" i="11" s="1"/>
  <c r="R120" i="11" s="1"/>
  <c r="G121" i="11"/>
  <c r="H121" i="11" s="1"/>
  <c r="I121" i="11" s="1"/>
  <c r="J121" i="11" s="1"/>
  <c r="K121" i="11" s="1"/>
  <c r="L121" i="11" s="1"/>
  <c r="M121" i="11" s="1"/>
  <c r="N121" i="11" s="1"/>
  <c r="O121" i="11" s="1"/>
  <c r="P121" i="11" s="1"/>
  <c r="Q121" i="11" s="1"/>
  <c r="R121" i="11" s="1"/>
  <c r="G122" i="11"/>
  <c r="H122" i="11" s="1"/>
  <c r="I122" i="11" s="1"/>
  <c r="J122" i="11" s="1"/>
  <c r="K122" i="11" s="1"/>
  <c r="L122" i="11" s="1"/>
  <c r="M122" i="11" s="1"/>
  <c r="N122" i="11" s="1"/>
  <c r="O122" i="11" s="1"/>
  <c r="P122" i="11" s="1"/>
  <c r="Q122" i="11" s="1"/>
  <c r="R122" i="11" s="1"/>
  <c r="G123" i="11"/>
  <c r="H123" i="11" s="1"/>
  <c r="I123" i="11" s="1"/>
  <c r="J123" i="11" s="1"/>
  <c r="K123" i="11" s="1"/>
  <c r="L123" i="11" s="1"/>
  <c r="M123" i="11" s="1"/>
  <c r="N123" i="11" s="1"/>
  <c r="O123" i="11" s="1"/>
  <c r="P123" i="11" s="1"/>
  <c r="Q123" i="11" s="1"/>
  <c r="R123" i="11" s="1"/>
  <c r="G124" i="11"/>
  <c r="H124" i="11" s="1"/>
  <c r="I124" i="11" s="1"/>
  <c r="J124" i="11" s="1"/>
  <c r="K124" i="11" s="1"/>
  <c r="L124" i="11" s="1"/>
  <c r="M124" i="11" s="1"/>
  <c r="N124" i="11" s="1"/>
  <c r="O124" i="11" s="1"/>
  <c r="P124" i="11" s="1"/>
  <c r="Q124" i="11" s="1"/>
  <c r="R124" i="11" s="1"/>
  <c r="G125" i="11"/>
  <c r="H125" i="11" s="1"/>
  <c r="I125" i="11" s="1"/>
  <c r="J125" i="11" s="1"/>
  <c r="K125" i="11" s="1"/>
  <c r="L125" i="11" s="1"/>
  <c r="M125" i="11" s="1"/>
  <c r="N125" i="11" s="1"/>
  <c r="O125" i="11" s="1"/>
  <c r="P125" i="11" s="1"/>
  <c r="Q125" i="11" s="1"/>
  <c r="R125" i="11" s="1"/>
  <c r="G126" i="11"/>
  <c r="H126" i="11" s="1"/>
  <c r="I126" i="11" s="1"/>
  <c r="J126" i="11" s="1"/>
  <c r="K126" i="11" s="1"/>
  <c r="L126" i="11" s="1"/>
  <c r="M126" i="11" s="1"/>
  <c r="N126" i="11" s="1"/>
  <c r="O126" i="11" s="1"/>
  <c r="P126" i="11" s="1"/>
  <c r="Q126" i="11" s="1"/>
  <c r="R126" i="11" s="1"/>
  <c r="G127" i="11"/>
  <c r="H127" i="11" s="1"/>
  <c r="I127" i="11" s="1"/>
  <c r="J127" i="11" s="1"/>
  <c r="K127" i="11" s="1"/>
  <c r="L127" i="11" s="1"/>
  <c r="M127" i="11" s="1"/>
  <c r="N127" i="11" s="1"/>
  <c r="O127" i="11" s="1"/>
  <c r="P127" i="11" s="1"/>
  <c r="Q127" i="11" s="1"/>
  <c r="R127" i="11" s="1"/>
  <c r="G128" i="11"/>
  <c r="H128" i="11" s="1"/>
  <c r="I128" i="11" s="1"/>
  <c r="J128" i="11" s="1"/>
  <c r="K128" i="11" s="1"/>
  <c r="L128" i="11" s="1"/>
  <c r="M128" i="11" s="1"/>
  <c r="N128" i="11" s="1"/>
  <c r="O128" i="11" s="1"/>
  <c r="P128" i="11" s="1"/>
  <c r="Q128" i="11" s="1"/>
  <c r="R128" i="11" s="1"/>
  <c r="G129" i="11"/>
  <c r="H129" i="11" s="1"/>
  <c r="I129" i="11" s="1"/>
  <c r="J129" i="11" s="1"/>
  <c r="K129" i="11" s="1"/>
  <c r="L129" i="11" s="1"/>
  <c r="M129" i="11" s="1"/>
  <c r="N129" i="11" s="1"/>
  <c r="O129" i="11" s="1"/>
  <c r="P129" i="11" s="1"/>
  <c r="Q129" i="11" s="1"/>
  <c r="R129" i="11" s="1"/>
  <c r="G130" i="11"/>
  <c r="H130" i="11" s="1"/>
  <c r="I130" i="11" s="1"/>
  <c r="J130" i="11" s="1"/>
  <c r="K130" i="11" s="1"/>
  <c r="L130" i="11" s="1"/>
  <c r="M130" i="11" s="1"/>
  <c r="N130" i="11" s="1"/>
  <c r="O130" i="11" s="1"/>
  <c r="P130" i="11" s="1"/>
  <c r="Q130" i="11" s="1"/>
  <c r="R130" i="11" s="1"/>
  <c r="G131" i="11"/>
  <c r="H131" i="11" s="1"/>
  <c r="I131" i="11" s="1"/>
  <c r="J131" i="11" s="1"/>
  <c r="K131" i="11" s="1"/>
  <c r="L131" i="11" s="1"/>
  <c r="M131" i="11" s="1"/>
  <c r="N131" i="11" s="1"/>
  <c r="O131" i="11" s="1"/>
  <c r="P131" i="11" s="1"/>
  <c r="Q131" i="11" s="1"/>
  <c r="R131" i="11" s="1"/>
  <c r="G132" i="11"/>
  <c r="H132" i="11" s="1"/>
  <c r="I132" i="11" s="1"/>
  <c r="J132" i="11" s="1"/>
  <c r="K132" i="11" s="1"/>
  <c r="L132" i="11" s="1"/>
  <c r="M132" i="11" s="1"/>
  <c r="N132" i="11" s="1"/>
  <c r="O132" i="11" s="1"/>
  <c r="P132" i="11" s="1"/>
  <c r="Q132" i="11" s="1"/>
  <c r="R132" i="11" s="1"/>
  <c r="G133" i="11"/>
  <c r="H133" i="11" s="1"/>
  <c r="I133" i="11" s="1"/>
  <c r="J133" i="11" s="1"/>
  <c r="K133" i="11" s="1"/>
  <c r="L133" i="11" s="1"/>
  <c r="M133" i="11" s="1"/>
  <c r="N133" i="11" s="1"/>
  <c r="O133" i="11" s="1"/>
  <c r="P133" i="11" s="1"/>
  <c r="Q133" i="11" s="1"/>
  <c r="R133" i="11" s="1"/>
  <c r="G134" i="11"/>
  <c r="H134" i="11" s="1"/>
  <c r="I134" i="11" s="1"/>
  <c r="J134" i="11" s="1"/>
  <c r="K134" i="11" s="1"/>
  <c r="L134" i="11" s="1"/>
  <c r="M134" i="11" s="1"/>
  <c r="N134" i="11" s="1"/>
  <c r="O134" i="11" s="1"/>
  <c r="P134" i="11" s="1"/>
  <c r="Q134" i="11" s="1"/>
  <c r="R134" i="11" s="1"/>
  <c r="G135" i="11"/>
  <c r="H135" i="11" s="1"/>
  <c r="I135" i="11" s="1"/>
  <c r="J135" i="11" s="1"/>
  <c r="K135" i="11" s="1"/>
  <c r="L135" i="11" s="1"/>
  <c r="M135" i="11" s="1"/>
  <c r="N135" i="11" s="1"/>
  <c r="O135" i="11" s="1"/>
  <c r="P135" i="11" s="1"/>
  <c r="Q135" i="11" s="1"/>
  <c r="R135" i="11" s="1"/>
  <c r="G136" i="11"/>
  <c r="H136" i="11" s="1"/>
  <c r="I136" i="11" s="1"/>
  <c r="J136" i="11" s="1"/>
  <c r="K136" i="11" s="1"/>
  <c r="L136" i="11" s="1"/>
  <c r="M136" i="11" s="1"/>
  <c r="N136" i="11" s="1"/>
  <c r="O136" i="11" s="1"/>
  <c r="P136" i="11" s="1"/>
  <c r="Q136" i="11" s="1"/>
  <c r="R136" i="11" s="1"/>
  <c r="G137" i="11"/>
  <c r="H137" i="11" s="1"/>
  <c r="I137" i="11" s="1"/>
  <c r="J137" i="11" s="1"/>
  <c r="K137" i="11" s="1"/>
  <c r="L137" i="11" s="1"/>
  <c r="M137" i="11" s="1"/>
  <c r="N137" i="11" s="1"/>
  <c r="O137" i="11" s="1"/>
  <c r="P137" i="11" s="1"/>
  <c r="Q137" i="11" s="1"/>
  <c r="R137" i="11" s="1"/>
  <c r="G138" i="11"/>
  <c r="H138" i="11" s="1"/>
  <c r="I138" i="11" s="1"/>
  <c r="J138" i="11" s="1"/>
  <c r="K138" i="11" s="1"/>
  <c r="L138" i="11" s="1"/>
  <c r="M138" i="11" s="1"/>
  <c r="N138" i="11" s="1"/>
  <c r="O138" i="11" s="1"/>
  <c r="P138" i="11" s="1"/>
  <c r="Q138" i="11" s="1"/>
  <c r="R138" i="11" s="1"/>
  <c r="G139" i="11"/>
  <c r="H139" i="11" s="1"/>
  <c r="I139" i="11" s="1"/>
  <c r="J139" i="11" s="1"/>
  <c r="K139" i="11" s="1"/>
  <c r="L139" i="11" s="1"/>
  <c r="M139" i="11" s="1"/>
  <c r="N139" i="11" s="1"/>
  <c r="O139" i="11" s="1"/>
  <c r="P139" i="11" s="1"/>
  <c r="Q139" i="11" s="1"/>
  <c r="R139" i="11" s="1"/>
  <c r="G140" i="11"/>
  <c r="H140" i="11" s="1"/>
  <c r="I140" i="11" s="1"/>
  <c r="J140" i="11" s="1"/>
  <c r="K140" i="11" s="1"/>
  <c r="L140" i="11" s="1"/>
  <c r="M140" i="11" s="1"/>
  <c r="N140" i="11" s="1"/>
  <c r="O140" i="11" s="1"/>
  <c r="P140" i="11" s="1"/>
  <c r="Q140" i="11" s="1"/>
  <c r="R140" i="11" s="1"/>
  <c r="G141" i="11"/>
  <c r="H141" i="11" s="1"/>
  <c r="I141" i="11" s="1"/>
  <c r="J141" i="11" s="1"/>
  <c r="K141" i="11" s="1"/>
  <c r="L141" i="11" s="1"/>
  <c r="M141" i="11" s="1"/>
  <c r="N141" i="11" s="1"/>
  <c r="O141" i="11" s="1"/>
  <c r="P141" i="11" s="1"/>
  <c r="Q141" i="11" s="1"/>
  <c r="R141" i="11" s="1"/>
  <c r="G142" i="11"/>
  <c r="H142" i="11" s="1"/>
  <c r="I142" i="11" s="1"/>
  <c r="J142" i="11" s="1"/>
  <c r="K142" i="11" s="1"/>
  <c r="L142" i="11" s="1"/>
  <c r="M142" i="11" s="1"/>
  <c r="N142" i="11" s="1"/>
  <c r="O142" i="11" s="1"/>
  <c r="P142" i="11" s="1"/>
  <c r="Q142" i="11" s="1"/>
  <c r="R142" i="11" s="1"/>
  <c r="G143" i="11"/>
  <c r="H143" i="11" s="1"/>
  <c r="I143" i="11" s="1"/>
  <c r="J143" i="11" s="1"/>
  <c r="K143" i="11" s="1"/>
  <c r="L143" i="11" s="1"/>
  <c r="M143" i="11" s="1"/>
  <c r="N143" i="11" s="1"/>
  <c r="O143" i="11" s="1"/>
  <c r="P143" i="11" s="1"/>
  <c r="Q143" i="11" s="1"/>
  <c r="R143" i="11" s="1"/>
  <c r="G144" i="11"/>
  <c r="H144" i="11" s="1"/>
  <c r="I144" i="11" s="1"/>
  <c r="J144" i="11" s="1"/>
  <c r="K144" i="11" s="1"/>
  <c r="L144" i="11" s="1"/>
  <c r="M144" i="11" s="1"/>
  <c r="N144" i="11" s="1"/>
  <c r="O144" i="11" s="1"/>
  <c r="P144" i="11" s="1"/>
  <c r="Q144" i="11" s="1"/>
  <c r="R144" i="11" s="1"/>
  <c r="G145" i="11"/>
  <c r="H145" i="11" s="1"/>
  <c r="I145" i="11" s="1"/>
  <c r="J145" i="11" s="1"/>
  <c r="K145" i="11" s="1"/>
  <c r="L145" i="11" s="1"/>
  <c r="M145" i="11" s="1"/>
  <c r="N145" i="11" s="1"/>
  <c r="O145" i="11" s="1"/>
  <c r="P145" i="11" s="1"/>
  <c r="Q145" i="11" s="1"/>
  <c r="R145" i="11" s="1"/>
  <c r="G146" i="11"/>
  <c r="H146" i="11" s="1"/>
  <c r="I146" i="11" s="1"/>
  <c r="J146" i="11" s="1"/>
  <c r="K146" i="11" s="1"/>
  <c r="L146" i="11" s="1"/>
  <c r="M146" i="11" s="1"/>
  <c r="N146" i="11" s="1"/>
  <c r="O146" i="11" s="1"/>
  <c r="P146" i="11" s="1"/>
  <c r="Q146" i="11" s="1"/>
  <c r="R146" i="11" s="1"/>
  <c r="G147" i="11"/>
  <c r="H147" i="11" s="1"/>
  <c r="I147" i="11" s="1"/>
  <c r="J147" i="11" s="1"/>
  <c r="K147" i="11" s="1"/>
  <c r="L147" i="11" s="1"/>
  <c r="M147" i="11" s="1"/>
  <c r="N147" i="11" s="1"/>
  <c r="O147" i="11" s="1"/>
  <c r="P147" i="11" s="1"/>
  <c r="Q147" i="11" s="1"/>
  <c r="R147" i="11" s="1"/>
  <c r="G148" i="11"/>
  <c r="H148" i="11" s="1"/>
  <c r="I148" i="11" s="1"/>
  <c r="J148" i="11" s="1"/>
  <c r="K148" i="11" s="1"/>
  <c r="L148" i="11" s="1"/>
  <c r="M148" i="11" s="1"/>
  <c r="N148" i="11" s="1"/>
  <c r="O148" i="11" s="1"/>
  <c r="P148" i="11" s="1"/>
  <c r="Q148" i="11" s="1"/>
  <c r="R148" i="11" s="1"/>
  <c r="G149" i="11"/>
  <c r="H149" i="11" s="1"/>
  <c r="I149" i="11" s="1"/>
  <c r="J149" i="11" s="1"/>
  <c r="K149" i="11" s="1"/>
  <c r="L149" i="11" s="1"/>
  <c r="M149" i="11" s="1"/>
  <c r="N149" i="11" s="1"/>
  <c r="O149" i="11" s="1"/>
  <c r="P149" i="11" s="1"/>
  <c r="Q149" i="11" s="1"/>
  <c r="R149" i="11" s="1"/>
  <c r="G150" i="11"/>
  <c r="H150" i="11" s="1"/>
  <c r="I150" i="11" s="1"/>
  <c r="J150" i="11" s="1"/>
  <c r="K150" i="11" s="1"/>
  <c r="L150" i="11" s="1"/>
  <c r="M150" i="11" s="1"/>
  <c r="N150" i="11" s="1"/>
  <c r="O150" i="11" s="1"/>
  <c r="P150" i="11" s="1"/>
  <c r="Q150" i="11" s="1"/>
  <c r="R150" i="11" s="1"/>
  <c r="G71" i="11"/>
  <c r="H71" i="11" s="1"/>
  <c r="I71" i="11" s="1"/>
  <c r="J71" i="11" s="1"/>
  <c r="K71" i="11" s="1"/>
  <c r="L71" i="11" s="1"/>
  <c r="M71" i="11" s="1"/>
  <c r="N71" i="11" s="1"/>
  <c r="O71" i="11" s="1"/>
  <c r="P71" i="11" s="1"/>
  <c r="Q71" i="11" s="1"/>
  <c r="R71" i="11" s="1"/>
  <c r="F31" i="16" l="1"/>
  <c r="F61" i="16"/>
  <c r="E30" i="16"/>
  <c r="E60" i="16"/>
  <c r="D29" i="16"/>
  <c r="D59" i="16"/>
  <c r="A152" i="11" l="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51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35" i="11"/>
  <c r="C237" i="3"/>
  <c r="C238" i="3"/>
  <c r="C149" i="3"/>
  <c r="D149" i="3"/>
  <c r="E149" i="3"/>
  <c r="F149" i="3"/>
  <c r="G149" i="3"/>
  <c r="H149" i="3"/>
  <c r="BQ213" i="11" s="1"/>
  <c r="CB213" i="11" s="1"/>
  <c r="C150" i="3"/>
  <c r="D150" i="3"/>
  <c r="E150" i="3"/>
  <c r="F150" i="3"/>
  <c r="G150" i="3"/>
  <c r="H150" i="3"/>
  <c r="BQ214" i="11" s="1"/>
  <c r="CB214" i="11" s="1"/>
  <c r="E108" i="3"/>
  <c r="F108" i="3"/>
  <c r="G108" i="3"/>
  <c r="C108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D66" i="3"/>
  <c r="E66" i="3"/>
  <c r="G66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D25" i="3"/>
  <c r="C25" i="3"/>
  <c r="B306" i="35"/>
  <c r="B307" i="35"/>
  <c r="B308" i="35"/>
  <c r="B309" i="35"/>
  <c r="B310" i="35"/>
  <c r="B305" i="35"/>
  <c r="A56" i="15"/>
  <c r="R56" i="15" s="1"/>
  <c r="B137" i="11" s="1"/>
  <c r="A57" i="15"/>
  <c r="R57" i="15" s="1"/>
  <c r="A23" i="3"/>
  <c r="A37" i="3" s="1"/>
  <c r="A50" i="3" s="1"/>
  <c r="A64" i="3" s="1"/>
  <c r="A24" i="3"/>
  <c r="A200" i="11" s="1"/>
  <c r="B151" i="11" l="1"/>
  <c r="B153" i="11"/>
  <c r="B155" i="11"/>
  <c r="B157" i="11"/>
  <c r="B159" i="11"/>
  <c r="B161" i="11"/>
  <c r="B163" i="11"/>
  <c r="B165" i="11"/>
  <c r="B152" i="11"/>
  <c r="B154" i="11"/>
  <c r="B156" i="11"/>
  <c r="B158" i="11"/>
  <c r="B160" i="11"/>
  <c r="B162" i="11"/>
  <c r="B164" i="11"/>
  <c r="B166" i="11"/>
  <c r="B319" i="35"/>
  <c r="A319" i="35" s="1"/>
  <c r="B318" i="35"/>
  <c r="A318" i="35" s="1"/>
  <c r="D179" i="3"/>
  <c r="D194" i="3" s="1"/>
  <c r="A310" i="35"/>
  <c r="D178" i="3"/>
  <c r="A309" i="35"/>
  <c r="B150" i="11"/>
  <c r="B148" i="11"/>
  <c r="B146" i="11"/>
  <c r="B144" i="11"/>
  <c r="B142" i="11"/>
  <c r="B140" i="11"/>
  <c r="B138" i="11"/>
  <c r="B136" i="11"/>
  <c r="B135" i="11"/>
  <c r="B149" i="11"/>
  <c r="B147" i="11"/>
  <c r="B145" i="11"/>
  <c r="B143" i="11"/>
  <c r="B141" i="11"/>
  <c r="B139" i="11"/>
  <c r="BL200" i="11"/>
  <c r="C214" i="11"/>
  <c r="C226" i="11" s="1"/>
  <c r="C237" i="11" s="1"/>
  <c r="A38" i="3"/>
  <c r="A51" i="3" s="1"/>
  <c r="A65" i="3" s="1"/>
  <c r="B189" i="35"/>
  <c r="B188" i="35"/>
  <c r="A199" i="11"/>
  <c r="C213" i="11" s="1"/>
  <c r="C225" i="11" s="1"/>
  <c r="C236" i="11" s="1"/>
  <c r="A92" i="3"/>
  <c r="A106" i="3" s="1"/>
  <c r="A120" i="3" s="1"/>
  <c r="A134" i="3" s="1"/>
  <c r="A149" i="3" s="1"/>
  <c r="A163" i="3" s="1"/>
  <c r="A178" i="3" s="1"/>
  <c r="A193" i="3" s="1"/>
  <c r="A78" i="3"/>
  <c r="E179" i="3" l="1"/>
  <c r="F179" i="3" s="1"/>
  <c r="B196" i="35"/>
  <c r="B195" i="35"/>
  <c r="E178" i="3"/>
  <c r="D193" i="3"/>
  <c r="A93" i="3"/>
  <c r="A107" i="3" s="1"/>
  <c r="A121" i="3" s="1"/>
  <c r="A135" i="3" s="1"/>
  <c r="A150" i="3" s="1"/>
  <c r="A164" i="3" s="1"/>
  <c r="A179" i="3" s="1"/>
  <c r="A194" i="3" s="1"/>
  <c r="A79" i="3"/>
  <c r="BL199" i="11"/>
  <c r="A210" i="3"/>
  <c r="A223" i="3" s="1"/>
  <c r="A237" i="3" s="1"/>
  <c r="M106" i="16"/>
  <c r="N106" i="16"/>
  <c r="O106" i="16"/>
  <c r="P106" i="16"/>
  <c r="Q106" i="16"/>
  <c r="F24" i="4"/>
  <c r="F11" i="4"/>
  <c r="G55" i="6"/>
  <c r="E194" i="3" l="1"/>
  <c r="A211" i="3"/>
  <c r="A224" i="3" s="1"/>
  <c r="A238" i="3" s="1"/>
  <c r="AA188" i="35"/>
  <c r="CJ188" i="35" s="1"/>
  <c r="AD188" i="35"/>
  <c r="CK188" i="35" s="1"/>
  <c r="AP188" i="35"/>
  <c r="CO188" i="35" s="1"/>
  <c r="AJ188" i="35"/>
  <c r="CM188" i="35" s="1"/>
  <c r="AG188" i="35"/>
  <c r="CL188" i="35" s="1"/>
  <c r="AM188" i="35"/>
  <c r="CN188" i="35" s="1"/>
  <c r="AA189" i="35"/>
  <c r="CJ189" i="35" s="1"/>
  <c r="AD189" i="35"/>
  <c r="CK189" i="35" s="1"/>
  <c r="AJ189" i="35"/>
  <c r="CM189" i="35" s="1"/>
  <c r="AP189" i="35"/>
  <c r="CO189" i="35" s="1"/>
  <c r="AG189" i="35"/>
  <c r="CL189" i="35" s="1"/>
  <c r="AM189" i="35"/>
  <c r="CN189" i="35" s="1"/>
  <c r="B202" i="35"/>
  <c r="B203" i="35"/>
  <c r="E193" i="3"/>
  <c r="F178" i="3"/>
  <c r="G179" i="3"/>
  <c r="F194" i="3"/>
  <c r="H89" i="14"/>
  <c r="I111" i="14" s="1"/>
  <c r="K114" i="14" s="1"/>
  <c r="L114" i="14" s="1"/>
  <c r="H70" i="16"/>
  <c r="I43" i="15"/>
  <c r="J43" i="15"/>
  <c r="A309" i="14"/>
  <c r="A287" i="14"/>
  <c r="A265" i="14"/>
  <c r="A243" i="14"/>
  <c r="A221" i="14"/>
  <c r="A199" i="14"/>
  <c r="A177" i="14"/>
  <c r="A155" i="14"/>
  <c r="A133" i="14"/>
  <c r="A89" i="14"/>
  <c r="A67" i="14"/>
  <c r="I50" i="4"/>
  <c r="J50" i="4" s="1"/>
  <c r="K50" i="4" s="1"/>
  <c r="L50" i="4" s="1"/>
  <c r="M50" i="4" s="1"/>
  <c r="N50" i="4" s="1"/>
  <c r="O50" i="4" s="1"/>
  <c r="P50" i="4" s="1"/>
  <c r="Q50" i="4" s="1"/>
  <c r="AP196" i="35" l="1"/>
  <c r="CO196" i="35" s="1"/>
  <c r="AA196" i="35"/>
  <c r="CJ196" i="35" s="1"/>
  <c r="AD196" i="35"/>
  <c r="CK196" i="35" s="1"/>
  <c r="AJ196" i="35"/>
  <c r="CM196" i="35" s="1"/>
  <c r="AG196" i="35"/>
  <c r="CL196" i="35" s="1"/>
  <c r="AM196" i="35"/>
  <c r="CN196" i="35" s="1"/>
  <c r="AD195" i="35"/>
  <c r="CK195" i="35" s="1"/>
  <c r="AA195" i="35"/>
  <c r="CJ195" i="35" s="1"/>
  <c r="AM195" i="35"/>
  <c r="CN195" i="35" s="1"/>
  <c r="AG195" i="35"/>
  <c r="CL195" i="35" s="1"/>
  <c r="AJ195" i="35"/>
  <c r="CM195" i="35" s="1"/>
  <c r="AP195" i="35"/>
  <c r="CO195" i="35" s="1"/>
  <c r="B210" i="35"/>
  <c r="B209" i="35"/>
  <c r="G178" i="3"/>
  <c r="F193" i="3"/>
  <c r="H179" i="3"/>
  <c r="G194" i="3"/>
  <c r="A111" i="14"/>
  <c r="I106" i="16"/>
  <c r="J106" i="16"/>
  <c r="K106" i="16"/>
  <c r="L106" i="16"/>
  <c r="G41" i="15" l="1"/>
  <c r="G57" i="15" s="1"/>
  <c r="B301" i="35"/>
  <c r="B217" i="35"/>
  <c r="AD202" i="35"/>
  <c r="CK202" i="35" s="1"/>
  <c r="AA202" i="35"/>
  <c r="CJ202" i="35" s="1"/>
  <c r="AG202" i="35"/>
  <c r="CL202" i="35" s="1"/>
  <c r="AM202" i="35"/>
  <c r="CN202" i="35" s="1"/>
  <c r="AP202" i="35"/>
  <c r="CO202" i="35" s="1"/>
  <c r="AJ202" i="35"/>
  <c r="CM202" i="35" s="1"/>
  <c r="AM203" i="35"/>
  <c r="CN203" i="35" s="1"/>
  <c r="AD203" i="35"/>
  <c r="CK203" i="35" s="1"/>
  <c r="AA203" i="35"/>
  <c r="CJ203" i="35" s="1"/>
  <c r="AJ203" i="35"/>
  <c r="CM203" i="35" s="1"/>
  <c r="AG203" i="35"/>
  <c r="CL203" i="35" s="1"/>
  <c r="AP203" i="35"/>
  <c r="CO203" i="35" s="1"/>
  <c r="B300" i="35"/>
  <c r="B216" i="35"/>
  <c r="G193" i="3"/>
  <c r="G40" i="15" s="1"/>
  <c r="G56" i="15" s="1"/>
  <c r="H178" i="3"/>
  <c r="I179" i="3"/>
  <c r="J179" i="3" s="1"/>
  <c r="K179" i="3" s="1"/>
  <c r="L179" i="3" s="1"/>
  <c r="M179" i="3" s="1"/>
  <c r="N179" i="3" s="1"/>
  <c r="O179" i="3" s="1"/>
  <c r="P179" i="3" s="1"/>
  <c r="Q179" i="3" s="1"/>
  <c r="H194" i="3"/>
  <c r="M114" i="14"/>
  <c r="N114" i="14" s="1"/>
  <c r="O114" i="14" s="1"/>
  <c r="H56" i="3"/>
  <c r="H55" i="3"/>
  <c r="I28" i="18"/>
  <c r="I60" i="18" s="1"/>
  <c r="J28" i="18"/>
  <c r="J60" i="18" s="1"/>
  <c r="K28" i="18"/>
  <c r="K60" i="18" s="1"/>
  <c r="L28" i="18"/>
  <c r="L60" i="18" s="1"/>
  <c r="M28" i="18"/>
  <c r="M60" i="18" s="1"/>
  <c r="N28" i="18"/>
  <c r="N60" i="18" s="1"/>
  <c r="O28" i="18"/>
  <c r="O60" i="18" s="1"/>
  <c r="P28" i="18"/>
  <c r="P60" i="18" s="1"/>
  <c r="Q28" i="18"/>
  <c r="Q60" i="18" s="1"/>
  <c r="H28" i="18"/>
  <c r="H60" i="18" s="1"/>
  <c r="AQ313" i="35"/>
  <c r="AN313" i="35"/>
  <c r="AK313" i="35"/>
  <c r="AH313" i="35"/>
  <c r="AE313" i="35"/>
  <c r="AB313" i="35"/>
  <c r="Y313" i="35"/>
  <c r="C46" i="7"/>
  <c r="C47" i="7" s="1"/>
  <c r="D46" i="7"/>
  <c r="D47" i="7" s="1"/>
  <c r="E46" i="7"/>
  <c r="E47" i="7" s="1"/>
  <c r="F46" i="7"/>
  <c r="F47" i="7" s="1"/>
  <c r="B46" i="7"/>
  <c r="B47" i="7" s="1"/>
  <c r="E9" i="3"/>
  <c r="F9" i="3"/>
  <c r="E26" i="3"/>
  <c r="F26" i="3"/>
  <c r="G26" i="3"/>
  <c r="H41" i="15" l="1"/>
  <c r="H57" i="15" s="1"/>
  <c r="B223" i="35"/>
  <c r="AA209" i="35"/>
  <c r="CJ209" i="35" s="1"/>
  <c r="AD209" i="35"/>
  <c r="CK209" i="35" s="1"/>
  <c r="AJ209" i="35"/>
  <c r="CM209" i="35" s="1"/>
  <c r="AP209" i="35"/>
  <c r="CO209" i="35" s="1"/>
  <c r="AM209" i="35"/>
  <c r="CN209" i="35" s="1"/>
  <c r="AG209" i="35"/>
  <c r="CL209" i="35" s="1"/>
  <c r="AA301" i="35"/>
  <c r="CJ301" i="35" s="1"/>
  <c r="AD301" i="35"/>
  <c r="CK301" i="35" s="1"/>
  <c r="AM301" i="35"/>
  <c r="CN301" i="35" s="1"/>
  <c r="AG301" i="35"/>
  <c r="CL301" i="35" s="1"/>
  <c r="AJ301" i="35"/>
  <c r="CM301" i="35" s="1"/>
  <c r="AP301" i="35"/>
  <c r="CO301" i="35" s="1"/>
  <c r="AA300" i="35"/>
  <c r="CJ300" i="35" s="1"/>
  <c r="AJ300" i="35"/>
  <c r="CM300" i="35" s="1"/>
  <c r="AD300" i="35"/>
  <c r="CK300" i="35" s="1"/>
  <c r="AP300" i="35"/>
  <c r="CO300" i="35" s="1"/>
  <c r="AM300" i="35"/>
  <c r="CN300" i="35" s="1"/>
  <c r="AG300" i="35"/>
  <c r="CL300" i="35" s="1"/>
  <c r="B224" i="35"/>
  <c r="AD210" i="35"/>
  <c r="CK210" i="35" s="1"/>
  <c r="AG210" i="35"/>
  <c r="CL210" i="35" s="1"/>
  <c r="AM210" i="35"/>
  <c r="CN210" i="35" s="1"/>
  <c r="AJ210" i="35"/>
  <c r="CM210" i="35" s="1"/>
  <c r="AA210" i="35"/>
  <c r="CJ210" i="35" s="1"/>
  <c r="AP210" i="35"/>
  <c r="CO210" i="35" s="1"/>
  <c r="H193" i="3"/>
  <c r="H40" i="15" s="1"/>
  <c r="H56" i="15" s="1"/>
  <c r="I178" i="3"/>
  <c r="J178" i="3" s="1"/>
  <c r="K178" i="3" s="1"/>
  <c r="L178" i="3" s="1"/>
  <c r="M178" i="3" s="1"/>
  <c r="N178" i="3" s="1"/>
  <c r="O178" i="3" s="1"/>
  <c r="P178" i="3" s="1"/>
  <c r="Q178" i="3" s="1"/>
  <c r="I55" i="3"/>
  <c r="H66" i="3"/>
  <c r="A114" i="14"/>
  <c r="I56" i="3"/>
  <c r="J56" i="3" s="1"/>
  <c r="K56" i="3" s="1"/>
  <c r="L56" i="3" s="1"/>
  <c r="M56" i="3" s="1"/>
  <c r="N56" i="3" s="1"/>
  <c r="O56" i="3" s="1"/>
  <c r="P56" i="3" s="1"/>
  <c r="Q56" i="3" s="1"/>
  <c r="D33" i="12"/>
  <c r="E33" i="12"/>
  <c r="R6" i="12"/>
  <c r="R8" i="12"/>
  <c r="R9" i="12"/>
  <c r="R10" i="12"/>
  <c r="R11" i="12"/>
  <c r="R12" i="12"/>
  <c r="R14" i="12"/>
  <c r="R5" i="12"/>
  <c r="F20" i="12"/>
  <c r="F21" i="12"/>
  <c r="F22" i="12"/>
  <c r="F19" i="12"/>
  <c r="F16" i="12"/>
  <c r="F15" i="12"/>
  <c r="F11" i="12"/>
  <c r="F8" i="12"/>
  <c r="F6" i="12"/>
  <c r="F5" i="12"/>
  <c r="D7" i="12"/>
  <c r="E7" i="12" s="1"/>
  <c r="E6" i="12"/>
  <c r="E5" i="12"/>
  <c r="D12" i="12"/>
  <c r="E34" i="12" s="1"/>
  <c r="D22" i="12"/>
  <c r="D21" i="12"/>
  <c r="D20" i="12"/>
  <c r="D19" i="12"/>
  <c r="D16" i="12"/>
  <c r="D15" i="12"/>
  <c r="D8" i="12"/>
  <c r="D6" i="12"/>
  <c r="D5" i="12"/>
  <c r="D70" i="3"/>
  <c r="C70" i="3"/>
  <c r="E14" i="10"/>
  <c r="F14" i="10"/>
  <c r="G14" i="10"/>
  <c r="D15" i="15"/>
  <c r="D16" i="15"/>
  <c r="C16" i="15"/>
  <c r="C15" i="15"/>
  <c r="C9" i="3" l="1"/>
  <c r="D9" i="3"/>
  <c r="D34" i="12"/>
  <c r="B231" i="35"/>
  <c r="B230" i="35"/>
  <c r="AM217" i="35"/>
  <c r="CN217" i="35" s="1"/>
  <c r="AA217" i="35"/>
  <c r="CJ217" i="35" s="1"/>
  <c r="AP217" i="35"/>
  <c r="CO217" i="35" s="1"/>
  <c r="AG217" i="35"/>
  <c r="CL217" i="35" s="1"/>
  <c r="AJ217" i="35"/>
  <c r="CM217" i="35" s="1"/>
  <c r="AD217" i="35"/>
  <c r="CK217" i="35" s="1"/>
  <c r="AG216" i="35"/>
  <c r="CL216" i="35" s="1"/>
  <c r="AP216" i="35"/>
  <c r="CO216" i="35" s="1"/>
  <c r="AM216" i="35"/>
  <c r="CN216" i="35" s="1"/>
  <c r="AJ216" i="35"/>
  <c r="CM216" i="35" s="1"/>
  <c r="AA216" i="35"/>
  <c r="CJ216" i="35" s="1"/>
  <c r="AD216" i="35"/>
  <c r="CK216" i="35" s="1"/>
  <c r="J55" i="3"/>
  <c r="I66" i="3"/>
  <c r="E57" i="18"/>
  <c r="F57" i="18"/>
  <c r="D57" i="18"/>
  <c r="G23" i="1"/>
  <c r="B237" i="35" l="1"/>
  <c r="B238" i="35"/>
  <c r="AP223" i="35"/>
  <c r="CO223" i="35" s="1"/>
  <c r="AJ223" i="35"/>
  <c r="CM223" i="35" s="1"/>
  <c r="AD223" i="35"/>
  <c r="CK223" i="35" s="1"/>
  <c r="AM223" i="35"/>
  <c r="CN223" i="35" s="1"/>
  <c r="AG223" i="35"/>
  <c r="CL223" i="35" s="1"/>
  <c r="AA223" i="35"/>
  <c r="CJ223" i="35" s="1"/>
  <c r="AP224" i="35"/>
  <c r="CO224" i="35" s="1"/>
  <c r="AG224" i="35"/>
  <c r="CL224" i="35" s="1"/>
  <c r="AM224" i="35"/>
  <c r="CN224" i="35" s="1"/>
  <c r="AA224" i="35"/>
  <c r="CJ224" i="35" s="1"/>
  <c r="AD224" i="35"/>
  <c r="CK224" i="35" s="1"/>
  <c r="AJ224" i="35"/>
  <c r="CM224" i="35" s="1"/>
  <c r="K55" i="3"/>
  <c r="J66" i="3"/>
  <c r="F28" i="8"/>
  <c r="F29" i="8"/>
  <c r="E28" i="8"/>
  <c r="C28" i="8"/>
  <c r="B28" i="8"/>
  <c r="B245" i="35" l="1"/>
  <c r="AP231" i="35"/>
  <c r="CO231" i="35" s="1"/>
  <c r="AJ231" i="35"/>
  <c r="CM231" i="35" s="1"/>
  <c r="AD231" i="35"/>
  <c r="CK231" i="35" s="1"/>
  <c r="AM231" i="35"/>
  <c r="CN231" i="35" s="1"/>
  <c r="AG231" i="35"/>
  <c r="CL231" i="35" s="1"/>
  <c r="AA231" i="35"/>
  <c r="CJ231" i="35" s="1"/>
  <c r="AP230" i="35"/>
  <c r="CO230" i="35" s="1"/>
  <c r="AG230" i="35"/>
  <c r="CL230" i="35" s="1"/>
  <c r="AM230" i="35"/>
  <c r="CN230" i="35" s="1"/>
  <c r="AA230" i="35"/>
  <c r="CJ230" i="35" s="1"/>
  <c r="AD230" i="35"/>
  <c r="CK230" i="35" s="1"/>
  <c r="AJ230" i="35"/>
  <c r="CM230" i="35" s="1"/>
  <c r="B244" i="35"/>
  <c r="L55" i="3"/>
  <c r="K66" i="3"/>
  <c r="F23" i="7"/>
  <c r="F22" i="7"/>
  <c r="AP237" i="35" l="1"/>
  <c r="CO237" i="35" s="1"/>
  <c r="AJ237" i="35"/>
  <c r="CM237" i="35" s="1"/>
  <c r="AD237" i="35"/>
  <c r="CK237" i="35" s="1"/>
  <c r="AM237" i="35"/>
  <c r="CN237" i="35" s="1"/>
  <c r="AG237" i="35"/>
  <c r="CL237" i="35" s="1"/>
  <c r="AA237" i="35"/>
  <c r="CJ237" i="35" s="1"/>
  <c r="AP238" i="35"/>
  <c r="CO238" i="35" s="1"/>
  <c r="AG238" i="35"/>
  <c r="CL238" i="35" s="1"/>
  <c r="AM238" i="35"/>
  <c r="CN238" i="35" s="1"/>
  <c r="AA238" i="35"/>
  <c r="CJ238" i="35" s="1"/>
  <c r="AD238" i="35"/>
  <c r="CK238" i="35" s="1"/>
  <c r="AJ238" i="35"/>
  <c r="CM238" i="35" s="1"/>
  <c r="B251" i="35"/>
  <c r="B252" i="35"/>
  <c r="M55" i="3"/>
  <c r="L66" i="3"/>
  <c r="I15" i="1"/>
  <c r="J15" i="1" s="1"/>
  <c r="K15" i="1" s="1"/>
  <c r="L15" i="1" s="1"/>
  <c r="M15" i="1" s="1"/>
  <c r="N15" i="1" s="1"/>
  <c r="O15" i="1" s="1"/>
  <c r="P15" i="1" s="1"/>
  <c r="Q15" i="1" s="1"/>
  <c r="B259" i="35" l="1"/>
  <c r="AP245" i="35"/>
  <c r="CO245" i="35" s="1"/>
  <c r="AJ245" i="35"/>
  <c r="CM245" i="35" s="1"/>
  <c r="AD245" i="35"/>
  <c r="CK245" i="35" s="1"/>
  <c r="AM245" i="35"/>
  <c r="CN245" i="35" s="1"/>
  <c r="AG245" i="35"/>
  <c r="CL245" i="35" s="1"/>
  <c r="AA245" i="35"/>
  <c r="CJ245" i="35" s="1"/>
  <c r="AP244" i="35"/>
  <c r="CO244" i="35" s="1"/>
  <c r="AG244" i="35"/>
  <c r="CL244" i="35" s="1"/>
  <c r="AM244" i="35"/>
  <c r="CN244" i="35" s="1"/>
  <c r="AA244" i="35"/>
  <c r="CJ244" i="35" s="1"/>
  <c r="AD244" i="35"/>
  <c r="CK244" i="35" s="1"/>
  <c r="AJ244" i="35"/>
  <c r="CM244" i="35" s="1"/>
  <c r="B258" i="35"/>
  <c r="N55" i="3"/>
  <c r="M66" i="3"/>
  <c r="J92" i="14"/>
  <c r="K92" i="14" s="1"/>
  <c r="O5" i="36"/>
  <c r="P5" i="36"/>
  <c r="Q5" i="36"/>
  <c r="AG244" i="11"/>
  <c r="AF244" i="11"/>
  <c r="AE244" i="11"/>
  <c r="R243" i="11"/>
  <c r="AG243" i="11" s="1"/>
  <c r="AV243" i="11" s="1"/>
  <c r="BK243" i="11" s="1"/>
  <c r="BZ243" i="11" s="1"/>
  <c r="Q243" i="11"/>
  <c r="AF243" i="11" s="1"/>
  <c r="AU243" i="11" s="1"/>
  <c r="BJ243" i="11" s="1"/>
  <c r="BY243" i="11" s="1"/>
  <c r="P243" i="11"/>
  <c r="AE243" i="11" s="1"/>
  <c r="AT243" i="11" s="1"/>
  <c r="BI243" i="11" s="1"/>
  <c r="BX243" i="11" s="1"/>
  <c r="R4" i="11"/>
  <c r="AG4" i="11" s="1"/>
  <c r="Q4" i="11"/>
  <c r="AF4" i="11" s="1"/>
  <c r="P4" i="11"/>
  <c r="AE4" i="11" s="1"/>
  <c r="O3" i="12"/>
  <c r="P3" i="12"/>
  <c r="P26" i="12" s="1"/>
  <c r="Q3" i="12"/>
  <c r="Q26" i="12" s="1"/>
  <c r="O26" i="12"/>
  <c r="O32" i="12"/>
  <c r="P32" i="12"/>
  <c r="Q32" i="12"/>
  <c r="P3" i="10"/>
  <c r="Q3" i="10"/>
  <c r="R3" i="10"/>
  <c r="P29" i="10"/>
  <c r="Q29" i="10"/>
  <c r="R29" i="10"/>
  <c r="O43" i="3"/>
  <c r="P43" i="3"/>
  <c r="Q43" i="3"/>
  <c r="O44" i="3"/>
  <c r="P44" i="3"/>
  <c r="Q44" i="3"/>
  <c r="O45" i="3"/>
  <c r="P45" i="3"/>
  <c r="Q45" i="3"/>
  <c r="O46" i="3"/>
  <c r="P46" i="3"/>
  <c r="Q46" i="3"/>
  <c r="O47" i="3"/>
  <c r="P47" i="3"/>
  <c r="Q47" i="3"/>
  <c r="O48" i="3"/>
  <c r="P48" i="3"/>
  <c r="Q48" i="3"/>
  <c r="O49" i="3"/>
  <c r="P49" i="3"/>
  <c r="Q49" i="3"/>
  <c r="O85" i="3"/>
  <c r="P85" i="3"/>
  <c r="Q85" i="3"/>
  <c r="O86" i="3"/>
  <c r="P86" i="3"/>
  <c r="Q86" i="3"/>
  <c r="O87" i="3"/>
  <c r="P87" i="3"/>
  <c r="Q87" i="3"/>
  <c r="O88" i="3"/>
  <c r="P88" i="3"/>
  <c r="Q88" i="3"/>
  <c r="O89" i="3"/>
  <c r="P89" i="3"/>
  <c r="Q89" i="3"/>
  <c r="O90" i="3"/>
  <c r="P90" i="3"/>
  <c r="Q90" i="3"/>
  <c r="O91" i="3"/>
  <c r="P91" i="3"/>
  <c r="Q91" i="3"/>
  <c r="O144" i="3"/>
  <c r="BX208" i="11" s="1"/>
  <c r="O169" i="3"/>
  <c r="P169" i="3"/>
  <c r="Q169" i="3"/>
  <c r="O170" i="3"/>
  <c r="P170" i="3"/>
  <c r="Q170" i="3"/>
  <c r="O1" i="4"/>
  <c r="O44" i="4" s="1"/>
  <c r="P1" i="4"/>
  <c r="P44" i="4" s="1"/>
  <c r="Q1" i="4"/>
  <c r="Q44" i="4" s="1"/>
  <c r="O24" i="4"/>
  <c r="P24" i="4"/>
  <c r="Q24" i="4"/>
  <c r="O3" i="17"/>
  <c r="P3" i="17"/>
  <c r="Q3" i="17"/>
  <c r="O24" i="14"/>
  <c r="P24" i="14"/>
  <c r="Q24" i="14"/>
  <c r="O44" i="14"/>
  <c r="P44" i="14"/>
  <c r="Q44" i="14"/>
  <c r="O65" i="14"/>
  <c r="P65" i="14"/>
  <c r="Q65" i="14"/>
  <c r="P70" i="14"/>
  <c r="P75" i="14" s="1"/>
  <c r="Q70" i="14"/>
  <c r="O75" i="14"/>
  <c r="Q75" i="14"/>
  <c r="O88" i="14"/>
  <c r="P88" i="14"/>
  <c r="Q88" i="14"/>
  <c r="P92" i="14"/>
  <c r="P97" i="14" s="1"/>
  <c r="Q92" i="14"/>
  <c r="Q97" i="14" s="1"/>
  <c r="O110" i="14"/>
  <c r="P110" i="14"/>
  <c r="Q110" i="14"/>
  <c r="O132" i="14"/>
  <c r="P132" i="14"/>
  <c r="Q132" i="14"/>
  <c r="O136" i="14"/>
  <c r="P136" i="14"/>
  <c r="P141" i="14" s="1"/>
  <c r="Q136" i="14"/>
  <c r="O141" i="14"/>
  <c r="Q141" i="14"/>
  <c r="O154" i="14"/>
  <c r="P154" i="14"/>
  <c r="Q154" i="14"/>
  <c r="O158" i="14"/>
  <c r="O163" i="14" s="1"/>
  <c r="P158" i="14"/>
  <c r="Q158" i="14"/>
  <c r="Q163" i="14" s="1"/>
  <c r="P163" i="14"/>
  <c r="O176" i="14"/>
  <c r="P176" i="14"/>
  <c r="Q176" i="14"/>
  <c r="O180" i="14"/>
  <c r="O185" i="14" s="1"/>
  <c r="P180" i="14"/>
  <c r="P185" i="14" s="1"/>
  <c r="Q180" i="14"/>
  <c r="Q185" i="14" s="1"/>
  <c r="O198" i="14"/>
  <c r="P198" i="14"/>
  <c r="Q198" i="14"/>
  <c r="O202" i="14"/>
  <c r="O207" i="14" s="1"/>
  <c r="P202" i="14"/>
  <c r="P207" i="14" s="1"/>
  <c r="Q202" i="14"/>
  <c r="Q207" i="14" s="1"/>
  <c r="O220" i="14"/>
  <c r="P220" i="14"/>
  <c r="Q220" i="14"/>
  <c r="O224" i="14"/>
  <c r="P224" i="14"/>
  <c r="P229" i="14" s="1"/>
  <c r="Q224" i="14"/>
  <c r="Q229" i="14" s="1"/>
  <c r="O229" i="14"/>
  <c r="O242" i="14"/>
  <c r="P242" i="14"/>
  <c r="Q242" i="14"/>
  <c r="O246" i="14"/>
  <c r="O251" i="14" s="1"/>
  <c r="P246" i="14"/>
  <c r="P251" i="14" s="1"/>
  <c r="Q246" i="14"/>
  <c r="Q251" i="14" s="1"/>
  <c r="O264" i="14"/>
  <c r="P264" i="14"/>
  <c r="Q264" i="14"/>
  <c r="O268" i="14"/>
  <c r="O273" i="14" s="1"/>
  <c r="P268" i="14"/>
  <c r="P273" i="14" s="1"/>
  <c r="Q268" i="14"/>
  <c r="Q273" i="14" s="1"/>
  <c r="O286" i="14"/>
  <c r="P286" i="14"/>
  <c r="Q286" i="14"/>
  <c r="O290" i="14"/>
  <c r="O295" i="14" s="1"/>
  <c r="P290" i="14"/>
  <c r="P295" i="14" s="1"/>
  <c r="Q290" i="14"/>
  <c r="Q295" i="14"/>
  <c r="O308" i="14"/>
  <c r="P308" i="14"/>
  <c r="Q308" i="14"/>
  <c r="O312" i="14"/>
  <c r="O317" i="14" s="1"/>
  <c r="P312" i="14"/>
  <c r="Q312" i="14"/>
  <c r="Q317" i="14" s="1"/>
  <c r="P317" i="14"/>
  <c r="O3" i="14"/>
  <c r="P3" i="14"/>
  <c r="Q3" i="14"/>
  <c r="O11" i="14"/>
  <c r="P11" i="14"/>
  <c r="Q11" i="14"/>
  <c r="O3" i="26"/>
  <c r="O35" i="26" s="1"/>
  <c r="O43" i="26" s="1"/>
  <c r="P3" i="26"/>
  <c r="Q3" i="26"/>
  <c r="P35" i="26"/>
  <c r="P43" i="26" s="1"/>
  <c r="Q35" i="26"/>
  <c r="Q43" i="26"/>
  <c r="O3" i="6"/>
  <c r="P3" i="6"/>
  <c r="Q3" i="6"/>
  <c r="O38" i="6"/>
  <c r="O46" i="6" s="1"/>
  <c r="P38" i="6"/>
  <c r="P46" i="6" s="1"/>
  <c r="Q38" i="6"/>
  <c r="Q46" i="6" s="1"/>
  <c r="O84" i="6"/>
  <c r="P84" i="6"/>
  <c r="Q84" i="6"/>
  <c r="O32" i="21"/>
  <c r="P32" i="21"/>
  <c r="Q32" i="21"/>
  <c r="Q32" i="8"/>
  <c r="P32" i="8"/>
  <c r="O32" i="8"/>
  <c r="Q47" i="15"/>
  <c r="P47" i="15"/>
  <c r="O47" i="15"/>
  <c r="Q31" i="15"/>
  <c r="P31" i="15"/>
  <c r="O31" i="15"/>
  <c r="Q26" i="15"/>
  <c r="P26" i="15"/>
  <c r="O26" i="15"/>
  <c r="Q23" i="15"/>
  <c r="Q33" i="15" s="1"/>
  <c r="P23" i="15"/>
  <c r="P33" i="15" s="1"/>
  <c r="O23" i="15"/>
  <c r="O33" i="15" s="1"/>
  <c r="Q20" i="15"/>
  <c r="P20" i="15"/>
  <c r="O20" i="15"/>
  <c r="Q14" i="15"/>
  <c r="Q43" i="15" s="1"/>
  <c r="P14" i="15"/>
  <c r="P43" i="15" s="1"/>
  <c r="O14" i="15"/>
  <c r="O43" i="15" s="1"/>
  <c r="Q2" i="15"/>
  <c r="P2" i="15"/>
  <c r="O2" i="15"/>
  <c r="S18" i="28"/>
  <c r="R18" i="28"/>
  <c r="Q7" i="15" s="1"/>
  <c r="Q18" i="28"/>
  <c r="P7" i="15" s="1"/>
  <c r="P18" i="28"/>
  <c r="O7" i="15" s="1"/>
  <c r="S16" i="28"/>
  <c r="R16" i="28"/>
  <c r="Q5" i="15" s="1"/>
  <c r="Q44" i="26" s="1"/>
  <c r="Q16" i="28"/>
  <c r="P5" i="15" s="1"/>
  <c r="P44" i="26" s="1"/>
  <c r="P16" i="28"/>
  <c r="O5" i="15" s="1"/>
  <c r="O44" i="26" s="1"/>
  <c r="S15" i="28"/>
  <c r="R15" i="28"/>
  <c r="Q4" i="15" s="1"/>
  <c r="Q15" i="28"/>
  <c r="P4" i="15" s="1"/>
  <c r="P15" i="28"/>
  <c r="O4" i="15" s="1"/>
  <c r="S14" i="28"/>
  <c r="R14" i="28"/>
  <c r="Q3" i="15" s="1"/>
  <c r="Q14" i="28"/>
  <c r="P3" i="15" s="1"/>
  <c r="P14" i="28"/>
  <c r="O3" i="15" s="1"/>
  <c r="S13" i="28"/>
  <c r="S22" i="28" s="1"/>
  <c r="R13" i="28"/>
  <c r="R22" i="28" s="1"/>
  <c r="Q13" i="28"/>
  <c r="Q22" i="28" s="1"/>
  <c r="P13" i="28"/>
  <c r="P22" i="28" s="1"/>
  <c r="G28" i="6"/>
  <c r="G25" i="6" s="1"/>
  <c r="E25" i="6"/>
  <c r="F25" i="6"/>
  <c r="D25" i="6"/>
  <c r="G29" i="6"/>
  <c r="F27" i="6"/>
  <c r="E27" i="6"/>
  <c r="E29" i="6" s="1"/>
  <c r="E13" i="6" s="1"/>
  <c r="O188" i="3" l="1"/>
  <c r="P144" i="3"/>
  <c r="AP251" i="35"/>
  <c r="CO251" i="35" s="1"/>
  <c r="AJ251" i="35"/>
  <c r="CM251" i="35" s="1"/>
  <c r="AD251" i="35"/>
  <c r="CK251" i="35" s="1"/>
  <c r="AM251" i="35"/>
  <c r="CN251" i="35" s="1"/>
  <c r="AG251" i="35"/>
  <c r="CL251" i="35" s="1"/>
  <c r="AA251" i="35"/>
  <c r="CJ251" i="35" s="1"/>
  <c r="AP252" i="35"/>
  <c r="CO252" i="35" s="1"/>
  <c r="AG252" i="35"/>
  <c r="CL252" i="35" s="1"/>
  <c r="AM252" i="35"/>
  <c r="CN252" i="35" s="1"/>
  <c r="AA252" i="35"/>
  <c r="CJ252" i="35" s="1"/>
  <c r="AD252" i="35"/>
  <c r="CK252" i="35" s="1"/>
  <c r="AJ252" i="35"/>
  <c r="CM252" i="35" s="1"/>
  <c r="B265" i="35"/>
  <c r="B266" i="35"/>
  <c r="O55" i="3"/>
  <c r="N66" i="3"/>
  <c r="AT4" i="11"/>
  <c r="BI4" i="11" s="1"/>
  <c r="AU4" i="11"/>
  <c r="BJ4" i="11" s="1"/>
  <c r="Q144" i="3"/>
  <c r="P9" i="3"/>
  <c r="O18" i="15"/>
  <c r="L3" i="34"/>
  <c r="Q18" i="15"/>
  <c r="N3" i="34"/>
  <c r="O2" i="9"/>
  <c r="O47" i="12"/>
  <c r="O27" i="12" s="1"/>
  <c r="P21" i="10"/>
  <c r="Q2" i="9"/>
  <c r="Q47" i="12"/>
  <c r="Q27" i="12" s="1"/>
  <c r="R21" i="10"/>
  <c r="O9" i="3"/>
  <c r="Q9" i="3"/>
  <c r="AV4" i="11"/>
  <c r="BK4" i="11" s="1"/>
  <c r="P47" i="6"/>
  <c r="Q47" i="6"/>
  <c r="O47" i="6"/>
  <c r="P18" i="15"/>
  <c r="M3" i="34"/>
  <c r="P2" i="9"/>
  <c r="P47" i="12"/>
  <c r="P27" i="12" s="1"/>
  <c r="Q21" i="10"/>
  <c r="AF245" i="11"/>
  <c r="AU252" i="11"/>
  <c r="AU244" i="11"/>
  <c r="AE245" i="11"/>
  <c r="AT252" i="11"/>
  <c r="AT244" i="11"/>
  <c r="AG245" i="11"/>
  <c r="AV252" i="11"/>
  <c r="AV244" i="11"/>
  <c r="O38" i="12"/>
  <c r="O35" i="12"/>
  <c r="O33" i="12"/>
  <c r="O30" i="12"/>
  <c r="O28" i="12"/>
  <c r="O49" i="15"/>
  <c r="O15" i="3" s="1"/>
  <c r="P49" i="15"/>
  <c r="Q49" i="15"/>
  <c r="D29" i="6"/>
  <c r="D13" i="6" s="1"/>
  <c r="F29" i="6"/>
  <c r="F13" i="6" s="1"/>
  <c r="F16" i="6"/>
  <c r="E16" i="6"/>
  <c r="G19" i="36"/>
  <c r="H19" i="36"/>
  <c r="I19" i="36"/>
  <c r="F21" i="36"/>
  <c r="G21" i="36"/>
  <c r="H21" i="36"/>
  <c r="I21" i="36"/>
  <c r="E19" i="36"/>
  <c r="E21" i="36"/>
  <c r="O40" i="12" l="1"/>
  <c r="Q42" i="12"/>
  <c r="O29" i="12"/>
  <c r="O31" i="12"/>
  <c r="O34" i="12"/>
  <c r="O37" i="12"/>
  <c r="O39" i="12"/>
  <c r="B273" i="35"/>
  <c r="B272" i="35"/>
  <c r="BY208" i="11"/>
  <c r="P188" i="3"/>
  <c r="AP259" i="35"/>
  <c r="CO259" i="35" s="1"/>
  <c r="AG259" i="35"/>
  <c r="CL259" i="35" s="1"/>
  <c r="AM259" i="35"/>
  <c r="CN259" i="35" s="1"/>
  <c r="AA259" i="35"/>
  <c r="CJ259" i="35" s="1"/>
  <c r="AD259" i="35"/>
  <c r="CK259" i="35" s="1"/>
  <c r="AJ259" i="35"/>
  <c r="CM259" i="35" s="1"/>
  <c r="AP258" i="35"/>
  <c r="CO258" i="35" s="1"/>
  <c r="AJ258" i="35"/>
  <c r="CM258" i="35" s="1"/>
  <c r="AM258" i="35"/>
  <c r="CN258" i="35" s="1"/>
  <c r="AG258" i="35"/>
  <c r="CL258" i="35" s="1"/>
  <c r="AA258" i="35"/>
  <c r="CJ258" i="35" s="1"/>
  <c r="AD258" i="35"/>
  <c r="CK258" i="35" s="1"/>
  <c r="P55" i="3"/>
  <c r="O66" i="3"/>
  <c r="BX4" i="11"/>
  <c r="O4" i="18" s="1"/>
  <c r="BY4" i="11"/>
  <c r="P4" i="18" s="1"/>
  <c r="Q28" i="12"/>
  <c r="Q29" i="12"/>
  <c r="Q30" i="12"/>
  <c r="Q31" i="12"/>
  <c r="Q33" i="12"/>
  <c r="Q34" i="12"/>
  <c r="Q35" i="12"/>
  <c r="Q37" i="12"/>
  <c r="Q38" i="12"/>
  <c r="Q39" i="12"/>
  <c r="Q40" i="12"/>
  <c r="Q44" i="12"/>
  <c r="P15" i="3"/>
  <c r="Q41" i="12"/>
  <c r="Q43" i="12"/>
  <c r="O41" i="12"/>
  <c r="O42" i="12"/>
  <c r="O43" i="12"/>
  <c r="P28" i="12"/>
  <c r="P29" i="12"/>
  <c r="P30" i="12"/>
  <c r="P31" i="12"/>
  <c r="P33" i="12"/>
  <c r="P34" i="12"/>
  <c r="P35" i="12"/>
  <c r="P37" i="12"/>
  <c r="P38" i="12"/>
  <c r="P39" i="12"/>
  <c r="P40" i="12"/>
  <c r="P41" i="12"/>
  <c r="P42" i="12"/>
  <c r="P43" i="12"/>
  <c r="P44" i="12"/>
  <c r="O44" i="12"/>
  <c r="BZ4" i="11"/>
  <c r="Q4" i="18" s="1"/>
  <c r="BZ208" i="11"/>
  <c r="Q188" i="3"/>
  <c r="AE246" i="11"/>
  <c r="AT245" i="11"/>
  <c r="AG246" i="11"/>
  <c r="AV245" i="11"/>
  <c r="AF246" i="11"/>
  <c r="AU245" i="11"/>
  <c r="D16" i="6"/>
  <c r="F12" i="6"/>
  <c r="E12" i="6"/>
  <c r="D12" i="6"/>
  <c r="AP265" i="35" l="1"/>
  <c r="CO265" i="35" s="1"/>
  <c r="AJ265" i="35"/>
  <c r="CM265" i="35" s="1"/>
  <c r="AD265" i="35"/>
  <c r="CK265" i="35" s="1"/>
  <c r="AM265" i="35"/>
  <c r="CN265" i="35" s="1"/>
  <c r="AG265" i="35"/>
  <c r="CL265" i="35" s="1"/>
  <c r="AA265" i="35"/>
  <c r="CJ265" i="35" s="1"/>
  <c r="AP266" i="35"/>
  <c r="CO266" i="35" s="1"/>
  <c r="AG266" i="35"/>
  <c r="CL266" i="35" s="1"/>
  <c r="AM266" i="35"/>
  <c r="CN266" i="35" s="1"/>
  <c r="AA266" i="35"/>
  <c r="CJ266" i="35" s="1"/>
  <c r="AD266" i="35"/>
  <c r="CK266" i="35" s="1"/>
  <c r="AJ266" i="35"/>
  <c r="CM266" i="35" s="1"/>
  <c r="B279" i="35"/>
  <c r="B280" i="35"/>
  <c r="Q55" i="3"/>
  <c r="P66" i="3"/>
  <c r="Q15" i="3"/>
  <c r="AF247" i="11"/>
  <c r="AU247" i="11" s="1"/>
  <c r="AU246" i="11"/>
  <c r="AG247" i="11"/>
  <c r="AV247" i="11" s="1"/>
  <c r="AV246" i="11"/>
  <c r="AE247" i="11"/>
  <c r="AT247" i="11" s="1"/>
  <c r="AT246" i="11"/>
  <c r="D14" i="8"/>
  <c r="D8" i="8"/>
  <c r="D16" i="8"/>
  <c r="D15" i="8" s="1"/>
  <c r="E17" i="8"/>
  <c r="F17" i="8"/>
  <c r="D10" i="8"/>
  <c r="E10" i="8"/>
  <c r="F10" i="8"/>
  <c r="E20" i="8" l="1"/>
  <c r="F20" i="8"/>
  <c r="E26" i="8"/>
  <c r="E34" i="8" s="1"/>
  <c r="E36" i="8" s="1"/>
  <c r="E15" i="17"/>
  <c r="E16" i="17" s="1"/>
  <c r="AP273" i="35"/>
  <c r="CO273" i="35" s="1"/>
  <c r="AJ273" i="35"/>
  <c r="CM273" i="35" s="1"/>
  <c r="AD273" i="35"/>
  <c r="CK273" i="35" s="1"/>
  <c r="AM273" i="35"/>
  <c r="CN273" i="35" s="1"/>
  <c r="AG273" i="35"/>
  <c r="CL273" i="35" s="1"/>
  <c r="AA273" i="35"/>
  <c r="CJ273" i="35" s="1"/>
  <c r="AP272" i="35"/>
  <c r="CO272" i="35" s="1"/>
  <c r="AJ272" i="35"/>
  <c r="CM272" i="35" s="1"/>
  <c r="AD272" i="35"/>
  <c r="CK272" i="35" s="1"/>
  <c r="AM272" i="35"/>
  <c r="CN272" i="35" s="1"/>
  <c r="AG272" i="35"/>
  <c r="CL272" i="35" s="1"/>
  <c r="AA272" i="35"/>
  <c r="CJ272" i="35" s="1"/>
  <c r="B287" i="35"/>
  <c r="B286" i="35"/>
  <c r="Q66" i="3"/>
  <c r="D17" i="8"/>
  <c r="D20" i="8" s="1"/>
  <c r="F26" i="8" l="1"/>
  <c r="F34" i="8" s="1"/>
  <c r="F36" i="8" s="1"/>
  <c r="F15" i="17"/>
  <c r="F16" i="17" s="1"/>
  <c r="D26" i="8"/>
  <c r="D34" i="8" s="1"/>
  <c r="D36" i="8" s="1"/>
  <c r="D4" i="6" s="1"/>
  <c r="D15" i="17"/>
  <c r="D16" i="17" s="1"/>
  <c r="AP279" i="35"/>
  <c r="CO279" i="35" s="1"/>
  <c r="AJ279" i="35"/>
  <c r="CM279" i="35" s="1"/>
  <c r="AD279" i="35"/>
  <c r="CK279" i="35" s="1"/>
  <c r="AM279" i="35"/>
  <c r="CN279" i="35" s="1"/>
  <c r="AG279" i="35"/>
  <c r="CL279" i="35" s="1"/>
  <c r="AA279" i="35"/>
  <c r="CJ279" i="35" s="1"/>
  <c r="AP280" i="35"/>
  <c r="CO280" i="35" s="1"/>
  <c r="AG280" i="35"/>
  <c r="CL280" i="35" s="1"/>
  <c r="AM280" i="35"/>
  <c r="CN280" i="35" s="1"/>
  <c r="AA280" i="35"/>
  <c r="CJ280" i="35" s="1"/>
  <c r="AD280" i="35"/>
  <c r="CK280" i="35" s="1"/>
  <c r="AJ280" i="35"/>
  <c r="CM280" i="35" s="1"/>
  <c r="B293" i="35"/>
  <c r="B294" i="35"/>
  <c r="D21" i="36"/>
  <c r="D19" i="36"/>
  <c r="C18" i="6"/>
  <c r="D18" i="6"/>
  <c r="E18" i="6"/>
  <c r="F18" i="6"/>
  <c r="M5" i="36"/>
  <c r="N5" i="36"/>
  <c r="H5" i="36"/>
  <c r="H20" i="36" s="1"/>
  <c r="I5" i="36"/>
  <c r="I20" i="36" s="1"/>
  <c r="J5" i="36"/>
  <c r="K5" i="36"/>
  <c r="L5" i="36"/>
  <c r="C11" i="36"/>
  <c r="AP287" i="35" l="1"/>
  <c r="CO287" i="35" s="1"/>
  <c r="AD287" i="35"/>
  <c r="CK287" i="35" s="1"/>
  <c r="AJ287" i="35"/>
  <c r="CM287" i="35" s="1"/>
  <c r="AG287" i="35"/>
  <c r="CL287" i="35" s="1"/>
  <c r="AA287" i="35"/>
  <c r="CJ287" i="35" s="1"/>
  <c r="AM287" i="35"/>
  <c r="CN287" i="35" s="1"/>
  <c r="AJ286" i="35"/>
  <c r="CM286" i="35" s="1"/>
  <c r="AP286" i="35"/>
  <c r="CO286" i="35" s="1"/>
  <c r="AD286" i="35"/>
  <c r="CK286" i="35" s="1"/>
  <c r="AA286" i="35"/>
  <c r="CJ286" i="35" s="1"/>
  <c r="AM286" i="35"/>
  <c r="CN286" i="35" s="1"/>
  <c r="AG286" i="35"/>
  <c r="CL286" i="35" s="1"/>
  <c r="AP294" i="35"/>
  <c r="CO294" i="35" s="1"/>
  <c r="AJ294" i="35"/>
  <c r="CM294" i="35" s="1"/>
  <c r="AD294" i="35"/>
  <c r="CK294" i="35" s="1"/>
  <c r="AM294" i="35"/>
  <c r="CN294" i="35" s="1"/>
  <c r="AG294" i="35"/>
  <c r="CL294" i="35" s="1"/>
  <c r="AA294" i="35"/>
  <c r="CJ294" i="35" s="1"/>
  <c r="AP293" i="35"/>
  <c r="CO293" i="35" s="1"/>
  <c r="AG293" i="35"/>
  <c r="CL293" i="35" s="1"/>
  <c r="AM293" i="35"/>
  <c r="CN293" i="35" s="1"/>
  <c r="AA293" i="35"/>
  <c r="CJ293" i="35" s="1"/>
  <c r="AD293" i="35"/>
  <c r="CK293" i="35" s="1"/>
  <c r="AJ293" i="35"/>
  <c r="CM293" i="35" s="1"/>
  <c r="F8" i="36"/>
  <c r="F19" i="36" s="1"/>
  <c r="F9" i="36"/>
  <c r="E9" i="36" l="1"/>
  <c r="E22" i="36" s="1"/>
  <c r="E5" i="36"/>
  <c r="E20" i="36" s="1"/>
  <c r="F5" i="36"/>
  <c r="F20" i="36" s="1"/>
  <c r="E18" i="36"/>
  <c r="F18" i="36"/>
  <c r="D18" i="36"/>
  <c r="D4" i="36"/>
  <c r="D23" i="36" s="1"/>
  <c r="E4" i="36"/>
  <c r="E23" i="36" s="1"/>
  <c r="F4" i="36"/>
  <c r="F23" i="36" s="1"/>
  <c r="C4" i="36"/>
  <c r="B12" i="36"/>
  <c r="C36" i="6" l="1"/>
  <c r="G9" i="15"/>
  <c r="E9" i="15"/>
  <c r="D23" i="6" l="1"/>
  <c r="D5" i="36" s="1"/>
  <c r="D20" i="36" s="1"/>
  <c r="C23" i="6"/>
  <c r="B41" i="6" l="1"/>
  <c r="F26" i="6"/>
  <c r="E26" i="6"/>
  <c r="D26" i="6"/>
  <c r="D8" i="6"/>
  <c r="E8" i="6"/>
  <c r="F8" i="6"/>
  <c r="D9" i="6"/>
  <c r="E9" i="6"/>
  <c r="F9" i="6"/>
  <c r="D10" i="6"/>
  <c r="E10" i="6"/>
  <c r="F10" i="6"/>
  <c r="D11" i="6"/>
  <c r="E11" i="6"/>
  <c r="F11" i="6"/>
  <c r="F14" i="6" l="1"/>
  <c r="F31" i="6" s="1"/>
  <c r="F34" i="6" s="1"/>
  <c r="F36" i="6" s="1"/>
  <c r="D14" i="6"/>
  <c r="D31" i="6" s="1"/>
  <c r="D34" i="6" s="1"/>
  <c r="D36" i="6" s="1"/>
  <c r="E14" i="6"/>
  <c r="E31" i="6" s="1"/>
  <c r="E34" i="6" s="1"/>
  <c r="E36" i="6" s="1"/>
  <c r="G14" i="7"/>
  <c r="G16" i="5"/>
  <c r="G12" i="6" l="1"/>
  <c r="F35" i="7"/>
  <c r="C18" i="7"/>
  <c r="D18" i="7"/>
  <c r="E18" i="7"/>
  <c r="F18" i="7"/>
  <c r="G7" i="7"/>
  <c r="H7" i="7" s="1"/>
  <c r="B31" i="7"/>
  <c r="C31" i="7"/>
  <c r="D31" i="7"/>
  <c r="E31" i="7"/>
  <c r="F31" i="7"/>
  <c r="B25" i="7"/>
  <c r="B13" i="36" s="1"/>
  <c r="C3" i="36" s="1"/>
  <c r="C12" i="36" s="1"/>
  <c r="C25" i="7"/>
  <c r="C13" i="36" s="1"/>
  <c r="D25" i="7"/>
  <c r="D13" i="36" s="1"/>
  <c r="E25" i="7"/>
  <c r="E13" i="36" s="1"/>
  <c r="F3" i="36" s="1"/>
  <c r="F12" i="36" s="1"/>
  <c r="F25" i="7"/>
  <c r="F13" i="36" s="1"/>
  <c r="D34" i="7" l="1"/>
  <c r="B34" i="7"/>
  <c r="D16" i="36"/>
  <c r="D3" i="36"/>
  <c r="D12" i="36" s="1"/>
  <c r="D14" i="36" s="1"/>
  <c r="E16" i="36"/>
  <c r="E3" i="36"/>
  <c r="E12" i="36" s="1"/>
  <c r="E14" i="36" s="1"/>
  <c r="C34" i="7"/>
  <c r="C14" i="36"/>
  <c r="E34" i="7"/>
  <c r="G3" i="36"/>
  <c r="F16" i="36"/>
  <c r="F14" i="36"/>
  <c r="F34" i="7"/>
  <c r="I7" i="7"/>
  <c r="J7" i="7" l="1"/>
  <c r="K7" i="7" l="1"/>
  <c r="L7" i="7" l="1"/>
  <c r="M7" i="7" l="1"/>
  <c r="N7" i="7" l="1"/>
  <c r="O7" i="7" s="1"/>
  <c r="P7" i="7" l="1"/>
  <c r="F40" i="6"/>
  <c r="F42" i="6" s="1"/>
  <c r="B26" i="1"/>
  <c r="N24" i="4"/>
  <c r="M24" i="4"/>
  <c r="L24" i="4"/>
  <c r="K24" i="4"/>
  <c r="J24" i="4"/>
  <c r="H14" i="10"/>
  <c r="I34" i="16"/>
  <c r="J35" i="16" s="1"/>
  <c r="K36" i="16" s="1"/>
  <c r="L37" i="16" s="1"/>
  <c r="M38" i="16" s="1"/>
  <c r="N39" i="16" s="1"/>
  <c r="O40" i="16" s="1"/>
  <c r="P41" i="16" l="1"/>
  <c r="Q7" i="7"/>
  <c r="C24" i="5"/>
  <c r="C17" i="5"/>
  <c r="Q42" i="16" l="1"/>
  <c r="G67" i="16"/>
  <c r="B76" i="16" l="1"/>
  <c r="F76" i="16"/>
  <c r="B77" i="16"/>
  <c r="G77" i="16"/>
  <c r="B78" i="16"/>
  <c r="H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F36" i="7" l="1"/>
  <c r="B36" i="7"/>
  <c r="B20" i="16"/>
  <c r="B21" i="16"/>
  <c r="B16" i="16"/>
  <c r="B17" i="16"/>
  <c r="B18" i="16"/>
  <c r="B19" i="16"/>
  <c r="B15" i="16"/>
  <c r="B41" i="18"/>
  <c r="B40" i="18"/>
  <c r="C39" i="8"/>
  <c r="D39" i="8"/>
  <c r="E39" i="8"/>
  <c r="F39" i="8"/>
  <c r="B39" i="8"/>
  <c r="B38" i="8"/>
  <c r="C38" i="8"/>
  <c r="D38" i="8"/>
  <c r="E38" i="8"/>
  <c r="F38" i="8"/>
  <c r="K7" i="11"/>
  <c r="R28" i="12"/>
  <c r="R30" i="12"/>
  <c r="R31" i="12"/>
  <c r="R33" i="12"/>
  <c r="R34" i="12"/>
  <c r="R36" i="12"/>
  <c r="R27" i="12"/>
  <c r="F34" i="12"/>
  <c r="F33" i="12"/>
  <c r="D27" i="12"/>
  <c r="D28" i="12"/>
  <c r="D29" i="12"/>
  <c r="D30" i="12"/>
  <c r="D32" i="12"/>
  <c r="D35" i="12"/>
  <c r="D37" i="12"/>
  <c r="D38" i="12"/>
  <c r="D41" i="12"/>
  <c r="D42" i="12"/>
  <c r="D43" i="12"/>
  <c r="D44" i="12"/>
  <c r="G18" i="12"/>
  <c r="R18" i="12" s="1"/>
  <c r="R40" i="12" s="1"/>
  <c r="G17" i="12"/>
  <c r="R17" i="12" s="1"/>
  <c r="R39" i="12" s="1"/>
  <c r="F38" i="12"/>
  <c r="E38" i="12"/>
  <c r="F37" i="12"/>
  <c r="E37" i="12"/>
  <c r="G33" i="12"/>
  <c r="E35" i="12"/>
  <c r="F35" i="12"/>
  <c r="F28" i="12"/>
  <c r="E28" i="12"/>
  <c r="F27" i="12"/>
  <c r="E27" i="12"/>
  <c r="G28" i="12"/>
  <c r="G30" i="12"/>
  <c r="G27" i="12"/>
  <c r="G13" i="12"/>
  <c r="R13" i="12" s="1"/>
  <c r="R35" i="12" s="1"/>
  <c r="E30" i="12"/>
  <c r="AP159" i="35"/>
  <c r="CO159" i="35" s="1"/>
  <c r="AP158" i="35"/>
  <c r="CO158" i="35" s="1"/>
  <c r="AP157" i="35"/>
  <c r="CO157" i="35" s="1"/>
  <c r="AP156" i="35"/>
  <c r="CO156" i="35" s="1"/>
  <c r="AP149" i="35"/>
  <c r="CO149" i="35" s="1"/>
  <c r="AP145" i="35"/>
  <c r="CO145" i="35" s="1"/>
  <c r="AP141" i="35"/>
  <c r="CO141" i="35" s="1"/>
  <c r="AP137" i="35"/>
  <c r="CO137" i="35" s="1"/>
  <c r="AP133" i="35"/>
  <c r="CO133" i="35" s="1"/>
  <c r="AP129" i="35"/>
  <c r="CO129" i="35" s="1"/>
  <c r="AP124" i="35"/>
  <c r="CO124" i="35" s="1"/>
  <c r="AP123" i="35"/>
  <c r="CO123" i="35" s="1"/>
  <c r="AP117" i="35"/>
  <c r="CO117" i="35" s="1"/>
  <c r="AP113" i="35"/>
  <c r="CO113" i="35" s="1"/>
  <c r="AP108" i="35"/>
  <c r="CO108" i="35" s="1"/>
  <c r="AP107" i="35"/>
  <c r="CO107" i="35" s="1"/>
  <c r="AP106" i="35"/>
  <c r="CO106" i="35" s="1"/>
  <c r="AP104" i="35"/>
  <c r="CO104" i="35" s="1"/>
  <c r="AP95" i="35"/>
  <c r="CO95" i="35" s="1"/>
  <c r="AP90" i="35"/>
  <c r="CO90" i="35" s="1"/>
  <c r="AP88" i="35"/>
  <c r="CO88" i="35" s="1"/>
  <c r="AP81" i="35"/>
  <c r="CO81" i="35" s="1"/>
  <c r="AP30" i="35"/>
  <c r="CO30" i="35" s="1"/>
  <c r="AP28" i="35"/>
  <c r="CO28" i="35" s="1"/>
  <c r="AP26" i="35"/>
  <c r="CO26" i="35" s="1"/>
  <c r="AP22" i="35"/>
  <c r="CO22" i="35" s="1"/>
  <c r="AM159" i="35"/>
  <c r="CN159" i="35" s="1"/>
  <c r="AM158" i="35"/>
  <c r="CN158" i="35" s="1"/>
  <c r="AM157" i="35"/>
  <c r="CN157" i="35" s="1"/>
  <c r="AM156" i="35"/>
  <c r="CN156" i="35" s="1"/>
  <c r="AM149" i="35"/>
  <c r="CN149" i="35" s="1"/>
  <c r="AM145" i="35"/>
  <c r="CN145" i="35" s="1"/>
  <c r="AM141" i="35"/>
  <c r="CN141" i="35" s="1"/>
  <c r="AM137" i="35"/>
  <c r="CN137" i="35" s="1"/>
  <c r="AM133" i="35"/>
  <c r="CN133" i="35" s="1"/>
  <c r="AM129" i="35"/>
  <c r="CN129" i="35" s="1"/>
  <c r="AM124" i="35"/>
  <c r="CN124" i="35" s="1"/>
  <c r="AM123" i="35"/>
  <c r="CN123" i="35" s="1"/>
  <c r="AM117" i="35"/>
  <c r="CN117" i="35" s="1"/>
  <c r="AM113" i="35"/>
  <c r="CN113" i="35" s="1"/>
  <c r="AM108" i="35"/>
  <c r="CN108" i="35" s="1"/>
  <c r="AM107" i="35"/>
  <c r="CN107" i="35" s="1"/>
  <c r="AM106" i="35"/>
  <c r="CN106" i="35" s="1"/>
  <c r="AM104" i="35"/>
  <c r="CN104" i="35" s="1"/>
  <c r="AM95" i="35"/>
  <c r="CN95" i="35" s="1"/>
  <c r="AM90" i="35"/>
  <c r="CN90" i="35" s="1"/>
  <c r="AM88" i="35"/>
  <c r="CN88" i="35" s="1"/>
  <c r="AM81" i="35"/>
  <c r="CN81" i="35" s="1"/>
  <c r="AM30" i="35"/>
  <c r="CN30" i="35" s="1"/>
  <c r="AM28" i="35"/>
  <c r="CN28" i="35" s="1"/>
  <c r="AM26" i="35"/>
  <c r="CN26" i="35" s="1"/>
  <c r="AM22" i="35"/>
  <c r="CN22" i="35" s="1"/>
  <c r="AJ159" i="35"/>
  <c r="CM159" i="35" s="1"/>
  <c r="AJ158" i="35"/>
  <c r="CM158" i="35" s="1"/>
  <c r="AJ157" i="35"/>
  <c r="CM157" i="35" s="1"/>
  <c r="AJ156" i="35"/>
  <c r="CM156" i="35" s="1"/>
  <c r="AJ149" i="35"/>
  <c r="CM149" i="35" s="1"/>
  <c r="AJ145" i="35"/>
  <c r="CM145" i="35" s="1"/>
  <c r="AJ141" i="35"/>
  <c r="CM141" i="35" s="1"/>
  <c r="AJ137" i="35"/>
  <c r="CM137" i="35" s="1"/>
  <c r="AJ133" i="35"/>
  <c r="CM133" i="35" s="1"/>
  <c r="AJ129" i="35"/>
  <c r="CM129" i="35" s="1"/>
  <c r="AJ124" i="35"/>
  <c r="CM124" i="35" s="1"/>
  <c r="AJ123" i="35"/>
  <c r="CM123" i="35" s="1"/>
  <c r="AJ117" i="35"/>
  <c r="CM117" i="35" s="1"/>
  <c r="AJ113" i="35"/>
  <c r="CM113" i="35" s="1"/>
  <c r="AJ108" i="35"/>
  <c r="CM108" i="35" s="1"/>
  <c r="AJ107" i="35"/>
  <c r="CM107" i="35" s="1"/>
  <c r="AJ106" i="35"/>
  <c r="CM106" i="35" s="1"/>
  <c r="AJ104" i="35"/>
  <c r="CM104" i="35" s="1"/>
  <c r="AJ95" i="35"/>
  <c r="CM95" i="35" s="1"/>
  <c r="AJ90" i="35"/>
  <c r="CM90" i="35" s="1"/>
  <c r="AJ88" i="35"/>
  <c r="CM88" i="35" s="1"/>
  <c r="AJ81" i="35"/>
  <c r="CM81" i="35" s="1"/>
  <c r="AJ30" i="35"/>
  <c r="CM30" i="35" s="1"/>
  <c r="AJ28" i="35"/>
  <c r="CM28" i="35" s="1"/>
  <c r="AJ26" i="35"/>
  <c r="CM26" i="35" s="1"/>
  <c r="AJ22" i="35"/>
  <c r="CM22" i="35" s="1"/>
  <c r="AG159" i="35"/>
  <c r="CL159" i="35" s="1"/>
  <c r="AG158" i="35"/>
  <c r="CL158" i="35" s="1"/>
  <c r="AG157" i="35"/>
  <c r="CL157" i="35" s="1"/>
  <c r="AG156" i="35"/>
  <c r="CL156" i="35" s="1"/>
  <c r="AG149" i="35"/>
  <c r="CL149" i="35" s="1"/>
  <c r="AG145" i="35"/>
  <c r="CL145" i="35" s="1"/>
  <c r="AG141" i="35"/>
  <c r="CL141" i="35" s="1"/>
  <c r="AG137" i="35"/>
  <c r="CL137" i="35" s="1"/>
  <c r="AG133" i="35"/>
  <c r="CL133" i="35" s="1"/>
  <c r="AG129" i="35"/>
  <c r="CL129" i="35" s="1"/>
  <c r="AG124" i="35"/>
  <c r="CL124" i="35" s="1"/>
  <c r="AG123" i="35"/>
  <c r="CL123" i="35" s="1"/>
  <c r="AG117" i="35"/>
  <c r="CL117" i="35" s="1"/>
  <c r="AG113" i="35"/>
  <c r="CL113" i="35" s="1"/>
  <c r="AG108" i="35"/>
  <c r="CL108" i="35" s="1"/>
  <c r="AG107" i="35"/>
  <c r="CL107" i="35" s="1"/>
  <c r="AG106" i="35"/>
  <c r="CL106" i="35" s="1"/>
  <c r="AG104" i="35"/>
  <c r="CL104" i="35" s="1"/>
  <c r="AG95" i="35"/>
  <c r="CL95" i="35" s="1"/>
  <c r="AG90" i="35"/>
  <c r="CL90" i="35" s="1"/>
  <c r="AG88" i="35"/>
  <c r="CL88" i="35" s="1"/>
  <c r="AG81" i="35"/>
  <c r="CL81" i="35" s="1"/>
  <c r="AG30" i="35"/>
  <c r="CL30" i="35" s="1"/>
  <c r="AG28" i="35"/>
  <c r="CL28" i="35" s="1"/>
  <c r="AG26" i="35"/>
  <c r="CL26" i="35" s="1"/>
  <c r="AG22" i="35"/>
  <c r="CL22" i="35" s="1"/>
  <c r="AD159" i="35"/>
  <c r="CK159" i="35" s="1"/>
  <c r="AD158" i="35"/>
  <c r="CK158" i="35" s="1"/>
  <c r="AD157" i="35"/>
  <c r="CK157" i="35" s="1"/>
  <c r="AD156" i="35"/>
  <c r="CK156" i="35" s="1"/>
  <c r="AD149" i="35"/>
  <c r="CK149" i="35" s="1"/>
  <c r="AD145" i="35"/>
  <c r="CK145" i="35" s="1"/>
  <c r="AD141" i="35"/>
  <c r="CK141" i="35" s="1"/>
  <c r="AD137" i="35"/>
  <c r="CK137" i="35" s="1"/>
  <c r="AD133" i="35"/>
  <c r="CK133" i="35" s="1"/>
  <c r="AD129" i="35"/>
  <c r="CK129" i="35" s="1"/>
  <c r="AD124" i="35"/>
  <c r="CK124" i="35" s="1"/>
  <c r="AD123" i="35"/>
  <c r="CK123" i="35" s="1"/>
  <c r="AD117" i="35"/>
  <c r="CK117" i="35" s="1"/>
  <c r="AD113" i="35"/>
  <c r="CK113" i="35" s="1"/>
  <c r="AD108" i="35"/>
  <c r="CK108" i="35" s="1"/>
  <c r="AD107" i="35"/>
  <c r="CK107" i="35" s="1"/>
  <c r="AD106" i="35"/>
  <c r="CK106" i="35" s="1"/>
  <c r="AD104" i="35"/>
  <c r="CK104" i="35" s="1"/>
  <c r="AD95" i="35"/>
  <c r="CK95" i="35" s="1"/>
  <c r="AD90" i="35"/>
  <c r="CK90" i="35" s="1"/>
  <c r="AD88" i="35"/>
  <c r="CK88" i="35" s="1"/>
  <c r="AD81" i="35"/>
  <c r="CK81" i="35" s="1"/>
  <c r="AD30" i="35"/>
  <c r="CK30" i="35" s="1"/>
  <c r="AD28" i="35"/>
  <c r="CK28" i="35" s="1"/>
  <c r="AD26" i="35"/>
  <c r="CK26" i="35" s="1"/>
  <c r="AD22" i="35"/>
  <c r="CK22" i="35" s="1"/>
  <c r="E83" i="9"/>
  <c r="G84" i="22"/>
  <c r="G85" i="22"/>
  <c r="F97" i="14"/>
  <c r="G97" i="14"/>
  <c r="AA159" i="35"/>
  <c r="CJ159" i="35" s="1"/>
  <c r="AA158" i="35"/>
  <c r="CJ158" i="35" s="1"/>
  <c r="AA157" i="35"/>
  <c r="CJ157" i="35" s="1"/>
  <c r="AA156" i="35"/>
  <c r="CJ156" i="35" s="1"/>
  <c r="AA149" i="35"/>
  <c r="CJ149" i="35" s="1"/>
  <c r="AA145" i="35"/>
  <c r="CJ145" i="35" s="1"/>
  <c r="AA141" i="35"/>
  <c r="CJ141" i="35" s="1"/>
  <c r="AA137" i="35"/>
  <c r="CJ137" i="35" s="1"/>
  <c r="AA133" i="35"/>
  <c r="CJ133" i="35" s="1"/>
  <c r="AA129" i="35"/>
  <c r="CJ129" i="35" s="1"/>
  <c r="AA124" i="35"/>
  <c r="CJ124" i="35" s="1"/>
  <c r="AA123" i="35"/>
  <c r="CJ123" i="35" s="1"/>
  <c r="AA117" i="35"/>
  <c r="CJ117" i="35" s="1"/>
  <c r="AA113" i="35"/>
  <c r="CJ113" i="35" s="1"/>
  <c r="AA108" i="35"/>
  <c r="CJ108" i="35" s="1"/>
  <c r="AA107" i="35"/>
  <c r="CJ107" i="35" s="1"/>
  <c r="AA106" i="35"/>
  <c r="CJ106" i="35" s="1"/>
  <c r="AA104" i="35"/>
  <c r="CJ104" i="35" s="1"/>
  <c r="AA95" i="35"/>
  <c r="CJ95" i="35" s="1"/>
  <c r="AA90" i="35"/>
  <c r="CJ90" i="35" s="1"/>
  <c r="AA88" i="35"/>
  <c r="CJ88" i="35" s="1"/>
  <c r="AA81" i="35"/>
  <c r="CJ81" i="35" s="1"/>
  <c r="AA30" i="35"/>
  <c r="CJ30" i="35" s="1"/>
  <c r="AA28" i="35"/>
  <c r="CJ28" i="35" s="1"/>
  <c r="AA26" i="35"/>
  <c r="CJ26" i="35" s="1"/>
  <c r="AA22" i="35"/>
  <c r="CJ22" i="35" s="1"/>
  <c r="AQ1" i="35"/>
  <c r="AN1" i="35"/>
  <c r="AK1" i="35"/>
  <c r="AH1" i="35"/>
  <c r="AE1" i="35"/>
  <c r="AB1" i="35"/>
  <c r="Y1" i="35"/>
  <c r="Y47" i="35" s="1"/>
  <c r="Y4" i="35" l="1"/>
  <c r="Y14" i="35"/>
  <c r="Y24" i="35"/>
  <c r="Y39" i="35"/>
  <c r="Y9" i="35"/>
  <c r="Y19" i="35"/>
  <c r="Y34" i="35"/>
  <c r="Y44" i="35"/>
  <c r="AB4" i="35"/>
  <c r="AB14" i="35"/>
  <c r="AB24" i="35"/>
  <c r="Y6" i="35"/>
  <c r="Y11" i="35"/>
  <c r="Y16" i="35"/>
  <c r="Y21" i="35"/>
  <c r="Y32" i="35"/>
  <c r="Y37" i="35"/>
  <c r="Y42" i="35"/>
  <c r="F30" i="12"/>
  <c r="Y152" i="35"/>
  <c r="Y150" i="35"/>
  <c r="Y147" i="35"/>
  <c r="Y144" i="35"/>
  <c r="Z144" i="35" s="1"/>
  <c r="BQ144" i="35" s="1"/>
  <c r="Y142" i="35"/>
  <c r="Y139" i="35"/>
  <c r="Y136" i="35"/>
  <c r="Y134" i="35"/>
  <c r="Y127" i="35"/>
  <c r="Y7" i="35"/>
  <c r="Y5" i="35"/>
  <c r="Y10" i="35"/>
  <c r="Y12" i="35"/>
  <c r="Y15" i="35"/>
  <c r="Y17" i="35"/>
  <c r="Y20" i="35"/>
  <c r="Y23" i="35"/>
  <c r="Y25" i="35"/>
  <c r="Y33" i="35"/>
  <c r="Y35" i="35"/>
  <c r="Y38" i="35"/>
  <c r="Y40" i="35"/>
  <c r="Y43" i="35"/>
  <c r="Y45" i="35"/>
  <c r="Y48" i="35"/>
  <c r="Y50" i="35"/>
  <c r="Y53" i="35"/>
  <c r="Y55" i="35"/>
  <c r="Y58" i="35"/>
  <c r="Y60" i="35"/>
  <c r="Y63" i="35"/>
  <c r="Y65" i="35"/>
  <c r="Y68" i="35"/>
  <c r="Y70" i="35"/>
  <c r="Y73" i="35"/>
  <c r="Y75" i="35"/>
  <c r="Y78" i="35"/>
  <c r="Y80" i="35"/>
  <c r="Y83" i="35"/>
  <c r="Y85" i="35"/>
  <c r="Y93" i="35"/>
  <c r="Y96" i="35"/>
  <c r="Y98" i="35"/>
  <c r="Y101" i="35"/>
  <c r="Y103" i="35"/>
  <c r="Y111" i="35"/>
  <c r="Y114" i="35"/>
  <c r="Y116" i="35"/>
  <c r="Y119" i="35"/>
  <c r="Y126" i="35"/>
  <c r="Y135" i="35"/>
  <c r="Y140" i="35"/>
  <c r="Y146" i="35"/>
  <c r="Y151" i="35"/>
  <c r="AB47" i="35"/>
  <c r="Y49" i="35"/>
  <c r="Y52" i="35"/>
  <c r="Y54" i="35"/>
  <c r="Y57" i="35"/>
  <c r="Y59" i="35"/>
  <c r="Y62" i="35"/>
  <c r="Y64" i="35"/>
  <c r="Y67" i="35"/>
  <c r="Y69" i="35"/>
  <c r="Y72" i="35"/>
  <c r="Y74" i="35"/>
  <c r="Y77" i="35"/>
  <c r="Y79" i="35"/>
  <c r="Y82" i="35"/>
  <c r="Y84" i="35"/>
  <c r="Y92" i="35"/>
  <c r="Y94" i="35"/>
  <c r="Y97" i="35"/>
  <c r="Y99" i="35"/>
  <c r="Y102" i="35"/>
  <c r="Y110" i="35"/>
  <c r="Y112" i="35"/>
  <c r="Y115" i="35"/>
  <c r="Y118" i="35"/>
  <c r="Y120" i="35"/>
  <c r="Y128" i="35"/>
  <c r="Y138" i="35"/>
  <c r="Y143" i="35"/>
  <c r="Y148" i="35"/>
  <c r="Y153" i="35"/>
  <c r="AR132" i="35"/>
  <c r="BW132" i="35" s="1"/>
  <c r="AR131" i="35"/>
  <c r="BW131" i="35" s="1"/>
  <c r="AR130" i="35"/>
  <c r="BW130" i="35" s="1"/>
  <c r="AO132" i="35"/>
  <c r="BV132" i="35" s="1"/>
  <c r="AO131" i="35"/>
  <c r="BV131" i="35" s="1"/>
  <c r="AO130" i="35"/>
  <c r="BV130" i="35" s="1"/>
  <c r="AL132" i="35"/>
  <c r="BU132" i="35" s="1"/>
  <c r="AL131" i="35"/>
  <c r="BU131" i="35" s="1"/>
  <c r="AL130" i="35"/>
  <c r="BU130" i="35" s="1"/>
  <c r="AI132" i="35"/>
  <c r="BT132" i="35" s="1"/>
  <c r="AI131" i="35"/>
  <c r="BT131" i="35" s="1"/>
  <c r="AI130" i="35"/>
  <c r="BT130" i="35" s="1"/>
  <c r="AF132" i="35"/>
  <c r="BS132" i="35" s="1"/>
  <c r="AF131" i="35"/>
  <c r="BS131" i="35" s="1"/>
  <c r="AF130" i="35"/>
  <c r="BS130" i="35" s="1"/>
  <c r="AC132" i="35"/>
  <c r="BR132" i="35" s="1"/>
  <c r="AC131" i="35"/>
  <c r="BR131" i="35" s="1"/>
  <c r="AC130" i="35"/>
  <c r="BR130" i="35" s="1"/>
  <c r="Z132" i="35"/>
  <c r="BQ132" i="35" s="1"/>
  <c r="Z131" i="35"/>
  <c r="BQ131" i="35" s="1"/>
  <c r="Z130" i="35"/>
  <c r="BQ130" i="35" s="1"/>
  <c r="W153" i="35"/>
  <c r="BP153" i="35" s="1"/>
  <c r="W152" i="35"/>
  <c r="BP152" i="35" s="1"/>
  <c r="W151" i="35"/>
  <c r="BP151" i="35" s="1"/>
  <c r="W150" i="35"/>
  <c r="BP150" i="35" s="1"/>
  <c r="U159" i="35"/>
  <c r="CH159" i="35" s="1"/>
  <c r="U158" i="35"/>
  <c r="CH158" i="35" s="1"/>
  <c r="U157" i="35"/>
  <c r="CH157" i="35" s="1"/>
  <c r="U156" i="35"/>
  <c r="CH156" i="35" s="1"/>
  <c r="U155" i="35"/>
  <c r="CH155" i="35" s="1"/>
  <c r="W136" i="35"/>
  <c r="BP136" i="35" s="1"/>
  <c r="W135" i="35"/>
  <c r="BP135" i="35" s="1"/>
  <c r="W134" i="35"/>
  <c r="BP134" i="35" s="1"/>
  <c r="W140" i="35"/>
  <c r="BP140" i="35" s="1"/>
  <c r="W139" i="35"/>
  <c r="BP139" i="35" s="1"/>
  <c r="W138" i="35"/>
  <c r="BP138" i="35" s="1"/>
  <c r="W144" i="35"/>
  <c r="BP144" i="35" s="1"/>
  <c r="W143" i="35"/>
  <c r="BP143" i="35" s="1"/>
  <c r="W142" i="35"/>
  <c r="BP142" i="35" s="1"/>
  <c r="W148" i="35"/>
  <c r="BP148" i="35" s="1"/>
  <c r="W147" i="35"/>
  <c r="BP147" i="35" s="1"/>
  <c r="W146" i="35"/>
  <c r="BP146" i="35" s="1"/>
  <c r="U124" i="35"/>
  <c r="CH124" i="35" s="1"/>
  <c r="U123" i="35"/>
  <c r="CH123" i="35" s="1"/>
  <c r="U122" i="35"/>
  <c r="CH122" i="35" s="1"/>
  <c r="W120" i="35"/>
  <c r="BP120" i="35" s="1"/>
  <c r="W119" i="35"/>
  <c r="BP119" i="35" s="1"/>
  <c r="W118" i="35"/>
  <c r="BP118" i="35" s="1"/>
  <c r="W111" i="35"/>
  <c r="BP111" i="35" s="1"/>
  <c r="W112" i="35"/>
  <c r="BP112" i="35" s="1"/>
  <c r="W110" i="35"/>
  <c r="BP110" i="35" s="1"/>
  <c r="W94" i="35"/>
  <c r="BP94" i="35" s="1"/>
  <c r="W93" i="35"/>
  <c r="BP93" i="35" s="1"/>
  <c r="W92" i="35"/>
  <c r="BP92" i="35" s="1"/>
  <c r="W102" i="35"/>
  <c r="BP102" i="35" s="1"/>
  <c r="W103" i="35"/>
  <c r="BP103" i="35" s="1"/>
  <c r="W101" i="35"/>
  <c r="BP101" i="35" s="1"/>
  <c r="W97" i="35"/>
  <c r="BP97" i="35" s="1"/>
  <c r="W98" i="35"/>
  <c r="BP98" i="35" s="1"/>
  <c r="W99" i="35"/>
  <c r="BP99" i="35" s="1"/>
  <c r="W96" i="35"/>
  <c r="BP96" i="35" s="1"/>
  <c r="W156" i="35" l="1"/>
  <c r="BP156" i="35" s="1"/>
  <c r="W108" i="35"/>
  <c r="BP108" i="35" s="1"/>
  <c r="W105" i="35"/>
  <c r="BP105" i="35" s="1"/>
  <c r="AB153" i="35"/>
  <c r="AB143" i="35"/>
  <c r="AB128" i="35"/>
  <c r="AB118" i="35"/>
  <c r="AB112" i="35"/>
  <c r="AC112" i="35" s="1"/>
  <c r="BR112" i="35" s="1"/>
  <c r="AB102" i="35"/>
  <c r="AC102" i="35" s="1"/>
  <c r="BR102" i="35" s="1"/>
  <c r="AB97" i="35"/>
  <c r="AB92" i="35"/>
  <c r="AC92" i="35" s="1"/>
  <c r="BR92" i="35" s="1"/>
  <c r="AB82" i="35"/>
  <c r="AB77" i="35"/>
  <c r="AB72" i="35"/>
  <c r="AB67" i="35"/>
  <c r="AB62" i="35"/>
  <c r="AB57" i="35"/>
  <c r="AB52" i="35"/>
  <c r="AE47" i="35"/>
  <c r="AB146" i="35"/>
  <c r="AC146" i="35" s="1"/>
  <c r="BR146" i="35" s="1"/>
  <c r="AB135" i="35"/>
  <c r="AC135" i="35" s="1"/>
  <c r="BR135" i="35" s="1"/>
  <c r="AB119" i="35"/>
  <c r="AC119" i="35" s="1"/>
  <c r="BR119" i="35" s="1"/>
  <c r="AB114" i="35"/>
  <c r="AC114" i="35" s="1"/>
  <c r="BR114" i="35" s="1"/>
  <c r="AB103" i="35"/>
  <c r="AC103" i="35" s="1"/>
  <c r="BR103" i="35" s="1"/>
  <c r="AB98" i="35"/>
  <c r="AC98" i="35" s="1"/>
  <c r="BR98" i="35" s="1"/>
  <c r="AB93" i="35"/>
  <c r="AB83" i="35"/>
  <c r="AC83" i="35" s="1"/>
  <c r="BR83" i="35" s="1"/>
  <c r="AB78" i="35"/>
  <c r="AC78" i="35" s="1"/>
  <c r="BR78" i="35" s="1"/>
  <c r="AB73" i="35"/>
  <c r="AC73" i="35" s="1"/>
  <c r="BR73" i="35" s="1"/>
  <c r="AB68" i="35"/>
  <c r="AB63" i="35"/>
  <c r="AC63" i="35" s="1"/>
  <c r="BR63" i="35" s="1"/>
  <c r="AB58" i="35"/>
  <c r="AC58" i="35" s="1"/>
  <c r="BR58" i="35" s="1"/>
  <c r="AB53" i="35"/>
  <c r="AC53" i="35" s="1"/>
  <c r="BR53" i="35" s="1"/>
  <c r="AB48" i="35"/>
  <c r="AB43" i="35"/>
  <c r="AC43" i="35" s="1"/>
  <c r="BR43" i="35" s="1"/>
  <c r="AB38" i="35"/>
  <c r="AC38" i="35" s="1"/>
  <c r="BR38" i="35" s="1"/>
  <c r="AB33" i="35"/>
  <c r="AC33" i="35" s="1"/>
  <c r="BR33" i="35" s="1"/>
  <c r="AB23" i="35"/>
  <c r="AB17" i="35"/>
  <c r="AC17" i="35" s="1"/>
  <c r="BR17" i="35" s="1"/>
  <c r="AB12" i="35"/>
  <c r="AC12" i="35" s="1"/>
  <c r="BR12" i="35" s="1"/>
  <c r="AB5" i="35"/>
  <c r="AC5" i="35" s="1"/>
  <c r="BR5" i="35" s="1"/>
  <c r="AB127" i="35"/>
  <c r="AB136" i="35"/>
  <c r="AB142" i="35"/>
  <c r="AC142" i="35" s="1"/>
  <c r="BR142" i="35" s="1"/>
  <c r="AB147" i="35"/>
  <c r="AC147" i="35" s="1"/>
  <c r="BR147" i="35" s="1"/>
  <c r="AB152" i="35"/>
  <c r="AC152" i="35" s="1"/>
  <c r="BR152" i="35" s="1"/>
  <c r="AB42" i="35"/>
  <c r="AE42" i="35" s="1"/>
  <c r="AB32" i="35"/>
  <c r="AC32" i="35" s="1"/>
  <c r="BR32" i="35" s="1"/>
  <c r="AB16" i="35"/>
  <c r="AE16" i="35" s="1"/>
  <c r="AB6" i="35"/>
  <c r="AE14" i="35"/>
  <c r="AB19" i="35"/>
  <c r="AC19" i="35" s="1"/>
  <c r="BR19" i="35" s="1"/>
  <c r="AB39" i="35"/>
  <c r="AE39" i="35" s="1"/>
  <c r="W107" i="35"/>
  <c r="BP107" i="35" s="1"/>
  <c r="W106" i="35"/>
  <c r="BP106" i="35" s="1"/>
  <c r="W159" i="35"/>
  <c r="BP159" i="35" s="1"/>
  <c r="W158" i="35"/>
  <c r="BP158" i="35" s="1"/>
  <c r="W157" i="35"/>
  <c r="BP157" i="35" s="1"/>
  <c r="AC133" i="35"/>
  <c r="BR133" i="35" s="1"/>
  <c r="AB148" i="35"/>
  <c r="AB138" i="35"/>
  <c r="AB120" i="35"/>
  <c r="AB115" i="35"/>
  <c r="AB110" i="35"/>
  <c r="AC110" i="35" s="1"/>
  <c r="BR110" i="35" s="1"/>
  <c r="AB99" i="35"/>
  <c r="AB94" i="35"/>
  <c r="AB84" i="35"/>
  <c r="AB79" i="35"/>
  <c r="AC79" i="35" s="1"/>
  <c r="BR79" i="35" s="1"/>
  <c r="AB74" i="35"/>
  <c r="AB69" i="35"/>
  <c r="AB64" i="35"/>
  <c r="AC64" i="35" s="1"/>
  <c r="BR64" i="35" s="1"/>
  <c r="AB59" i="35"/>
  <c r="AB54" i="35"/>
  <c r="AB49" i="35"/>
  <c r="AB151" i="35"/>
  <c r="AB140" i="35"/>
  <c r="AB126" i="35"/>
  <c r="AC126" i="35" s="1"/>
  <c r="BR126" i="35" s="1"/>
  <c r="AB116" i="35"/>
  <c r="AB111" i="35"/>
  <c r="AB101" i="35"/>
  <c r="AC101" i="35" s="1"/>
  <c r="BR101" i="35" s="1"/>
  <c r="AB96" i="35"/>
  <c r="AB85" i="35"/>
  <c r="AB80" i="35"/>
  <c r="AC80" i="35" s="1"/>
  <c r="BR80" i="35" s="1"/>
  <c r="AB75" i="35"/>
  <c r="AB70" i="35"/>
  <c r="AB65" i="35"/>
  <c r="AB60" i="35"/>
  <c r="AC60" i="35" s="1"/>
  <c r="BR60" i="35" s="1"/>
  <c r="AB55" i="35"/>
  <c r="AB50" i="35"/>
  <c r="AB45" i="35"/>
  <c r="AB40" i="35"/>
  <c r="AC40" i="35" s="1"/>
  <c r="BR40" i="35" s="1"/>
  <c r="AB35" i="35"/>
  <c r="AB25" i="35"/>
  <c r="AB20" i="35"/>
  <c r="AC20" i="35" s="1"/>
  <c r="BR20" i="35" s="1"/>
  <c r="AB15" i="35"/>
  <c r="AB10" i="35"/>
  <c r="AB7" i="35"/>
  <c r="AB134" i="35"/>
  <c r="AB139" i="35"/>
  <c r="AB144" i="35"/>
  <c r="AC144" i="35" s="1"/>
  <c r="BR144" i="35" s="1"/>
  <c r="AB150" i="35"/>
  <c r="AB37" i="35"/>
  <c r="AB21" i="35"/>
  <c r="AE21" i="35" s="1"/>
  <c r="AB11" i="35"/>
  <c r="AE24" i="35"/>
  <c r="AF24" i="35" s="1"/>
  <c r="BS24" i="35" s="1"/>
  <c r="AE4" i="35"/>
  <c r="AB34" i="35"/>
  <c r="Z9" i="35"/>
  <c r="BQ9" i="35" s="1"/>
  <c r="Z24" i="35"/>
  <c r="BQ24" i="35" s="1"/>
  <c r="Z133" i="35"/>
  <c r="BQ133" i="35" s="1"/>
  <c r="W95" i="35"/>
  <c r="BP95" i="35" s="1"/>
  <c r="W155" i="35"/>
  <c r="BP155" i="35" s="1"/>
  <c r="AI133" i="35"/>
  <c r="BT133" i="35" s="1"/>
  <c r="Z21" i="35"/>
  <c r="BQ21" i="35" s="1"/>
  <c r="AC139" i="35"/>
  <c r="BR139" i="35" s="1"/>
  <c r="Z6" i="35"/>
  <c r="BQ6" i="35" s="1"/>
  <c r="Z65" i="35"/>
  <c r="BQ65" i="35" s="1"/>
  <c r="Z152" i="35"/>
  <c r="BQ152" i="35" s="1"/>
  <c r="Z25" i="35"/>
  <c r="BQ25" i="35" s="1"/>
  <c r="Z40" i="35"/>
  <c r="BQ40" i="35" s="1"/>
  <c r="Z55" i="35"/>
  <c r="BQ55" i="35" s="1"/>
  <c r="Z80" i="35"/>
  <c r="BQ80" i="35" s="1"/>
  <c r="Z111" i="35"/>
  <c r="BQ111" i="35" s="1"/>
  <c r="Z134" i="35"/>
  <c r="BQ134" i="35" s="1"/>
  <c r="AC24" i="35"/>
  <c r="BR24" i="35" s="1"/>
  <c r="Z59" i="35"/>
  <c r="BQ59" i="35" s="1"/>
  <c r="Z78" i="35"/>
  <c r="BQ78" i="35" s="1"/>
  <c r="Z94" i="35"/>
  <c r="BQ94" i="35" s="1"/>
  <c r="Z98" i="35"/>
  <c r="BQ98" i="35" s="1"/>
  <c r="Z138" i="35"/>
  <c r="BQ138" i="35" s="1"/>
  <c r="AC69" i="35"/>
  <c r="BR69" i="35" s="1"/>
  <c r="AC120" i="35"/>
  <c r="BR120" i="35" s="1"/>
  <c r="Z10" i="35"/>
  <c r="BQ10" i="35" s="1"/>
  <c r="Z15" i="35"/>
  <c r="BQ15" i="35" s="1"/>
  <c r="Z45" i="35"/>
  <c r="BQ45" i="35" s="1"/>
  <c r="Z126" i="35"/>
  <c r="BQ126" i="35" s="1"/>
  <c r="Z140" i="35"/>
  <c r="BQ140" i="35" s="1"/>
  <c r="Z151" i="35"/>
  <c r="BQ151" i="35" s="1"/>
  <c r="AC35" i="35"/>
  <c r="BR35" i="35" s="1"/>
  <c r="AB44" i="35"/>
  <c r="Z32" i="35"/>
  <c r="BQ32" i="35" s="1"/>
  <c r="Z103" i="35"/>
  <c r="BQ103" i="35" s="1"/>
  <c r="Z120" i="35"/>
  <c r="BQ120" i="35" s="1"/>
  <c r="Z127" i="35"/>
  <c r="BQ127" i="35" s="1"/>
  <c r="Z38" i="35"/>
  <c r="BQ38" i="35" s="1"/>
  <c r="Z49" i="35"/>
  <c r="BQ49" i="35" s="1"/>
  <c r="Z64" i="35"/>
  <c r="BQ64" i="35" s="1"/>
  <c r="Z69" i="35"/>
  <c r="BQ69" i="35" s="1"/>
  <c r="Z79" i="35"/>
  <c r="BQ79" i="35" s="1"/>
  <c r="Z99" i="35"/>
  <c r="BQ99" i="35" s="1"/>
  <c r="Z110" i="35"/>
  <c r="BQ110" i="35" s="1"/>
  <c r="Z115" i="35"/>
  <c r="BQ115" i="35" s="1"/>
  <c r="Z136" i="35"/>
  <c r="BQ136" i="35" s="1"/>
  <c r="Z148" i="35"/>
  <c r="BQ148" i="35" s="1"/>
  <c r="AC48" i="35"/>
  <c r="BR48" i="35" s="1"/>
  <c r="AC68" i="35"/>
  <c r="BR68" i="35" s="1"/>
  <c r="AC93" i="35"/>
  <c r="BR93" i="35" s="1"/>
  <c r="AC127" i="35"/>
  <c r="BR127" i="35" s="1"/>
  <c r="AC136" i="35"/>
  <c r="BR136" i="35" s="1"/>
  <c r="AE19" i="35"/>
  <c r="Z5" i="35"/>
  <c r="BQ5" i="35" s="1"/>
  <c r="Z19" i="35"/>
  <c r="BQ19" i="35" s="1"/>
  <c r="Z39" i="35"/>
  <c r="BQ39" i="35" s="1"/>
  <c r="Z83" i="35"/>
  <c r="BQ83" i="35" s="1"/>
  <c r="Z93" i="35"/>
  <c r="BQ93" i="35" s="1"/>
  <c r="Z114" i="35"/>
  <c r="BQ114" i="35" s="1"/>
  <c r="Z119" i="35"/>
  <c r="BQ119" i="35" s="1"/>
  <c r="Z128" i="35"/>
  <c r="BQ128" i="35" s="1"/>
  <c r="Z142" i="35"/>
  <c r="BQ142" i="35" s="1"/>
  <c r="Z147" i="35"/>
  <c r="BQ147" i="35" s="1"/>
  <c r="Z7" i="35"/>
  <c r="BQ7" i="35" s="1"/>
  <c r="Z20" i="35"/>
  <c r="BQ20" i="35" s="1"/>
  <c r="Z35" i="35"/>
  <c r="BQ35" i="35" s="1"/>
  <c r="Z50" i="35"/>
  <c r="BQ50" i="35" s="1"/>
  <c r="Z60" i="35"/>
  <c r="BQ60" i="35" s="1"/>
  <c r="Z70" i="35"/>
  <c r="BQ70" i="35" s="1"/>
  <c r="Z75" i="35"/>
  <c r="BQ75" i="35" s="1"/>
  <c r="Z85" i="35"/>
  <c r="BQ85" i="35" s="1"/>
  <c r="Z101" i="35"/>
  <c r="BQ101" i="35" s="1"/>
  <c r="Z116" i="35"/>
  <c r="BQ116" i="35" s="1"/>
  <c r="Z139" i="35"/>
  <c r="BQ139" i="35" s="1"/>
  <c r="AC6" i="35"/>
  <c r="BR6" i="35" s="1"/>
  <c r="AC128" i="35"/>
  <c r="BR128" i="35" s="1"/>
  <c r="AC134" i="35"/>
  <c r="BR134" i="35" s="1"/>
  <c r="AB9" i="35"/>
  <c r="AE11" i="35"/>
  <c r="Z12" i="35"/>
  <c r="BQ12" i="35" s="1"/>
  <c r="Z17" i="35"/>
  <c r="BQ17" i="35" s="1"/>
  <c r="Z23" i="35"/>
  <c r="BQ23" i="35" s="1"/>
  <c r="Z33" i="35"/>
  <c r="BQ33" i="35" s="1"/>
  <c r="Z43" i="35"/>
  <c r="BQ43" i="35" s="1"/>
  <c r="Z48" i="35"/>
  <c r="BQ48" i="35" s="1"/>
  <c r="Z53" i="35"/>
  <c r="BQ53" i="35" s="1"/>
  <c r="Z58" i="35"/>
  <c r="BQ58" i="35" s="1"/>
  <c r="Z63" i="35"/>
  <c r="BQ63" i="35" s="1"/>
  <c r="Z68" i="35"/>
  <c r="BQ68" i="35" s="1"/>
  <c r="Z73" i="35"/>
  <c r="BQ73" i="35" s="1"/>
  <c r="Z77" i="35"/>
  <c r="BQ77" i="35" s="1"/>
  <c r="Z92" i="35"/>
  <c r="BQ92" i="35" s="1"/>
  <c r="Z97" i="35"/>
  <c r="BQ97" i="35" s="1"/>
  <c r="Z102" i="35"/>
  <c r="BQ102" i="35" s="1"/>
  <c r="Z112" i="35"/>
  <c r="BQ112" i="35" s="1"/>
  <c r="Z135" i="35"/>
  <c r="BQ135" i="35" s="1"/>
  <c r="Z143" i="35"/>
  <c r="BQ143" i="35" s="1"/>
  <c r="Z146" i="35"/>
  <c r="BQ146" i="35" s="1"/>
  <c r="Z153" i="35"/>
  <c r="BQ153" i="35" s="1"/>
  <c r="AC23" i="35"/>
  <c r="BR23" i="35" s="1"/>
  <c r="AC77" i="35"/>
  <c r="BR77" i="35" s="1"/>
  <c r="AC97" i="35"/>
  <c r="BR97" i="35" s="1"/>
  <c r="AC143" i="35"/>
  <c r="BR143" i="35" s="1"/>
  <c r="AC153" i="35"/>
  <c r="BR153" i="35" s="1"/>
  <c r="AR133" i="35"/>
  <c r="BW133" i="35" s="1"/>
  <c r="AO133" i="35"/>
  <c r="BV133" i="35" s="1"/>
  <c r="AL133" i="35"/>
  <c r="BU133" i="35" s="1"/>
  <c r="AF133" i="35"/>
  <c r="BS133" i="35" s="1"/>
  <c r="W121" i="35"/>
  <c r="BP121" i="35" s="1"/>
  <c r="AP316" i="35"/>
  <c r="S314" i="35"/>
  <c r="B316" i="35"/>
  <c r="A316" i="35" s="1"/>
  <c r="B314" i="35"/>
  <c r="A314" i="35" s="1"/>
  <c r="K181" i="35"/>
  <c r="AP162" i="35"/>
  <c r="CO162" i="35" s="1"/>
  <c r="AM162" i="35"/>
  <c r="CN162" i="35" s="1"/>
  <c r="AJ162" i="35"/>
  <c r="CM162" i="35" s="1"/>
  <c r="AG162" i="35"/>
  <c r="CL162" i="35" s="1"/>
  <c r="AD162" i="35"/>
  <c r="CK162" i="35" s="1"/>
  <c r="AA162" i="35"/>
  <c r="CJ162" i="35" s="1"/>
  <c r="X162" i="35"/>
  <c r="CI162" i="35" s="1"/>
  <c r="U162" i="35"/>
  <c r="CH162" i="35" s="1"/>
  <c r="R162" i="35"/>
  <c r="CG162" i="35" s="1"/>
  <c r="O162" i="35"/>
  <c r="CF162" i="35" s="1"/>
  <c r="L162" i="35"/>
  <c r="CE162" i="35" s="1"/>
  <c r="I162" i="35"/>
  <c r="CD162" i="35" s="1"/>
  <c r="F162" i="35"/>
  <c r="CC162" i="35" s="1"/>
  <c r="C162" i="35"/>
  <c r="CB162" i="35" s="1"/>
  <c r="AP167" i="35"/>
  <c r="AM167" i="35"/>
  <c r="AJ167" i="35"/>
  <c r="AG167" i="35"/>
  <c r="AD167" i="35"/>
  <c r="AA167" i="35"/>
  <c r="X167" i="35"/>
  <c r="U167" i="35"/>
  <c r="CH167" i="35" s="1"/>
  <c r="R159" i="35"/>
  <c r="CG159" i="35" s="1"/>
  <c r="O159" i="35"/>
  <c r="CF159" i="35" s="1"/>
  <c r="L159" i="35"/>
  <c r="CE159" i="35" s="1"/>
  <c r="I159" i="35"/>
  <c r="CD159" i="35" s="1"/>
  <c r="F159" i="35"/>
  <c r="CC159" i="35" s="1"/>
  <c r="C159" i="35"/>
  <c r="CB159" i="35" s="1"/>
  <c r="R158" i="35"/>
  <c r="CG158" i="35" s="1"/>
  <c r="O158" i="35"/>
  <c r="CF158" i="35" s="1"/>
  <c r="L158" i="35"/>
  <c r="CE158" i="35" s="1"/>
  <c r="I158" i="35"/>
  <c r="CD158" i="35" s="1"/>
  <c r="F158" i="35"/>
  <c r="CC158" i="35" s="1"/>
  <c r="C158" i="35"/>
  <c r="CB158" i="35" s="1"/>
  <c r="R157" i="35"/>
  <c r="CG157" i="35" s="1"/>
  <c r="O157" i="35"/>
  <c r="CF157" i="35" s="1"/>
  <c r="L157" i="35"/>
  <c r="CE157" i="35" s="1"/>
  <c r="I157" i="35"/>
  <c r="CD157" i="35" s="1"/>
  <c r="F157" i="35"/>
  <c r="CC157" i="35" s="1"/>
  <c r="C157" i="35"/>
  <c r="CB157" i="35" s="1"/>
  <c r="R156" i="35"/>
  <c r="CG156" i="35" s="1"/>
  <c r="O156" i="35"/>
  <c r="CF156" i="35" s="1"/>
  <c r="L156" i="35"/>
  <c r="CE156" i="35" s="1"/>
  <c r="I156" i="35"/>
  <c r="CD156" i="35" s="1"/>
  <c r="F156" i="35"/>
  <c r="CC156" i="35" s="1"/>
  <c r="C156" i="35"/>
  <c r="CB156" i="35" s="1"/>
  <c r="R155" i="35"/>
  <c r="CG155" i="35" s="1"/>
  <c r="O155" i="35"/>
  <c r="CF155" i="35" s="1"/>
  <c r="L155" i="35"/>
  <c r="CE155" i="35" s="1"/>
  <c r="F155" i="35"/>
  <c r="CC155" i="35" s="1"/>
  <c r="C155" i="35"/>
  <c r="CB155" i="35" s="1"/>
  <c r="U154" i="35"/>
  <c r="CH154" i="35" s="1"/>
  <c r="R154" i="35"/>
  <c r="CG154" i="35" s="1"/>
  <c r="O154" i="35"/>
  <c r="CF154" i="35" s="1"/>
  <c r="L154" i="35"/>
  <c r="CE154" i="35" s="1"/>
  <c r="F154" i="35"/>
  <c r="CC154" i="35" s="1"/>
  <c r="C154" i="35"/>
  <c r="CB154" i="35" s="1"/>
  <c r="T153" i="35"/>
  <c r="BO153" i="35" s="1"/>
  <c r="Q153" i="35"/>
  <c r="BN153" i="35" s="1"/>
  <c r="N153" i="35"/>
  <c r="BM153" i="35" s="1"/>
  <c r="K153" i="35"/>
  <c r="BL153" i="35" s="1"/>
  <c r="H153" i="35"/>
  <c r="BK153" i="35" s="1"/>
  <c r="E153" i="35"/>
  <c r="BJ153" i="35" s="1"/>
  <c r="T152" i="35"/>
  <c r="BO152" i="35" s="1"/>
  <c r="Q152" i="35"/>
  <c r="BN152" i="35" s="1"/>
  <c r="N152" i="35"/>
  <c r="BM152" i="35" s="1"/>
  <c r="K152" i="35"/>
  <c r="BL152" i="35" s="1"/>
  <c r="H152" i="35"/>
  <c r="BK152" i="35" s="1"/>
  <c r="E152" i="35"/>
  <c r="BJ152" i="35" s="1"/>
  <c r="T151" i="35"/>
  <c r="BO151" i="35" s="1"/>
  <c r="Q151" i="35"/>
  <c r="BN151" i="35" s="1"/>
  <c r="N151" i="35"/>
  <c r="BM151" i="35" s="1"/>
  <c r="K151" i="35"/>
  <c r="BL151" i="35" s="1"/>
  <c r="H151" i="35"/>
  <c r="BK151" i="35" s="1"/>
  <c r="E151" i="35"/>
  <c r="BJ151" i="35" s="1"/>
  <c r="W154" i="35"/>
  <c r="BP154" i="35" s="1"/>
  <c r="T150" i="35"/>
  <c r="BO150" i="35" s="1"/>
  <c r="Q150" i="35"/>
  <c r="BN150" i="35" s="1"/>
  <c r="N150" i="35"/>
  <c r="BM150" i="35" s="1"/>
  <c r="I150" i="35"/>
  <c r="H150" i="35"/>
  <c r="BK150" i="35" s="1"/>
  <c r="E150" i="35"/>
  <c r="BJ150" i="35" s="1"/>
  <c r="W149" i="35"/>
  <c r="BP149" i="35" s="1"/>
  <c r="U149" i="35"/>
  <c r="CH149" i="35" s="1"/>
  <c r="R149" i="35"/>
  <c r="CG149" i="35" s="1"/>
  <c r="O149" i="35"/>
  <c r="CF149" i="35" s="1"/>
  <c r="L149" i="35"/>
  <c r="CE149" i="35" s="1"/>
  <c r="I149" i="35"/>
  <c r="CD149" i="35" s="1"/>
  <c r="F149" i="35"/>
  <c r="CC149" i="35" s="1"/>
  <c r="C149" i="35"/>
  <c r="CB149" i="35" s="1"/>
  <c r="T148" i="35"/>
  <c r="BO148" i="35" s="1"/>
  <c r="Q148" i="35"/>
  <c r="BN148" i="35" s="1"/>
  <c r="N148" i="35"/>
  <c r="BM148" i="35" s="1"/>
  <c r="K148" i="35"/>
  <c r="BL148" i="35" s="1"/>
  <c r="H148" i="35"/>
  <c r="BK148" i="35" s="1"/>
  <c r="E148" i="35"/>
  <c r="BJ148" i="35" s="1"/>
  <c r="T147" i="35"/>
  <c r="BO147" i="35" s="1"/>
  <c r="Q147" i="35"/>
  <c r="BN147" i="35" s="1"/>
  <c r="N147" i="35"/>
  <c r="BM147" i="35" s="1"/>
  <c r="K147" i="35"/>
  <c r="BL147" i="35" s="1"/>
  <c r="H147" i="35"/>
  <c r="BK147" i="35" s="1"/>
  <c r="E147" i="35"/>
  <c r="BJ147" i="35" s="1"/>
  <c r="T146" i="35"/>
  <c r="BO146" i="35" s="1"/>
  <c r="Q146" i="35"/>
  <c r="BN146" i="35" s="1"/>
  <c r="N146" i="35"/>
  <c r="BM146" i="35" s="1"/>
  <c r="K146" i="35"/>
  <c r="BL146" i="35" s="1"/>
  <c r="H146" i="35"/>
  <c r="BK146" i="35" s="1"/>
  <c r="E146" i="35"/>
  <c r="BJ146" i="35" s="1"/>
  <c r="W145" i="35"/>
  <c r="BP145" i="35" s="1"/>
  <c r="U145" i="35"/>
  <c r="CH145" i="35" s="1"/>
  <c r="R145" i="35"/>
  <c r="CG145" i="35" s="1"/>
  <c r="O145" i="35"/>
  <c r="CF145" i="35" s="1"/>
  <c r="L145" i="35"/>
  <c r="CE145" i="35" s="1"/>
  <c r="I145" i="35"/>
  <c r="CD145" i="35" s="1"/>
  <c r="F145" i="35"/>
  <c r="CC145" i="35" s="1"/>
  <c r="C145" i="35"/>
  <c r="CB145" i="35" s="1"/>
  <c r="T144" i="35"/>
  <c r="BO144" i="35" s="1"/>
  <c r="Q144" i="35"/>
  <c r="BN144" i="35" s="1"/>
  <c r="N144" i="35"/>
  <c r="BM144" i="35" s="1"/>
  <c r="K144" i="35"/>
  <c r="BL144" i="35" s="1"/>
  <c r="H144" i="35"/>
  <c r="BK144" i="35" s="1"/>
  <c r="E144" i="35"/>
  <c r="BJ144" i="35" s="1"/>
  <c r="T143" i="35"/>
  <c r="BO143" i="35" s="1"/>
  <c r="Q143" i="35"/>
  <c r="BN143" i="35" s="1"/>
  <c r="N143" i="35"/>
  <c r="BM143" i="35" s="1"/>
  <c r="K143" i="35"/>
  <c r="BL143" i="35" s="1"/>
  <c r="H143" i="35"/>
  <c r="BK143" i="35" s="1"/>
  <c r="E143" i="35"/>
  <c r="BJ143" i="35" s="1"/>
  <c r="T142" i="35"/>
  <c r="BO142" i="35" s="1"/>
  <c r="Q142" i="35"/>
  <c r="BN142" i="35" s="1"/>
  <c r="N142" i="35"/>
  <c r="BM142" i="35" s="1"/>
  <c r="K142" i="35"/>
  <c r="BL142" i="35" s="1"/>
  <c r="H142" i="35"/>
  <c r="BK142" i="35" s="1"/>
  <c r="E142" i="35"/>
  <c r="BJ142" i="35" s="1"/>
  <c r="W141" i="35"/>
  <c r="BP141" i="35" s="1"/>
  <c r="U141" i="35"/>
  <c r="CH141" i="35" s="1"/>
  <c r="R141" i="35"/>
  <c r="CG141" i="35" s="1"/>
  <c r="O141" i="35"/>
  <c r="CF141" i="35" s="1"/>
  <c r="L141" i="35"/>
  <c r="CE141" i="35" s="1"/>
  <c r="I141" i="35"/>
  <c r="CD141" i="35" s="1"/>
  <c r="F141" i="35"/>
  <c r="CC141" i="35" s="1"/>
  <c r="C141" i="35"/>
  <c r="CB141" i="35" s="1"/>
  <c r="T140" i="35"/>
  <c r="BO140" i="35" s="1"/>
  <c r="Q140" i="35"/>
  <c r="BN140" i="35" s="1"/>
  <c r="N140" i="35"/>
  <c r="BM140" i="35" s="1"/>
  <c r="K140" i="35"/>
  <c r="BL140" i="35" s="1"/>
  <c r="H140" i="35"/>
  <c r="BK140" i="35" s="1"/>
  <c r="E140" i="35"/>
  <c r="BJ140" i="35" s="1"/>
  <c r="T139" i="35"/>
  <c r="BO139" i="35" s="1"/>
  <c r="Q139" i="35"/>
  <c r="BN139" i="35" s="1"/>
  <c r="N139" i="35"/>
  <c r="BM139" i="35" s="1"/>
  <c r="K139" i="35"/>
  <c r="BL139" i="35" s="1"/>
  <c r="H139" i="35"/>
  <c r="BK139" i="35" s="1"/>
  <c r="E139" i="35"/>
  <c r="BJ139" i="35" s="1"/>
  <c r="T138" i="35"/>
  <c r="BO138" i="35" s="1"/>
  <c r="Q138" i="35"/>
  <c r="BN138" i="35" s="1"/>
  <c r="N138" i="35"/>
  <c r="BM138" i="35" s="1"/>
  <c r="K138" i="35"/>
  <c r="BL138" i="35" s="1"/>
  <c r="H138" i="35"/>
  <c r="BK138" i="35" s="1"/>
  <c r="E138" i="35"/>
  <c r="BJ138" i="35" s="1"/>
  <c r="W137" i="35"/>
  <c r="BP137" i="35" s="1"/>
  <c r="U137" i="35"/>
  <c r="CH137" i="35" s="1"/>
  <c r="R137" i="35"/>
  <c r="CG137" i="35" s="1"/>
  <c r="O137" i="35"/>
  <c r="CF137" i="35" s="1"/>
  <c r="L137" i="35"/>
  <c r="CE137" i="35" s="1"/>
  <c r="I137" i="35"/>
  <c r="CD137" i="35" s="1"/>
  <c r="F137" i="35"/>
  <c r="CC137" i="35" s="1"/>
  <c r="C137" i="35"/>
  <c r="CB137" i="35" s="1"/>
  <c r="T136" i="35"/>
  <c r="BO136" i="35" s="1"/>
  <c r="Q136" i="35"/>
  <c r="BN136" i="35" s="1"/>
  <c r="N136" i="35"/>
  <c r="BM136" i="35" s="1"/>
  <c r="K136" i="35"/>
  <c r="BL136" i="35" s="1"/>
  <c r="H136" i="35"/>
  <c r="BK136" i="35" s="1"/>
  <c r="E136" i="35"/>
  <c r="BJ136" i="35" s="1"/>
  <c r="T135" i="35"/>
  <c r="BO135" i="35" s="1"/>
  <c r="Q135" i="35"/>
  <c r="BN135" i="35" s="1"/>
  <c r="N135" i="35"/>
  <c r="BM135" i="35" s="1"/>
  <c r="K135" i="35"/>
  <c r="BL135" i="35" s="1"/>
  <c r="H135" i="35"/>
  <c r="BK135" i="35" s="1"/>
  <c r="E135" i="35"/>
  <c r="BJ135" i="35" s="1"/>
  <c r="T134" i="35"/>
  <c r="BO134" i="35" s="1"/>
  <c r="Q134" i="35"/>
  <c r="BN134" i="35" s="1"/>
  <c r="N134" i="35"/>
  <c r="BM134" i="35" s="1"/>
  <c r="K134" i="35"/>
  <c r="BL134" i="35" s="1"/>
  <c r="H134" i="35"/>
  <c r="BK134" i="35" s="1"/>
  <c r="E134" i="35"/>
  <c r="BJ134" i="35" s="1"/>
  <c r="U133" i="35"/>
  <c r="CH133" i="35" s="1"/>
  <c r="R133" i="35"/>
  <c r="CG133" i="35" s="1"/>
  <c r="O133" i="35"/>
  <c r="CF133" i="35" s="1"/>
  <c r="L133" i="35"/>
  <c r="CE133" i="35" s="1"/>
  <c r="I133" i="35"/>
  <c r="CD133" i="35" s="1"/>
  <c r="W132" i="35"/>
  <c r="BP132" i="35" s="1"/>
  <c r="F132" i="35"/>
  <c r="CC132" i="35" s="1"/>
  <c r="C132" i="35"/>
  <c r="CB132" i="35" s="1"/>
  <c r="W131" i="35"/>
  <c r="BP131" i="35" s="1"/>
  <c r="F131" i="35"/>
  <c r="CC131" i="35" s="1"/>
  <c r="C131" i="35"/>
  <c r="CB131" i="35" s="1"/>
  <c r="W130" i="35"/>
  <c r="BP130" i="35" s="1"/>
  <c r="F130" i="35"/>
  <c r="CC130" i="35" s="1"/>
  <c r="C130" i="35"/>
  <c r="CB130" i="35" s="1"/>
  <c r="U129" i="35"/>
  <c r="CH129" i="35" s="1"/>
  <c r="R129" i="35"/>
  <c r="CG129" i="35" s="1"/>
  <c r="O129" i="35"/>
  <c r="CF129" i="35" s="1"/>
  <c r="L129" i="35"/>
  <c r="CE129" i="35" s="1"/>
  <c r="I129" i="35"/>
  <c r="CD129" i="35" s="1"/>
  <c r="F129" i="35"/>
  <c r="CC129" i="35" s="1"/>
  <c r="C129" i="35"/>
  <c r="W128" i="35"/>
  <c r="BP128" i="35" s="1"/>
  <c r="T128" i="35"/>
  <c r="BO128" i="35" s="1"/>
  <c r="Q128" i="35"/>
  <c r="BN128" i="35" s="1"/>
  <c r="N128" i="35"/>
  <c r="BM128" i="35" s="1"/>
  <c r="K128" i="35"/>
  <c r="BL128" i="35" s="1"/>
  <c r="H128" i="35"/>
  <c r="BK128" i="35" s="1"/>
  <c r="E128" i="35"/>
  <c r="BJ128" i="35" s="1"/>
  <c r="W127" i="35"/>
  <c r="BP127" i="35" s="1"/>
  <c r="T127" i="35"/>
  <c r="BO127" i="35" s="1"/>
  <c r="Q127" i="35"/>
  <c r="BN127" i="35" s="1"/>
  <c r="N127" i="35"/>
  <c r="BM127" i="35" s="1"/>
  <c r="K127" i="35"/>
  <c r="BL127" i="35" s="1"/>
  <c r="H127" i="35"/>
  <c r="BK127" i="35" s="1"/>
  <c r="E127" i="35"/>
  <c r="BJ127" i="35" s="1"/>
  <c r="W126" i="35"/>
  <c r="BP126" i="35" s="1"/>
  <c r="T126" i="35"/>
  <c r="BO126" i="35" s="1"/>
  <c r="Q126" i="35"/>
  <c r="BN126" i="35" s="1"/>
  <c r="N126" i="35"/>
  <c r="BM126" i="35" s="1"/>
  <c r="K126" i="35"/>
  <c r="BL126" i="35" s="1"/>
  <c r="H126" i="35"/>
  <c r="BK126" i="35" s="1"/>
  <c r="E126" i="35"/>
  <c r="BJ126" i="35" s="1"/>
  <c r="R124" i="35"/>
  <c r="CG124" i="35" s="1"/>
  <c r="O124" i="35"/>
  <c r="CF124" i="35" s="1"/>
  <c r="L124" i="35"/>
  <c r="CE124" i="35" s="1"/>
  <c r="I124" i="35"/>
  <c r="CD124" i="35" s="1"/>
  <c r="F124" i="35"/>
  <c r="CC124" i="35" s="1"/>
  <c r="C124" i="35"/>
  <c r="CB124" i="35" s="1"/>
  <c r="R123" i="35"/>
  <c r="CG123" i="35" s="1"/>
  <c r="O123" i="35"/>
  <c r="CF123" i="35" s="1"/>
  <c r="L123" i="35"/>
  <c r="CE123" i="35" s="1"/>
  <c r="I123" i="35"/>
  <c r="CD123" i="35" s="1"/>
  <c r="F123" i="35"/>
  <c r="CC123" i="35" s="1"/>
  <c r="C123" i="35"/>
  <c r="CB123" i="35" s="1"/>
  <c r="O122" i="35"/>
  <c r="CF122" i="35" s="1"/>
  <c r="L122" i="35"/>
  <c r="CE122" i="35" s="1"/>
  <c r="I122" i="35"/>
  <c r="CD122" i="35" s="1"/>
  <c r="F122" i="35"/>
  <c r="CC122" i="35" s="1"/>
  <c r="C122" i="35"/>
  <c r="CB122" i="35" s="1"/>
  <c r="U121" i="35"/>
  <c r="CH121" i="35" s="1"/>
  <c r="O121" i="35"/>
  <c r="CF121" i="35" s="1"/>
  <c r="L121" i="35"/>
  <c r="CE121" i="35" s="1"/>
  <c r="I121" i="35"/>
  <c r="CD121" i="35" s="1"/>
  <c r="F121" i="35"/>
  <c r="CC121" i="35" s="1"/>
  <c r="C121" i="35"/>
  <c r="CB121" i="35" s="1"/>
  <c r="T120" i="35"/>
  <c r="BO120" i="35" s="1"/>
  <c r="Q120" i="35"/>
  <c r="BN120" i="35" s="1"/>
  <c r="N120" i="35"/>
  <c r="BM120" i="35" s="1"/>
  <c r="K120" i="35"/>
  <c r="BL120" i="35" s="1"/>
  <c r="H120" i="35"/>
  <c r="BK120" i="35" s="1"/>
  <c r="E120" i="35"/>
  <c r="BJ120" i="35" s="1"/>
  <c r="T119" i="35"/>
  <c r="BO119" i="35" s="1"/>
  <c r="Q119" i="35"/>
  <c r="BN119" i="35" s="1"/>
  <c r="N119" i="35"/>
  <c r="BM119" i="35" s="1"/>
  <c r="K119" i="35"/>
  <c r="BL119" i="35" s="1"/>
  <c r="H119" i="35"/>
  <c r="BK119" i="35" s="1"/>
  <c r="E119" i="35"/>
  <c r="BJ119" i="35" s="1"/>
  <c r="R118" i="35"/>
  <c r="CG118" i="35" s="1"/>
  <c r="Q118" i="35"/>
  <c r="BN118" i="35" s="1"/>
  <c r="N118" i="35"/>
  <c r="BM118" i="35" s="1"/>
  <c r="K118" i="35"/>
  <c r="BL118" i="35" s="1"/>
  <c r="H118" i="35"/>
  <c r="BK118" i="35" s="1"/>
  <c r="E118" i="35"/>
  <c r="BJ118" i="35" s="1"/>
  <c r="U117" i="35"/>
  <c r="CH117" i="35" s="1"/>
  <c r="O117" i="35"/>
  <c r="CF117" i="35" s="1"/>
  <c r="L117" i="35"/>
  <c r="CE117" i="35" s="1"/>
  <c r="I117" i="35"/>
  <c r="CD117" i="35" s="1"/>
  <c r="F117" i="35"/>
  <c r="CC117" i="35" s="1"/>
  <c r="C117" i="35"/>
  <c r="CB117" i="35" s="1"/>
  <c r="W116" i="35"/>
  <c r="BP116" i="35" s="1"/>
  <c r="T116" i="35"/>
  <c r="BO116" i="35" s="1"/>
  <c r="Q116" i="35"/>
  <c r="BN116" i="35" s="1"/>
  <c r="N116" i="35"/>
  <c r="BM116" i="35" s="1"/>
  <c r="K116" i="35"/>
  <c r="BL116" i="35" s="1"/>
  <c r="H116" i="35"/>
  <c r="BK116" i="35" s="1"/>
  <c r="E116" i="35"/>
  <c r="BJ116" i="35" s="1"/>
  <c r="W115" i="35"/>
  <c r="BP115" i="35" s="1"/>
  <c r="T115" i="35"/>
  <c r="BO115" i="35" s="1"/>
  <c r="Q115" i="35"/>
  <c r="BN115" i="35" s="1"/>
  <c r="N115" i="35"/>
  <c r="BM115" i="35" s="1"/>
  <c r="K115" i="35"/>
  <c r="BL115" i="35" s="1"/>
  <c r="H115" i="35"/>
  <c r="BK115" i="35" s="1"/>
  <c r="E115" i="35"/>
  <c r="BJ115" i="35" s="1"/>
  <c r="W114" i="35"/>
  <c r="BP114" i="35" s="1"/>
  <c r="R114" i="35"/>
  <c r="CG114" i="35" s="1"/>
  <c r="Q114" i="35"/>
  <c r="BN114" i="35" s="1"/>
  <c r="N114" i="35"/>
  <c r="BM114" i="35" s="1"/>
  <c r="K114" i="35"/>
  <c r="BL114" i="35" s="1"/>
  <c r="H114" i="35"/>
  <c r="BK114" i="35" s="1"/>
  <c r="E114" i="35"/>
  <c r="BJ114" i="35" s="1"/>
  <c r="W113" i="35"/>
  <c r="BP113" i="35" s="1"/>
  <c r="U113" i="35"/>
  <c r="CH113" i="35" s="1"/>
  <c r="R113" i="35"/>
  <c r="CG113" i="35" s="1"/>
  <c r="O113" i="35"/>
  <c r="CF113" i="35" s="1"/>
  <c r="L113" i="35"/>
  <c r="CE113" i="35" s="1"/>
  <c r="I113" i="35"/>
  <c r="CD113" i="35" s="1"/>
  <c r="F113" i="35"/>
  <c r="CC113" i="35" s="1"/>
  <c r="C113" i="35"/>
  <c r="CB113" i="35" s="1"/>
  <c r="T112" i="35"/>
  <c r="BO112" i="35" s="1"/>
  <c r="Q112" i="35"/>
  <c r="BN112" i="35" s="1"/>
  <c r="N112" i="35"/>
  <c r="BM112" i="35" s="1"/>
  <c r="K112" i="35"/>
  <c r="BL112" i="35" s="1"/>
  <c r="H112" i="35"/>
  <c r="BK112" i="35" s="1"/>
  <c r="E112" i="35"/>
  <c r="BJ112" i="35" s="1"/>
  <c r="T111" i="35"/>
  <c r="BO111" i="35" s="1"/>
  <c r="Q111" i="35"/>
  <c r="BN111" i="35" s="1"/>
  <c r="N111" i="35"/>
  <c r="BM111" i="35" s="1"/>
  <c r="K111" i="35"/>
  <c r="BL111" i="35" s="1"/>
  <c r="H111" i="35"/>
  <c r="BK111" i="35" s="1"/>
  <c r="E111" i="35"/>
  <c r="BJ111" i="35" s="1"/>
  <c r="T110" i="35"/>
  <c r="BO110" i="35" s="1"/>
  <c r="Q110" i="35"/>
  <c r="BN110" i="35" s="1"/>
  <c r="N110" i="35"/>
  <c r="BM110" i="35" s="1"/>
  <c r="K110" i="35"/>
  <c r="BL110" i="35" s="1"/>
  <c r="H110" i="35"/>
  <c r="BK110" i="35" s="1"/>
  <c r="E110" i="35"/>
  <c r="BJ110" i="35" s="1"/>
  <c r="U108" i="35"/>
  <c r="CH108" i="35" s="1"/>
  <c r="R108" i="35"/>
  <c r="CG108" i="35" s="1"/>
  <c r="O108" i="35"/>
  <c r="CF108" i="35" s="1"/>
  <c r="L108" i="35"/>
  <c r="CE108" i="35" s="1"/>
  <c r="I108" i="35"/>
  <c r="CD108" i="35" s="1"/>
  <c r="F108" i="35"/>
  <c r="CC108" i="35" s="1"/>
  <c r="C108" i="35"/>
  <c r="CB108" i="35" s="1"/>
  <c r="U107" i="35"/>
  <c r="CH107" i="35" s="1"/>
  <c r="O107" i="35"/>
  <c r="CF107" i="35" s="1"/>
  <c r="L107" i="35"/>
  <c r="CE107" i="35" s="1"/>
  <c r="I107" i="35"/>
  <c r="CD107" i="35" s="1"/>
  <c r="F107" i="35"/>
  <c r="CC107" i="35" s="1"/>
  <c r="C107" i="35"/>
  <c r="CB107" i="35" s="1"/>
  <c r="U106" i="35"/>
  <c r="CH106" i="35" s="1"/>
  <c r="O106" i="35"/>
  <c r="CF106" i="35" s="1"/>
  <c r="L106" i="35"/>
  <c r="CE106" i="35" s="1"/>
  <c r="I106" i="35"/>
  <c r="CD106" i="35" s="1"/>
  <c r="F106" i="35"/>
  <c r="CC106" i="35" s="1"/>
  <c r="C106" i="35"/>
  <c r="CB106" i="35" s="1"/>
  <c r="U105" i="35"/>
  <c r="CH105" i="35" s="1"/>
  <c r="R105" i="35"/>
  <c r="CG105" i="35" s="1"/>
  <c r="O105" i="35"/>
  <c r="CF105" i="35" s="1"/>
  <c r="L105" i="35"/>
  <c r="CE105" i="35" s="1"/>
  <c r="F105" i="35"/>
  <c r="CC105" i="35" s="1"/>
  <c r="C105" i="35"/>
  <c r="CB105" i="35" s="1"/>
  <c r="U104" i="35"/>
  <c r="CH104" i="35" s="1"/>
  <c r="O104" i="35"/>
  <c r="CF104" i="35" s="1"/>
  <c r="L104" i="35"/>
  <c r="CE104" i="35" s="1"/>
  <c r="I104" i="35"/>
  <c r="CD104" i="35" s="1"/>
  <c r="F104" i="35"/>
  <c r="CC104" i="35" s="1"/>
  <c r="C104" i="35"/>
  <c r="CB104" i="35" s="1"/>
  <c r="T103" i="35"/>
  <c r="BO103" i="35" s="1"/>
  <c r="Q103" i="35"/>
  <c r="BN103" i="35" s="1"/>
  <c r="N103" i="35"/>
  <c r="BM103" i="35" s="1"/>
  <c r="K103" i="35"/>
  <c r="BL103" i="35" s="1"/>
  <c r="H103" i="35"/>
  <c r="BK103" i="35" s="1"/>
  <c r="E103" i="35"/>
  <c r="BJ103" i="35" s="1"/>
  <c r="R102" i="35"/>
  <c r="CG102" i="35" s="1"/>
  <c r="Q102" i="35"/>
  <c r="BN102" i="35" s="1"/>
  <c r="N102" i="35"/>
  <c r="BM102" i="35" s="1"/>
  <c r="K102" i="35"/>
  <c r="BL102" i="35" s="1"/>
  <c r="H102" i="35"/>
  <c r="BK102" i="35" s="1"/>
  <c r="E102" i="35"/>
  <c r="BJ102" i="35" s="1"/>
  <c r="W104" i="35"/>
  <c r="BP104" i="35" s="1"/>
  <c r="T101" i="35"/>
  <c r="BO101" i="35" s="1"/>
  <c r="Q101" i="35"/>
  <c r="BN101" i="35" s="1"/>
  <c r="N101" i="35"/>
  <c r="BM101" i="35" s="1"/>
  <c r="K101" i="35"/>
  <c r="BL101" i="35" s="1"/>
  <c r="H101" i="35"/>
  <c r="BK101" i="35" s="1"/>
  <c r="E101" i="35"/>
  <c r="BJ101" i="35" s="1"/>
  <c r="U100" i="35"/>
  <c r="CH100" i="35" s="1"/>
  <c r="O100" i="35"/>
  <c r="CF100" i="35" s="1"/>
  <c r="L100" i="35"/>
  <c r="CE100" i="35" s="1"/>
  <c r="F100" i="35"/>
  <c r="CC100" i="35" s="1"/>
  <c r="C100" i="35"/>
  <c r="CB100" i="35" s="1"/>
  <c r="T99" i="35"/>
  <c r="BO99" i="35" s="1"/>
  <c r="Q99" i="35"/>
  <c r="BN99" i="35" s="1"/>
  <c r="N99" i="35"/>
  <c r="BM99" i="35" s="1"/>
  <c r="K99" i="35"/>
  <c r="BL99" i="35" s="1"/>
  <c r="H99" i="35"/>
  <c r="BK99" i="35" s="1"/>
  <c r="E99" i="35"/>
  <c r="BJ99" i="35" s="1"/>
  <c r="T98" i="35"/>
  <c r="BO98" i="35" s="1"/>
  <c r="Q98" i="35"/>
  <c r="BN98" i="35" s="1"/>
  <c r="N98" i="35"/>
  <c r="BM98" i="35" s="1"/>
  <c r="K98" i="35"/>
  <c r="BL98" i="35" s="1"/>
  <c r="H98" i="35"/>
  <c r="BK98" i="35" s="1"/>
  <c r="E98" i="35"/>
  <c r="BJ98" i="35" s="1"/>
  <c r="R97" i="35"/>
  <c r="CG97" i="35" s="1"/>
  <c r="Q97" i="35"/>
  <c r="BN97" i="35" s="1"/>
  <c r="N97" i="35"/>
  <c r="BM97" i="35" s="1"/>
  <c r="K97" i="35"/>
  <c r="BL97" i="35" s="1"/>
  <c r="H97" i="35"/>
  <c r="BK97" i="35" s="1"/>
  <c r="E97" i="35"/>
  <c r="BJ97" i="35" s="1"/>
  <c r="W100" i="35"/>
  <c r="BP100" i="35" s="1"/>
  <c r="T96" i="35"/>
  <c r="BO96" i="35" s="1"/>
  <c r="Q96" i="35"/>
  <c r="BN96" i="35" s="1"/>
  <c r="N96" i="35"/>
  <c r="BM96" i="35" s="1"/>
  <c r="I96" i="35"/>
  <c r="CD96" i="35" s="1"/>
  <c r="H96" i="35"/>
  <c r="BK96" i="35" s="1"/>
  <c r="E96" i="35"/>
  <c r="BJ96" i="35" s="1"/>
  <c r="U95" i="35"/>
  <c r="CH95" i="35" s="1"/>
  <c r="R95" i="35"/>
  <c r="CG95" i="35" s="1"/>
  <c r="O95" i="35"/>
  <c r="CF95" i="35" s="1"/>
  <c r="L95" i="35"/>
  <c r="CE95" i="35" s="1"/>
  <c r="I95" i="35"/>
  <c r="CD95" i="35" s="1"/>
  <c r="F95" i="35"/>
  <c r="CC95" i="35" s="1"/>
  <c r="C95" i="35"/>
  <c r="CB95" i="35" s="1"/>
  <c r="T94" i="35"/>
  <c r="BO94" i="35" s="1"/>
  <c r="Q94" i="35"/>
  <c r="BN94" i="35" s="1"/>
  <c r="N94" i="35"/>
  <c r="BM94" i="35" s="1"/>
  <c r="K94" i="35"/>
  <c r="BL94" i="35" s="1"/>
  <c r="H94" i="35"/>
  <c r="BK94" i="35" s="1"/>
  <c r="E94" i="35"/>
  <c r="BJ94" i="35" s="1"/>
  <c r="T93" i="35"/>
  <c r="BO93" i="35" s="1"/>
  <c r="Q93" i="35"/>
  <c r="BN93" i="35" s="1"/>
  <c r="N93" i="35"/>
  <c r="BM93" i="35" s="1"/>
  <c r="K93" i="35"/>
  <c r="BL93" i="35" s="1"/>
  <c r="H93" i="35"/>
  <c r="BK93" i="35" s="1"/>
  <c r="E93" i="35"/>
  <c r="BJ93" i="35" s="1"/>
  <c r="T92" i="35"/>
  <c r="BO92" i="35" s="1"/>
  <c r="Q92" i="35"/>
  <c r="BN92" i="35" s="1"/>
  <c r="N92" i="35"/>
  <c r="BM92" i="35" s="1"/>
  <c r="K92" i="35"/>
  <c r="BL92" i="35" s="1"/>
  <c r="H92" i="35"/>
  <c r="BK92" i="35" s="1"/>
  <c r="E92" i="35"/>
  <c r="BJ92" i="35" s="1"/>
  <c r="U90" i="35"/>
  <c r="CH90" i="35" s="1"/>
  <c r="R90" i="35"/>
  <c r="CG90" i="35" s="1"/>
  <c r="O90" i="35"/>
  <c r="CF90" i="35" s="1"/>
  <c r="L90" i="35"/>
  <c r="CE90" i="35" s="1"/>
  <c r="I90" i="35"/>
  <c r="CD90" i="35" s="1"/>
  <c r="F90" i="35"/>
  <c r="CC90" i="35" s="1"/>
  <c r="C90" i="35"/>
  <c r="CB90" i="35" s="1"/>
  <c r="U89" i="35"/>
  <c r="CH89" i="35" s="1"/>
  <c r="O89" i="35"/>
  <c r="CF89" i="35" s="1"/>
  <c r="L89" i="35"/>
  <c r="CE89" i="35" s="1"/>
  <c r="I89" i="35"/>
  <c r="CD89" i="35" s="1"/>
  <c r="F89" i="35"/>
  <c r="CC89" i="35" s="1"/>
  <c r="C89" i="35"/>
  <c r="CB89" i="35" s="1"/>
  <c r="U88" i="35"/>
  <c r="CH88" i="35" s="1"/>
  <c r="O88" i="35"/>
  <c r="CF88" i="35" s="1"/>
  <c r="L88" i="35"/>
  <c r="CE88" i="35" s="1"/>
  <c r="I88" i="35"/>
  <c r="CD88" i="35" s="1"/>
  <c r="F88" i="35"/>
  <c r="CC88" i="35" s="1"/>
  <c r="C88" i="35"/>
  <c r="CB88" i="35" s="1"/>
  <c r="U87" i="35"/>
  <c r="CH87" i="35" s="1"/>
  <c r="O87" i="35"/>
  <c r="CF87" i="35" s="1"/>
  <c r="L87" i="35"/>
  <c r="CE87" i="35" s="1"/>
  <c r="F87" i="35"/>
  <c r="CC87" i="35" s="1"/>
  <c r="C87" i="35"/>
  <c r="CB87" i="35" s="1"/>
  <c r="U86" i="35"/>
  <c r="CH86" i="35" s="1"/>
  <c r="O86" i="35"/>
  <c r="CF86" i="35" s="1"/>
  <c r="L86" i="35"/>
  <c r="CE86" i="35" s="1"/>
  <c r="I86" i="35"/>
  <c r="CD86" i="35" s="1"/>
  <c r="F86" i="35"/>
  <c r="CC86" i="35" s="1"/>
  <c r="C86" i="35"/>
  <c r="CB86" i="35" s="1"/>
  <c r="W85" i="35"/>
  <c r="BP85" i="35" s="1"/>
  <c r="T85" i="35"/>
  <c r="BO85" i="35" s="1"/>
  <c r="Q85" i="35"/>
  <c r="BN85" i="35" s="1"/>
  <c r="N85" i="35"/>
  <c r="BM85" i="35" s="1"/>
  <c r="K85" i="35"/>
  <c r="BL85" i="35" s="1"/>
  <c r="H85" i="35"/>
  <c r="BK85" i="35" s="1"/>
  <c r="E85" i="35"/>
  <c r="BJ85" i="35" s="1"/>
  <c r="W84" i="35"/>
  <c r="BP84" i="35" s="1"/>
  <c r="R84" i="35"/>
  <c r="CG84" i="35" s="1"/>
  <c r="Q84" i="35"/>
  <c r="BN84" i="35" s="1"/>
  <c r="N84" i="35"/>
  <c r="BM84" i="35" s="1"/>
  <c r="K84" i="35"/>
  <c r="BL84" i="35" s="1"/>
  <c r="H84" i="35"/>
  <c r="BK84" i="35" s="1"/>
  <c r="E84" i="35"/>
  <c r="BJ84" i="35" s="1"/>
  <c r="W83" i="35"/>
  <c r="BP83" i="35" s="1"/>
  <c r="T83" i="35"/>
  <c r="BO83" i="35" s="1"/>
  <c r="Q83" i="35"/>
  <c r="BN83" i="35" s="1"/>
  <c r="N83" i="35"/>
  <c r="BM83" i="35" s="1"/>
  <c r="K83" i="35"/>
  <c r="BL83" i="35" s="1"/>
  <c r="H83" i="35"/>
  <c r="BK83" i="35" s="1"/>
  <c r="W82" i="35"/>
  <c r="BP82" i="35" s="1"/>
  <c r="R82" i="35"/>
  <c r="CG82" i="35" s="1"/>
  <c r="Q82" i="35"/>
  <c r="BN82" i="35" s="1"/>
  <c r="N82" i="35"/>
  <c r="BM82" i="35" s="1"/>
  <c r="K82" i="35"/>
  <c r="BL82" i="35" s="1"/>
  <c r="H82" i="35"/>
  <c r="BK82" i="35" s="1"/>
  <c r="E82" i="35"/>
  <c r="BJ82" i="35" s="1"/>
  <c r="U81" i="35"/>
  <c r="CH81" i="35" s="1"/>
  <c r="R81" i="35"/>
  <c r="CG81" i="35" s="1"/>
  <c r="O81" i="35"/>
  <c r="CF81" i="35" s="1"/>
  <c r="L81" i="35"/>
  <c r="CE81" i="35" s="1"/>
  <c r="F81" i="35"/>
  <c r="CC81" i="35" s="1"/>
  <c r="C81" i="35"/>
  <c r="CB81" i="35" s="1"/>
  <c r="W80" i="35"/>
  <c r="BP80" i="35" s="1"/>
  <c r="T80" i="35"/>
  <c r="BO80" i="35" s="1"/>
  <c r="Q80" i="35"/>
  <c r="BN80" i="35" s="1"/>
  <c r="N80" i="35"/>
  <c r="BM80" i="35" s="1"/>
  <c r="K80" i="35"/>
  <c r="BL80" i="35" s="1"/>
  <c r="H80" i="35"/>
  <c r="BK80" i="35" s="1"/>
  <c r="E80" i="35"/>
  <c r="BJ80" i="35" s="1"/>
  <c r="W79" i="35"/>
  <c r="BP79" i="35" s="1"/>
  <c r="T79" i="35"/>
  <c r="BO79" i="35" s="1"/>
  <c r="Q79" i="35"/>
  <c r="BN79" i="35" s="1"/>
  <c r="N79" i="35"/>
  <c r="BM79" i="35" s="1"/>
  <c r="K79" i="35"/>
  <c r="BL79" i="35" s="1"/>
  <c r="H79" i="35"/>
  <c r="BK79" i="35" s="1"/>
  <c r="E79" i="35"/>
  <c r="BJ79" i="35" s="1"/>
  <c r="W78" i="35"/>
  <c r="BP78" i="35" s="1"/>
  <c r="T78" i="35"/>
  <c r="BO78" i="35" s="1"/>
  <c r="Q78" i="35"/>
  <c r="BN78" i="35" s="1"/>
  <c r="N78" i="35"/>
  <c r="BM78" i="35" s="1"/>
  <c r="K78" i="35"/>
  <c r="BL78" i="35" s="1"/>
  <c r="H78" i="35"/>
  <c r="BK78" i="35" s="1"/>
  <c r="E78" i="35"/>
  <c r="BJ78" i="35" s="1"/>
  <c r="W77" i="35"/>
  <c r="BP77" i="35" s="1"/>
  <c r="T77" i="35"/>
  <c r="BO77" i="35" s="1"/>
  <c r="Q77" i="35"/>
  <c r="BN77" i="35" s="1"/>
  <c r="N77" i="35"/>
  <c r="BM77" i="35" s="1"/>
  <c r="I77" i="35"/>
  <c r="CD77" i="35" s="1"/>
  <c r="H77" i="35"/>
  <c r="BK77" i="35" s="1"/>
  <c r="E77" i="35"/>
  <c r="BJ77" i="35" s="1"/>
  <c r="U76" i="35"/>
  <c r="CH76" i="35" s="1"/>
  <c r="O76" i="35"/>
  <c r="CF76" i="35" s="1"/>
  <c r="L76" i="35"/>
  <c r="CE76" i="35" s="1"/>
  <c r="I76" i="35"/>
  <c r="CD76" i="35" s="1"/>
  <c r="F76" i="35"/>
  <c r="CC76" i="35" s="1"/>
  <c r="C76" i="35"/>
  <c r="CB76" i="35" s="1"/>
  <c r="W75" i="35"/>
  <c r="BP75" i="35" s="1"/>
  <c r="T75" i="35"/>
  <c r="BO75" i="35" s="1"/>
  <c r="Q75" i="35"/>
  <c r="BN75" i="35" s="1"/>
  <c r="N75" i="35"/>
  <c r="BM75" i="35" s="1"/>
  <c r="K75" i="35"/>
  <c r="BL75" i="35" s="1"/>
  <c r="H75" i="35"/>
  <c r="BK75" i="35" s="1"/>
  <c r="E75" i="35"/>
  <c r="BJ75" i="35" s="1"/>
  <c r="W74" i="35"/>
  <c r="BP74" i="35" s="1"/>
  <c r="T74" i="35"/>
  <c r="BO74" i="35" s="1"/>
  <c r="Q74" i="35"/>
  <c r="BN74" i="35" s="1"/>
  <c r="N74" i="35"/>
  <c r="BM74" i="35" s="1"/>
  <c r="K74" i="35"/>
  <c r="BL74" i="35" s="1"/>
  <c r="H74" i="35"/>
  <c r="BK74" i="35" s="1"/>
  <c r="E74" i="35"/>
  <c r="BJ74" i="35" s="1"/>
  <c r="W73" i="35"/>
  <c r="BP73" i="35" s="1"/>
  <c r="T73" i="35"/>
  <c r="BO73" i="35" s="1"/>
  <c r="Q73" i="35"/>
  <c r="BN73" i="35" s="1"/>
  <c r="N73" i="35"/>
  <c r="BM73" i="35" s="1"/>
  <c r="K73" i="35"/>
  <c r="BL73" i="35" s="1"/>
  <c r="H73" i="35"/>
  <c r="BK73" i="35" s="1"/>
  <c r="E73" i="35"/>
  <c r="BJ73" i="35" s="1"/>
  <c r="W72" i="35"/>
  <c r="BP72" i="35" s="1"/>
  <c r="R72" i="35"/>
  <c r="CG72" i="35" s="1"/>
  <c r="Q72" i="35"/>
  <c r="BN72" i="35" s="1"/>
  <c r="N72" i="35"/>
  <c r="BM72" i="35" s="1"/>
  <c r="K72" i="35"/>
  <c r="BL72" i="35" s="1"/>
  <c r="H72" i="35"/>
  <c r="BK72" i="35" s="1"/>
  <c r="E72" i="35"/>
  <c r="BJ72" i="35" s="1"/>
  <c r="U71" i="35"/>
  <c r="CH71" i="35" s="1"/>
  <c r="O71" i="35"/>
  <c r="CF71" i="35" s="1"/>
  <c r="L71" i="35"/>
  <c r="CE71" i="35" s="1"/>
  <c r="I71" i="35"/>
  <c r="CD71" i="35" s="1"/>
  <c r="F71" i="35"/>
  <c r="CC71" i="35" s="1"/>
  <c r="C71" i="35"/>
  <c r="CB71" i="35" s="1"/>
  <c r="W70" i="35"/>
  <c r="BP70" i="35" s="1"/>
  <c r="T70" i="35"/>
  <c r="BO70" i="35" s="1"/>
  <c r="Q70" i="35"/>
  <c r="BN70" i="35" s="1"/>
  <c r="N70" i="35"/>
  <c r="BM70" i="35" s="1"/>
  <c r="K70" i="35"/>
  <c r="BL70" i="35" s="1"/>
  <c r="H70" i="35"/>
  <c r="BK70" i="35" s="1"/>
  <c r="E70" i="35"/>
  <c r="BJ70" i="35" s="1"/>
  <c r="W69" i="35"/>
  <c r="BP69" i="35" s="1"/>
  <c r="T69" i="35"/>
  <c r="BO69" i="35" s="1"/>
  <c r="Q69" i="35"/>
  <c r="BN69" i="35" s="1"/>
  <c r="N69" i="35"/>
  <c r="BM69" i="35" s="1"/>
  <c r="K69" i="35"/>
  <c r="BL69" i="35" s="1"/>
  <c r="H69" i="35"/>
  <c r="BK69" i="35" s="1"/>
  <c r="E69" i="35"/>
  <c r="BJ69" i="35" s="1"/>
  <c r="W68" i="35"/>
  <c r="BP68" i="35" s="1"/>
  <c r="T68" i="35"/>
  <c r="BO68" i="35" s="1"/>
  <c r="Q68" i="35"/>
  <c r="BN68" i="35" s="1"/>
  <c r="N68" i="35"/>
  <c r="BM68" i="35" s="1"/>
  <c r="K68" i="35"/>
  <c r="BL68" i="35" s="1"/>
  <c r="H68" i="35"/>
  <c r="BK68" i="35" s="1"/>
  <c r="E68" i="35"/>
  <c r="BJ68" i="35" s="1"/>
  <c r="W67" i="35"/>
  <c r="BP67" i="35" s="1"/>
  <c r="R67" i="35"/>
  <c r="CG67" i="35" s="1"/>
  <c r="Q67" i="35"/>
  <c r="BN67" i="35" s="1"/>
  <c r="N67" i="35"/>
  <c r="BM67" i="35" s="1"/>
  <c r="K67" i="35"/>
  <c r="BL67" i="35" s="1"/>
  <c r="H67" i="35"/>
  <c r="BK67" i="35" s="1"/>
  <c r="E67" i="35"/>
  <c r="BJ67" i="35" s="1"/>
  <c r="U66" i="35"/>
  <c r="CH66" i="35" s="1"/>
  <c r="O66" i="35"/>
  <c r="CF66" i="35" s="1"/>
  <c r="L66" i="35"/>
  <c r="CE66" i="35" s="1"/>
  <c r="I66" i="35"/>
  <c r="CD66" i="35" s="1"/>
  <c r="F66" i="35"/>
  <c r="CC66" i="35" s="1"/>
  <c r="C66" i="35"/>
  <c r="CB66" i="35" s="1"/>
  <c r="W65" i="35"/>
  <c r="BP65" i="35" s="1"/>
  <c r="T65" i="35"/>
  <c r="BO65" i="35" s="1"/>
  <c r="Q65" i="35"/>
  <c r="BN65" i="35" s="1"/>
  <c r="N65" i="35"/>
  <c r="BM65" i="35" s="1"/>
  <c r="K65" i="35"/>
  <c r="BL65" i="35" s="1"/>
  <c r="H65" i="35"/>
  <c r="BK65" i="35" s="1"/>
  <c r="E65" i="35"/>
  <c r="BJ65" i="35" s="1"/>
  <c r="W64" i="35"/>
  <c r="BP64" i="35" s="1"/>
  <c r="T64" i="35"/>
  <c r="BO64" i="35" s="1"/>
  <c r="Q64" i="35"/>
  <c r="BN64" i="35" s="1"/>
  <c r="N64" i="35"/>
  <c r="BM64" i="35" s="1"/>
  <c r="K64" i="35"/>
  <c r="BL64" i="35" s="1"/>
  <c r="H64" i="35"/>
  <c r="BK64" i="35" s="1"/>
  <c r="E64" i="35"/>
  <c r="BJ64" i="35" s="1"/>
  <c r="W63" i="35"/>
  <c r="BP63" i="35" s="1"/>
  <c r="T63" i="35"/>
  <c r="BO63" i="35" s="1"/>
  <c r="Q63" i="35"/>
  <c r="BN63" i="35" s="1"/>
  <c r="N63" i="35"/>
  <c r="BM63" i="35" s="1"/>
  <c r="K63" i="35"/>
  <c r="BL63" i="35" s="1"/>
  <c r="H63" i="35"/>
  <c r="BK63" i="35" s="1"/>
  <c r="E63" i="35"/>
  <c r="BJ63" i="35" s="1"/>
  <c r="W62" i="35"/>
  <c r="BP62" i="35" s="1"/>
  <c r="R62" i="35"/>
  <c r="CG62" i="35" s="1"/>
  <c r="Q62" i="35"/>
  <c r="BN62" i="35" s="1"/>
  <c r="N62" i="35"/>
  <c r="BM62" i="35" s="1"/>
  <c r="K62" i="35"/>
  <c r="BL62" i="35" s="1"/>
  <c r="H62" i="35"/>
  <c r="BK62" i="35" s="1"/>
  <c r="E62" i="35"/>
  <c r="BJ62" i="35" s="1"/>
  <c r="U61" i="35"/>
  <c r="CH61" i="35" s="1"/>
  <c r="O61" i="35"/>
  <c r="CF61" i="35" s="1"/>
  <c r="L61" i="35"/>
  <c r="CE61" i="35" s="1"/>
  <c r="I61" i="35"/>
  <c r="CD61" i="35" s="1"/>
  <c r="F61" i="35"/>
  <c r="CC61" i="35" s="1"/>
  <c r="C61" i="35"/>
  <c r="CB61" i="35" s="1"/>
  <c r="W60" i="35"/>
  <c r="BP60" i="35" s="1"/>
  <c r="T60" i="35"/>
  <c r="BO60" i="35" s="1"/>
  <c r="Q60" i="35"/>
  <c r="BN60" i="35" s="1"/>
  <c r="N60" i="35"/>
  <c r="BM60" i="35" s="1"/>
  <c r="K60" i="35"/>
  <c r="BL60" i="35" s="1"/>
  <c r="H60" i="35"/>
  <c r="BK60" i="35" s="1"/>
  <c r="E60" i="35"/>
  <c r="BJ60" i="35" s="1"/>
  <c r="W59" i="35"/>
  <c r="BP59" i="35" s="1"/>
  <c r="T59" i="35"/>
  <c r="BO59" i="35" s="1"/>
  <c r="Q59" i="35"/>
  <c r="BN59" i="35" s="1"/>
  <c r="N59" i="35"/>
  <c r="BM59" i="35" s="1"/>
  <c r="K59" i="35"/>
  <c r="BL59" i="35" s="1"/>
  <c r="H59" i="35"/>
  <c r="BK59" i="35" s="1"/>
  <c r="E59" i="35"/>
  <c r="BJ59" i="35" s="1"/>
  <c r="W58" i="35"/>
  <c r="BP58" i="35" s="1"/>
  <c r="T58" i="35"/>
  <c r="BO58" i="35" s="1"/>
  <c r="Q58" i="35"/>
  <c r="BN58" i="35" s="1"/>
  <c r="N58" i="35"/>
  <c r="BM58" i="35" s="1"/>
  <c r="K58" i="35"/>
  <c r="BL58" i="35" s="1"/>
  <c r="H58" i="35"/>
  <c r="BK58" i="35" s="1"/>
  <c r="E58" i="35"/>
  <c r="BJ58" i="35" s="1"/>
  <c r="W57" i="35"/>
  <c r="BP57" i="35" s="1"/>
  <c r="R57" i="35"/>
  <c r="CG57" i="35" s="1"/>
  <c r="Q57" i="35"/>
  <c r="BN57" i="35" s="1"/>
  <c r="N57" i="35"/>
  <c r="BM57" i="35" s="1"/>
  <c r="K57" i="35"/>
  <c r="BL57" i="35" s="1"/>
  <c r="H57" i="35"/>
  <c r="BK57" i="35" s="1"/>
  <c r="E57" i="35"/>
  <c r="BJ57" i="35" s="1"/>
  <c r="U56" i="35"/>
  <c r="CH56" i="35" s="1"/>
  <c r="O56" i="35"/>
  <c r="CF56" i="35" s="1"/>
  <c r="L56" i="35"/>
  <c r="CE56" i="35" s="1"/>
  <c r="I56" i="35"/>
  <c r="CD56" i="35" s="1"/>
  <c r="F56" i="35"/>
  <c r="CC56" i="35" s="1"/>
  <c r="C56" i="35"/>
  <c r="CB56" i="35" s="1"/>
  <c r="W55" i="35"/>
  <c r="BP55" i="35" s="1"/>
  <c r="T55" i="35"/>
  <c r="BO55" i="35" s="1"/>
  <c r="Q55" i="35"/>
  <c r="BN55" i="35" s="1"/>
  <c r="N55" i="35"/>
  <c r="BM55" i="35" s="1"/>
  <c r="K55" i="35"/>
  <c r="BL55" i="35" s="1"/>
  <c r="H55" i="35"/>
  <c r="BK55" i="35" s="1"/>
  <c r="E55" i="35"/>
  <c r="BJ55" i="35" s="1"/>
  <c r="W54" i="35"/>
  <c r="BP54" i="35" s="1"/>
  <c r="R54" i="35"/>
  <c r="CG54" i="35" s="1"/>
  <c r="Q54" i="35"/>
  <c r="BN54" i="35" s="1"/>
  <c r="N54" i="35"/>
  <c r="BM54" i="35" s="1"/>
  <c r="K54" i="35"/>
  <c r="BL54" i="35" s="1"/>
  <c r="H54" i="35"/>
  <c r="BK54" i="35" s="1"/>
  <c r="E54" i="35"/>
  <c r="BJ54" i="35" s="1"/>
  <c r="W53" i="35"/>
  <c r="BP53" i="35" s="1"/>
  <c r="T53" i="35"/>
  <c r="BO53" i="35" s="1"/>
  <c r="Q53" i="35"/>
  <c r="BN53" i="35" s="1"/>
  <c r="N53" i="35"/>
  <c r="BM53" i="35" s="1"/>
  <c r="K53" i="35"/>
  <c r="BL53" i="35" s="1"/>
  <c r="H53" i="35"/>
  <c r="BK53" i="35" s="1"/>
  <c r="E53" i="35"/>
  <c r="BJ53" i="35" s="1"/>
  <c r="W52" i="35"/>
  <c r="BP52" i="35" s="1"/>
  <c r="R52" i="35"/>
  <c r="CG52" i="35" s="1"/>
  <c r="Q52" i="35"/>
  <c r="BN52" i="35" s="1"/>
  <c r="N52" i="35"/>
  <c r="BM52" i="35" s="1"/>
  <c r="K52" i="35"/>
  <c r="BL52" i="35" s="1"/>
  <c r="H52" i="35"/>
  <c r="BK52" i="35" s="1"/>
  <c r="E52" i="35"/>
  <c r="BJ52" i="35" s="1"/>
  <c r="U51" i="35"/>
  <c r="CH51" i="35" s="1"/>
  <c r="R51" i="35"/>
  <c r="CG51" i="35" s="1"/>
  <c r="O51" i="35"/>
  <c r="CF51" i="35" s="1"/>
  <c r="L51" i="35"/>
  <c r="CE51" i="35" s="1"/>
  <c r="I51" i="35"/>
  <c r="CD51" i="35" s="1"/>
  <c r="F51" i="35"/>
  <c r="CC51" i="35" s="1"/>
  <c r="C51" i="35"/>
  <c r="CB51" i="35" s="1"/>
  <c r="W50" i="35"/>
  <c r="BP50" i="35" s="1"/>
  <c r="T50" i="35"/>
  <c r="BO50" i="35" s="1"/>
  <c r="Q50" i="35"/>
  <c r="BN50" i="35" s="1"/>
  <c r="N50" i="35"/>
  <c r="BM50" i="35" s="1"/>
  <c r="K50" i="35"/>
  <c r="BL50" i="35" s="1"/>
  <c r="H50" i="35"/>
  <c r="BK50" i="35" s="1"/>
  <c r="E50" i="35"/>
  <c r="BJ50" i="35" s="1"/>
  <c r="W49" i="35"/>
  <c r="BP49" i="35" s="1"/>
  <c r="T49" i="35"/>
  <c r="BO49" i="35" s="1"/>
  <c r="Q49" i="35"/>
  <c r="BN49" i="35" s="1"/>
  <c r="N49" i="35"/>
  <c r="BM49" i="35" s="1"/>
  <c r="K49" i="35"/>
  <c r="BL49" i="35" s="1"/>
  <c r="H49" i="35"/>
  <c r="BK49" i="35" s="1"/>
  <c r="E49" i="35"/>
  <c r="BJ49" i="35" s="1"/>
  <c r="W48" i="35"/>
  <c r="BP48" i="35" s="1"/>
  <c r="T48" i="35"/>
  <c r="BO48" i="35" s="1"/>
  <c r="Q48" i="35"/>
  <c r="BN48" i="35" s="1"/>
  <c r="N48" i="35"/>
  <c r="BM48" i="35" s="1"/>
  <c r="K48" i="35"/>
  <c r="BL48" i="35" s="1"/>
  <c r="H48" i="35"/>
  <c r="BK48" i="35" s="1"/>
  <c r="E48" i="35"/>
  <c r="BJ48" i="35" s="1"/>
  <c r="W47" i="35"/>
  <c r="BP47" i="35" s="1"/>
  <c r="T47" i="35"/>
  <c r="BO47" i="35" s="1"/>
  <c r="Q47" i="35"/>
  <c r="BN47" i="35" s="1"/>
  <c r="N47" i="35"/>
  <c r="BM47" i="35" s="1"/>
  <c r="K47" i="35"/>
  <c r="BL47" i="35" s="1"/>
  <c r="H47" i="35"/>
  <c r="BK47" i="35" s="1"/>
  <c r="E47" i="35"/>
  <c r="BJ47" i="35" s="1"/>
  <c r="U46" i="35"/>
  <c r="CH46" i="35" s="1"/>
  <c r="O46" i="35"/>
  <c r="CF46" i="35" s="1"/>
  <c r="L46" i="35"/>
  <c r="CE46" i="35" s="1"/>
  <c r="I46" i="35"/>
  <c r="CD46" i="35" s="1"/>
  <c r="F46" i="35"/>
  <c r="CC46" i="35" s="1"/>
  <c r="C46" i="35"/>
  <c r="CB46" i="35" s="1"/>
  <c r="W45" i="35"/>
  <c r="BP45" i="35" s="1"/>
  <c r="T45" i="35"/>
  <c r="BO45" i="35" s="1"/>
  <c r="Q45" i="35"/>
  <c r="BN45" i="35" s="1"/>
  <c r="N45" i="35"/>
  <c r="BM45" i="35" s="1"/>
  <c r="K45" i="35"/>
  <c r="BL45" i="35" s="1"/>
  <c r="H45" i="35"/>
  <c r="BK45" i="35" s="1"/>
  <c r="E45" i="35"/>
  <c r="BJ45" i="35" s="1"/>
  <c r="W44" i="35"/>
  <c r="BP44" i="35" s="1"/>
  <c r="R44" i="35"/>
  <c r="Q44" i="35"/>
  <c r="BN44" i="35" s="1"/>
  <c r="N44" i="35"/>
  <c r="BM44" i="35" s="1"/>
  <c r="K44" i="35"/>
  <c r="BL44" i="35" s="1"/>
  <c r="H44" i="35"/>
  <c r="BK44" i="35" s="1"/>
  <c r="E44" i="35"/>
  <c r="BJ44" i="35" s="1"/>
  <c r="W43" i="35"/>
  <c r="BP43" i="35" s="1"/>
  <c r="T43" i="35"/>
  <c r="BO43" i="35" s="1"/>
  <c r="Q43" i="35"/>
  <c r="BN43" i="35" s="1"/>
  <c r="N43" i="35"/>
  <c r="BM43" i="35" s="1"/>
  <c r="K43" i="35"/>
  <c r="BL43" i="35" s="1"/>
  <c r="H43" i="35"/>
  <c r="BK43" i="35" s="1"/>
  <c r="E43" i="35"/>
  <c r="BJ43" i="35" s="1"/>
  <c r="W42" i="35"/>
  <c r="BP42" i="35" s="1"/>
  <c r="R42" i="35"/>
  <c r="CG42" i="35" s="1"/>
  <c r="Q42" i="35"/>
  <c r="BN42" i="35" s="1"/>
  <c r="N42" i="35"/>
  <c r="BM42" i="35" s="1"/>
  <c r="K42" i="35"/>
  <c r="BL42" i="35" s="1"/>
  <c r="H42" i="35"/>
  <c r="BK42" i="35" s="1"/>
  <c r="E42" i="35"/>
  <c r="BJ42" i="35" s="1"/>
  <c r="U41" i="35"/>
  <c r="CH41" i="35" s="1"/>
  <c r="O41" i="35"/>
  <c r="CF41" i="35" s="1"/>
  <c r="L41" i="35"/>
  <c r="CE41" i="35" s="1"/>
  <c r="I41" i="35"/>
  <c r="CD41" i="35" s="1"/>
  <c r="F41" i="35"/>
  <c r="CC41" i="35" s="1"/>
  <c r="C41" i="35"/>
  <c r="W40" i="35"/>
  <c r="BP40" i="35" s="1"/>
  <c r="T40" i="35"/>
  <c r="BO40" i="35" s="1"/>
  <c r="Q40" i="35"/>
  <c r="BN40" i="35" s="1"/>
  <c r="N40" i="35"/>
  <c r="BM40" i="35" s="1"/>
  <c r="K40" i="35"/>
  <c r="BL40" i="35" s="1"/>
  <c r="H40" i="35"/>
  <c r="BK40" i="35" s="1"/>
  <c r="E40" i="35"/>
  <c r="BJ40" i="35" s="1"/>
  <c r="W39" i="35"/>
  <c r="BP39" i="35" s="1"/>
  <c r="T39" i="35"/>
  <c r="BO39" i="35" s="1"/>
  <c r="Q39" i="35"/>
  <c r="BN39" i="35" s="1"/>
  <c r="N39" i="35"/>
  <c r="BM39" i="35" s="1"/>
  <c r="K39" i="35"/>
  <c r="BL39" i="35" s="1"/>
  <c r="H39" i="35"/>
  <c r="BK39" i="35" s="1"/>
  <c r="E39" i="35"/>
  <c r="BJ39" i="35" s="1"/>
  <c r="W38" i="35"/>
  <c r="BP38" i="35" s="1"/>
  <c r="R38" i="35"/>
  <c r="CG38" i="35" s="1"/>
  <c r="Q38" i="35"/>
  <c r="BN38" i="35" s="1"/>
  <c r="N38" i="35"/>
  <c r="BM38" i="35" s="1"/>
  <c r="K38" i="35"/>
  <c r="BL38" i="35" s="1"/>
  <c r="H38" i="35"/>
  <c r="BK38" i="35" s="1"/>
  <c r="E38" i="35"/>
  <c r="BJ38" i="35" s="1"/>
  <c r="W37" i="35"/>
  <c r="BP37" i="35" s="1"/>
  <c r="R37" i="35"/>
  <c r="CG37" i="35" s="1"/>
  <c r="Q37" i="35"/>
  <c r="BN37" i="35" s="1"/>
  <c r="N37" i="35"/>
  <c r="BM37" i="35" s="1"/>
  <c r="K37" i="35"/>
  <c r="BL37" i="35" s="1"/>
  <c r="H37" i="35"/>
  <c r="BK37" i="35" s="1"/>
  <c r="E37" i="35"/>
  <c r="BJ37" i="35" s="1"/>
  <c r="U36" i="35"/>
  <c r="CH36" i="35" s="1"/>
  <c r="O36" i="35"/>
  <c r="CF36" i="35" s="1"/>
  <c r="L36" i="35"/>
  <c r="CE36" i="35" s="1"/>
  <c r="F36" i="35"/>
  <c r="CC36" i="35" s="1"/>
  <c r="C36" i="35"/>
  <c r="CB36" i="35" s="1"/>
  <c r="W35" i="35"/>
  <c r="BP35" i="35" s="1"/>
  <c r="T35" i="35"/>
  <c r="BO35" i="35" s="1"/>
  <c r="Q35" i="35"/>
  <c r="BN35" i="35" s="1"/>
  <c r="N35" i="35"/>
  <c r="BM35" i="35" s="1"/>
  <c r="K35" i="35"/>
  <c r="BL35" i="35" s="1"/>
  <c r="H35" i="35"/>
  <c r="BK35" i="35" s="1"/>
  <c r="E35" i="35"/>
  <c r="BJ35" i="35" s="1"/>
  <c r="W34" i="35"/>
  <c r="BP34" i="35" s="1"/>
  <c r="T34" i="35"/>
  <c r="BO34" i="35" s="1"/>
  <c r="Q34" i="35"/>
  <c r="BN34" i="35" s="1"/>
  <c r="N34" i="35"/>
  <c r="BM34" i="35" s="1"/>
  <c r="K34" i="35"/>
  <c r="BL34" i="35" s="1"/>
  <c r="H34" i="35"/>
  <c r="BK34" i="35" s="1"/>
  <c r="E34" i="35"/>
  <c r="BJ34" i="35" s="1"/>
  <c r="W33" i="35"/>
  <c r="BP33" i="35" s="1"/>
  <c r="T33" i="35"/>
  <c r="BO33" i="35" s="1"/>
  <c r="Q33" i="35"/>
  <c r="BN33" i="35" s="1"/>
  <c r="N33" i="35"/>
  <c r="BM33" i="35" s="1"/>
  <c r="K33" i="35"/>
  <c r="BL33" i="35" s="1"/>
  <c r="H33" i="35"/>
  <c r="BK33" i="35" s="1"/>
  <c r="E33" i="35"/>
  <c r="BJ33" i="35" s="1"/>
  <c r="W32" i="35"/>
  <c r="BP32" i="35" s="1"/>
  <c r="R32" i="35"/>
  <c r="CG32" i="35" s="1"/>
  <c r="Q32" i="35"/>
  <c r="BN32" i="35" s="1"/>
  <c r="N32" i="35"/>
  <c r="BM32" i="35" s="1"/>
  <c r="I32" i="35"/>
  <c r="CD32" i="35" s="1"/>
  <c r="H32" i="35"/>
  <c r="BK32" i="35" s="1"/>
  <c r="E32" i="35"/>
  <c r="BJ32" i="35" s="1"/>
  <c r="AP166" i="35"/>
  <c r="AM166" i="35"/>
  <c r="AJ166" i="35"/>
  <c r="AG166" i="35"/>
  <c r="AD166" i="35"/>
  <c r="AA166" i="35"/>
  <c r="X166" i="35"/>
  <c r="U30" i="35"/>
  <c r="CH30" i="35" s="1"/>
  <c r="R30" i="35"/>
  <c r="CG30" i="35" s="1"/>
  <c r="O30" i="35"/>
  <c r="CF30" i="35" s="1"/>
  <c r="L30" i="35"/>
  <c r="CE30" i="35" s="1"/>
  <c r="I30" i="35"/>
  <c r="CD30" i="35" s="1"/>
  <c r="F30" i="35"/>
  <c r="CC30" i="35" s="1"/>
  <c r="C30" i="35"/>
  <c r="U29" i="35"/>
  <c r="CH29" i="35" s="1"/>
  <c r="O29" i="35"/>
  <c r="CF29" i="35" s="1"/>
  <c r="L29" i="35"/>
  <c r="CE29" i="35" s="1"/>
  <c r="I29" i="35"/>
  <c r="CD29" i="35" s="1"/>
  <c r="F29" i="35"/>
  <c r="CC29" i="35" s="1"/>
  <c r="C29" i="35"/>
  <c r="AP164" i="35"/>
  <c r="CO164" i="35" s="1"/>
  <c r="AM164" i="35"/>
  <c r="CN164" i="35" s="1"/>
  <c r="AJ164" i="35"/>
  <c r="CM164" i="35" s="1"/>
  <c r="AG164" i="35"/>
  <c r="CL164" i="35" s="1"/>
  <c r="AD164" i="35"/>
  <c r="CK164" i="35" s="1"/>
  <c r="AA164" i="35"/>
  <c r="CJ164" i="35" s="1"/>
  <c r="U28" i="35"/>
  <c r="CH28" i="35" s="1"/>
  <c r="R28" i="35"/>
  <c r="CG28" i="35" s="1"/>
  <c r="O28" i="35"/>
  <c r="CF28" i="35" s="1"/>
  <c r="L28" i="35"/>
  <c r="CE28" i="35" s="1"/>
  <c r="I28" i="35"/>
  <c r="CD28" i="35" s="1"/>
  <c r="F28" i="35"/>
  <c r="CC28" i="35" s="1"/>
  <c r="C28" i="35"/>
  <c r="U27" i="35"/>
  <c r="CH27" i="35" s="1"/>
  <c r="O27" i="35"/>
  <c r="CF27" i="35" s="1"/>
  <c r="L27" i="35"/>
  <c r="CE27" i="35" s="1"/>
  <c r="I27" i="35"/>
  <c r="CD27" i="35" s="1"/>
  <c r="F27" i="35"/>
  <c r="CC27" i="35" s="1"/>
  <c r="C27" i="35"/>
  <c r="U26" i="35"/>
  <c r="CH26" i="35" s="1"/>
  <c r="R26" i="35"/>
  <c r="CG26" i="35" s="1"/>
  <c r="O26" i="35"/>
  <c r="CF26" i="35" s="1"/>
  <c r="L26" i="35"/>
  <c r="CE26" i="35" s="1"/>
  <c r="I26" i="35"/>
  <c r="CD26" i="35" s="1"/>
  <c r="F26" i="35"/>
  <c r="CC26" i="35" s="1"/>
  <c r="C26" i="35"/>
  <c r="CB26" i="35" s="1"/>
  <c r="W25" i="35"/>
  <c r="BP25" i="35" s="1"/>
  <c r="T25" i="35"/>
  <c r="BO25" i="35" s="1"/>
  <c r="Q25" i="35"/>
  <c r="BN25" i="35" s="1"/>
  <c r="N25" i="35"/>
  <c r="BM25" i="35" s="1"/>
  <c r="K25" i="35"/>
  <c r="BL25" i="35" s="1"/>
  <c r="H25" i="35"/>
  <c r="BK25" i="35" s="1"/>
  <c r="E25" i="35"/>
  <c r="BJ25" i="35" s="1"/>
  <c r="W24" i="35"/>
  <c r="BP24" i="35" s="1"/>
  <c r="T24" i="35"/>
  <c r="BO24" i="35" s="1"/>
  <c r="Q24" i="35"/>
  <c r="BN24" i="35" s="1"/>
  <c r="N24" i="35"/>
  <c r="BM24" i="35" s="1"/>
  <c r="K24" i="35"/>
  <c r="BL24" i="35" s="1"/>
  <c r="H24" i="35"/>
  <c r="BK24" i="35" s="1"/>
  <c r="E24" i="35"/>
  <c r="BJ24" i="35" s="1"/>
  <c r="W23" i="35"/>
  <c r="BP23" i="35" s="1"/>
  <c r="T23" i="35"/>
  <c r="BO23" i="35" s="1"/>
  <c r="Q23" i="35"/>
  <c r="BN23" i="35" s="1"/>
  <c r="N23" i="35"/>
  <c r="BM23" i="35" s="1"/>
  <c r="K23" i="35"/>
  <c r="BL23" i="35" s="1"/>
  <c r="H23" i="35"/>
  <c r="BK23" i="35" s="1"/>
  <c r="E23" i="35"/>
  <c r="BJ23" i="35" s="1"/>
  <c r="U22" i="35"/>
  <c r="CH22" i="35" s="1"/>
  <c r="R22" i="35"/>
  <c r="CG22" i="35" s="1"/>
  <c r="O22" i="35"/>
  <c r="CF22" i="35" s="1"/>
  <c r="L22" i="35"/>
  <c r="CE22" i="35" s="1"/>
  <c r="I22" i="35"/>
  <c r="CD22" i="35" s="1"/>
  <c r="F22" i="35"/>
  <c r="CC22" i="35" s="1"/>
  <c r="C22" i="35"/>
  <c r="CB22" i="35" s="1"/>
  <c r="W21" i="35"/>
  <c r="BP21" i="35" s="1"/>
  <c r="T21" i="35"/>
  <c r="BO21" i="35" s="1"/>
  <c r="Q21" i="35"/>
  <c r="BN21" i="35" s="1"/>
  <c r="N21" i="35"/>
  <c r="BM21" i="35" s="1"/>
  <c r="K21" i="35"/>
  <c r="BL21" i="35" s="1"/>
  <c r="H21" i="35"/>
  <c r="BK21" i="35" s="1"/>
  <c r="E21" i="35"/>
  <c r="BJ21" i="35" s="1"/>
  <c r="W20" i="35"/>
  <c r="BP20" i="35" s="1"/>
  <c r="T20" i="35"/>
  <c r="BO20" i="35" s="1"/>
  <c r="Q20" i="35"/>
  <c r="BN20" i="35" s="1"/>
  <c r="N20" i="35"/>
  <c r="BM20" i="35" s="1"/>
  <c r="K20" i="35"/>
  <c r="BL20" i="35" s="1"/>
  <c r="H20" i="35"/>
  <c r="BK20" i="35" s="1"/>
  <c r="E20" i="35"/>
  <c r="BJ20" i="35" s="1"/>
  <c r="W19" i="35"/>
  <c r="BP19" i="35" s="1"/>
  <c r="T19" i="35"/>
  <c r="BO19" i="35" s="1"/>
  <c r="Q19" i="35"/>
  <c r="BN19" i="35" s="1"/>
  <c r="N19" i="35"/>
  <c r="BM19" i="35" s="1"/>
  <c r="K19" i="35"/>
  <c r="BL19" i="35" s="1"/>
  <c r="H19" i="35"/>
  <c r="BK19" i="35" s="1"/>
  <c r="E19" i="35"/>
  <c r="BJ19" i="35" s="1"/>
  <c r="U18" i="35"/>
  <c r="CH18" i="35" s="1"/>
  <c r="O18" i="35"/>
  <c r="CF18" i="35" s="1"/>
  <c r="L18" i="35"/>
  <c r="CE18" i="35" s="1"/>
  <c r="I18" i="35"/>
  <c r="CD18" i="35" s="1"/>
  <c r="F18" i="35"/>
  <c r="CC18" i="35" s="1"/>
  <c r="C18" i="35"/>
  <c r="CB18" i="35" s="1"/>
  <c r="W17" i="35"/>
  <c r="BP17" i="35" s="1"/>
  <c r="T17" i="35"/>
  <c r="BO17" i="35" s="1"/>
  <c r="Q17" i="35"/>
  <c r="BN17" i="35" s="1"/>
  <c r="N17" i="35"/>
  <c r="BM17" i="35" s="1"/>
  <c r="K17" i="35"/>
  <c r="BL17" i="35" s="1"/>
  <c r="H17" i="35"/>
  <c r="BK17" i="35" s="1"/>
  <c r="E17" i="35"/>
  <c r="BJ17" i="35" s="1"/>
  <c r="W16" i="35"/>
  <c r="BP16" i="35" s="1"/>
  <c r="R16" i="35"/>
  <c r="CG16" i="35" s="1"/>
  <c r="Q16" i="35"/>
  <c r="BN16" i="35" s="1"/>
  <c r="N16" i="35"/>
  <c r="BM16" i="35" s="1"/>
  <c r="K16" i="35"/>
  <c r="BL16" i="35" s="1"/>
  <c r="H16" i="35"/>
  <c r="BK16" i="35" s="1"/>
  <c r="E16" i="35"/>
  <c r="BJ16" i="35" s="1"/>
  <c r="W15" i="35"/>
  <c r="BP15" i="35" s="1"/>
  <c r="T15" i="35"/>
  <c r="BO15" i="35" s="1"/>
  <c r="Q15" i="35"/>
  <c r="BN15" i="35" s="1"/>
  <c r="N15" i="35"/>
  <c r="BM15" i="35" s="1"/>
  <c r="K15" i="35"/>
  <c r="BL15" i="35" s="1"/>
  <c r="H15" i="35"/>
  <c r="BK15" i="35" s="1"/>
  <c r="E15" i="35"/>
  <c r="BJ15" i="35" s="1"/>
  <c r="W14" i="35"/>
  <c r="BP14" i="35" s="1"/>
  <c r="T14" i="35"/>
  <c r="BO14" i="35" s="1"/>
  <c r="Q14" i="35"/>
  <c r="BN14" i="35" s="1"/>
  <c r="N14" i="35"/>
  <c r="BM14" i="35" s="1"/>
  <c r="K14" i="35"/>
  <c r="BL14" i="35" s="1"/>
  <c r="H14" i="35"/>
  <c r="BK14" i="35" s="1"/>
  <c r="E14" i="35"/>
  <c r="BJ14" i="35" s="1"/>
  <c r="U13" i="35"/>
  <c r="CH13" i="35" s="1"/>
  <c r="R13" i="35"/>
  <c r="CG13" i="35" s="1"/>
  <c r="O13" i="35"/>
  <c r="CF13" i="35" s="1"/>
  <c r="L13" i="35"/>
  <c r="CE13" i="35" s="1"/>
  <c r="I13" i="35"/>
  <c r="CD13" i="35" s="1"/>
  <c r="F13" i="35"/>
  <c r="CC13" i="35" s="1"/>
  <c r="C13" i="35"/>
  <c r="CB13" i="35" s="1"/>
  <c r="W12" i="35"/>
  <c r="BP12" i="35" s="1"/>
  <c r="T12" i="35"/>
  <c r="BO12" i="35" s="1"/>
  <c r="Q12" i="35"/>
  <c r="BN12" i="35" s="1"/>
  <c r="N12" i="35"/>
  <c r="BM12" i="35" s="1"/>
  <c r="K12" i="35"/>
  <c r="BL12" i="35" s="1"/>
  <c r="H12" i="35"/>
  <c r="BK12" i="35" s="1"/>
  <c r="E12" i="35"/>
  <c r="BJ12" i="35" s="1"/>
  <c r="W11" i="35"/>
  <c r="BP11" i="35" s="1"/>
  <c r="T11" i="35"/>
  <c r="BO11" i="35" s="1"/>
  <c r="Q11" i="35"/>
  <c r="BN11" i="35" s="1"/>
  <c r="N11" i="35"/>
  <c r="BM11" i="35" s="1"/>
  <c r="K11" i="35"/>
  <c r="BL11" i="35" s="1"/>
  <c r="H11" i="35"/>
  <c r="BK11" i="35" s="1"/>
  <c r="E11" i="35"/>
  <c r="BJ11" i="35" s="1"/>
  <c r="W10" i="35"/>
  <c r="BP10" i="35" s="1"/>
  <c r="T10" i="35"/>
  <c r="BO10" i="35" s="1"/>
  <c r="Q10" i="35"/>
  <c r="BN10" i="35" s="1"/>
  <c r="N10" i="35"/>
  <c r="BM10" i="35" s="1"/>
  <c r="K10" i="35"/>
  <c r="BL10" i="35" s="1"/>
  <c r="H10" i="35"/>
  <c r="BK10" i="35" s="1"/>
  <c r="E10" i="35"/>
  <c r="BJ10" i="35" s="1"/>
  <c r="W9" i="35"/>
  <c r="BP9" i="35" s="1"/>
  <c r="T9" i="35"/>
  <c r="BO9" i="35" s="1"/>
  <c r="Q9" i="35"/>
  <c r="BN9" i="35" s="1"/>
  <c r="N9" i="35"/>
  <c r="BM9" i="35" s="1"/>
  <c r="K9" i="35"/>
  <c r="BL9" i="35" s="1"/>
  <c r="H9" i="35"/>
  <c r="BK9" i="35" s="1"/>
  <c r="E9" i="35"/>
  <c r="BJ9" i="35" s="1"/>
  <c r="U8" i="35"/>
  <c r="CH8" i="35" s="1"/>
  <c r="O8" i="35"/>
  <c r="CF8" i="35" s="1"/>
  <c r="L8" i="35"/>
  <c r="CE8" i="35" s="1"/>
  <c r="I8" i="35"/>
  <c r="CD8" i="35" s="1"/>
  <c r="F8" i="35"/>
  <c r="CC8" i="35" s="1"/>
  <c r="C8" i="35"/>
  <c r="CB8" i="35" s="1"/>
  <c r="W7" i="35"/>
  <c r="BP7" i="35" s="1"/>
  <c r="T7" i="35"/>
  <c r="BO7" i="35" s="1"/>
  <c r="Q7" i="35"/>
  <c r="BN7" i="35" s="1"/>
  <c r="N7" i="35"/>
  <c r="BM7" i="35" s="1"/>
  <c r="K7" i="35"/>
  <c r="BL7" i="35" s="1"/>
  <c r="H7" i="35"/>
  <c r="BK7" i="35" s="1"/>
  <c r="E7" i="35"/>
  <c r="BJ7" i="35" s="1"/>
  <c r="W6" i="35"/>
  <c r="BP6" i="35" s="1"/>
  <c r="T6" i="35"/>
  <c r="BO6" i="35" s="1"/>
  <c r="Q6" i="35"/>
  <c r="BN6" i="35" s="1"/>
  <c r="N6" i="35"/>
  <c r="BM6" i="35" s="1"/>
  <c r="K6" i="35"/>
  <c r="BL6" i="35" s="1"/>
  <c r="H6" i="35"/>
  <c r="BK6" i="35" s="1"/>
  <c r="E6" i="35"/>
  <c r="BJ6" i="35" s="1"/>
  <c r="W5" i="35"/>
  <c r="BP5" i="35" s="1"/>
  <c r="T5" i="35"/>
  <c r="BO5" i="35" s="1"/>
  <c r="Q5" i="35"/>
  <c r="BN5" i="35" s="1"/>
  <c r="N5" i="35"/>
  <c r="BM5" i="35" s="1"/>
  <c r="K5" i="35"/>
  <c r="BL5" i="35" s="1"/>
  <c r="H5" i="35"/>
  <c r="BK5" i="35" s="1"/>
  <c r="E5" i="35"/>
  <c r="BJ5" i="35" s="1"/>
  <c r="W4" i="35"/>
  <c r="BP4" i="35" s="1"/>
  <c r="R4" i="35"/>
  <c r="CG4" i="35" s="1"/>
  <c r="Q4" i="35"/>
  <c r="BN4" i="35" s="1"/>
  <c r="N4" i="35"/>
  <c r="BM4" i="35" s="1"/>
  <c r="K4" i="35"/>
  <c r="BL4" i="35" s="1"/>
  <c r="H4" i="35"/>
  <c r="BK4" i="35" s="1"/>
  <c r="E4" i="35"/>
  <c r="BJ4" i="35" s="1"/>
  <c r="AC39" i="35" l="1"/>
  <c r="BR39" i="35" s="1"/>
  <c r="AC7" i="35"/>
  <c r="BR7" i="35" s="1"/>
  <c r="C165" i="35"/>
  <c r="CB165" i="35" s="1"/>
  <c r="CB29" i="35"/>
  <c r="C166" i="35"/>
  <c r="CB166" i="35" s="1"/>
  <c r="CB30" i="35"/>
  <c r="I99" i="3"/>
  <c r="CJ166" i="35"/>
  <c r="K99" i="3"/>
  <c r="CL166" i="35"/>
  <c r="M99" i="3"/>
  <c r="CN166" i="35"/>
  <c r="T44" i="35"/>
  <c r="BO44" i="35" s="1"/>
  <c r="CG44" i="35"/>
  <c r="K150" i="35"/>
  <c r="BL150" i="35" s="1"/>
  <c r="CD150" i="35"/>
  <c r="I100" i="3"/>
  <c r="CJ167" i="35"/>
  <c r="K100" i="3"/>
  <c r="CL167" i="35"/>
  <c r="M100" i="3"/>
  <c r="CN167" i="35"/>
  <c r="AC10" i="35"/>
  <c r="BR10" i="35" s="1"/>
  <c r="AC55" i="35"/>
  <c r="BR55" i="35" s="1"/>
  <c r="AC65" i="35"/>
  <c r="BR65" i="35" s="1"/>
  <c r="AC15" i="35"/>
  <c r="BR15" i="35" s="1"/>
  <c r="AC25" i="35"/>
  <c r="BR25" i="35" s="1"/>
  <c r="AC50" i="35"/>
  <c r="BR50" i="35" s="1"/>
  <c r="AC70" i="35"/>
  <c r="BR70" i="35" s="1"/>
  <c r="AC111" i="35"/>
  <c r="BR111" i="35" s="1"/>
  <c r="AC151" i="35"/>
  <c r="BR151" i="35" s="1"/>
  <c r="AC99" i="35"/>
  <c r="BR99" i="35" s="1"/>
  <c r="AC115" i="35"/>
  <c r="BR115" i="35" s="1"/>
  <c r="AC138" i="35"/>
  <c r="BR138" i="35" s="1"/>
  <c r="C163" i="35"/>
  <c r="CB163" i="35" s="1"/>
  <c r="CB27" i="35"/>
  <c r="C164" i="35"/>
  <c r="CB164" i="35" s="1"/>
  <c r="CB28" i="35"/>
  <c r="H99" i="3"/>
  <c r="CI166" i="35"/>
  <c r="J99" i="3"/>
  <c r="CK166" i="35"/>
  <c r="L99" i="3"/>
  <c r="CM166" i="35"/>
  <c r="N99" i="3"/>
  <c r="CO166" i="35"/>
  <c r="K32" i="35"/>
  <c r="BL32" i="35" s="1"/>
  <c r="T32" i="35"/>
  <c r="BO32" i="35" s="1"/>
  <c r="C91" i="35"/>
  <c r="CB91" i="35" s="1"/>
  <c r="CB41" i="35"/>
  <c r="C133" i="35"/>
  <c r="CB133" i="35" s="1"/>
  <c r="CB129" i="35"/>
  <c r="H100" i="3"/>
  <c r="CI167" i="35"/>
  <c r="J100" i="3"/>
  <c r="CK167" i="35"/>
  <c r="L100" i="3"/>
  <c r="CM167" i="35"/>
  <c r="N100" i="3"/>
  <c r="CO167" i="35"/>
  <c r="V314" i="35"/>
  <c r="AC45" i="35"/>
  <c r="BR45" i="35" s="1"/>
  <c r="AC75" i="35"/>
  <c r="BR75" i="35" s="1"/>
  <c r="AC85" i="35"/>
  <c r="BR85" i="35" s="1"/>
  <c r="AC116" i="35"/>
  <c r="BR116" i="35" s="1"/>
  <c r="AC140" i="35"/>
  <c r="BR140" i="35" s="1"/>
  <c r="AC49" i="35"/>
  <c r="BR49" i="35" s="1"/>
  <c r="AC59" i="35"/>
  <c r="BR59" i="35" s="1"/>
  <c r="AC94" i="35"/>
  <c r="BR94" i="35" s="1"/>
  <c r="AC148" i="35"/>
  <c r="BR148" i="35" s="1"/>
  <c r="C31" i="35"/>
  <c r="CB31" i="35" s="1"/>
  <c r="AE37" i="35"/>
  <c r="AH37" i="35" s="1"/>
  <c r="AK37" i="35" s="1"/>
  <c r="AC21" i="35"/>
  <c r="BR21" i="35" s="1"/>
  <c r="C125" i="35"/>
  <c r="CB125" i="35" s="1"/>
  <c r="K154" i="35"/>
  <c r="BL154" i="35" s="1"/>
  <c r="H27" i="35"/>
  <c r="BK27" i="35" s="1"/>
  <c r="N27" i="35"/>
  <c r="BM27" i="35" s="1"/>
  <c r="E28" i="35"/>
  <c r="BJ28" i="35" s="1"/>
  <c r="Q28" i="35"/>
  <c r="BN28" i="35" s="1"/>
  <c r="W28" i="35"/>
  <c r="BP28" i="35" s="1"/>
  <c r="H29" i="35"/>
  <c r="BK29" i="35" s="1"/>
  <c r="N29" i="35"/>
  <c r="BM29" i="35" s="1"/>
  <c r="E30" i="35"/>
  <c r="BJ30" i="35" s="1"/>
  <c r="K30" i="35"/>
  <c r="BL30" i="35" s="1"/>
  <c r="Q30" i="35"/>
  <c r="BN30" i="35" s="1"/>
  <c r="F31" i="35"/>
  <c r="CC31" i="35" s="1"/>
  <c r="H13" i="35"/>
  <c r="BK13" i="35" s="1"/>
  <c r="N13" i="35"/>
  <c r="BM13" i="35" s="1"/>
  <c r="T13" i="35"/>
  <c r="BO13" i="35" s="1"/>
  <c r="E13" i="35"/>
  <c r="BJ13" i="35" s="1"/>
  <c r="Q13" i="35"/>
  <c r="BN13" i="35" s="1"/>
  <c r="E18" i="35"/>
  <c r="BJ18" i="35" s="1"/>
  <c r="K18" i="35"/>
  <c r="BL18" i="35" s="1"/>
  <c r="Q18" i="35"/>
  <c r="BN18" i="35" s="1"/>
  <c r="E26" i="35"/>
  <c r="BJ26" i="35" s="1"/>
  <c r="K26" i="35"/>
  <c r="BL26" i="35" s="1"/>
  <c r="Q26" i="35"/>
  <c r="BN26" i="35" s="1"/>
  <c r="W26" i="35"/>
  <c r="BP26" i="35" s="1"/>
  <c r="O163" i="35"/>
  <c r="CF163" i="35" s="1"/>
  <c r="I164" i="35"/>
  <c r="CD164" i="35" s="1"/>
  <c r="O164" i="35"/>
  <c r="CF164" i="35" s="1"/>
  <c r="F165" i="35"/>
  <c r="CC165" i="35" s="1"/>
  <c r="L165" i="35"/>
  <c r="CE165" i="35" s="1"/>
  <c r="U165" i="35"/>
  <c r="CH165" i="35" s="1"/>
  <c r="F166" i="35"/>
  <c r="CC166" i="35" s="1"/>
  <c r="L166" i="35"/>
  <c r="CE166" i="35" s="1"/>
  <c r="R166" i="35"/>
  <c r="CG166" i="35" s="1"/>
  <c r="H36" i="35"/>
  <c r="BK36" i="35" s="1"/>
  <c r="K36" i="35"/>
  <c r="BL36" i="35" s="1"/>
  <c r="Q36" i="35"/>
  <c r="BN36" i="35" s="1"/>
  <c r="E36" i="35"/>
  <c r="BJ36" i="35" s="1"/>
  <c r="E87" i="35"/>
  <c r="BJ87" i="35" s="1"/>
  <c r="Q87" i="35"/>
  <c r="BN87" i="35" s="1"/>
  <c r="W87" i="35"/>
  <c r="BP87" i="35" s="1"/>
  <c r="H88" i="35"/>
  <c r="BK88" i="35" s="1"/>
  <c r="N88" i="35"/>
  <c r="BM88" i="35" s="1"/>
  <c r="R88" i="35"/>
  <c r="CG88" i="35" s="1"/>
  <c r="H90" i="35"/>
  <c r="BK90" i="35" s="1"/>
  <c r="N90" i="35"/>
  <c r="BM90" i="35" s="1"/>
  <c r="T90" i="35"/>
  <c r="BO90" i="35" s="1"/>
  <c r="O91" i="35"/>
  <c r="CF91" i="35" s="1"/>
  <c r="E61" i="35"/>
  <c r="BJ61" i="35" s="1"/>
  <c r="K61" i="35"/>
  <c r="BL61" i="35" s="1"/>
  <c r="Q61" i="35"/>
  <c r="BN61" i="35" s="1"/>
  <c r="W61" i="35"/>
  <c r="BP61" i="35" s="1"/>
  <c r="E66" i="35"/>
  <c r="BJ66" i="35" s="1"/>
  <c r="K66" i="35"/>
  <c r="BL66" i="35" s="1"/>
  <c r="Q66" i="35"/>
  <c r="BN66" i="35" s="1"/>
  <c r="W66" i="35"/>
  <c r="BP66" i="35" s="1"/>
  <c r="E71" i="35"/>
  <c r="BJ71" i="35" s="1"/>
  <c r="K71" i="35"/>
  <c r="BL71" i="35" s="1"/>
  <c r="Q71" i="35"/>
  <c r="BN71" i="35" s="1"/>
  <c r="W71" i="35"/>
  <c r="BP71" i="35" s="1"/>
  <c r="E76" i="35"/>
  <c r="BJ76" i="35" s="1"/>
  <c r="K76" i="35"/>
  <c r="BL76" i="35" s="1"/>
  <c r="Q76" i="35"/>
  <c r="BN76" i="35" s="1"/>
  <c r="E81" i="35"/>
  <c r="BJ81" i="35" s="1"/>
  <c r="I87" i="35"/>
  <c r="CD87" i="35" s="1"/>
  <c r="T84" i="35"/>
  <c r="BO84" i="35" s="1"/>
  <c r="H95" i="35"/>
  <c r="BK95" i="35" s="1"/>
  <c r="N95" i="35"/>
  <c r="BM95" i="35" s="1"/>
  <c r="T95" i="35"/>
  <c r="BO95" i="35" s="1"/>
  <c r="H107" i="35"/>
  <c r="BK107" i="35" s="1"/>
  <c r="N107" i="35"/>
  <c r="BM107" i="35" s="1"/>
  <c r="F109" i="35"/>
  <c r="CC109" i="35" s="1"/>
  <c r="L109" i="35"/>
  <c r="CE109" i="35" s="1"/>
  <c r="H106" i="35"/>
  <c r="BK106" i="35" s="1"/>
  <c r="N106" i="35"/>
  <c r="BM106" i="35" s="1"/>
  <c r="E104" i="35"/>
  <c r="BJ104" i="35" s="1"/>
  <c r="K104" i="35"/>
  <c r="BL104" i="35" s="1"/>
  <c r="Q104" i="35"/>
  <c r="BN104" i="35" s="1"/>
  <c r="R107" i="35"/>
  <c r="CG107" i="35" s="1"/>
  <c r="V105" i="35"/>
  <c r="E113" i="35"/>
  <c r="BJ113" i="35" s="1"/>
  <c r="K113" i="35"/>
  <c r="BL113" i="35" s="1"/>
  <c r="Q113" i="35"/>
  <c r="BN113" i="35" s="1"/>
  <c r="I125" i="35"/>
  <c r="CD125" i="35" s="1"/>
  <c r="O125" i="35"/>
  <c r="CF125" i="35" s="1"/>
  <c r="E117" i="35"/>
  <c r="BJ117" i="35" s="1"/>
  <c r="K117" i="35"/>
  <c r="BL117" i="35" s="1"/>
  <c r="Q117" i="35"/>
  <c r="BN117" i="35" s="1"/>
  <c r="W117" i="35"/>
  <c r="BP117" i="35" s="1"/>
  <c r="W124" i="35"/>
  <c r="BP124" i="35" s="1"/>
  <c r="R121" i="35"/>
  <c r="CG121" i="35" s="1"/>
  <c r="H130" i="35"/>
  <c r="BK130" i="35" s="1"/>
  <c r="N129" i="35"/>
  <c r="BM129" i="35" s="1"/>
  <c r="T130" i="35"/>
  <c r="BO130" i="35" s="1"/>
  <c r="E131" i="35"/>
  <c r="BJ131" i="35" s="1"/>
  <c r="K131" i="35"/>
  <c r="BL131" i="35" s="1"/>
  <c r="Q131" i="35"/>
  <c r="BN131" i="35" s="1"/>
  <c r="H132" i="35"/>
  <c r="BK132" i="35" s="1"/>
  <c r="N132" i="35"/>
  <c r="BM132" i="35" s="1"/>
  <c r="T132" i="35"/>
  <c r="BO132" i="35" s="1"/>
  <c r="H137" i="35"/>
  <c r="BK137" i="35" s="1"/>
  <c r="N137" i="35"/>
  <c r="BM137" i="35" s="1"/>
  <c r="T137" i="35"/>
  <c r="BO137" i="35" s="1"/>
  <c r="H157" i="35"/>
  <c r="BK157" i="35" s="1"/>
  <c r="N157" i="35"/>
  <c r="BM157" i="35" s="1"/>
  <c r="T157" i="35"/>
  <c r="BO157" i="35" s="1"/>
  <c r="H159" i="35"/>
  <c r="BK159" i="35" s="1"/>
  <c r="N159" i="35"/>
  <c r="BM159" i="35" s="1"/>
  <c r="T159" i="35"/>
  <c r="BO159" i="35" s="1"/>
  <c r="H141" i="35"/>
  <c r="BK141" i="35" s="1"/>
  <c r="N141" i="35"/>
  <c r="BM141" i="35" s="1"/>
  <c r="T141" i="35"/>
  <c r="BO141" i="35" s="1"/>
  <c r="H158" i="35"/>
  <c r="BK158" i="35" s="1"/>
  <c r="N158" i="35"/>
  <c r="BM158" i="35" s="1"/>
  <c r="T158" i="35"/>
  <c r="BO158" i="35" s="1"/>
  <c r="H145" i="35"/>
  <c r="BK145" i="35" s="1"/>
  <c r="N145" i="35"/>
  <c r="BM145" i="35" s="1"/>
  <c r="T145" i="35"/>
  <c r="BO145" i="35" s="1"/>
  <c r="E145" i="35"/>
  <c r="BJ145" i="35" s="1"/>
  <c r="H149" i="35"/>
  <c r="BK149" i="35" s="1"/>
  <c r="N149" i="35"/>
  <c r="BM149" i="35" s="1"/>
  <c r="T149" i="35"/>
  <c r="BO149" i="35" s="1"/>
  <c r="E149" i="35"/>
  <c r="BJ149" i="35" s="1"/>
  <c r="H154" i="35"/>
  <c r="BK154" i="35" s="1"/>
  <c r="Q154" i="35"/>
  <c r="BN154" i="35" s="1"/>
  <c r="H156" i="35"/>
  <c r="BK156" i="35" s="1"/>
  <c r="N156" i="35"/>
  <c r="BM156" i="35" s="1"/>
  <c r="T156" i="35"/>
  <c r="BO156" i="35" s="1"/>
  <c r="AC106" i="35"/>
  <c r="BR106" i="35" s="1"/>
  <c r="Z106" i="35"/>
  <c r="BQ106" i="35" s="1"/>
  <c r="AC156" i="35"/>
  <c r="BR156" i="35" s="1"/>
  <c r="AH19" i="35"/>
  <c r="AE44" i="35"/>
  <c r="Z158" i="35"/>
  <c r="BQ158" i="35" s="1"/>
  <c r="AE34" i="35"/>
  <c r="AH4" i="35"/>
  <c r="AH24" i="35"/>
  <c r="AE150" i="35"/>
  <c r="AE144" i="35"/>
  <c r="AE139" i="35"/>
  <c r="AE134" i="35"/>
  <c r="AE7" i="35"/>
  <c r="AE10" i="35"/>
  <c r="AE15" i="35"/>
  <c r="AE20" i="35"/>
  <c r="AE25" i="35"/>
  <c r="AE35" i="35"/>
  <c r="AE40" i="35"/>
  <c r="AE45" i="35"/>
  <c r="AE50" i="35"/>
  <c r="AE55" i="35"/>
  <c r="AE60" i="35"/>
  <c r="AE65" i="35"/>
  <c r="AE70" i="35"/>
  <c r="AE75" i="35"/>
  <c r="AE80" i="35"/>
  <c r="AE85" i="35"/>
  <c r="AE96" i="35"/>
  <c r="AE101" i="35"/>
  <c r="AE111" i="35"/>
  <c r="AE116" i="35"/>
  <c r="AE126" i="35"/>
  <c r="AE140" i="35"/>
  <c r="AE151" i="35"/>
  <c r="AE49" i="35"/>
  <c r="AE54" i="35"/>
  <c r="AE59" i="35"/>
  <c r="AE64" i="35"/>
  <c r="AE69" i="35"/>
  <c r="AE74" i="35"/>
  <c r="AE79" i="35"/>
  <c r="AE84" i="35"/>
  <c r="AE94" i="35"/>
  <c r="AE99" i="35"/>
  <c r="AE110" i="35"/>
  <c r="AE115" i="35"/>
  <c r="AE120" i="35"/>
  <c r="AE138" i="35"/>
  <c r="AE148" i="35"/>
  <c r="R8" i="35"/>
  <c r="CG8" i="35" s="1"/>
  <c r="K28" i="35"/>
  <c r="BL28" i="35" s="1"/>
  <c r="E27" i="35"/>
  <c r="BJ27" i="35" s="1"/>
  <c r="K27" i="35"/>
  <c r="BL27" i="35" s="1"/>
  <c r="Q27" i="35"/>
  <c r="BN27" i="35" s="1"/>
  <c r="H28" i="35"/>
  <c r="BK28" i="35" s="1"/>
  <c r="N28" i="35"/>
  <c r="BM28" i="35" s="1"/>
  <c r="T28" i="35"/>
  <c r="BO28" i="35" s="1"/>
  <c r="E29" i="35"/>
  <c r="BJ29" i="35" s="1"/>
  <c r="K29" i="35"/>
  <c r="BL29" i="35" s="1"/>
  <c r="Q29" i="35"/>
  <c r="BN29" i="35" s="1"/>
  <c r="H30" i="35"/>
  <c r="BK30" i="35" s="1"/>
  <c r="N30" i="35"/>
  <c r="BM30" i="35" s="1"/>
  <c r="T30" i="35"/>
  <c r="BO30" i="35" s="1"/>
  <c r="I31" i="35"/>
  <c r="CD31" i="35" s="1"/>
  <c r="O31" i="35"/>
  <c r="CF31" i="35" s="1"/>
  <c r="K13" i="35"/>
  <c r="BL13" i="35" s="1"/>
  <c r="T16" i="35"/>
  <c r="BO16" i="35" s="1"/>
  <c r="H22" i="35"/>
  <c r="BK22" i="35" s="1"/>
  <c r="N22" i="35"/>
  <c r="BM22" i="35" s="1"/>
  <c r="T22" i="35"/>
  <c r="BO22" i="35" s="1"/>
  <c r="F163" i="35"/>
  <c r="CC163" i="35" s="1"/>
  <c r="L163" i="35"/>
  <c r="CE163" i="35" s="1"/>
  <c r="U163" i="35"/>
  <c r="F164" i="35"/>
  <c r="CC164" i="35" s="1"/>
  <c r="L164" i="35"/>
  <c r="CE164" i="35" s="1"/>
  <c r="I165" i="35"/>
  <c r="CD165" i="35" s="1"/>
  <c r="O165" i="35"/>
  <c r="CF165" i="35" s="1"/>
  <c r="I166" i="35"/>
  <c r="CD166" i="35" s="1"/>
  <c r="O166" i="35"/>
  <c r="CF166" i="35" s="1"/>
  <c r="U166" i="35"/>
  <c r="CH166" i="35" s="1"/>
  <c r="I36" i="35"/>
  <c r="CD36" i="35" s="1"/>
  <c r="R36" i="35"/>
  <c r="CG36" i="35" s="1"/>
  <c r="H87" i="35"/>
  <c r="BK87" i="35" s="1"/>
  <c r="N87" i="35"/>
  <c r="BM87" i="35" s="1"/>
  <c r="R87" i="35"/>
  <c r="CG87" i="35" s="1"/>
  <c r="H89" i="35"/>
  <c r="BK89" i="35" s="1"/>
  <c r="N89" i="35"/>
  <c r="BM89" i="35" s="1"/>
  <c r="E90" i="35"/>
  <c r="BJ90" i="35" s="1"/>
  <c r="K90" i="35"/>
  <c r="BL90" i="35" s="1"/>
  <c r="Q90" i="35"/>
  <c r="BN90" i="35" s="1"/>
  <c r="W90" i="35"/>
  <c r="BP90" i="35" s="1"/>
  <c r="F91" i="35"/>
  <c r="CC91" i="35" s="1"/>
  <c r="L91" i="35"/>
  <c r="CE91" i="35" s="1"/>
  <c r="H46" i="35"/>
  <c r="BK46" i="35" s="1"/>
  <c r="N46" i="35"/>
  <c r="BM46" i="35" s="1"/>
  <c r="R46" i="35"/>
  <c r="CG46" i="35" s="1"/>
  <c r="E46" i="35"/>
  <c r="BJ46" i="35" s="1"/>
  <c r="K46" i="35"/>
  <c r="BL46" i="35" s="1"/>
  <c r="Q46" i="35"/>
  <c r="BN46" i="35" s="1"/>
  <c r="R89" i="35"/>
  <c r="CG89" i="35" s="1"/>
  <c r="E51" i="35"/>
  <c r="BJ51" i="35" s="1"/>
  <c r="K51" i="35"/>
  <c r="BL51" i="35" s="1"/>
  <c r="Q51" i="35"/>
  <c r="BN51" i="35" s="1"/>
  <c r="H56" i="35"/>
  <c r="BK56" i="35" s="1"/>
  <c r="N56" i="35"/>
  <c r="BM56" i="35" s="1"/>
  <c r="R56" i="35"/>
  <c r="CG56" i="35" s="1"/>
  <c r="E56" i="35"/>
  <c r="BJ56" i="35" s="1"/>
  <c r="K56" i="35"/>
  <c r="BL56" i="35" s="1"/>
  <c r="T54" i="35"/>
  <c r="BO54" i="35" s="1"/>
  <c r="H61" i="35"/>
  <c r="BK61" i="35" s="1"/>
  <c r="N61" i="35"/>
  <c r="BM61" i="35" s="1"/>
  <c r="R61" i="35"/>
  <c r="CG61" i="35" s="1"/>
  <c r="R66" i="35"/>
  <c r="CG66" i="35" s="1"/>
  <c r="H71" i="35"/>
  <c r="BK71" i="35" s="1"/>
  <c r="N71" i="35"/>
  <c r="BM71" i="35" s="1"/>
  <c r="R71" i="35"/>
  <c r="CG71" i="35" s="1"/>
  <c r="R76" i="35"/>
  <c r="CG76" i="35" s="1"/>
  <c r="H81" i="35"/>
  <c r="BK81" i="35" s="1"/>
  <c r="N81" i="35"/>
  <c r="BM81" i="35" s="1"/>
  <c r="T81" i="35"/>
  <c r="BO81" i="35" s="1"/>
  <c r="H86" i="35"/>
  <c r="BK86" i="35" s="1"/>
  <c r="N86" i="35"/>
  <c r="BM86" i="35" s="1"/>
  <c r="T82" i="35"/>
  <c r="BO82" i="35" s="1"/>
  <c r="E95" i="35"/>
  <c r="BJ95" i="35" s="1"/>
  <c r="K95" i="35"/>
  <c r="BL95" i="35" s="1"/>
  <c r="Q95" i="35"/>
  <c r="BN95" i="35" s="1"/>
  <c r="Q107" i="35"/>
  <c r="BN107" i="35" s="1"/>
  <c r="E108" i="35"/>
  <c r="BJ108" i="35" s="1"/>
  <c r="K108" i="35"/>
  <c r="BL108" i="35" s="1"/>
  <c r="Q108" i="35"/>
  <c r="BN108" i="35" s="1"/>
  <c r="N100" i="35"/>
  <c r="BM100" i="35" s="1"/>
  <c r="E106" i="35"/>
  <c r="BJ106" i="35" s="1"/>
  <c r="K106" i="35"/>
  <c r="BL106" i="35" s="1"/>
  <c r="Q106" i="35"/>
  <c r="BN106" i="35" s="1"/>
  <c r="H122" i="35"/>
  <c r="BK122" i="35" s="1"/>
  <c r="N122" i="35"/>
  <c r="BM122" i="35" s="1"/>
  <c r="T113" i="35"/>
  <c r="BO113" i="35" s="1"/>
  <c r="H124" i="35"/>
  <c r="BK124" i="35" s="1"/>
  <c r="N124" i="35"/>
  <c r="BM124" i="35" s="1"/>
  <c r="T124" i="35"/>
  <c r="BO124" i="35" s="1"/>
  <c r="F125" i="35"/>
  <c r="CC125" i="35" s="1"/>
  <c r="W123" i="35"/>
  <c r="BP123" i="35" s="1"/>
  <c r="E121" i="35"/>
  <c r="BJ121" i="35" s="1"/>
  <c r="K121" i="35"/>
  <c r="BL121" i="35" s="1"/>
  <c r="Q121" i="35"/>
  <c r="BN121" i="35" s="1"/>
  <c r="T118" i="35"/>
  <c r="BO118" i="35" s="1"/>
  <c r="E130" i="35"/>
  <c r="BJ130" i="35" s="1"/>
  <c r="K130" i="35"/>
  <c r="BL130" i="35" s="1"/>
  <c r="Q130" i="35"/>
  <c r="BN130" i="35" s="1"/>
  <c r="W129" i="35"/>
  <c r="BP129" i="35" s="1"/>
  <c r="H131" i="35"/>
  <c r="BK131" i="35" s="1"/>
  <c r="N131" i="35"/>
  <c r="BM131" i="35" s="1"/>
  <c r="T131" i="35"/>
  <c r="BO131" i="35" s="1"/>
  <c r="E132" i="35"/>
  <c r="BJ132" i="35" s="1"/>
  <c r="K132" i="35"/>
  <c r="BL132" i="35" s="1"/>
  <c r="Q132" i="35"/>
  <c r="BN132" i="35" s="1"/>
  <c r="F133" i="35"/>
  <c r="CC133" i="35" s="1"/>
  <c r="W133" i="35"/>
  <c r="BP133" i="35" s="1"/>
  <c r="E155" i="35"/>
  <c r="BJ155" i="35" s="1"/>
  <c r="K155" i="35"/>
  <c r="BL155" i="35" s="1"/>
  <c r="Q155" i="35"/>
  <c r="BN155" i="35" s="1"/>
  <c r="E157" i="35"/>
  <c r="BJ157" i="35" s="1"/>
  <c r="K157" i="35"/>
  <c r="BL157" i="35" s="1"/>
  <c r="Q157" i="35"/>
  <c r="BN157" i="35" s="1"/>
  <c r="E159" i="35"/>
  <c r="BJ159" i="35" s="1"/>
  <c r="K159" i="35"/>
  <c r="BL159" i="35" s="1"/>
  <c r="Q159" i="35"/>
  <c r="BN159" i="35" s="1"/>
  <c r="U160" i="35"/>
  <c r="CH160" i="35" s="1"/>
  <c r="E141" i="35"/>
  <c r="BJ141" i="35" s="1"/>
  <c r="K141" i="35"/>
  <c r="BL141" i="35" s="1"/>
  <c r="Q141" i="35"/>
  <c r="BN141" i="35" s="1"/>
  <c r="E158" i="35"/>
  <c r="BJ158" i="35" s="1"/>
  <c r="K158" i="35"/>
  <c r="BL158" i="35" s="1"/>
  <c r="Q158" i="35"/>
  <c r="BN158" i="35" s="1"/>
  <c r="K145" i="35"/>
  <c r="BL145" i="35" s="1"/>
  <c r="Q145" i="35"/>
  <c r="BN145" i="35" s="1"/>
  <c r="K149" i="35"/>
  <c r="BL149" i="35" s="1"/>
  <c r="Q149" i="35"/>
  <c r="BN149" i="35" s="1"/>
  <c r="E154" i="35"/>
  <c r="BJ154" i="35" s="1"/>
  <c r="I155" i="35"/>
  <c r="CD155" i="35" s="1"/>
  <c r="N154" i="35"/>
  <c r="BM154" i="35" s="1"/>
  <c r="T154" i="35"/>
  <c r="BO154" i="35" s="1"/>
  <c r="E156" i="35"/>
  <c r="BJ156" i="35" s="1"/>
  <c r="K156" i="35"/>
  <c r="BL156" i="35" s="1"/>
  <c r="Q156" i="35"/>
  <c r="BN156" i="35" s="1"/>
  <c r="AH42" i="35"/>
  <c r="Z156" i="35"/>
  <c r="BQ156" i="35" s="1"/>
  <c r="AH14" i="35"/>
  <c r="AE6" i="35"/>
  <c r="AE32" i="35"/>
  <c r="AE152" i="35"/>
  <c r="AE147" i="35"/>
  <c r="AE142" i="35"/>
  <c r="AE136" i="35"/>
  <c r="AE127" i="35"/>
  <c r="AE5" i="35"/>
  <c r="AE12" i="35"/>
  <c r="AE17" i="35"/>
  <c r="AE23" i="35"/>
  <c r="AE33" i="35"/>
  <c r="AE38" i="35"/>
  <c r="AE43" i="35"/>
  <c r="AE48" i="35"/>
  <c r="AE53" i="35"/>
  <c r="AE58" i="35"/>
  <c r="AE63" i="35"/>
  <c r="AE68" i="35"/>
  <c r="AE73" i="35"/>
  <c r="AE78" i="35"/>
  <c r="AE83" i="35"/>
  <c r="AE93" i="35"/>
  <c r="AE98" i="35"/>
  <c r="AE103" i="35"/>
  <c r="AE114" i="35"/>
  <c r="AE119" i="35"/>
  <c r="AE135" i="35"/>
  <c r="AE146" i="35"/>
  <c r="AH47" i="35"/>
  <c r="AE52" i="35"/>
  <c r="AE57" i="35"/>
  <c r="AE62" i="35"/>
  <c r="AE67" i="35"/>
  <c r="AE72" i="35"/>
  <c r="AE77" i="35"/>
  <c r="AE82" i="35"/>
  <c r="AE92" i="35"/>
  <c r="AE97" i="35"/>
  <c r="AE102" i="35"/>
  <c r="AE112" i="35"/>
  <c r="AE118" i="35"/>
  <c r="AE128" i="35"/>
  <c r="AE143" i="35"/>
  <c r="AE153" i="35"/>
  <c r="T89" i="35"/>
  <c r="BO89" i="35" s="1"/>
  <c r="Q56" i="35"/>
  <c r="BN56" i="35" s="1"/>
  <c r="T62" i="35"/>
  <c r="BO62" i="35" s="1"/>
  <c r="H76" i="35"/>
  <c r="BK76" i="35" s="1"/>
  <c r="N76" i="35"/>
  <c r="BM76" i="35" s="1"/>
  <c r="K77" i="35"/>
  <c r="BL77" i="35" s="1"/>
  <c r="Q81" i="35"/>
  <c r="BN81" i="35" s="1"/>
  <c r="W81" i="35"/>
  <c r="BP81" i="35" s="1"/>
  <c r="I81" i="35"/>
  <c r="CD81" i="35" s="1"/>
  <c r="E100" i="35"/>
  <c r="BJ100" i="35" s="1"/>
  <c r="Q100" i="35"/>
  <c r="BN100" i="35" s="1"/>
  <c r="T102" i="35"/>
  <c r="BO102" i="35" s="1"/>
  <c r="H104" i="35"/>
  <c r="BK104" i="35" s="1"/>
  <c r="N104" i="35"/>
  <c r="BM104" i="35" s="1"/>
  <c r="T108" i="35"/>
  <c r="BO108" i="35" s="1"/>
  <c r="H105" i="35"/>
  <c r="BK105" i="35" s="1"/>
  <c r="L125" i="35"/>
  <c r="CE125" i="35" s="1"/>
  <c r="U125" i="35"/>
  <c r="CH125" i="35" s="1"/>
  <c r="H117" i="35"/>
  <c r="BK117" i="35" s="1"/>
  <c r="N117" i="35"/>
  <c r="BM117" i="35" s="1"/>
  <c r="E123" i="35"/>
  <c r="BJ123" i="35" s="1"/>
  <c r="K123" i="35"/>
  <c r="BL123" i="35" s="1"/>
  <c r="Q123" i="35"/>
  <c r="BN123" i="35" s="1"/>
  <c r="E129" i="35"/>
  <c r="BJ129" i="35" s="1"/>
  <c r="Q129" i="35"/>
  <c r="BN129" i="35" s="1"/>
  <c r="K137" i="35"/>
  <c r="BL137" i="35" s="1"/>
  <c r="C160" i="35"/>
  <c r="CB160" i="35" s="1"/>
  <c r="I154" i="35"/>
  <c r="CD154" i="35" s="1"/>
  <c r="O160" i="35"/>
  <c r="CF160" i="35" s="1"/>
  <c r="C167" i="35"/>
  <c r="C168" i="35" s="1"/>
  <c r="CB168" i="35" s="1"/>
  <c r="I167" i="35"/>
  <c r="CD167" i="35" s="1"/>
  <c r="O167" i="35"/>
  <c r="W109" i="35"/>
  <c r="BP109" i="35" s="1"/>
  <c r="T4" i="35"/>
  <c r="BO4" i="35" s="1"/>
  <c r="W30" i="35"/>
  <c r="BP30" i="35" s="1"/>
  <c r="L31" i="35"/>
  <c r="CE31" i="35" s="1"/>
  <c r="U31" i="35"/>
  <c r="CH31" i="35" s="1"/>
  <c r="W13" i="35"/>
  <c r="BP13" i="35" s="1"/>
  <c r="H18" i="35"/>
  <c r="BK18" i="35" s="1"/>
  <c r="N18" i="35"/>
  <c r="BM18" i="35" s="1"/>
  <c r="E22" i="35"/>
  <c r="BJ22" i="35" s="1"/>
  <c r="K22" i="35"/>
  <c r="BL22" i="35" s="1"/>
  <c r="Q22" i="35"/>
  <c r="BN22" i="35" s="1"/>
  <c r="W22" i="35"/>
  <c r="BP22" i="35" s="1"/>
  <c r="H26" i="35"/>
  <c r="BK26" i="35" s="1"/>
  <c r="N26" i="35"/>
  <c r="BM26" i="35" s="1"/>
  <c r="T26" i="35"/>
  <c r="BO26" i="35" s="1"/>
  <c r="N36" i="35"/>
  <c r="BM36" i="35" s="1"/>
  <c r="W36" i="35"/>
  <c r="BP36" i="35" s="1"/>
  <c r="E41" i="35"/>
  <c r="BJ41" i="35" s="1"/>
  <c r="K41" i="35"/>
  <c r="BL41" i="35" s="1"/>
  <c r="Q41" i="35"/>
  <c r="BN41" i="35" s="1"/>
  <c r="T38" i="35"/>
  <c r="BO38" i="35" s="1"/>
  <c r="H51" i="35"/>
  <c r="BK51" i="35" s="1"/>
  <c r="N51" i="35"/>
  <c r="BM51" i="35" s="1"/>
  <c r="T51" i="35"/>
  <c r="BO51" i="35" s="1"/>
  <c r="H66" i="35"/>
  <c r="BK66" i="35" s="1"/>
  <c r="N66" i="35"/>
  <c r="BM66" i="35" s="1"/>
  <c r="T72" i="35"/>
  <c r="BO72" i="35" s="1"/>
  <c r="E107" i="35"/>
  <c r="BJ107" i="35" s="1"/>
  <c r="K107" i="35"/>
  <c r="BL107" i="35" s="1"/>
  <c r="E124" i="35"/>
  <c r="BJ124" i="35" s="1"/>
  <c r="K124" i="35"/>
  <c r="BL124" i="35" s="1"/>
  <c r="Q124" i="35"/>
  <c r="BN124" i="35" s="1"/>
  <c r="H123" i="35"/>
  <c r="BK123" i="35" s="1"/>
  <c r="N123" i="35"/>
  <c r="BM123" i="35" s="1"/>
  <c r="T123" i="35"/>
  <c r="BO123" i="35" s="1"/>
  <c r="K129" i="35"/>
  <c r="BL129" i="35" s="1"/>
  <c r="E137" i="35"/>
  <c r="BJ137" i="35" s="1"/>
  <c r="Q137" i="35"/>
  <c r="BN137" i="35" s="1"/>
  <c r="W160" i="35"/>
  <c r="BP160" i="35" s="1"/>
  <c r="F160" i="35"/>
  <c r="CC160" i="35" s="1"/>
  <c r="L160" i="35"/>
  <c r="CE160" i="35" s="1"/>
  <c r="R160" i="35"/>
  <c r="CG160" i="35" s="1"/>
  <c r="F167" i="35"/>
  <c r="L167" i="35"/>
  <c r="CE167" i="35" s="1"/>
  <c r="R167" i="35"/>
  <c r="CG167" i="35" s="1"/>
  <c r="P316" i="35"/>
  <c r="P318" i="35"/>
  <c r="P319" i="35"/>
  <c r="W122" i="35"/>
  <c r="BP122" i="35" s="1"/>
  <c r="Z26" i="35"/>
  <c r="BQ26" i="35" s="1"/>
  <c r="AF19" i="35"/>
  <c r="BS19" i="35" s="1"/>
  <c r="Z141" i="35"/>
  <c r="BQ141" i="35" s="1"/>
  <c r="B184" i="35"/>
  <c r="Q143" i="3"/>
  <c r="Q142" i="3"/>
  <c r="Q186" i="3" s="1"/>
  <c r="B186" i="35"/>
  <c r="AC141" i="35"/>
  <c r="BR141" i="35" s="1"/>
  <c r="Z108" i="35"/>
  <c r="BQ108" i="35" s="1"/>
  <c r="AC104" i="35"/>
  <c r="BR104" i="35" s="1"/>
  <c r="AC95" i="35"/>
  <c r="BR95" i="35" s="1"/>
  <c r="AC108" i="35"/>
  <c r="BR108" i="35" s="1"/>
  <c r="Z22" i="35"/>
  <c r="BQ22" i="35" s="1"/>
  <c r="AC117" i="35"/>
  <c r="BR117" i="35" s="1"/>
  <c r="Z28" i="35"/>
  <c r="BQ28" i="35" s="1"/>
  <c r="Z117" i="35"/>
  <c r="BQ117" i="35" s="1"/>
  <c r="AC28" i="35"/>
  <c r="BR28" i="35" s="1"/>
  <c r="Z123" i="35"/>
  <c r="BQ123" i="35" s="1"/>
  <c r="AC149" i="35"/>
  <c r="BR149" i="35" s="1"/>
  <c r="AC113" i="35"/>
  <c r="BR113" i="35" s="1"/>
  <c r="AC26" i="35"/>
  <c r="BR26" i="35" s="1"/>
  <c r="Z159" i="35"/>
  <c r="BQ159" i="35" s="1"/>
  <c r="Z107" i="35"/>
  <c r="BQ107" i="35" s="1"/>
  <c r="Z81" i="35"/>
  <c r="BQ81" i="35" s="1"/>
  <c r="AC22" i="35"/>
  <c r="BR22" i="35" s="1"/>
  <c r="Z129" i="35"/>
  <c r="BQ129" i="35" s="1"/>
  <c r="AC30" i="35"/>
  <c r="BR30" i="35" s="1"/>
  <c r="Z157" i="35"/>
  <c r="BQ157" i="35" s="1"/>
  <c r="AC129" i="35"/>
  <c r="BR129" i="35" s="1"/>
  <c r="Z149" i="35"/>
  <c r="BQ149" i="35" s="1"/>
  <c r="AC159" i="35"/>
  <c r="BR159" i="35" s="1"/>
  <c r="AC107" i="35"/>
  <c r="BR107" i="35" s="1"/>
  <c r="Z113" i="35"/>
  <c r="BQ113" i="35" s="1"/>
  <c r="AC123" i="35"/>
  <c r="BR123" i="35" s="1"/>
  <c r="Z137" i="35"/>
  <c r="BQ137" i="35" s="1"/>
  <c r="Z145" i="35"/>
  <c r="BQ145" i="35" s="1"/>
  <c r="AH16" i="35"/>
  <c r="Z88" i="35"/>
  <c r="BQ88" i="35" s="1"/>
  <c r="AC145" i="35"/>
  <c r="BR145" i="35" s="1"/>
  <c r="AC88" i="35"/>
  <c r="BR88" i="35" s="1"/>
  <c r="AH39" i="35"/>
  <c r="AF39" i="35"/>
  <c r="BS39" i="35" s="1"/>
  <c r="AK19" i="35"/>
  <c r="AI19" i="35"/>
  <c r="BT19" i="35" s="1"/>
  <c r="Z124" i="35"/>
  <c r="BQ124" i="35" s="1"/>
  <c r="Z90" i="35"/>
  <c r="BQ90" i="35" s="1"/>
  <c r="AC81" i="35"/>
  <c r="BR81" i="35" s="1"/>
  <c r="Z104" i="35"/>
  <c r="BQ104" i="35" s="1"/>
  <c r="AE9" i="35"/>
  <c r="AC9" i="35"/>
  <c r="BR9" i="35" s="1"/>
  <c r="Z95" i="35"/>
  <c r="BQ95" i="35" s="1"/>
  <c r="AC124" i="35"/>
  <c r="BR124" i="35" s="1"/>
  <c r="AC157" i="35"/>
  <c r="BR157" i="35" s="1"/>
  <c r="Z30" i="35"/>
  <c r="BQ30" i="35" s="1"/>
  <c r="AH11" i="35"/>
  <c r="AH21" i="35"/>
  <c r="AF21" i="35"/>
  <c r="BS21" i="35" s="1"/>
  <c r="AC137" i="35"/>
  <c r="BR137" i="35" s="1"/>
  <c r="W86" i="35"/>
  <c r="BP86" i="35" s="1"/>
  <c r="W18" i="35"/>
  <c r="BP18" i="35" s="1"/>
  <c r="W29" i="35"/>
  <c r="BP29" i="35" s="1"/>
  <c r="H100" i="35"/>
  <c r="BK100" i="35" s="1"/>
  <c r="X164" i="35"/>
  <c r="CI164" i="35" s="1"/>
  <c r="W27" i="35"/>
  <c r="BP27" i="35" s="1"/>
  <c r="W46" i="35"/>
  <c r="BP46" i="35" s="1"/>
  <c r="W76" i="35"/>
  <c r="BP76" i="35" s="1"/>
  <c r="U91" i="35"/>
  <c r="CH91" i="35" s="1"/>
  <c r="W51" i="35"/>
  <c r="BP51" i="35" s="1"/>
  <c r="W88" i="35"/>
  <c r="BP88" i="35" s="1"/>
  <c r="W8" i="35"/>
  <c r="BP8" i="35" s="1"/>
  <c r="U164" i="35"/>
  <c r="CH164" i="35" s="1"/>
  <c r="W56" i="35"/>
  <c r="BP56" i="35" s="1"/>
  <c r="H164" i="35"/>
  <c r="BK164" i="35" s="1"/>
  <c r="T166" i="35"/>
  <c r="BO166" i="35" s="1"/>
  <c r="Q125" i="35"/>
  <c r="BN125" i="35" s="1"/>
  <c r="R106" i="35"/>
  <c r="CG106" i="35" s="1"/>
  <c r="T97" i="35"/>
  <c r="R122" i="35"/>
  <c r="CG122" i="35" s="1"/>
  <c r="T114" i="35"/>
  <c r="BO114" i="35" s="1"/>
  <c r="H8" i="35"/>
  <c r="BK8" i="35" s="1"/>
  <c r="Q8" i="35"/>
  <c r="BN8" i="35" s="1"/>
  <c r="R18" i="35"/>
  <c r="CG18" i="35" s="1"/>
  <c r="R27" i="35"/>
  <c r="CG27" i="35" s="1"/>
  <c r="R29" i="35"/>
  <c r="CG29" i="35" s="1"/>
  <c r="T37" i="35"/>
  <c r="BO37" i="35" s="1"/>
  <c r="E89" i="35"/>
  <c r="BJ89" i="35" s="1"/>
  <c r="K89" i="35"/>
  <c r="BL89" i="35" s="1"/>
  <c r="Q89" i="35"/>
  <c r="BN89" i="35" s="1"/>
  <c r="W89" i="35"/>
  <c r="BP89" i="35" s="1"/>
  <c r="R41" i="35"/>
  <c r="CG41" i="35" s="1"/>
  <c r="T42" i="35"/>
  <c r="BO42" i="35" s="1"/>
  <c r="T52" i="35"/>
  <c r="BO52" i="35" s="1"/>
  <c r="T57" i="35"/>
  <c r="BO57" i="35" s="1"/>
  <c r="T67" i="35"/>
  <c r="BO67" i="35" s="1"/>
  <c r="E86" i="35"/>
  <c r="BJ86" i="35" s="1"/>
  <c r="K86" i="35"/>
  <c r="BL86" i="35" s="1"/>
  <c r="Q86" i="35"/>
  <c r="BN86" i="35" s="1"/>
  <c r="R86" i="35"/>
  <c r="CG86" i="35" s="1"/>
  <c r="E88" i="35"/>
  <c r="BJ88" i="35" s="1"/>
  <c r="K88" i="35"/>
  <c r="BL88" i="35" s="1"/>
  <c r="Q88" i="35"/>
  <c r="BN88" i="35" s="1"/>
  <c r="C109" i="35"/>
  <c r="CB109" i="35" s="1"/>
  <c r="O109" i="35"/>
  <c r="CF109" i="35" s="1"/>
  <c r="U109" i="35"/>
  <c r="CH109" i="35" s="1"/>
  <c r="R100" i="35"/>
  <c r="CG100" i="35" s="1"/>
  <c r="N105" i="35"/>
  <c r="BM105" i="35" s="1"/>
  <c r="Q105" i="35"/>
  <c r="BN105" i="35" s="1"/>
  <c r="T105" i="35"/>
  <c r="BO105" i="35" s="1"/>
  <c r="H108" i="35"/>
  <c r="BK108" i="35" s="1"/>
  <c r="N108" i="35"/>
  <c r="BM108" i="35" s="1"/>
  <c r="H113" i="35"/>
  <c r="BK113" i="35" s="1"/>
  <c r="N113" i="35"/>
  <c r="BM113" i="35" s="1"/>
  <c r="R117" i="35"/>
  <c r="CG117" i="35" s="1"/>
  <c r="E122" i="35"/>
  <c r="BJ122" i="35" s="1"/>
  <c r="K122" i="35"/>
  <c r="BL122" i="35" s="1"/>
  <c r="Q122" i="35"/>
  <c r="BN122" i="35" s="1"/>
  <c r="N130" i="35"/>
  <c r="BM130" i="35" s="1"/>
  <c r="I105" i="35"/>
  <c r="CD105" i="35" s="1"/>
  <c r="K96" i="35"/>
  <c r="BL96" i="35" s="1"/>
  <c r="E8" i="35"/>
  <c r="BJ8" i="35" s="1"/>
  <c r="K8" i="35"/>
  <c r="BL8" i="35" s="1"/>
  <c r="N8" i="35"/>
  <c r="BM8" i="35" s="1"/>
  <c r="T8" i="35"/>
  <c r="BO8" i="35" s="1"/>
  <c r="H41" i="35"/>
  <c r="BK41" i="35" s="1"/>
  <c r="N41" i="35"/>
  <c r="BM41" i="35" s="1"/>
  <c r="W41" i="35"/>
  <c r="BP41" i="35" s="1"/>
  <c r="I100" i="35"/>
  <c r="CD100" i="35" s="1"/>
  <c r="E105" i="35"/>
  <c r="BJ105" i="35" s="1"/>
  <c r="H121" i="35"/>
  <c r="BK121" i="35" s="1"/>
  <c r="N121" i="35"/>
  <c r="BM121" i="35" s="1"/>
  <c r="H129" i="35"/>
  <c r="BK129" i="35" s="1"/>
  <c r="T129" i="35"/>
  <c r="BO129" i="35" s="1"/>
  <c r="K160" i="35"/>
  <c r="BL160" i="35" s="1"/>
  <c r="R104" i="35"/>
  <c r="CG104" i="35" s="1"/>
  <c r="H155" i="35"/>
  <c r="BK155" i="35" s="1"/>
  <c r="N155" i="35"/>
  <c r="BM155" i="35" s="1"/>
  <c r="T155" i="35"/>
  <c r="BO155" i="35" s="1"/>
  <c r="W167" i="35"/>
  <c r="B185" i="35"/>
  <c r="B187" i="35"/>
  <c r="B315" i="35"/>
  <c r="A315" i="35" s="1"/>
  <c r="P315" i="35" s="1"/>
  <c r="B317" i="35"/>
  <c r="A317" i="35" s="1"/>
  <c r="P317" i="35" s="1"/>
  <c r="N165" i="35" l="1"/>
  <c r="BM165" i="35" s="1"/>
  <c r="AC90" i="35"/>
  <c r="BR90" i="35" s="1"/>
  <c r="T36" i="35"/>
  <c r="BO36" i="35" s="1"/>
  <c r="R125" i="35"/>
  <c r="CG125" i="35" s="1"/>
  <c r="L169" i="35"/>
  <c r="CE169" i="35" s="1"/>
  <c r="E166" i="35"/>
  <c r="BJ166" i="35" s="1"/>
  <c r="T104" i="35"/>
  <c r="BO104" i="35" s="1"/>
  <c r="N164" i="35"/>
  <c r="BM164" i="35" s="1"/>
  <c r="W125" i="35"/>
  <c r="BP125" i="35" s="1"/>
  <c r="AC158" i="35"/>
  <c r="BR158" i="35" s="1"/>
  <c r="S319" i="35"/>
  <c r="S316" i="35"/>
  <c r="Y314" i="35"/>
  <c r="S315" i="35"/>
  <c r="S317" i="35"/>
  <c r="V167" i="35"/>
  <c r="BP167" i="35"/>
  <c r="T100" i="35"/>
  <c r="BO100" i="35" s="1"/>
  <c r="BO97" i="35"/>
  <c r="S318" i="35"/>
  <c r="F169" i="35"/>
  <c r="CC169" i="35" s="1"/>
  <c r="CC167" i="35"/>
  <c r="O168" i="35"/>
  <c r="CF168" i="35" s="1"/>
  <c r="CF167" i="35"/>
  <c r="C169" i="35"/>
  <c r="CB169" i="35" s="1"/>
  <c r="CB167" i="35"/>
  <c r="U170" i="35"/>
  <c r="CH163" i="35"/>
  <c r="W166" i="35"/>
  <c r="O169" i="35"/>
  <c r="CF169" i="35" s="1"/>
  <c r="F168" i="35"/>
  <c r="CC168" i="35" s="1"/>
  <c r="N109" i="35"/>
  <c r="BM109" i="35" s="1"/>
  <c r="L168" i="35"/>
  <c r="CE168" i="35" s="1"/>
  <c r="H163" i="35"/>
  <c r="BK163" i="35" s="1"/>
  <c r="H166" i="35"/>
  <c r="BK166" i="35" s="1"/>
  <c r="E164" i="35"/>
  <c r="BJ164" i="35" s="1"/>
  <c r="Q91" i="35"/>
  <c r="BN91" i="35" s="1"/>
  <c r="E91" i="35"/>
  <c r="BJ91" i="35" s="1"/>
  <c r="T61" i="35"/>
  <c r="BO61" i="35" s="1"/>
  <c r="T46" i="35"/>
  <c r="BO46" i="35" s="1"/>
  <c r="K165" i="35"/>
  <c r="BL165" i="35" s="1"/>
  <c r="AN37" i="35"/>
  <c r="AB88" i="35"/>
  <c r="V122" i="35"/>
  <c r="K167" i="35"/>
  <c r="BL167" i="35" s="1"/>
  <c r="T27" i="35"/>
  <c r="BO27" i="35" s="1"/>
  <c r="Q109" i="35"/>
  <c r="BN109" i="35" s="1"/>
  <c r="T66" i="35"/>
  <c r="BO66" i="35" s="1"/>
  <c r="AH143" i="35"/>
  <c r="AF143" i="35"/>
  <c r="BS143" i="35" s="1"/>
  <c r="AH128" i="35"/>
  <c r="AF128" i="35"/>
  <c r="BS128" i="35" s="1"/>
  <c r="AH112" i="35"/>
  <c r="AF112" i="35"/>
  <c r="BS112" i="35" s="1"/>
  <c r="AH97" i="35"/>
  <c r="AF97" i="35"/>
  <c r="BS97" i="35" s="1"/>
  <c r="AH92" i="35"/>
  <c r="AF92" i="35"/>
  <c r="BS92" i="35" s="1"/>
  <c r="AH72" i="35"/>
  <c r="AH62" i="35"/>
  <c r="AH52" i="35"/>
  <c r="AH146" i="35"/>
  <c r="AF146" i="35"/>
  <c r="BS146" i="35" s="1"/>
  <c r="AH119" i="35"/>
  <c r="AF119" i="35"/>
  <c r="BS119" i="35" s="1"/>
  <c r="AH103" i="35"/>
  <c r="AF103" i="35"/>
  <c r="BS103" i="35" s="1"/>
  <c r="AH93" i="35"/>
  <c r="AF93" i="35"/>
  <c r="BS93" i="35" s="1"/>
  <c r="AH78" i="35"/>
  <c r="AF78" i="35"/>
  <c r="BS78" i="35" s="1"/>
  <c r="AH68" i="35"/>
  <c r="AF68" i="35"/>
  <c r="BS68" i="35" s="1"/>
  <c r="AH63" i="35"/>
  <c r="AF63" i="35"/>
  <c r="BS63" i="35" s="1"/>
  <c r="AH53" i="35"/>
  <c r="AF53" i="35"/>
  <c r="BS53" i="35" s="1"/>
  <c r="AH43" i="35"/>
  <c r="AF43" i="35"/>
  <c r="BS43" i="35" s="1"/>
  <c r="AH38" i="35"/>
  <c r="AF38" i="35"/>
  <c r="BS38" i="35" s="1"/>
  <c r="AH23" i="35"/>
  <c r="AF23" i="35"/>
  <c r="BS23" i="35" s="1"/>
  <c r="AH17" i="35"/>
  <c r="AF17" i="35"/>
  <c r="BS17" i="35" s="1"/>
  <c r="AH12" i="35"/>
  <c r="AF12" i="35"/>
  <c r="BS12" i="35" s="1"/>
  <c r="AH5" i="35"/>
  <c r="AF5" i="35"/>
  <c r="BS5" i="35" s="1"/>
  <c r="AH127" i="35"/>
  <c r="AF127" i="35"/>
  <c r="BS127" i="35" s="1"/>
  <c r="AH136" i="35"/>
  <c r="AF136" i="35"/>
  <c r="BS136" i="35" s="1"/>
  <c r="AH142" i="35"/>
  <c r="AF142" i="35"/>
  <c r="BS142" i="35" s="1"/>
  <c r="AH147" i="35"/>
  <c r="AF147" i="35"/>
  <c r="BS147" i="35" s="1"/>
  <c r="AH152" i="35"/>
  <c r="AF152" i="35"/>
  <c r="BS152" i="35" s="1"/>
  <c r="AH32" i="35"/>
  <c r="AF32" i="35"/>
  <c r="BS32" i="35" s="1"/>
  <c r="AF6" i="35"/>
  <c r="BS6" i="35" s="1"/>
  <c r="AH6" i="35"/>
  <c r="AK14" i="35"/>
  <c r="AK42" i="35"/>
  <c r="T167" i="35"/>
  <c r="BO167" i="35" s="1"/>
  <c r="H167" i="35"/>
  <c r="BK167" i="35" s="1"/>
  <c r="T86" i="35"/>
  <c r="BO86" i="35" s="1"/>
  <c r="R109" i="35"/>
  <c r="CG109" i="35" s="1"/>
  <c r="T133" i="35"/>
  <c r="BO133" i="35" s="1"/>
  <c r="E163" i="35"/>
  <c r="BJ163" i="35" s="1"/>
  <c r="H91" i="35"/>
  <c r="BK91" i="35" s="1"/>
  <c r="N31" i="35"/>
  <c r="BM31" i="35" s="1"/>
  <c r="E31" i="35"/>
  <c r="BJ31" i="35" s="1"/>
  <c r="I163" i="35"/>
  <c r="CD163" i="35" s="1"/>
  <c r="N166" i="35"/>
  <c r="BM166" i="35" s="1"/>
  <c r="K164" i="35"/>
  <c r="BL164" i="35" s="1"/>
  <c r="T71" i="35"/>
  <c r="BO71" i="35" s="1"/>
  <c r="T56" i="35"/>
  <c r="BO56" i="35" s="1"/>
  <c r="Q165" i="35"/>
  <c r="BN165" i="35" s="1"/>
  <c r="E165" i="35"/>
  <c r="BJ165" i="35" s="1"/>
  <c r="R165" i="35"/>
  <c r="CG165" i="35" s="1"/>
  <c r="R31" i="35"/>
  <c r="CG31" i="35" s="1"/>
  <c r="H31" i="35"/>
  <c r="BK31" i="35" s="1"/>
  <c r="T106" i="35"/>
  <c r="BO106" i="35" s="1"/>
  <c r="U169" i="35"/>
  <c r="CH169" i="35" s="1"/>
  <c r="E125" i="35"/>
  <c r="BJ125" i="35" s="1"/>
  <c r="H165" i="35"/>
  <c r="BK165" i="35" s="1"/>
  <c r="V27" i="35"/>
  <c r="H109" i="35"/>
  <c r="BK109" i="35" s="1"/>
  <c r="V29" i="35"/>
  <c r="AB90" i="35"/>
  <c r="Y90" i="35"/>
  <c r="Q160" i="35"/>
  <c r="BN160" i="35" s="1"/>
  <c r="K133" i="35"/>
  <c r="BL133" i="35" s="1"/>
  <c r="Q167" i="35"/>
  <c r="BN167" i="35" s="1"/>
  <c r="E167" i="35"/>
  <c r="BJ167" i="35" s="1"/>
  <c r="T76" i="35"/>
  <c r="BO76" i="35" s="1"/>
  <c r="I91" i="35"/>
  <c r="CD91" i="35" s="1"/>
  <c r="T18" i="35"/>
  <c r="BO18" i="35" s="1"/>
  <c r="V30" i="35"/>
  <c r="I160" i="35"/>
  <c r="CD160" i="35" s="1"/>
  <c r="E133" i="35"/>
  <c r="BJ133" i="35" s="1"/>
  <c r="T107" i="35"/>
  <c r="BO107" i="35" s="1"/>
  <c r="E109" i="35"/>
  <c r="BJ109" i="35" s="1"/>
  <c r="K81" i="35"/>
  <c r="BL81" i="35" s="1"/>
  <c r="H133" i="35"/>
  <c r="BK133" i="35" s="1"/>
  <c r="I109" i="35"/>
  <c r="CD109" i="35" s="1"/>
  <c r="N91" i="35"/>
  <c r="BM91" i="35" s="1"/>
  <c r="K31" i="35"/>
  <c r="BL31" i="35" s="1"/>
  <c r="K100" i="35"/>
  <c r="BL100" i="35" s="1"/>
  <c r="Q164" i="35"/>
  <c r="BN164" i="35" s="1"/>
  <c r="Q31" i="35"/>
  <c r="BN31" i="35" s="1"/>
  <c r="R164" i="35"/>
  <c r="CG164" i="35" s="1"/>
  <c r="W31" i="35"/>
  <c r="BP31" i="35" s="1"/>
  <c r="E160" i="35"/>
  <c r="BJ160" i="35" s="1"/>
  <c r="T88" i="35"/>
  <c r="BO88" i="35" s="1"/>
  <c r="Q133" i="35"/>
  <c r="BN133" i="35" s="1"/>
  <c r="AH153" i="35"/>
  <c r="AF153" i="35"/>
  <c r="BS153" i="35" s="1"/>
  <c r="AH118" i="35"/>
  <c r="AH102" i="35"/>
  <c r="AF102" i="35"/>
  <c r="BS102" i="35" s="1"/>
  <c r="AH82" i="35"/>
  <c r="AH77" i="35"/>
  <c r="AF77" i="35"/>
  <c r="BS77" i="35" s="1"/>
  <c r="AH67" i="35"/>
  <c r="AH57" i="35"/>
  <c r="AK47" i="35"/>
  <c r="AH135" i="35"/>
  <c r="AF135" i="35"/>
  <c r="BS135" i="35" s="1"/>
  <c r="AH114" i="35"/>
  <c r="AF114" i="35"/>
  <c r="BS114" i="35" s="1"/>
  <c r="AH98" i="35"/>
  <c r="AF98" i="35"/>
  <c r="BS98" i="35" s="1"/>
  <c r="AH83" i="35"/>
  <c r="AF83" i="35"/>
  <c r="BS83" i="35" s="1"/>
  <c r="AH73" i="35"/>
  <c r="AF73" i="35"/>
  <c r="BS73" i="35" s="1"/>
  <c r="AH58" i="35"/>
  <c r="AF58" i="35"/>
  <c r="BS58" i="35" s="1"/>
  <c r="AH48" i="35"/>
  <c r="AF48" i="35"/>
  <c r="BS48" i="35" s="1"/>
  <c r="AH33" i="35"/>
  <c r="AF33" i="35"/>
  <c r="BS33" i="35" s="1"/>
  <c r="T121" i="35"/>
  <c r="BO121" i="35" s="1"/>
  <c r="N167" i="35"/>
  <c r="BM167" i="35" s="1"/>
  <c r="V90" i="35"/>
  <c r="AH148" i="35"/>
  <c r="AF148" i="35"/>
  <c r="BS148" i="35" s="1"/>
  <c r="AH138" i="35"/>
  <c r="AF138" i="35"/>
  <c r="BS138" i="35" s="1"/>
  <c r="AH120" i="35"/>
  <c r="AF120" i="35"/>
  <c r="BS120" i="35" s="1"/>
  <c r="AH115" i="35"/>
  <c r="AF115" i="35"/>
  <c r="BS115" i="35" s="1"/>
  <c r="AH110" i="35"/>
  <c r="AF110" i="35"/>
  <c r="BS110" i="35" s="1"/>
  <c r="AH99" i="35"/>
  <c r="AF99" i="35"/>
  <c r="BS99" i="35" s="1"/>
  <c r="AH94" i="35"/>
  <c r="AF94" i="35"/>
  <c r="BS94" i="35" s="1"/>
  <c r="AH84" i="35"/>
  <c r="AH79" i="35"/>
  <c r="AF79" i="35"/>
  <c r="BS79" i="35" s="1"/>
  <c r="AH74" i="35"/>
  <c r="AH69" i="35"/>
  <c r="AF69" i="35"/>
  <c r="BS69" i="35" s="1"/>
  <c r="AH64" i="35"/>
  <c r="AF64" i="35"/>
  <c r="BS64" i="35" s="1"/>
  <c r="AH59" i="35"/>
  <c r="AF59" i="35"/>
  <c r="BS59" i="35" s="1"/>
  <c r="AH54" i="35"/>
  <c r="AH49" i="35"/>
  <c r="AF49" i="35"/>
  <c r="BS49" i="35" s="1"/>
  <c r="AH151" i="35"/>
  <c r="AF151" i="35"/>
  <c r="BS151" i="35" s="1"/>
  <c r="AH140" i="35"/>
  <c r="AF140" i="35"/>
  <c r="BS140" i="35" s="1"/>
  <c r="AH126" i="35"/>
  <c r="AF126" i="35"/>
  <c r="BS126" i="35" s="1"/>
  <c r="AH116" i="35"/>
  <c r="AF116" i="35"/>
  <c r="BS116" i="35" s="1"/>
  <c r="AH111" i="35"/>
  <c r="AF111" i="35"/>
  <c r="BS111" i="35" s="1"/>
  <c r="AH101" i="35"/>
  <c r="AF101" i="35"/>
  <c r="BS101" i="35" s="1"/>
  <c r="AH96" i="35"/>
  <c r="AH85" i="35"/>
  <c r="AF85" i="35"/>
  <c r="BS85" i="35" s="1"/>
  <c r="AH80" i="35"/>
  <c r="AF80" i="35"/>
  <c r="BS80" i="35" s="1"/>
  <c r="AH75" i="35"/>
  <c r="AF75" i="35"/>
  <c r="BS75" i="35" s="1"/>
  <c r="AH70" i="35"/>
  <c r="AF70" i="35"/>
  <c r="BS70" i="35" s="1"/>
  <c r="AH65" i="35"/>
  <c r="AF65" i="35"/>
  <c r="BS65" i="35" s="1"/>
  <c r="AH60" i="35"/>
  <c r="AF60" i="35"/>
  <c r="BS60" i="35" s="1"/>
  <c r="AH55" i="35"/>
  <c r="AF55" i="35"/>
  <c r="BS55" i="35" s="1"/>
  <c r="AH50" i="35"/>
  <c r="AF50" i="35"/>
  <c r="BS50" i="35" s="1"/>
  <c r="AH45" i="35"/>
  <c r="AF45" i="35"/>
  <c r="BS45" i="35" s="1"/>
  <c r="AH40" i="35"/>
  <c r="AF40" i="35"/>
  <c r="BS40" i="35" s="1"/>
  <c r="AH35" i="35"/>
  <c r="AF35" i="35"/>
  <c r="BS35" i="35" s="1"/>
  <c r="AH25" i="35"/>
  <c r="AF25" i="35"/>
  <c r="BS25" i="35" s="1"/>
  <c r="AH20" i="35"/>
  <c r="AF20" i="35"/>
  <c r="BS20" i="35" s="1"/>
  <c r="AH15" i="35"/>
  <c r="AF15" i="35"/>
  <c r="BS15" i="35" s="1"/>
  <c r="AH10" i="35"/>
  <c r="AF10" i="35"/>
  <c r="BS10" i="35" s="1"/>
  <c r="AH7" i="35"/>
  <c r="AF7" i="35"/>
  <c r="BS7" i="35" s="1"/>
  <c r="AH134" i="35"/>
  <c r="AF134" i="35"/>
  <c r="BS134" i="35" s="1"/>
  <c r="AH139" i="35"/>
  <c r="AF139" i="35"/>
  <c r="BS139" i="35" s="1"/>
  <c r="AH144" i="35"/>
  <c r="AF144" i="35"/>
  <c r="BS144" i="35" s="1"/>
  <c r="AH150" i="35"/>
  <c r="AK24" i="35"/>
  <c r="AI24" i="35"/>
  <c r="BT24" i="35" s="1"/>
  <c r="AK4" i="35"/>
  <c r="AH34" i="35"/>
  <c r="AH44" i="35"/>
  <c r="T160" i="35"/>
  <c r="BO160" i="35" s="1"/>
  <c r="N160" i="35"/>
  <c r="BM160" i="35" s="1"/>
  <c r="H160" i="35"/>
  <c r="BK160" i="35" s="1"/>
  <c r="N133" i="35"/>
  <c r="BM133" i="35" s="1"/>
  <c r="K125" i="35"/>
  <c r="BL125" i="35" s="1"/>
  <c r="V87" i="35"/>
  <c r="Q166" i="35"/>
  <c r="BN166" i="35" s="1"/>
  <c r="K166" i="35"/>
  <c r="BL166" i="35" s="1"/>
  <c r="T29" i="35"/>
  <c r="BO29" i="35" s="1"/>
  <c r="V28" i="35"/>
  <c r="B194" i="35"/>
  <c r="Q163" i="35"/>
  <c r="BN163" i="35" s="1"/>
  <c r="T109" i="35"/>
  <c r="BO109" i="35" s="1"/>
  <c r="R163" i="35"/>
  <c r="R169" i="35" s="1"/>
  <c r="CG169" i="35" s="1"/>
  <c r="AP185" i="35"/>
  <c r="CO185" i="35" s="1"/>
  <c r="AA185" i="35"/>
  <c r="CJ185" i="35" s="1"/>
  <c r="AD185" i="35"/>
  <c r="CK185" i="35" s="1"/>
  <c r="AG185" i="35"/>
  <c r="CL185" i="35" s="1"/>
  <c r="AJ185" i="35"/>
  <c r="CM185" i="35" s="1"/>
  <c r="AM185" i="35"/>
  <c r="CN185" i="35" s="1"/>
  <c r="N163" i="35"/>
  <c r="BM163" i="35" s="1"/>
  <c r="B193" i="35"/>
  <c r="K87" i="35"/>
  <c r="BL87" i="35" s="1"/>
  <c r="B191" i="35"/>
  <c r="Z164" i="35"/>
  <c r="BZ207" i="11"/>
  <c r="Q187" i="3"/>
  <c r="Z167" i="35"/>
  <c r="Y88" i="35"/>
  <c r="Z166" i="35"/>
  <c r="AC164" i="35"/>
  <c r="AK16" i="35"/>
  <c r="AN19" i="35"/>
  <c r="AL19" i="35"/>
  <c r="BU19" i="35" s="1"/>
  <c r="AK39" i="35"/>
  <c r="AI39" i="35"/>
  <c r="BT39" i="35" s="1"/>
  <c r="AC166" i="35"/>
  <c r="AH9" i="35"/>
  <c r="AF9" i="35"/>
  <c r="BS9" i="35" s="1"/>
  <c r="AK21" i="35"/>
  <c r="AI21" i="35"/>
  <c r="BT21" i="35" s="1"/>
  <c r="AK11" i="35"/>
  <c r="W91" i="35"/>
  <c r="BP91" i="35" s="1"/>
  <c r="E168" i="35"/>
  <c r="BJ168" i="35" s="1"/>
  <c r="W163" i="35"/>
  <c r="BP163" i="35" s="1"/>
  <c r="W164" i="35"/>
  <c r="V88" i="35"/>
  <c r="W165" i="35"/>
  <c r="V89" i="35"/>
  <c r="U168" i="35"/>
  <c r="CH168" i="35" s="1"/>
  <c r="I169" i="35"/>
  <c r="CD169" i="35" s="1"/>
  <c r="I168" i="35"/>
  <c r="CD168" i="35" s="1"/>
  <c r="B192" i="35"/>
  <c r="T87" i="35"/>
  <c r="BO87" i="35" s="1"/>
  <c r="T41" i="35"/>
  <c r="BO41" i="35" s="1"/>
  <c r="T117" i="35"/>
  <c r="BO117" i="35" s="1"/>
  <c r="T122" i="35"/>
  <c r="BO122" i="35" s="1"/>
  <c r="AC167" i="35"/>
  <c r="BR167" i="35" s="1"/>
  <c r="N125" i="35"/>
  <c r="BM125" i="35" s="1"/>
  <c r="R91" i="35"/>
  <c r="CG91" i="35" s="1"/>
  <c r="H125" i="35"/>
  <c r="BK125" i="35" s="1"/>
  <c r="K105" i="35"/>
  <c r="BL105" i="35" s="1"/>
  <c r="H168" i="35" l="1"/>
  <c r="BK168" i="35" s="1"/>
  <c r="N168" i="35"/>
  <c r="BM168" i="35" s="1"/>
  <c r="AF30" i="35"/>
  <c r="BS30" i="35" s="1"/>
  <c r="AB166" i="35"/>
  <c r="BR166" i="35"/>
  <c r="AB164" i="35"/>
  <c r="BR164" i="35"/>
  <c r="Y164" i="35"/>
  <c r="BQ164" i="35"/>
  <c r="V165" i="35"/>
  <c r="BP165" i="35"/>
  <c r="V164" i="35"/>
  <c r="BP164" i="35"/>
  <c r="Y166" i="35"/>
  <c r="BQ166" i="35"/>
  <c r="Y167" i="35"/>
  <c r="BQ167" i="35"/>
  <c r="R168" i="35"/>
  <c r="CG168" i="35" s="1"/>
  <c r="CG163" i="35"/>
  <c r="V166" i="35"/>
  <c r="BP166" i="35"/>
  <c r="V318" i="35"/>
  <c r="V317" i="35"/>
  <c r="V315" i="35"/>
  <c r="AB314" i="35"/>
  <c r="V316" i="35"/>
  <c r="V319" i="35"/>
  <c r="Q168" i="35"/>
  <c r="BN168" i="35" s="1"/>
  <c r="K163" i="35"/>
  <c r="T165" i="35"/>
  <c r="BO165" i="35" s="1"/>
  <c r="AK44" i="35"/>
  <c r="AN4" i="35"/>
  <c r="AF137" i="35"/>
  <c r="BS137" i="35" s="1"/>
  <c r="AK35" i="35"/>
  <c r="AI35" i="35"/>
  <c r="BT35" i="35" s="1"/>
  <c r="AK65" i="35"/>
  <c r="AI65" i="35"/>
  <c r="BT65" i="35" s="1"/>
  <c r="AK75" i="35"/>
  <c r="AI75" i="35"/>
  <c r="BT75" i="35" s="1"/>
  <c r="AK85" i="35"/>
  <c r="AI85" i="35"/>
  <c r="BT85" i="35" s="1"/>
  <c r="AF156" i="35"/>
  <c r="BS156" i="35" s="1"/>
  <c r="T91" i="35"/>
  <c r="BO91" i="35" s="1"/>
  <c r="AN24" i="35"/>
  <c r="AL24" i="35"/>
  <c r="BU24" i="35" s="1"/>
  <c r="AK150" i="35"/>
  <c r="AK139" i="35"/>
  <c r="AI139" i="35"/>
  <c r="BT139" i="35" s="1"/>
  <c r="AK7" i="35"/>
  <c r="AI7" i="35"/>
  <c r="BT7" i="35" s="1"/>
  <c r="AK15" i="35"/>
  <c r="AI15" i="35"/>
  <c r="BT15" i="35" s="1"/>
  <c r="AK25" i="35"/>
  <c r="AI25" i="35"/>
  <c r="BT25" i="35" s="1"/>
  <c r="AF90" i="35"/>
  <c r="BS90" i="35" s="1"/>
  <c r="AK40" i="35"/>
  <c r="AI40" i="35"/>
  <c r="BT40" i="35" s="1"/>
  <c r="AK50" i="35"/>
  <c r="AI50" i="35"/>
  <c r="BT50" i="35" s="1"/>
  <c r="AK60" i="35"/>
  <c r="AI60" i="35"/>
  <c r="BT60" i="35" s="1"/>
  <c r="AK70" i="35"/>
  <c r="AI70" i="35"/>
  <c r="BT70" i="35" s="1"/>
  <c r="AK80" i="35"/>
  <c r="AI80" i="35"/>
  <c r="BT80" i="35" s="1"/>
  <c r="AF104" i="35"/>
  <c r="BS104" i="35" s="1"/>
  <c r="AK101" i="35"/>
  <c r="AI101" i="35"/>
  <c r="BT101" i="35" s="1"/>
  <c r="AK116" i="35"/>
  <c r="AI116" i="35"/>
  <c r="BT116" i="35" s="1"/>
  <c r="AF158" i="35"/>
  <c r="BS158" i="35" s="1"/>
  <c r="AK140" i="35"/>
  <c r="AI140" i="35"/>
  <c r="BT140" i="35" s="1"/>
  <c r="AK49" i="35"/>
  <c r="AI49" i="35"/>
  <c r="BT49" i="35" s="1"/>
  <c r="AK54" i="35"/>
  <c r="AK64" i="35"/>
  <c r="AI64" i="35"/>
  <c r="BT64" i="35" s="1"/>
  <c r="AK79" i="35"/>
  <c r="AI79" i="35"/>
  <c r="BT79" i="35" s="1"/>
  <c r="AK84" i="35"/>
  <c r="AK99" i="35"/>
  <c r="AI99" i="35"/>
  <c r="BT99" i="35" s="1"/>
  <c r="AK115" i="35"/>
  <c r="AI115" i="35"/>
  <c r="BT115" i="35" s="1"/>
  <c r="AF141" i="35"/>
  <c r="BS141" i="35" s="1"/>
  <c r="AK138" i="35"/>
  <c r="AI138" i="35"/>
  <c r="BT138" i="35" s="1"/>
  <c r="AK33" i="35"/>
  <c r="AI33" i="35"/>
  <c r="BT33" i="35" s="1"/>
  <c r="AK58" i="35"/>
  <c r="AI58" i="35"/>
  <c r="BT58" i="35" s="1"/>
  <c r="AK83" i="35"/>
  <c r="AI83" i="35"/>
  <c r="BT83" i="35" s="1"/>
  <c r="AF117" i="35"/>
  <c r="BS117" i="35" s="1"/>
  <c r="AK114" i="35"/>
  <c r="AI114" i="35"/>
  <c r="BT114" i="35" s="1"/>
  <c r="AF81" i="35"/>
  <c r="BS81" i="35" s="1"/>
  <c r="AK77" i="35"/>
  <c r="AI77" i="35"/>
  <c r="BT77" i="35" s="1"/>
  <c r="AK82" i="35"/>
  <c r="AK153" i="35"/>
  <c r="AI153" i="35"/>
  <c r="BT153" i="35" s="1"/>
  <c r="K109" i="35"/>
  <c r="BL109" i="35" s="1"/>
  <c r="AN42" i="35"/>
  <c r="AN14" i="35"/>
  <c r="AK32" i="35"/>
  <c r="AI32" i="35"/>
  <c r="BT32" i="35" s="1"/>
  <c r="AK147" i="35"/>
  <c r="AI147" i="35"/>
  <c r="BT147" i="35" s="1"/>
  <c r="AF159" i="35"/>
  <c r="BS159" i="35" s="1"/>
  <c r="AK136" i="35"/>
  <c r="AI136" i="35"/>
  <c r="BT136" i="35" s="1"/>
  <c r="AF28" i="35"/>
  <c r="BS28" i="35" s="1"/>
  <c r="AK5" i="35"/>
  <c r="AI5" i="35"/>
  <c r="BT5" i="35" s="1"/>
  <c r="AK17" i="35"/>
  <c r="AI17" i="35"/>
  <c r="BT17" i="35" s="1"/>
  <c r="AF88" i="35"/>
  <c r="BS88" i="35" s="1"/>
  <c r="AK38" i="35"/>
  <c r="AI38" i="35"/>
  <c r="BT38" i="35" s="1"/>
  <c r="AK53" i="35"/>
  <c r="AI53" i="35"/>
  <c r="BT53" i="35" s="1"/>
  <c r="AK68" i="35"/>
  <c r="AI68" i="35"/>
  <c r="BT68" i="35" s="1"/>
  <c r="AF107" i="35"/>
  <c r="BS107" i="35" s="1"/>
  <c r="AK93" i="35"/>
  <c r="AI93" i="35"/>
  <c r="BT93" i="35" s="1"/>
  <c r="AK119" i="35"/>
  <c r="AI119" i="35"/>
  <c r="BT119" i="35" s="1"/>
  <c r="AF95" i="35"/>
  <c r="BS95" i="35" s="1"/>
  <c r="AK92" i="35"/>
  <c r="AI92" i="35"/>
  <c r="BT92" i="35" s="1"/>
  <c r="AF124" i="35"/>
  <c r="BS124" i="35" s="1"/>
  <c r="AK112" i="35"/>
  <c r="AI112" i="35"/>
  <c r="BT112" i="35" s="1"/>
  <c r="AK143" i="35"/>
  <c r="AI143" i="35"/>
  <c r="BT143" i="35" s="1"/>
  <c r="T125" i="35"/>
  <c r="BO125" i="35" s="1"/>
  <c r="AK34" i="35"/>
  <c r="AK144" i="35"/>
  <c r="AI144" i="35"/>
  <c r="BT144" i="35" s="1"/>
  <c r="AK134" i="35"/>
  <c r="AI134" i="35"/>
  <c r="BT134" i="35" s="1"/>
  <c r="AK10" i="35"/>
  <c r="AI10" i="35"/>
  <c r="BT10" i="35" s="1"/>
  <c r="AK20" i="35"/>
  <c r="AI20" i="35"/>
  <c r="BT20" i="35" s="1"/>
  <c r="AK45" i="35"/>
  <c r="AI45" i="35"/>
  <c r="BT45" i="35" s="1"/>
  <c r="AK55" i="35"/>
  <c r="AI55" i="35"/>
  <c r="BT55" i="35" s="1"/>
  <c r="AK96" i="35"/>
  <c r="AF123" i="35"/>
  <c r="BS123" i="35" s="1"/>
  <c r="AK111" i="35"/>
  <c r="AI111" i="35"/>
  <c r="BT111" i="35" s="1"/>
  <c r="AF129" i="35"/>
  <c r="BS129" i="35" s="1"/>
  <c r="AK126" i="35"/>
  <c r="AI126" i="35"/>
  <c r="BT126" i="35" s="1"/>
  <c r="AK151" i="35"/>
  <c r="AI151" i="35"/>
  <c r="BT151" i="35" s="1"/>
  <c r="AK59" i="35"/>
  <c r="AI59" i="35"/>
  <c r="BT59" i="35" s="1"/>
  <c r="AK69" i="35"/>
  <c r="AI69" i="35"/>
  <c r="BT69" i="35" s="1"/>
  <c r="AK74" i="35"/>
  <c r="AF108" i="35"/>
  <c r="BS108" i="35" s="1"/>
  <c r="AK94" i="35"/>
  <c r="AI94" i="35"/>
  <c r="BT94" i="35" s="1"/>
  <c r="AF113" i="35"/>
  <c r="BS113" i="35" s="1"/>
  <c r="AK110" i="35"/>
  <c r="AI110" i="35"/>
  <c r="BT110" i="35" s="1"/>
  <c r="AK120" i="35"/>
  <c r="AI120" i="35"/>
  <c r="BT120" i="35" s="1"/>
  <c r="AK148" i="35"/>
  <c r="AI148" i="35"/>
  <c r="BT148" i="35" s="1"/>
  <c r="AK48" i="35"/>
  <c r="AI48" i="35"/>
  <c r="BT48" i="35" s="1"/>
  <c r="AK73" i="35"/>
  <c r="AI73" i="35"/>
  <c r="BT73" i="35" s="1"/>
  <c r="AK98" i="35"/>
  <c r="AI98" i="35"/>
  <c r="BT98" i="35" s="1"/>
  <c r="AF157" i="35"/>
  <c r="BS157" i="35" s="1"/>
  <c r="AK135" i="35"/>
  <c r="AI135" i="35"/>
  <c r="BT135" i="35" s="1"/>
  <c r="AN47" i="35"/>
  <c r="AK57" i="35"/>
  <c r="AK67" i="35"/>
  <c r="AK102" i="35"/>
  <c r="AI102" i="35"/>
  <c r="BT102" i="35" s="1"/>
  <c r="AK118" i="35"/>
  <c r="V31" i="35"/>
  <c r="T164" i="35"/>
  <c r="BO164" i="35" s="1"/>
  <c r="K91" i="35"/>
  <c r="BL91" i="35" s="1"/>
  <c r="AK6" i="35"/>
  <c r="AI6" i="35"/>
  <c r="BT6" i="35" s="1"/>
  <c r="AK152" i="35"/>
  <c r="AI152" i="35"/>
  <c r="BT152" i="35" s="1"/>
  <c r="AF145" i="35"/>
  <c r="BS145" i="35" s="1"/>
  <c r="AK142" i="35"/>
  <c r="AI142" i="35"/>
  <c r="BT142" i="35" s="1"/>
  <c r="AK127" i="35"/>
  <c r="AI127" i="35"/>
  <c r="BT127" i="35" s="1"/>
  <c r="AK12" i="35"/>
  <c r="AI12" i="35"/>
  <c r="BT12" i="35" s="1"/>
  <c r="AF26" i="35"/>
  <c r="BS26" i="35" s="1"/>
  <c r="AK23" i="35"/>
  <c r="AI23" i="35"/>
  <c r="BT23" i="35" s="1"/>
  <c r="AK43" i="35"/>
  <c r="AI43" i="35"/>
  <c r="BT43" i="35" s="1"/>
  <c r="AK63" i="35"/>
  <c r="AI63" i="35"/>
  <c r="BT63" i="35" s="1"/>
  <c r="AK78" i="35"/>
  <c r="AI78" i="35"/>
  <c r="BT78" i="35" s="1"/>
  <c r="AK103" i="35"/>
  <c r="AI103" i="35"/>
  <c r="BT103" i="35" s="1"/>
  <c r="AF149" i="35"/>
  <c r="BS149" i="35" s="1"/>
  <c r="AK146" i="35"/>
  <c r="AI146" i="35"/>
  <c r="BT146" i="35" s="1"/>
  <c r="AK52" i="35"/>
  <c r="AK62" i="35"/>
  <c r="AK72" i="35"/>
  <c r="AF106" i="35"/>
  <c r="BS106" i="35" s="1"/>
  <c r="AK97" i="35"/>
  <c r="AI97" i="35"/>
  <c r="BT97" i="35" s="1"/>
  <c r="AK128" i="35"/>
  <c r="AI128" i="35"/>
  <c r="BT128" i="35" s="1"/>
  <c r="AF22" i="35"/>
  <c r="BS22" i="35" s="1"/>
  <c r="AQ37" i="35"/>
  <c r="AT37" i="35" s="1"/>
  <c r="AW37" i="35" s="1"/>
  <c r="AZ37" i="35" s="1"/>
  <c r="T31" i="35"/>
  <c r="BO31" i="35" s="1"/>
  <c r="AP192" i="35"/>
  <c r="CO192" i="35" s="1"/>
  <c r="AA192" i="35"/>
  <c r="AD192" i="35"/>
  <c r="CK192" i="35" s="1"/>
  <c r="AG192" i="35"/>
  <c r="CL192" i="35" s="1"/>
  <c r="AJ192" i="35"/>
  <c r="CM192" i="35" s="1"/>
  <c r="AM192" i="35"/>
  <c r="CN192" i="35" s="1"/>
  <c r="AP186" i="35"/>
  <c r="CO186" i="35" s="1"/>
  <c r="AD186" i="35"/>
  <c r="AJ186" i="35"/>
  <c r="CM186" i="35" s="1"/>
  <c r="AA186" i="35"/>
  <c r="AG186" i="35"/>
  <c r="CL186" i="35" s="1"/>
  <c r="AM186" i="35"/>
  <c r="CN186" i="35" s="1"/>
  <c r="AP187" i="35"/>
  <c r="CO187" i="35" s="1"/>
  <c r="AA187" i="35"/>
  <c r="AD187" i="35"/>
  <c r="AG187" i="35"/>
  <c r="CL187" i="35" s="1"/>
  <c r="AJ187" i="35"/>
  <c r="CM187" i="35" s="1"/>
  <c r="AM187" i="35"/>
  <c r="CN187" i="35" s="1"/>
  <c r="B198" i="35"/>
  <c r="B200" i="35"/>
  <c r="B201" i="35"/>
  <c r="P143" i="3"/>
  <c r="AN16" i="35"/>
  <c r="AN39" i="35"/>
  <c r="AL39" i="35"/>
  <c r="BU39" i="35" s="1"/>
  <c r="AQ19" i="35"/>
  <c r="AT19" i="35" s="1"/>
  <c r="AO19" i="35"/>
  <c r="BV19" i="35" s="1"/>
  <c r="AK9" i="35"/>
  <c r="AI9" i="35"/>
  <c r="BT9" i="35" s="1"/>
  <c r="AN11" i="35"/>
  <c r="AN21" i="35"/>
  <c r="AL21" i="35"/>
  <c r="BU21" i="35" s="1"/>
  <c r="AI22" i="35"/>
  <c r="BT22" i="35" s="1"/>
  <c r="AB167" i="35"/>
  <c r="B199" i="35"/>
  <c r="T163" i="35"/>
  <c r="AW19" i="35" l="1"/>
  <c r="AU19" i="35"/>
  <c r="BX19" i="35" s="1"/>
  <c r="AI30" i="35"/>
  <c r="BT30" i="35" s="1"/>
  <c r="CK187" i="35"/>
  <c r="CJ186" i="35"/>
  <c r="CK186" i="35"/>
  <c r="T168" i="35"/>
  <c r="BO168" i="35" s="1"/>
  <c r="BO163" i="35"/>
  <c r="I114" i="3"/>
  <c r="CJ187" i="35"/>
  <c r="CJ192" i="35"/>
  <c r="K168" i="35"/>
  <c r="BL168" i="35" s="1"/>
  <c r="BL163" i="35"/>
  <c r="Y319" i="35"/>
  <c r="Y316" i="35"/>
  <c r="AB268" i="35"/>
  <c r="AB233" i="35"/>
  <c r="AB184" i="35"/>
  <c r="AB261" i="35"/>
  <c r="AB240" i="35"/>
  <c r="AB212" i="35"/>
  <c r="AB226" i="35"/>
  <c r="AB275" i="35"/>
  <c r="AB247" i="35"/>
  <c r="AB198" i="35"/>
  <c r="AB191" i="35"/>
  <c r="AB254" i="35"/>
  <c r="AB219" i="35"/>
  <c r="AB205" i="35"/>
  <c r="AE314" i="35"/>
  <c r="Y315" i="35"/>
  <c r="Y317" i="35"/>
  <c r="Y318" i="35"/>
  <c r="H114" i="3"/>
  <c r="H113" i="3"/>
  <c r="I113" i="3"/>
  <c r="AI106" i="35"/>
  <c r="BT106" i="35" s="1"/>
  <c r="AN97" i="35"/>
  <c r="AL97" i="35"/>
  <c r="BU97" i="35" s="1"/>
  <c r="AN72" i="35"/>
  <c r="AN62" i="35"/>
  <c r="AN52" i="35"/>
  <c r="AN103" i="35"/>
  <c r="AL103" i="35"/>
  <c r="BU103" i="35" s="1"/>
  <c r="AN63" i="35"/>
  <c r="AL63" i="35"/>
  <c r="BU63" i="35" s="1"/>
  <c r="AI26" i="35"/>
  <c r="BT26" i="35" s="1"/>
  <c r="AN23" i="35"/>
  <c r="AL23" i="35"/>
  <c r="BU23" i="35" s="1"/>
  <c r="AN127" i="35"/>
  <c r="AL127" i="35"/>
  <c r="BU127" i="35" s="1"/>
  <c r="AN152" i="35"/>
  <c r="AL152" i="35"/>
  <c r="BU152" i="35" s="1"/>
  <c r="AN118" i="35"/>
  <c r="AI157" i="35"/>
  <c r="BT157" i="35" s="1"/>
  <c r="AN135" i="35"/>
  <c r="AL135" i="35"/>
  <c r="BU135" i="35" s="1"/>
  <c r="AN73" i="35"/>
  <c r="AL73" i="35"/>
  <c r="BU73" i="35" s="1"/>
  <c r="AN148" i="35"/>
  <c r="AL148" i="35"/>
  <c r="BU148" i="35" s="1"/>
  <c r="AI113" i="35"/>
  <c r="BT113" i="35" s="1"/>
  <c r="AN110" i="35"/>
  <c r="AL110" i="35"/>
  <c r="BU110" i="35" s="1"/>
  <c r="AN69" i="35"/>
  <c r="AL69" i="35"/>
  <c r="BU69" i="35" s="1"/>
  <c r="AI156" i="35"/>
  <c r="BT156" i="35" s="1"/>
  <c r="AN151" i="35"/>
  <c r="AL151" i="35"/>
  <c r="BU151" i="35" s="1"/>
  <c r="AI123" i="35"/>
  <c r="BT123" i="35" s="1"/>
  <c r="AN111" i="35"/>
  <c r="AL111" i="35"/>
  <c r="BU111" i="35" s="1"/>
  <c r="AN96" i="35"/>
  <c r="AN45" i="35"/>
  <c r="AL45" i="35"/>
  <c r="BU45" i="35" s="1"/>
  <c r="AN10" i="35"/>
  <c r="AL10" i="35"/>
  <c r="BU10" i="35" s="1"/>
  <c r="AN144" i="35"/>
  <c r="AL144" i="35"/>
  <c r="BU144" i="35" s="1"/>
  <c r="AN34" i="35"/>
  <c r="AF166" i="35"/>
  <c r="AI124" i="35"/>
  <c r="BT124" i="35" s="1"/>
  <c r="AN112" i="35"/>
  <c r="AL112" i="35"/>
  <c r="BU112" i="35" s="1"/>
  <c r="AN119" i="35"/>
  <c r="AL119" i="35"/>
  <c r="BU119" i="35" s="1"/>
  <c r="AN68" i="35"/>
  <c r="AL68" i="35"/>
  <c r="BU68" i="35" s="1"/>
  <c r="AI88" i="35"/>
  <c r="BT88" i="35" s="1"/>
  <c r="AN38" i="35"/>
  <c r="AL38" i="35"/>
  <c r="BU38" i="35" s="1"/>
  <c r="AI28" i="35"/>
  <c r="BT28" i="35" s="1"/>
  <c r="AN5" i="35"/>
  <c r="AL5" i="35"/>
  <c r="BU5" i="35" s="1"/>
  <c r="AN147" i="35"/>
  <c r="AL147" i="35"/>
  <c r="BU147" i="35" s="1"/>
  <c r="AN153" i="35"/>
  <c r="AL153" i="35"/>
  <c r="BU153" i="35" s="1"/>
  <c r="AN82" i="35"/>
  <c r="AI117" i="35"/>
  <c r="BT117" i="35" s="1"/>
  <c r="AN114" i="35"/>
  <c r="AL114" i="35"/>
  <c r="BU114" i="35" s="1"/>
  <c r="AN58" i="35"/>
  <c r="AL58" i="35"/>
  <c r="BU58" i="35" s="1"/>
  <c r="AI141" i="35"/>
  <c r="BT141" i="35" s="1"/>
  <c r="AN138" i="35"/>
  <c r="AL138" i="35"/>
  <c r="BU138" i="35" s="1"/>
  <c r="AN99" i="35"/>
  <c r="AL99" i="35"/>
  <c r="BU99" i="35" s="1"/>
  <c r="AN84" i="35"/>
  <c r="AN64" i="35"/>
  <c r="AL64" i="35"/>
  <c r="BU64" i="35" s="1"/>
  <c r="AN54" i="35"/>
  <c r="AI158" i="35"/>
  <c r="BT158" i="35" s="1"/>
  <c r="AN140" i="35"/>
  <c r="AL140" i="35"/>
  <c r="BU140" i="35" s="1"/>
  <c r="AI104" i="35"/>
  <c r="BT104" i="35" s="1"/>
  <c r="AN101" i="35"/>
  <c r="AL101" i="35"/>
  <c r="BU101" i="35" s="1"/>
  <c r="AN70" i="35"/>
  <c r="AL70" i="35"/>
  <c r="BU70" i="35" s="1"/>
  <c r="AN50" i="35"/>
  <c r="AL50" i="35"/>
  <c r="BU50" i="35" s="1"/>
  <c r="AE90" i="35"/>
  <c r="AN25" i="35"/>
  <c r="AL25" i="35"/>
  <c r="BU25" i="35" s="1"/>
  <c r="AN7" i="35"/>
  <c r="AL7" i="35"/>
  <c r="BU7" i="35" s="1"/>
  <c r="AQ24" i="35"/>
  <c r="AT24" i="35" s="1"/>
  <c r="AO24" i="35"/>
  <c r="BV24" i="35" s="1"/>
  <c r="AN75" i="35"/>
  <c r="AL75" i="35"/>
  <c r="BU75" i="35" s="1"/>
  <c r="AN35" i="35"/>
  <c r="AL35" i="35"/>
  <c r="BU35" i="35" s="1"/>
  <c r="AQ4" i="35"/>
  <c r="AT4" i="35" s="1"/>
  <c r="AW4" i="35" s="1"/>
  <c r="AZ4" i="35" s="1"/>
  <c r="AN44" i="35"/>
  <c r="AR19" i="35"/>
  <c r="BW19" i="35" s="1"/>
  <c r="AN128" i="35"/>
  <c r="AL128" i="35"/>
  <c r="BU128" i="35" s="1"/>
  <c r="AI149" i="35"/>
  <c r="BT149" i="35" s="1"/>
  <c r="AN146" i="35"/>
  <c r="AL146" i="35"/>
  <c r="BU146" i="35" s="1"/>
  <c r="AN78" i="35"/>
  <c r="AL78" i="35"/>
  <c r="BU78" i="35" s="1"/>
  <c r="AN43" i="35"/>
  <c r="AL43" i="35"/>
  <c r="BU43" i="35" s="1"/>
  <c r="AN12" i="35"/>
  <c r="AL12" i="35"/>
  <c r="BU12" i="35" s="1"/>
  <c r="AI145" i="35"/>
  <c r="BT145" i="35" s="1"/>
  <c r="AN142" i="35"/>
  <c r="AL142" i="35"/>
  <c r="BU142" i="35" s="1"/>
  <c r="AN6" i="35"/>
  <c r="AL6" i="35"/>
  <c r="BU6" i="35" s="1"/>
  <c r="AN102" i="35"/>
  <c r="AL102" i="35"/>
  <c r="BU102" i="35" s="1"/>
  <c r="AN67" i="35"/>
  <c r="AN57" i="35"/>
  <c r="AQ47" i="35"/>
  <c r="AT47" i="35" s="1"/>
  <c r="AW47" i="35" s="1"/>
  <c r="AZ47" i="35" s="1"/>
  <c r="AN98" i="35"/>
  <c r="AL98" i="35"/>
  <c r="BU98" i="35" s="1"/>
  <c r="AN48" i="35"/>
  <c r="AL48" i="35"/>
  <c r="BU48" i="35" s="1"/>
  <c r="AN120" i="35"/>
  <c r="AL120" i="35"/>
  <c r="BU120" i="35" s="1"/>
  <c r="AI108" i="35"/>
  <c r="BT108" i="35" s="1"/>
  <c r="AN94" i="35"/>
  <c r="AL94" i="35"/>
  <c r="BU94" i="35" s="1"/>
  <c r="AN74" i="35"/>
  <c r="AN59" i="35"/>
  <c r="AL59" i="35"/>
  <c r="BU59" i="35" s="1"/>
  <c r="AI129" i="35"/>
  <c r="BT129" i="35" s="1"/>
  <c r="AN126" i="35"/>
  <c r="AL126" i="35"/>
  <c r="BU126" i="35" s="1"/>
  <c r="AN55" i="35"/>
  <c r="AL55" i="35"/>
  <c r="BU55" i="35" s="1"/>
  <c r="AN20" i="35"/>
  <c r="AL20" i="35"/>
  <c r="BU20" i="35" s="1"/>
  <c r="AI137" i="35"/>
  <c r="BT137" i="35" s="1"/>
  <c r="AN134" i="35"/>
  <c r="AL134" i="35"/>
  <c r="BU134" i="35" s="1"/>
  <c r="AN143" i="35"/>
  <c r="AL143" i="35"/>
  <c r="BU143" i="35" s="1"/>
  <c r="AF167" i="35"/>
  <c r="AI95" i="35"/>
  <c r="BT95" i="35" s="1"/>
  <c r="AN92" i="35"/>
  <c r="AL92" i="35"/>
  <c r="BU92" i="35" s="1"/>
  <c r="AI107" i="35"/>
  <c r="BT107" i="35" s="1"/>
  <c r="AN93" i="35"/>
  <c r="AL93" i="35"/>
  <c r="BU93" i="35" s="1"/>
  <c r="AN53" i="35"/>
  <c r="AL53" i="35"/>
  <c r="BU53" i="35" s="1"/>
  <c r="AE88" i="35"/>
  <c r="AN17" i="35"/>
  <c r="AL17" i="35"/>
  <c r="BU17" i="35" s="1"/>
  <c r="AF164" i="35"/>
  <c r="AI159" i="35"/>
  <c r="BT159" i="35" s="1"/>
  <c r="AN136" i="35"/>
  <c r="AL136" i="35"/>
  <c r="BU136" i="35" s="1"/>
  <c r="AN32" i="35"/>
  <c r="AL32" i="35"/>
  <c r="BU32" i="35" s="1"/>
  <c r="AQ14" i="35"/>
  <c r="AT14" i="35" s="1"/>
  <c r="AW14" i="35" s="1"/>
  <c r="AZ14" i="35" s="1"/>
  <c r="AQ42" i="35"/>
  <c r="AT42" i="35" s="1"/>
  <c r="AW42" i="35" s="1"/>
  <c r="AZ42" i="35" s="1"/>
  <c r="AI81" i="35"/>
  <c r="BT81" i="35" s="1"/>
  <c r="AN77" i="35"/>
  <c r="AL77" i="35"/>
  <c r="BU77" i="35" s="1"/>
  <c r="AN83" i="35"/>
  <c r="AL83" i="35"/>
  <c r="BU83" i="35" s="1"/>
  <c r="AN33" i="35"/>
  <c r="AL33" i="35"/>
  <c r="BU33" i="35" s="1"/>
  <c r="AN115" i="35"/>
  <c r="AL115" i="35"/>
  <c r="BU115" i="35" s="1"/>
  <c r="AN79" i="35"/>
  <c r="AL79" i="35"/>
  <c r="BU79" i="35" s="1"/>
  <c r="AN49" i="35"/>
  <c r="AL49" i="35"/>
  <c r="BU49" i="35" s="1"/>
  <c r="AN116" i="35"/>
  <c r="AL116" i="35"/>
  <c r="BU116" i="35" s="1"/>
  <c r="AN80" i="35"/>
  <c r="AL80" i="35"/>
  <c r="BU80" i="35" s="1"/>
  <c r="AN60" i="35"/>
  <c r="AL60" i="35"/>
  <c r="BU60" i="35" s="1"/>
  <c r="AI90" i="35"/>
  <c r="BT90" i="35" s="1"/>
  <c r="AN40" i="35"/>
  <c r="AL40" i="35"/>
  <c r="BU40" i="35" s="1"/>
  <c r="AN15" i="35"/>
  <c r="AL15" i="35"/>
  <c r="BU15" i="35" s="1"/>
  <c r="AN139" i="35"/>
  <c r="AL139" i="35"/>
  <c r="BU139" i="35" s="1"/>
  <c r="AN150" i="35"/>
  <c r="AN85" i="35"/>
  <c r="AL85" i="35"/>
  <c r="BU85" i="35" s="1"/>
  <c r="AN65" i="35"/>
  <c r="AL65" i="35"/>
  <c r="BU65" i="35" s="1"/>
  <c r="AP199" i="35"/>
  <c r="CO199" i="35" s="1"/>
  <c r="AA199" i="35"/>
  <c r="AD199" i="35"/>
  <c r="CK199" i="35" s="1"/>
  <c r="AG199" i="35"/>
  <c r="CL199" i="35" s="1"/>
  <c r="AJ199" i="35"/>
  <c r="CM199" i="35" s="1"/>
  <c r="AM199" i="35"/>
  <c r="CN199" i="35" s="1"/>
  <c r="B208" i="35"/>
  <c r="AP193" i="35"/>
  <c r="CO193" i="35" s="1"/>
  <c r="AD193" i="35"/>
  <c r="AJ193" i="35"/>
  <c r="CM193" i="35" s="1"/>
  <c r="AA193" i="35"/>
  <c r="AG193" i="35"/>
  <c r="CL193" i="35" s="1"/>
  <c r="AM193" i="35"/>
  <c r="CN193" i="35" s="1"/>
  <c r="AP191" i="35"/>
  <c r="AA191" i="35"/>
  <c r="AG191" i="35"/>
  <c r="AM191" i="35"/>
  <c r="AD191" i="35"/>
  <c r="AJ191" i="35"/>
  <c r="AP194" i="35"/>
  <c r="CO194" i="35" s="1"/>
  <c r="AA194" i="35"/>
  <c r="AD194" i="35"/>
  <c r="AG194" i="35"/>
  <c r="CL194" i="35" s="1"/>
  <c r="AJ194" i="35"/>
  <c r="CM194" i="35" s="1"/>
  <c r="AM194" i="35"/>
  <c r="CN194" i="35" s="1"/>
  <c r="B207" i="35"/>
  <c r="B205" i="35"/>
  <c r="O143" i="3"/>
  <c r="BY207" i="11"/>
  <c r="P187" i="3"/>
  <c r="AQ16" i="35"/>
  <c r="AT16" i="35" s="1"/>
  <c r="AW16" i="35" s="1"/>
  <c r="AZ16" i="35" s="1"/>
  <c r="AQ39" i="35"/>
  <c r="AT39" i="35" s="1"/>
  <c r="AO39" i="35"/>
  <c r="BV39" i="35" s="1"/>
  <c r="AN9" i="35"/>
  <c r="AL9" i="35"/>
  <c r="BU9" i="35" s="1"/>
  <c r="AQ21" i="35"/>
  <c r="AT21" i="35" s="1"/>
  <c r="AO21" i="35"/>
  <c r="BV21" i="35" s="1"/>
  <c r="AQ11" i="35"/>
  <c r="AT11" i="35" s="1"/>
  <c r="AW11" i="35" s="1"/>
  <c r="AZ11" i="35" s="1"/>
  <c r="AL30" i="35"/>
  <c r="BU30" i="35" s="1"/>
  <c r="B206" i="35"/>
  <c r="AX19" i="35" l="1"/>
  <c r="BY19" i="35" s="1"/>
  <c r="AZ19" i="35"/>
  <c r="BA19" i="35" s="1"/>
  <c r="BZ19" i="35" s="1"/>
  <c r="AW21" i="35"/>
  <c r="AU21" i="35"/>
  <c r="BX21" i="35" s="1"/>
  <c r="AU39" i="35"/>
  <c r="BX39" i="35" s="1"/>
  <c r="AW39" i="35"/>
  <c r="AW24" i="35"/>
  <c r="AU24" i="35"/>
  <c r="BX24" i="35" s="1"/>
  <c r="CM191" i="35"/>
  <c r="AJ327" i="35"/>
  <c r="CN191" i="35"/>
  <c r="AM327" i="35"/>
  <c r="AA327" i="35"/>
  <c r="AD327" i="35"/>
  <c r="CL191" i="35"/>
  <c r="AG327" i="35"/>
  <c r="CO191" i="35"/>
  <c r="AP327" i="35"/>
  <c r="AL22" i="35"/>
  <c r="BU22" i="35" s="1"/>
  <c r="CJ194" i="35"/>
  <c r="AC191" i="35"/>
  <c r="CJ191" i="35"/>
  <c r="CK194" i="35"/>
  <c r="CK191" i="35"/>
  <c r="CJ193" i="35"/>
  <c r="CK193" i="35"/>
  <c r="CJ199" i="35"/>
  <c r="AE164" i="35"/>
  <c r="BS164" i="35"/>
  <c r="AE167" i="35"/>
  <c r="BS167" i="35"/>
  <c r="AH314" i="35"/>
  <c r="AE261" i="35"/>
  <c r="AE240" i="35"/>
  <c r="AE212" i="35"/>
  <c r="AE191" i="35"/>
  <c r="AE247" i="35"/>
  <c r="AE198" i="35"/>
  <c r="AE275" i="35"/>
  <c r="AE254" i="35"/>
  <c r="AE219" i="35"/>
  <c r="AE205" i="35"/>
  <c r="AE268" i="35"/>
  <c r="AE233" i="35"/>
  <c r="AE184" i="35"/>
  <c r="AE226" i="35"/>
  <c r="AE166" i="35"/>
  <c r="BS166" i="35"/>
  <c r="AB318" i="35"/>
  <c r="AB317" i="35"/>
  <c r="AB315" i="35"/>
  <c r="AB316" i="35"/>
  <c r="AB319" i="35"/>
  <c r="AQ85" i="35"/>
  <c r="AT85" i="35" s="1"/>
  <c r="AO85" i="35"/>
  <c r="BV85" i="35" s="1"/>
  <c r="AQ150" i="35"/>
  <c r="AT150" i="35" s="1"/>
  <c r="AW150" i="35" s="1"/>
  <c r="AZ150" i="35" s="1"/>
  <c r="AQ15" i="35"/>
  <c r="AT15" i="35" s="1"/>
  <c r="AO15" i="35"/>
  <c r="BV15" i="35" s="1"/>
  <c r="AH90" i="35"/>
  <c r="AQ60" i="35"/>
  <c r="AT60" i="35" s="1"/>
  <c r="AO60" i="35"/>
  <c r="BV60" i="35" s="1"/>
  <c r="AQ116" i="35"/>
  <c r="AT116" i="35" s="1"/>
  <c r="AO116" i="35"/>
  <c r="BV116" i="35" s="1"/>
  <c r="AQ79" i="35"/>
  <c r="AT79" i="35" s="1"/>
  <c r="AO79" i="35"/>
  <c r="BV79" i="35" s="1"/>
  <c r="AQ33" i="35"/>
  <c r="AT33" i="35" s="1"/>
  <c r="AO33" i="35"/>
  <c r="BV33" i="35" s="1"/>
  <c r="AL81" i="35"/>
  <c r="BU81" i="35" s="1"/>
  <c r="AQ77" i="35"/>
  <c r="AT77" i="35" s="1"/>
  <c r="AO77" i="35"/>
  <c r="BV77" i="35" s="1"/>
  <c r="AL159" i="35"/>
  <c r="BU159" i="35" s="1"/>
  <c r="AQ136" i="35"/>
  <c r="AT136" i="35" s="1"/>
  <c r="AO136" i="35"/>
  <c r="BV136" i="35" s="1"/>
  <c r="AQ53" i="35"/>
  <c r="AT53" i="35" s="1"/>
  <c r="AO53" i="35"/>
  <c r="BV53" i="35" s="1"/>
  <c r="AL95" i="35"/>
  <c r="BU95" i="35" s="1"/>
  <c r="AQ92" i="35"/>
  <c r="AT92" i="35" s="1"/>
  <c r="AO92" i="35"/>
  <c r="BV92" i="35" s="1"/>
  <c r="AL137" i="35"/>
  <c r="BU137" i="35" s="1"/>
  <c r="AQ134" i="35"/>
  <c r="AT134" i="35" s="1"/>
  <c r="AO134" i="35"/>
  <c r="BV134" i="35" s="1"/>
  <c r="AQ55" i="35"/>
  <c r="AT55" i="35" s="1"/>
  <c r="AO55" i="35"/>
  <c r="BV55" i="35" s="1"/>
  <c r="AQ59" i="35"/>
  <c r="AT59" i="35" s="1"/>
  <c r="AO59" i="35"/>
  <c r="BV59" i="35" s="1"/>
  <c r="AQ74" i="35"/>
  <c r="AT74" i="35" s="1"/>
  <c r="AW74" i="35" s="1"/>
  <c r="AZ74" i="35" s="1"/>
  <c r="AQ120" i="35"/>
  <c r="AT120" i="35" s="1"/>
  <c r="AO120" i="35"/>
  <c r="BV120" i="35" s="1"/>
  <c r="AQ98" i="35"/>
  <c r="AT98" i="35" s="1"/>
  <c r="AO98" i="35"/>
  <c r="BV98" i="35" s="1"/>
  <c r="AQ57" i="35"/>
  <c r="AT57" i="35" s="1"/>
  <c r="AW57" i="35" s="1"/>
  <c r="AZ57" i="35" s="1"/>
  <c r="AQ67" i="35"/>
  <c r="AT67" i="35" s="1"/>
  <c r="AW67" i="35" s="1"/>
  <c r="AZ67" i="35" s="1"/>
  <c r="AQ6" i="35"/>
  <c r="AT6" i="35" s="1"/>
  <c r="AO6" i="35"/>
  <c r="BV6" i="35" s="1"/>
  <c r="AQ12" i="35"/>
  <c r="AT12" i="35" s="1"/>
  <c r="AO12" i="35"/>
  <c r="BV12" i="35" s="1"/>
  <c r="AQ78" i="35"/>
  <c r="AT78" i="35" s="1"/>
  <c r="AO78" i="35"/>
  <c r="BV78" i="35" s="1"/>
  <c r="AQ128" i="35"/>
  <c r="AT128" i="35" s="1"/>
  <c r="AO128" i="35"/>
  <c r="BV128" i="35" s="1"/>
  <c r="AQ35" i="35"/>
  <c r="AT35" i="35" s="1"/>
  <c r="AO35" i="35"/>
  <c r="BV35" i="35" s="1"/>
  <c r="AR24" i="35"/>
  <c r="BW24" i="35" s="1"/>
  <c r="AQ25" i="35"/>
  <c r="AT25" i="35" s="1"/>
  <c r="AO25" i="35"/>
  <c r="BV25" i="35" s="1"/>
  <c r="AQ70" i="35"/>
  <c r="AT70" i="35" s="1"/>
  <c r="AO70" i="35"/>
  <c r="BV70" i="35" s="1"/>
  <c r="AL158" i="35"/>
  <c r="BU158" i="35" s="1"/>
  <c r="AQ140" i="35"/>
  <c r="AT140" i="35" s="1"/>
  <c r="AO140" i="35"/>
  <c r="BV140" i="35" s="1"/>
  <c r="AQ54" i="35"/>
  <c r="AT54" i="35" s="1"/>
  <c r="AW54" i="35" s="1"/>
  <c r="AZ54" i="35" s="1"/>
  <c r="AQ99" i="35"/>
  <c r="AT99" i="35" s="1"/>
  <c r="AO99" i="35"/>
  <c r="BV99" i="35" s="1"/>
  <c r="AQ58" i="35"/>
  <c r="AT58" i="35" s="1"/>
  <c r="AO58" i="35"/>
  <c r="BV58" i="35" s="1"/>
  <c r="AQ153" i="35"/>
  <c r="AT153" i="35" s="1"/>
  <c r="AO153" i="35"/>
  <c r="BV153" i="35" s="1"/>
  <c r="AL28" i="35"/>
  <c r="BU28" i="35" s="1"/>
  <c r="AQ5" i="35"/>
  <c r="AT5" i="35" s="1"/>
  <c r="AO5" i="35"/>
  <c r="BV5" i="35" s="1"/>
  <c r="AH88" i="35"/>
  <c r="AQ68" i="35"/>
  <c r="AT68" i="35" s="1"/>
  <c r="AO68" i="35"/>
  <c r="BV68" i="35" s="1"/>
  <c r="AL124" i="35"/>
  <c r="BU124" i="35" s="1"/>
  <c r="AQ112" i="35"/>
  <c r="AT112" i="35" s="1"/>
  <c r="AO112" i="35"/>
  <c r="BV112" i="35" s="1"/>
  <c r="AQ144" i="35"/>
  <c r="AT144" i="35" s="1"/>
  <c r="AO144" i="35"/>
  <c r="BV144" i="35" s="1"/>
  <c r="AQ45" i="35"/>
  <c r="AT45" i="35" s="1"/>
  <c r="AO45" i="35"/>
  <c r="BV45" i="35" s="1"/>
  <c r="AQ96" i="35"/>
  <c r="AT96" i="35" s="1"/>
  <c r="AW96" i="35" s="1"/>
  <c r="AZ96" i="35" s="1"/>
  <c r="AL156" i="35"/>
  <c r="BU156" i="35" s="1"/>
  <c r="AQ151" i="35"/>
  <c r="AT151" i="35" s="1"/>
  <c r="AO151" i="35"/>
  <c r="BV151" i="35" s="1"/>
  <c r="AL113" i="35"/>
  <c r="BU113" i="35" s="1"/>
  <c r="AQ110" i="35"/>
  <c r="AT110" i="35" s="1"/>
  <c r="AO110" i="35"/>
  <c r="BV110" i="35" s="1"/>
  <c r="AQ73" i="35"/>
  <c r="AT73" i="35" s="1"/>
  <c r="AO73" i="35"/>
  <c r="BV73" i="35" s="1"/>
  <c r="AQ152" i="35"/>
  <c r="AT152" i="35" s="1"/>
  <c r="AO152" i="35"/>
  <c r="BV152" i="35" s="1"/>
  <c r="AL26" i="35"/>
  <c r="BU26" i="35" s="1"/>
  <c r="AQ23" i="35"/>
  <c r="AT23" i="35" s="1"/>
  <c r="AO23" i="35"/>
  <c r="BV23" i="35" s="1"/>
  <c r="AQ103" i="35"/>
  <c r="AT103" i="35" s="1"/>
  <c r="AO103" i="35"/>
  <c r="BV103" i="35" s="1"/>
  <c r="AQ52" i="35"/>
  <c r="AT52" i="35" s="1"/>
  <c r="AW52" i="35" s="1"/>
  <c r="AZ52" i="35" s="1"/>
  <c r="AQ62" i="35"/>
  <c r="AT62" i="35" s="1"/>
  <c r="AW62" i="35" s="1"/>
  <c r="AZ62" i="35" s="1"/>
  <c r="AQ72" i="35"/>
  <c r="AT72" i="35" s="1"/>
  <c r="AW72" i="35" s="1"/>
  <c r="AZ72" i="35" s="1"/>
  <c r="AR21" i="35"/>
  <c r="BW21" i="35" s="1"/>
  <c r="AR39" i="35"/>
  <c r="BW39" i="35" s="1"/>
  <c r="AQ65" i="35"/>
  <c r="AT65" i="35" s="1"/>
  <c r="AO65" i="35"/>
  <c r="BV65" i="35" s="1"/>
  <c r="AQ139" i="35"/>
  <c r="AT139" i="35" s="1"/>
  <c r="AO139" i="35"/>
  <c r="BV139" i="35" s="1"/>
  <c r="AL90" i="35"/>
  <c r="BU90" i="35" s="1"/>
  <c r="AQ40" i="35"/>
  <c r="AT40" i="35" s="1"/>
  <c r="AO40" i="35"/>
  <c r="BV40" i="35" s="1"/>
  <c r="AQ80" i="35"/>
  <c r="AT80" i="35" s="1"/>
  <c r="AO80" i="35"/>
  <c r="BV80" i="35" s="1"/>
  <c r="AQ49" i="35"/>
  <c r="AT49" i="35" s="1"/>
  <c r="AO49" i="35"/>
  <c r="BV49" i="35" s="1"/>
  <c r="AQ115" i="35"/>
  <c r="AT115" i="35" s="1"/>
  <c r="AO115" i="35"/>
  <c r="BV115" i="35" s="1"/>
  <c r="AQ83" i="35"/>
  <c r="AT83" i="35" s="1"/>
  <c r="AO83" i="35"/>
  <c r="BV83" i="35" s="1"/>
  <c r="AQ32" i="35"/>
  <c r="AT32" i="35" s="1"/>
  <c r="AO32" i="35"/>
  <c r="BV32" i="35" s="1"/>
  <c r="AQ17" i="35"/>
  <c r="AT17" i="35" s="1"/>
  <c r="AO17" i="35"/>
  <c r="BV17" i="35" s="1"/>
  <c r="AL107" i="35"/>
  <c r="BU107" i="35" s="1"/>
  <c r="AQ93" i="35"/>
  <c r="AT93" i="35" s="1"/>
  <c r="AO93" i="35"/>
  <c r="BV93" i="35" s="1"/>
  <c r="AQ143" i="35"/>
  <c r="AT143" i="35" s="1"/>
  <c r="AO143" i="35"/>
  <c r="BV143" i="35" s="1"/>
  <c r="AQ20" i="35"/>
  <c r="AT20" i="35" s="1"/>
  <c r="AO20" i="35"/>
  <c r="BV20" i="35" s="1"/>
  <c r="AL129" i="35"/>
  <c r="BU129" i="35" s="1"/>
  <c r="AQ126" i="35"/>
  <c r="AT126" i="35" s="1"/>
  <c r="AO126" i="35"/>
  <c r="BV126" i="35" s="1"/>
  <c r="AL108" i="35"/>
  <c r="BU108" i="35" s="1"/>
  <c r="AQ94" i="35"/>
  <c r="AT94" i="35" s="1"/>
  <c r="AO94" i="35"/>
  <c r="BV94" i="35" s="1"/>
  <c r="AQ48" i="35"/>
  <c r="AT48" i="35" s="1"/>
  <c r="AO48" i="35"/>
  <c r="BV48" i="35" s="1"/>
  <c r="AQ102" i="35"/>
  <c r="AT102" i="35" s="1"/>
  <c r="AO102" i="35"/>
  <c r="BV102" i="35" s="1"/>
  <c r="AL145" i="35"/>
  <c r="BU145" i="35" s="1"/>
  <c r="AQ142" i="35"/>
  <c r="AT142" i="35" s="1"/>
  <c r="AO142" i="35"/>
  <c r="BV142" i="35" s="1"/>
  <c r="AQ43" i="35"/>
  <c r="AT43" i="35" s="1"/>
  <c r="AO43" i="35"/>
  <c r="BV43" i="35" s="1"/>
  <c r="AL149" i="35"/>
  <c r="BU149" i="35" s="1"/>
  <c r="AQ146" i="35"/>
  <c r="AT146" i="35" s="1"/>
  <c r="AO146" i="35"/>
  <c r="BV146" i="35" s="1"/>
  <c r="AQ44" i="35"/>
  <c r="AT44" i="35" s="1"/>
  <c r="AW44" i="35" s="1"/>
  <c r="AZ44" i="35" s="1"/>
  <c r="AQ75" i="35"/>
  <c r="AT75" i="35" s="1"/>
  <c r="AO75" i="35"/>
  <c r="BV75" i="35" s="1"/>
  <c r="AQ7" i="35"/>
  <c r="AT7" i="35" s="1"/>
  <c r="AO7" i="35"/>
  <c r="BV7" i="35" s="1"/>
  <c r="AQ50" i="35"/>
  <c r="AT50" i="35" s="1"/>
  <c r="AO50" i="35"/>
  <c r="BV50" i="35" s="1"/>
  <c r="AL104" i="35"/>
  <c r="BU104" i="35" s="1"/>
  <c r="AQ101" i="35"/>
  <c r="AT101" i="35" s="1"/>
  <c r="AO101" i="35"/>
  <c r="BV101" i="35" s="1"/>
  <c r="AQ64" i="35"/>
  <c r="AT64" i="35" s="1"/>
  <c r="AO64" i="35"/>
  <c r="BV64" i="35" s="1"/>
  <c r="AQ84" i="35"/>
  <c r="AT84" i="35" s="1"/>
  <c r="AW84" i="35" s="1"/>
  <c r="AZ84" i="35" s="1"/>
  <c r="AL141" i="35"/>
  <c r="BU141" i="35" s="1"/>
  <c r="AQ138" i="35"/>
  <c r="AT138" i="35" s="1"/>
  <c r="AO138" i="35"/>
  <c r="BV138" i="35" s="1"/>
  <c r="AL117" i="35"/>
  <c r="BU117" i="35" s="1"/>
  <c r="AQ114" i="35"/>
  <c r="AT114" i="35" s="1"/>
  <c r="AO114" i="35"/>
  <c r="BV114" i="35" s="1"/>
  <c r="AQ82" i="35"/>
  <c r="AT82" i="35" s="1"/>
  <c r="AW82" i="35" s="1"/>
  <c r="AZ82" i="35" s="1"/>
  <c r="AQ147" i="35"/>
  <c r="AT147" i="35" s="1"/>
  <c r="AO147" i="35"/>
  <c r="BV147" i="35" s="1"/>
  <c r="AI164" i="35"/>
  <c r="AL88" i="35"/>
  <c r="BU88" i="35" s="1"/>
  <c r="AQ38" i="35"/>
  <c r="AT38" i="35" s="1"/>
  <c r="AO38" i="35"/>
  <c r="BV38" i="35" s="1"/>
  <c r="AQ119" i="35"/>
  <c r="AT119" i="35" s="1"/>
  <c r="AO119" i="35"/>
  <c r="BV119" i="35" s="1"/>
  <c r="AI167" i="35"/>
  <c r="AQ34" i="35"/>
  <c r="AT34" i="35" s="1"/>
  <c r="AW34" i="35" s="1"/>
  <c r="AZ34" i="35" s="1"/>
  <c r="AQ10" i="35"/>
  <c r="AT10" i="35" s="1"/>
  <c r="AO10" i="35"/>
  <c r="BV10" i="35" s="1"/>
  <c r="AL123" i="35"/>
  <c r="BU123" i="35" s="1"/>
  <c r="AQ111" i="35"/>
  <c r="AT111" i="35" s="1"/>
  <c r="AO111" i="35"/>
  <c r="BV111" i="35" s="1"/>
  <c r="AQ69" i="35"/>
  <c r="AT69" i="35" s="1"/>
  <c r="AO69" i="35"/>
  <c r="BV69" i="35" s="1"/>
  <c r="AQ148" i="35"/>
  <c r="AT148" i="35" s="1"/>
  <c r="AO148" i="35"/>
  <c r="BV148" i="35" s="1"/>
  <c r="AL157" i="35"/>
  <c r="BU157" i="35" s="1"/>
  <c r="AQ135" i="35"/>
  <c r="AT135" i="35" s="1"/>
  <c r="AO135" i="35"/>
  <c r="BV135" i="35" s="1"/>
  <c r="AQ118" i="35"/>
  <c r="AT118" i="35" s="1"/>
  <c r="AW118" i="35" s="1"/>
  <c r="AZ118" i="35" s="1"/>
  <c r="AQ127" i="35"/>
  <c r="AT127" i="35" s="1"/>
  <c r="AO127" i="35"/>
  <c r="BV127" i="35" s="1"/>
  <c r="AQ63" i="35"/>
  <c r="AT63" i="35" s="1"/>
  <c r="AO63" i="35"/>
  <c r="BV63" i="35" s="1"/>
  <c r="AL106" i="35"/>
  <c r="BU106" i="35" s="1"/>
  <c r="AQ97" i="35"/>
  <c r="AT97" i="35" s="1"/>
  <c r="AO97" i="35"/>
  <c r="BV97" i="35" s="1"/>
  <c r="AI166" i="35"/>
  <c r="B213" i="35"/>
  <c r="AP198" i="35"/>
  <c r="AA198" i="35"/>
  <c r="AG198" i="35"/>
  <c r="AM198" i="35"/>
  <c r="AD198" i="35"/>
  <c r="AJ198" i="35"/>
  <c r="AP200" i="35"/>
  <c r="CO200" i="35" s="1"/>
  <c r="AD200" i="35"/>
  <c r="AJ200" i="35"/>
  <c r="CM200" i="35" s="1"/>
  <c r="AA200" i="35"/>
  <c r="AG200" i="35"/>
  <c r="AM200" i="35"/>
  <c r="CN200" i="35" s="1"/>
  <c r="AP201" i="35"/>
  <c r="CO201" i="35" s="1"/>
  <c r="AA201" i="35"/>
  <c r="AD201" i="35"/>
  <c r="AG201" i="35"/>
  <c r="CL201" i="35" s="1"/>
  <c r="AJ201" i="35"/>
  <c r="CM201" i="35" s="1"/>
  <c r="AM201" i="35"/>
  <c r="CN201" i="35" s="1"/>
  <c r="B296" i="35"/>
  <c r="B212" i="35"/>
  <c r="B214" i="35"/>
  <c r="B298" i="35"/>
  <c r="B215" i="35"/>
  <c r="B299" i="35"/>
  <c r="BX207" i="11"/>
  <c r="O187" i="3"/>
  <c r="AQ9" i="35"/>
  <c r="AT9" i="35" s="1"/>
  <c r="AO9" i="35"/>
  <c r="BV9" i="35" s="1"/>
  <c r="B297" i="35"/>
  <c r="AB296" i="35"/>
  <c r="AU9" i="35" l="1"/>
  <c r="BX9" i="35" s="1"/>
  <c r="AW9" i="35"/>
  <c r="AU97" i="35"/>
  <c r="AW97" i="35"/>
  <c r="AU63" i="35"/>
  <c r="BX63" i="35" s="1"/>
  <c r="AW63" i="35"/>
  <c r="AW127" i="35"/>
  <c r="AU127" i="35"/>
  <c r="BX127" i="35" s="1"/>
  <c r="AU148" i="35"/>
  <c r="BX148" i="35" s="1"/>
  <c r="AW148" i="35"/>
  <c r="AU69" i="35"/>
  <c r="BX69" i="35" s="1"/>
  <c r="AW69" i="35"/>
  <c r="AW111" i="35"/>
  <c r="AU111" i="35"/>
  <c r="BX111" i="35" s="1"/>
  <c r="AW114" i="35"/>
  <c r="AU114" i="35"/>
  <c r="BX114" i="35" s="1"/>
  <c r="AU50" i="35"/>
  <c r="BX50" i="35" s="1"/>
  <c r="AW50" i="35"/>
  <c r="AU7" i="35"/>
  <c r="BX7" i="35" s="1"/>
  <c r="AW7" i="35"/>
  <c r="AW75" i="35"/>
  <c r="AU75" i="35"/>
  <c r="BX75" i="35" s="1"/>
  <c r="AU43" i="35"/>
  <c r="BX43" i="35" s="1"/>
  <c r="AW43" i="35"/>
  <c r="AW142" i="35"/>
  <c r="AU142" i="35"/>
  <c r="BX142" i="35" s="1"/>
  <c r="AU126" i="35"/>
  <c r="BX126" i="35" s="1"/>
  <c r="AW126" i="35"/>
  <c r="AU17" i="35"/>
  <c r="BX17" i="35" s="1"/>
  <c r="AW17" i="35"/>
  <c r="AU32" i="35"/>
  <c r="BX32" i="35" s="1"/>
  <c r="AW32" i="35"/>
  <c r="AU83" i="35"/>
  <c r="BX83" i="35" s="1"/>
  <c r="AW83" i="35"/>
  <c r="AU115" i="35"/>
  <c r="BX115" i="35" s="1"/>
  <c r="AW115" i="35"/>
  <c r="AU49" i="35"/>
  <c r="BX49" i="35" s="1"/>
  <c r="AW49" i="35"/>
  <c r="AW80" i="35"/>
  <c r="AU80" i="35"/>
  <c r="BX80" i="35" s="1"/>
  <c r="AW40" i="35"/>
  <c r="AU40" i="35"/>
  <c r="BX40" i="35" s="1"/>
  <c r="AW103" i="35"/>
  <c r="AU103" i="35"/>
  <c r="BX103" i="35" s="1"/>
  <c r="AU23" i="35"/>
  <c r="BX23" i="35" s="1"/>
  <c r="AW23" i="35"/>
  <c r="AU151" i="35"/>
  <c r="AW151" i="35"/>
  <c r="AW45" i="35"/>
  <c r="AU45" i="35"/>
  <c r="BX45" i="35" s="1"/>
  <c r="AW144" i="35"/>
  <c r="AU144" i="35"/>
  <c r="BX144" i="35" s="1"/>
  <c r="AU112" i="35"/>
  <c r="BX112" i="35" s="1"/>
  <c r="AW112" i="35"/>
  <c r="AU5" i="35"/>
  <c r="BX5" i="35" s="1"/>
  <c r="AW5" i="35"/>
  <c r="AU140" i="35"/>
  <c r="AW140" i="35"/>
  <c r="AU35" i="35"/>
  <c r="BX35" i="35" s="1"/>
  <c r="AW35" i="35"/>
  <c r="AU128" i="35"/>
  <c r="BX128" i="35" s="1"/>
  <c r="AW128" i="35"/>
  <c r="AW78" i="35"/>
  <c r="AU78" i="35"/>
  <c r="BX78" i="35" s="1"/>
  <c r="AU12" i="35"/>
  <c r="BX12" i="35" s="1"/>
  <c r="AW12" i="35"/>
  <c r="AU6" i="35"/>
  <c r="BX6" i="35" s="1"/>
  <c r="AW6" i="35"/>
  <c r="AW98" i="35"/>
  <c r="AU98" i="35"/>
  <c r="BX98" i="35" s="1"/>
  <c r="AU120" i="35"/>
  <c r="BX120" i="35" s="1"/>
  <c r="AW120" i="35"/>
  <c r="AU92" i="35"/>
  <c r="BX92" i="35" s="1"/>
  <c r="AW92" i="35"/>
  <c r="AU77" i="35"/>
  <c r="BX77" i="35" s="1"/>
  <c r="AW77" i="35"/>
  <c r="AU15" i="35"/>
  <c r="BX15" i="35" s="1"/>
  <c r="AW15" i="35"/>
  <c r="AX39" i="35"/>
  <c r="BY39" i="35" s="1"/>
  <c r="AZ39" i="35"/>
  <c r="BA39" i="35" s="1"/>
  <c r="BZ39" i="35" s="1"/>
  <c r="AU135" i="35"/>
  <c r="BX135" i="35" s="1"/>
  <c r="AW135" i="35"/>
  <c r="AU10" i="35"/>
  <c r="BX10" i="35" s="1"/>
  <c r="AW10" i="35"/>
  <c r="AU119" i="35"/>
  <c r="BX119" i="35" s="1"/>
  <c r="AW119" i="35"/>
  <c r="AW38" i="35"/>
  <c r="AU38" i="35"/>
  <c r="BX38" i="35" s="1"/>
  <c r="AU147" i="35"/>
  <c r="BX147" i="35" s="1"/>
  <c r="AW147" i="35"/>
  <c r="AU138" i="35"/>
  <c r="BX138" i="35" s="1"/>
  <c r="AW138" i="35"/>
  <c r="AU64" i="35"/>
  <c r="BX64" i="35" s="1"/>
  <c r="AW64" i="35"/>
  <c r="AW101" i="35"/>
  <c r="AU101" i="35"/>
  <c r="BX101" i="35" s="1"/>
  <c r="AU146" i="35"/>
  <c r="AW146" i="35"/>
  <c r="AU102" i="35"/>
  <c r="BX102" i="35" s="1"/>
  <c r="AW102" i="35"/>
  <c r="AU48" i="35"/>
  <c r="BX48" i="35" s="1"/>
  <c r="AW48" i="35"/>
  <c r="AW94" i="35"/>
  <c r="AU94" i="35"/>
  <c r="BX94" i="35" s="1"/>
  <c r="AU20" i="35"/>
  <c r="AW20" i="35"/>
  <c r="AU143" i="35"/>
  <c r="BX143" i="35" s="1"/>
  <c r="AW143" i="35"/>
  <c r="AU93" i="35"/>
  <c r="AW93" i="35"/>
  <c r="AU139" i="35"/>
  <c r="BX139" i="35" s="1"/>
  <c r="AW139" i="35"/>
  <c r="AU65" i="35"/>
  <c r="BX65" i="35" s="1"/>
  <c r="AW65" i="35"/>
  <c r="AW152" i="35"/>
  <c r="AU152" i="35"/>
  <c r="BX152" i="35" s="1"/>
  <c r="AU73" i="35"/>
  <c r="BX73" i="35" s="1"/>
  <c r="AW73" i="35"/>
  <c r="AU110" i="35"/>
  <c r="BX110" i="35" s="1"/>
  <c r="AW110" i="35"/>
  <c r="AW68" i="35"/>
  <c r="AU68" i="35"/>
  <c r="BX68" i="35" s="1"/>
  <c r="AU153" i="35"/>
  <c r="BX153" i="35" s="1"/>
  <c r="AW153" i="35"/>
  <c r="AW58" i="35"/>
  <c r="AU58" i="35"/>
  <c r="BX58" i="35" s="1"/>
  <c r="AU99" i="35"/>
  <c r="BX99" i="35" s="1"/>
  <c r="AW99" i="35"/>
  <c r="AW70" i="35"/>
  <c r="AU70" i="35"/>
  <c r="BX70" i="35" s="1"/>
  <c r="AU25" i="35"/>
  <c r="BX25" i="35" s="1"/>
  <c r="AW25" i="35"/>
  <c r="AU59" i="35"/>
  <c r="BX59" i="35" s="1"/>
  <c r="AW59" i="35"/>
  <c r="AU55" i="35"/>
  <c r="BX55" i="35" s="1"/>
  <c r="AW55" i="35"/>
  <c r="AW134" i="35"/>
  <c r="AU134" i="35"/>
  <c r="BX134" i="35" s="1"/>
  <c r="AW53" i="35"/>
  <c r="AU53" i="35"/>
  <c r="BX53" i="35" s="1"/>
  <c r="AW136" i="35"/>
  <c r="AU136" i="35"/>
  <c r="BX136" i="35" s="1"/>
  <c r="AU33" i="35"/>
  <c r="BX33" i="35" s="1"/>
  <c r="AW33" i="35"/>
  <c r="AU79" i="35"/>
  <c r="BX79" i="35" s="1"/>
  <c r="AW79" i="35"/>
  <c r="AW116" i="35"/>
  <c r="AU116" i="35"/>
  <c r="BX116" i="35" s="1"/>
  <c r="AW60" i="35"/>
  <c r="AU60" i="35"/>
  <c r="BX60" i="35" s="1"/>
  <c r="AW85" i="35"/>
  <c r="AU85" i="35"/>
  <c r="BX85" i="35" s="1"/>
  <c r="AX24" i="35"/>
  <c r="BY24" i="35" s="1"/>
  <c r="AZ24" i="35"/>
  <c r="BA24" i="35" s="1"/>
  <c r="BZ24" i="35" s="1"/>
  <c r="AX21" i="35"/>
  <c r="BY21" i="35" s="1"/>
  <c r="AZ21" i="35"/>
  <c r="BA21" i="35" s="1"/>
  <c r="BZ21" i="35" s="1"/>
  <c r="AO30" i="35"/>
  <c r="BV30" i="35" s="1"/>
  <c r="AD328" i="35"/>
  <c r="AG328" i="35"/>
  <c r="CO198" i="35"/>
  <c r="AP328" i="35"/>
  <c r="CM198" i="35"/>
  <c r="AJ328" i="35"/>
  <c r="CN198" i="35"/>
  <c r="AM328" i="35"/>
  <c r="AA328" i="35"/>
  <c r="BR191" i="35"/>
  <c r="AO22" i="35"/>
  <c r="BV22" i="35" s="1"/>
  <c r="AF191" i="35"/>
  <c r="CJ201" i="35"/>
  <c r="CL200" i="35"/>
  <c r="AF198" i="35"/>
  <c r="CK198" i="35"/>
  <c r="CL198" i="35"/>
  <c r="AH166" i="35"/>
  <c r="BT166" i="35"/>
  <c r="AH167" i="35"/>
  <c r="BT167" i="35"/>
  <c r="AH164" i="35"/>
  <c r="BT164" i="35"/>
  <c r="AE296" i="35"/>
  <c r="AH247" i="35"/>
  <c r="AH198" i="35"/>
  <c r="AH275" i="35"/>
  <c r="AH254" i="35"/>
  <c r="AH219" i="35"/>
  <c r="AH205" i="35"/>
  <c r="AH226" i="35"/>
  <c r="AK314" i="35"/>
  <c r="AH268" i="35"/>
  <c r="AH233" i="35"/>
  <c r="AH184" i="35"/>
  <c r="AH261" i="35"/>
  <c r="AH240" i="35"/>
  <c r="AH212" i="35"/>
  <c r="AH191" i="35"/>
  <c r="CK201" i="35"/>
  <c r="CJ200" i="35"/>
  <c r="CK200" i="35"/>
  <c r="AC198" i="35"/>
  <c r="CJ198" i="35"/>
  <c r="AB266" i="35"/>
  <c r="AB245" i="35"/>
  <c r="AB217" i="35"/>
  <c r="AB273" i="35"/>
  <c r="AB238" i="35"/>
  <c r="AB189" i="35"/>
  <c r="AB196" i="35"/>
  <c r="AE319" i="35"/>
  <c r="AB259" i="35"/>
  <c r="AB224" i="35"/>
  <c r="AB210" i="35"/>
  <c r="AB301" i="35" s="1"/>
  <c r="AB252" i="35"/>
  <c r="AB203" i="35"/>
  <c r="AB280" i="35"/>
  <c r="AB231" i="35"/>
  <c r="AB249" i="35"/>
  <c r="AB200" i="35"/>
  <c r="AB277" i="35"/>
  <c r="AB256" i="35"/>
  <c r="AB221" i="35"/>
  <c r="AB207" i="35"/>
  <c r="AE316" i="35"/>
  <c r="AB270" i="35"/>
  <c r="AB235" i="35"/>
  <c r="AB186" i="35"/>
  <c r="AB263" i="35"/>
  <c r="AB242" i="35"/>
  <c r="AB214" i="35"/>
  <c r="AB193" i="35"/>
  <c r="AB228" i="35"/>
  <c r="AB255" i="35"/>
  <c r="AB220" i="35"/>
  <c r="AB206" i="35"/>
  <c r="AB248" i="35"/>
  <c r="AB199" i="35"/>
  <c r="AB276" i="35"/>
  <c r="AB227" i="35"/>
  <c r="AE315" i="35"/>
  <c r="AB262" i="35"/>
  <c r="AB241" i="35"/>
  <c r="AB213" i="35"/>
  <c r="AB269" i="35"/>
  <c r="AB234" i="35"/>
  <c r="AB185" i="35"/>
  <c r="AB192" i="35"/>
  <c r="AB257" i="35"/>
  <c r="AB222" i="35"/>
  <c r="AB208" i="35"/>
  <c r="AB271" i="35"/>
  <c r="AB236" i="35"/>
  <c r="AB187" i="35"/>
  <c r="AB264" i="35"/>
  <c r="AB243" i="35"/>
  <c r="AB215" i="35"/>
  <c r="AB194" i="35"/>
  <c r="AB250" i="35"/>
  <c r="AB201" i="35"/>
  <c r="AB278" i="35"/>
  <c r="AB229" i="35"/>
  <c r="AE317" i="35"/>
  <c r="AB272" i="35"/>
  <c r="AB237" i="35"/>
  <c r="AB188" i="35"/>
  <c r="AB265" i="35"/>
  <c r="AB244" i="35"/>
  <c r="AB216" i="35"/>
  <c r="AB195" i="35"/>
  <c r="AB251" i="35"/>
  <c r="AB202" i="35"/>
  <c r="AB279" i="35"/>
  <c r="AB258" i="35"/>
  <c r="AB223" i="35"/>
  <c r="AB209" i="35"/>
  <c r="AB230" i="35"/>
  <c r="AE318" i="35"/>
  <c r="J113" i="3"/>
  <c r="AE282" i="35"/>
  <c r="J114" i="3"/>
  <c r="AR9" i="35"/>
  <c r="BW9" i="35" s="1"/>
  <c r="AR63" i="35"/>
  <c r="BW63" i="35" s="1"/>
  <c r="AO157" i="35"/>
  <c r="BV157" i="35" s="1"/>
  <c r="AR135" i="35"/>
  <c r="BW135" i="35" s="1"/>
  <c r="AR69" i="35"/>
  <c r="BW69" i="35" s="1"/>
  <c r="AR10" i="35"/>
  <c r="BW10" i="35" s="1"/>
  <c r="AO88" i="35"/>
  <c r="BV88" i="35" s="1"/>
  <c r="AR38" i="35"/>
  <c r="BW38" i="35" s="1"/>
  <c r="AO117" i="35"/>
  <c r="BV117" i="35" s="1"/>
  <c r="AR114" i="35"/>
  <c r="BW114" i="35" s="1"/>
  <c r="AR64" i="35"/>
  <c r="BW64" i="35" s="1"/>
  <c r="AR50" i="35"/>
  <c r="BW50" i="35" s="1"/>
  <c r="AR75" i="35"/>
  <c r="BW75" i="35" s="1"/>
  <c r="AR43" i="35"/>
  <c r="BW43" i="35" s="1"/>
  <c r="AR102" i="35"/>
  <c r="BW102" i="35" s="1"/>
  <c r="AO108" i="35"/>
  <c r="BV108" i="35" s="1"/>
  <c r="AR94" i="35"/>
  <c r="BW94" i="35" s="1"/>
  <c r="AR20" i="35"/>
  <c r="BW20" i="35" s="1"/>
  <c r="AO107" i="35"/>
  <c r="BV107" i="35" s="1"/>
  <c r="AR93" i="35"/>
  <c r="BW93" i="35" s="1"/>
  <c r="AR32" i="35"/>
  <c r="BW32" i="35" s="1"/>
  <c r="AR115" i="35"/>
  <c r="BW115" i="35" s="1"/>
  <c r="AR80" i="35"/>
  <c r="BW80" i="35" s="1"/>
  <c r="AK90" i="35"/>
  <c r="AR139" i="35"/>
  <c r="BW139" i="35" s="1"/>
  <c r="AL166" i="35"/>
  <c r="AR103" i="35"/>
  <c r="BW103" i="35" s="1"/>
  <c r="AR152" i="35"/>
  <c r="BW152" i="35" s="1"/>
  <c r="AO113" i="35"/>
  <c r="BV113" i="35" s="1"/>
  <c r="AR110" i="35"/>
  <c r="BW110" i="35" s="1"/>
  <c r="AR45" i="35"/>
  <c r="BW45" i="35" s="1"/>
  <c r="AO124" i="35"/>
  <c r="BV124" i="35" s="1"/>
  <c r="AR112" i="35"/>
  <c r="BW112" i="35" s="1"/>
  <c r="AO28" i="35"/>
  <c r="BV28" i="35" s="1"/>
  <c r="AR5" i="35"/>
  <c r="BW5" i="35" s="1"/>
  <c r="AR58" i="35"/>
  <c r="BW58" i="35" s="1"/>
  <c r="AO158" i="35"/>
  <c r="BV158" i="35" s="1"/>
  <c r="AR140" i="35"/>
  <c r="BW140" i="35" s="1"/>
  <c r="AR25" i="35"/>
  <c r="BW25" i="35" s="1"/>
  <c r="AR128" i="35"/>
  <c r="BW128" i="35" s="1"/>
  <c r="AR12" i="35"/>
  <c r="BW12" i="35" s="1"/>
  <c r="AR98" i="35"/>
  <c r="BW98" i="35" s="1"/>
  <c r="AR59" i="35"/>
  <c r="BW59" i="35" s="1"/>
  <c r="AO137" i="35"/>
  <c r="BV137" i="35" s="1"/>
  <c r="AR134" i="35"/>
  <c r="BW134" i="35" s="1"/>
  <c r="AR53" i="35"/>
  <c r="BW53" i="35" s="1"/>
  <c r="AO81" i="35"/>
  <c r="BV81" i="35" s="1"/>
  <c r="AR77" i="35"/>
  <c r="BW77" i="35" s="1"/>
  <c r="AR79" i="35"/>
  <c r="BW79" i="35" s="1"/>
  <c r="AR60" i="35"/>
  <c r="BW60" i="35" s="1"/>
  <c r="AR85" i="35"/>
  <c r="BW85" i="35" s="1"/>
  <c r="AO106" i="35"/>
  <c r="BV106" i="35" s="1"/>
  <c r="AR97" i="35"/>
  <c r="BW97" i="35" s="1"/>
  <c r="AR127" i="35"/>
  <c r="BW127" i="35" s="1"/>
  <c r="AR148" i="35"/>
  <c r="BW148" i="35" s="1"/>
  <c r="AO123" i="35"/>
  <c r="BV123" i="35" s="1"/>
  <c r="AR111" i="35"/>
  <c r="BW111" i="35" s="1"/>
  <c r="AR119" i="35"/>
  <c r="BW119" i="35" s="1"/>
  <c r="AK88" i="35"/>
  <c r="AR147" i="35"/>
  <c r="BW147" i="35" s="1"/>
  <c r="AO141" i="35"/>
  <c r="BV141" i="35" s="1"/>
  <c r="AR138" i="35"/>
  <c r="BW138" i="35" s="1"/>
  <c r="AO104" i="35"/>
  <c r="BV104" i="35" s="1"/>
  <c r="AR101" i="35"/>
  <c r="BW101" i="35" s="1"/>
  <c r="AR7" i="35"/>
  <c r="BW7" i="35" s="1"/>
  <c r="AO149" i="35"/>
  <c r="BV149" i="35" s="1"/>
  <c r="AR146" i="35"/>
  <c r="BW146" i="35" s="1"/>
  <c r="AO145" i="35"/>
  <c r="BV145" i="35" s="1"/>
  <c r="AR142" i="35"/>
  <c r="BW142" i="35" s="1"/>
  <c r="AR48" i="35"/>
  <c r="BW48" i="35" s="1"/>
  <c r="AO129" i="35"/>
  <c r="BV129" i="35" s="1"/>
  <c r="AR126" i="35"/>
  <c r="BW126" i="35" s="1"/>
  <c r="AR143" i="35"/>
  <c r="BW143" i="35" s="1"/>
  <c r="AR17" i="35"/>
  <c r="BW17" i="35" s="1"/>
  <c r="AR83" i="35"/>
  <c r="BW83" i="35" s="1"/>
  <c r="AR49" i="35"/>
  <c r="BW49" i="35" s="1"/>
  <c r="AO90" i="35"/>
  <c r="AR40" i="35"/>
  <c r="BW40" i="35" s="1"/>
  <c r="AR65" i="35"/>
  <c r="BW65" i="35" s="1"/>
  <c r="AO26" i="35"/>
  <c r="BV26" i="35" s="1"/>
  <c r="AR23" i="35"/>
  <c r="BW23" i="35" s="1"/>
  <c r="AR73" i="35"/>
  <c r="BW73" i="35" s="1"/>
  <c r="AO156" i="35"/>
  <c r="BV156" i="35" s="1"/>
  <c r="AR151" i="35"/>
  <c r="BW151" i="35" s="1"/>
  <c r="AR144" i="35"/>
  <c r="BW144" i="35" s="1"/>
  <c r="AL167" i="35"/>
  <c r="AR68" i="35"/>
  <c r="BW68" i="35" s="1"/>
  <c r="AL164" i="35"/>
  <c r="AR153" i="35"/>
  <c r="BW153" i="35" s="1"/>
  <c r="AR99" i="35"/>
  <c r="BW99" i="35" s="1"/>
  <c r="AR70" i="35"/>
  <c r="BW70" i="35" s="1"/>
  <c r="AR35" i="35"/>
  <c r="BW35" i="35" s="1"/>
  <c r="AR78" i="35"/>
  <c r="BW78" i="35" s="1"/>
  <c r="AR6" i="35"/>
  <c r="BW6" i="35" s="1"/>
  <c r="AR120" i="35"/>
  <c r="BW120" i="35" s="1"/>
  <c r="AR55" i="35"/>
  <c r="BW55" i="35" s="1"/>
  <c r="AO95" i="35"/>
  <c r="BV95" i="35" s="1"/>
  <c r="AR92" i="35"/>
  <c r="BW92" i="35" s="1"/>
  <c r="AO159" i="35"/>
  <c r="BV159" i="35" s="1"/>
  <c r="AR136" i="35"/>
  <c r="BW136" i="35" s="1"/>
  <c r="AR33" i="35"/>
  <c r="BW33" i="35" s="1"/>
  <c r="AR116" i="35"/>
  <c r="BW116" i="35" s="1"/>
  <c r="AR15" i="35"/>
  <c r="BW15" i="35" s="1"/>
  <c r="B222" i="35"/>
  <c r="AB300" i="35"/>
  <c r="B221" i="35"/>
  <c r="B219" i="35"/>
  <c r="AP205" i="35"/>
  <c r="AA205" i="35"/>
  <c r="AG205" i="35"/>
  <c r="AM205" i="35"/>
  <c r="AD205" i="35"/>
  <c r="AJ205" i="35"/>
  <c r="B220" i="35"/>
  <c r="AP208" i="35"/>
  <c r="CO208" i="35" s="1"/>
  <c r="AA208" i="35"/>
  <c r="AD208" i="35"/>
  <c r="AG208" i="35"/>
  <c r="CL208" i="35" s="1"/>
  <c r="AJ208" i="35"/>
  <c r="CM208" i="35" s="1"/>
  <c r="AM208" i="35"/>
  <c r="CN208" i="35" s="1"/>
  <c r="AP298" i="35"/>
  <c r="CO298" i="35" s="1"/>
  <c r="AD298" i="35"/>
  <c r="AJ298" i="35"/>
  <c r="CM298" i="35" s="1"/>
  <c r="AA298" i="35"/>
  <c r="AG298" i="35"/>
  <c r="AM298" i="35"/>
  <c r="CN298" i="35" s="1"/>
  <c r="AP207" i="35"/>
  <c r="CO207" i="35" s="1"/>
  <c r="AD207" i="35"/>
  <c r="AJ207" i="35"/>
  <c r="CM207" i="35" s="1"/>
  <c r="AA207" i="35"/>
  <c r="AG207" i="35"/>
  <c r="AM207" i="35"/>
  <c r="CN207" i="35" s="1"/>
  <c r="AP296" i="35"/>
  <c r="CO296" i="35" s="1"/>
  <c r="AA296" i="35"/>
  <c r="AG296" i="35"/>
  <c r="AM296" i="35"/>
  <c r="CN296" i="35" s="1"/>
  <c r="AD296" i="35"/>
  <c r="AJ296" i="35"/>
  <c r="CM296" i="35" s="1"/>
  <c r="AP206" i="35"/>
  <c r="CO206" i="35" s="1"/>
  <c r="AA206" i="35"/>
  <c r="AD206" i="35"/>
  <c r="AG206" i="35"/>
  <c r="CL206" i="35" s="1"/>
  <c r="AJ206" i="35"/>
  <c r="CM206" i="35" s="1"/>
  <c r="AM206" i="35"/>
  <c r="CN206" i="35" s="1"/>
  <c r="AI205" i="35"/>
  <c r="AU107" i="35" l="1"/>
  <c r="BX107" i="35" s="1"/>
  <c r="BX93" i="35"/>
  <c r="AU22" i="35"/>
  <c r="BX22" i="35" s="1"/>
  <c r="BX20" i="35"/>
  <c r="AU149" i="35"/>
  <c r="BX149" i="35" s="1"/>
  <c r="BX146" i="35"/>
  <c r="AU158" i="35"/>
  <c r="BX158" i="35" s="1"/>
  <c r="BX140" i="35"/>
  <c r="AU156" i="35"/>
  <c r="BX156" i="35" s="1"/>
  <c r="BX151" i="35"/>
  <c r="AU106" i="35"/>
  <c r="BX106" i="35" s="1"/>
  <c r="BX97" i="35"/>
  <c r="AU159" i="35"/>
  <c r="BX159" i="35" s="1"/>
  <c r="AU108" i="35"/>
  <c r="BX108" i="35" s="1"/>
  <c r="AU104" i="35"/>
  <c r="BX104" i="35" s="1"/>
  <c r="AX79" i="35"/>
  <c r="BY79" i="35" s="1"/>
  <c r="AZ79" i="35"/>
  <c r="BA79" i="35" s="1"/>
  <c r="BZ79" i="35" s="1"/>
  <c r="AZ33" i="35"/>
  <c r="BA33" i="35" s="1"/>
  <c r="BZ33" i="35" s="1"/>
  <c r="AX33" i="35"/>
  <c r="BY33" i="35" s="1"/>
  <c r="AU137" i="35"/>
  <c r="BX137" i="35" s="1"/>
  <c r="AZ55" i="35"/>
  <c r="BA55" i="35" s="1"/>
  <c r="BZ55" i="35" s="1"/>
  <c r="AX55" i="35"/>
  <c r="BY55" i="35" s="1"/>
  <c r="AX59" i="35"/>
  <c r="BY59" i="35" s="1"/>
  <c r="AZ59" i="35"/>
  <c r="BA59" i="35" s="1"/>
  <c r="BZ59" i="35" s="1"/>
  <c r="AX25" i="35"/>
  <c r="BY25" i="35" s="1"/>
  <c r="AZ25" i="35"/>
  <c r="BA25" i="35" s="1"/>
  <c r="BZ25" i="35" s="1"/>
  <c r="AZ99" i="35"/>
  <c r="BA99" i="35" s="1"/>
  <c r="BZ99" i="35" s="1"/>
  <c r="AX99" i="35"/>
  <c r="BY99" i="35" s="1"/>
  <c r="AX153" i="35"/>
  <c r="BY153" i="35" s="1"/>
  <c r="AZ153" i="35"/>
  <c r="BA153" i="35" s="1"/>
  <c r="BZ153" i="35" s="1"/>
  <c r="AX110" i="35"/>
  <c r="BY110" i="35" s="1"/>
  <c r="AZ110" i="35"/>
  <c r="BA110" i="35" s="1"/>
  <c r="BZ110" i="35" s="1"/>
  <c r="AX73" i="35"/>
  <c r="BY73" i="35" s="1"/>
  <c r="AZ73" i="35"/>
  <c r="BA73" i="35" s="1"/>
  <c r="BZ73" i="35" s="1"/>
  <c r="AX65" i="35"/>
  <c r="BY65" i="35" s="1"/>
  <c r="AZ65" i="35"/>
  <c r="BA65" i="35" s="1"/>
  <c r="BZ65" i="35" s="1"/>
  <c r="AX139" i="35"/>
  <c r="BY139" i="35" s="1"/>
  <c r="AZ139" i="35"/>
  <c r="BA139" i="35" s="1"/>
  <c r="BZ139" i="35" s="1"/>
  <c r="AZ93" i="35"/>
  <c r="BA93" i="35" s="1"/>
  <c r="BZ93" i="35" s="1"/>
  <c r="AX93" i="35"/>
  <c r="BY93" i="35" s="1"/>
  <c r="AX143" i="35"/>
  <c r="BY143" i="35" s="1"/>
  <c r="AZ143" i="35"/>
  <c r="BA143" i="35" s="1"/>
  <c r="BZ143" i="35" s="1"/>
  <c r="AX20" i="35"/>
  <c r="AZ20" i="35"/>
  <c r="BA20" i="35" s="1"/>
  <c r="AX48" i="35"/>
  <c r="BY48" i="35" s="1"/>
  <c r="AZ48" i="35"/>
  <c r="BA48" i="35" s="1"/>
  <c r="BZ48" i="35" s="1"/>
  <c r="AX102" i="35"/>
  <c r="BY102" i="35" s="1"/>
  <c r="AZ102" i="35"/>
  <c r="BA102" i="35" s="1"/>
  <c r="BZ102" i="35" s="1"/>
  <c r="AX146" i="35"/>
  <c r="BY146" i="35" s="1"/>
  <c r="AZ146" i="35"/>
  <c r="BA146" i="35" s="1"/>
  <c r="BZ146" i="35" s="1"/>
  <c r="AX64" i="35"/>
  <c r="BY64" i="35" s="1"/>
  <c r="AZ64" i="35"/>
  <c r="BA64" i="35" s="1"/>
  <c r="BZ64" i="35" s="1"/>
  <c r="AX138" i="35"/>
  <c r="BY138" i="35" s="1"/>
  <c r="AZ138" i="35"/>
  <c r="BA138" i="35" s="1"/>
  <c r="BZ138" i="35" s="1"/>
  <c r="AX147" i="35"/>
  <c r="BY147" i="35" s="1"/>
  <c r="AZ147" i="35"/>
  <c r="BA147" i="35" s="1"/>
  <c r="BZ147" i="35" s="1"/>
  <c r="AU88" i="35"/>
  <c r="AZ119" i="35"/>
  <c r="BA119" i="35" s="1"/>
  <c r="BZ119" i="35" s="1"/>
  <c r="AX119" i="35"/>
  <c r="BY119" i="35" s="1"/>
  <c r="AX10" i="35"/>
  <c r="BY10" i="35" s="1"/>
  <c r="AZ10" i="35"/>
  <c r="BA10" i="35" s="1"/>
  <c r="BZ10" i="35" s="1"/>
  <c r="AX135" i="35"/>
  <c r="BY135" i="35" s="1"/>
  <c r="AZ135" i="35"/>
  <c r="BA135" i="35" s="1"/>
  <c r="BZ135" i="35" s="1"/>
  <c r="AX15" i="35"/>
  <c r="BY15" i="35" s="1"/>
  <c r="AZ15" i="35"/>
  <c r="BA15" i="35" s="1"/>
  <c r="BZ15" i="35" s="1"/>
  <c r="AX77" i="35"/>
  <c r="BY77" i="35" s="1"/>
  <c r="AZ77" i="35"/>
  <c r="BA77" i="35" s="1"/>
  <c r="BZ77" i="35" s="1"/>
  <c r="AX92" i="35"/>
  <c r="BY92" i="35" s="1"/>
  <c r="AZ92" i="35"/>
  <c r="BA92" i="35" s="1"/>
  <c r="BZ92" i="35" s="1"/>
  <c r="AZ120" i="35"/>
  <c r="BA120" i="35" s="1"/>
  <c r="BZ120" i="35" s="1"/>
  <c r="AX120" i="35"/>
  <c r="BY120" i="35" s="1"/>
  <c r="AX6" i="35"/>
  <c r="BY6" i="35" s="1"/>
  <c r="AZ6" i="35"/>
  <c r="BA6" i="35" s="1"/>
  <c r="BZ6" i="35" s="1"/>
  <c r="AX12" i="35"/>
  <c r="BY12" i="35" s="1"/>
  <c r="AZ12" i="35"/>
  <c r="BA12" i="35" s="1"/>
  <c r="BZ12" i="35" s="1"/>
  <c r="AX128" i="35"/>
  <c r="BY128" i="35" s="1"/>
  <c r="AZ128" i="35"/>
  <c r="BA128" i="35" s="1"/>
  <c r="BZ128" i="35" s="1"/>
  <c r="AX35" i="35"/>
  <c r="BY35" i="35" s="1"/>
  <c r="AZ35" i="35"/>
  <c r="BA35" i="35" s="1"/>
  <c r="BZ35" i="35" s="1"/>
  <c r="AX140" i="35"/>
  <c r="AZ140" i="35"/>
  <c r="BA140" i="35" s="1"/>
  <c r="AX5" i="35"/>
  <c r="AZ5" i="35"/>
  <c r="BA5" i="35" s="1"/>
  <c r="AX112" i="35"/>
  <c r="BY112" i="35" s="1"/>
  <c r="AZ112" i="35"/>
  <c r="BA112" i="35" s="1"/>
  <c r="BZ112" i="35" s="1"/>
  <c r="AX151" i="35"/>
  <c r="AZ151" i="35"/>
  <c r="BA151" i="35" s="1"/>
  <c r="AX23" i="35"/>
  <c r="AZ23" i="35"/>
  <c r="BA23" i="35" s="1"/>
  <c r="AU90" i="35"/>
  <c r="AX49" i="35"/>
  <c r="BY49" i="35" s="1"/>
  <c r="AZ49" i="35"/>
  <c r="BA49" i="35" s="1"/>
  <c r="BZ49" i="35" s="1"/>
  <c r="AX115" i="35"/>
  <c r="BY115" i="35" s="1"/>
  <c r="AZ115" i="35"/>
  <c r="BA115" i="35" s="1"/>
  <c r="BZ115" i="35" s="1"/>
  <c r="AX83" i="35"/>
  <c r="BY83" i="35" s="1"/>
  <c r="AZ83" i="35"/>
  <c r="BA83" i="35" s="1"/>
  <c r="BZ83" i="35" s="1"/>
  <c r="AX32" i="35"/>
  <c r="BY32" i="35" s="1"/>
  <c r="AZ32" i="35"/>
  <c r="BA32" i="35" s="1"/>
  <c r="BZ32" i="35" s="1"/>
  <c r="AZ17" i="35"/>
  <c r="BA17" i="35" s="1"/>
  <c r="BZ17" i="35" s="1"/>
  <c r="AX17" i="35"/>
  <c r="BY17" i="35" s="1"/>
  <c r="AX126" i="35"/>
  <c r="BY126" i="35" s="1"/>
  <c r="AZ126" i="35"/>
  <c r="BA126" i="35" s="1"/>
  <c r="BZ126" i="35" s="1"/>
  <c r="AU145" i="35"/>
  <c r="BX145" i="35" s="1"/>
  <c r="AZ43" i="35"/>
  <c r="BA43" i="35" s="1"/>
  <c r="BZ43" i="35" s="1"/>
  <c r="AX43" i="35"/>
  <c r="BY43" i="35" s="1"/>
  <c r="AZ7" i="35"/>
  <c r="BA7" i="35" s="1"/>
  <c r="BZ7" i="35" s="1"/>
  <c r="AX7" i="35"/>
  <c r="BY7" i="35" s="1"/>
  <c r="AX50" i="35"/>
  <c r="BY50" i="35" s="1"/>
  <c r="AZ50" i="35"/>
  <c r="BA50" i="35" s="1"/>
  <c r="BZ50" i="35" s="1"/>
  <c r="AU117" i="35"/>
  <c r="BX117" i="35" s="1"/>
  <c r="AU123" i="35"/>
  <c r="BX123" i="35" s="1"/>
  <c r="AX69" i="35"/>
  <c r="BY69" i="35" s="1"/>
  <c r="AZ69" i="35"/>
  <c r="BA69" i="35" s="1"/>
  <c r="BZ69" i="35" s="1"/>
  <c r="AX148" i="35"/>
  <c r="BY148" i="35" s="1"/>
  <c r="AZ148" i="35"/>
  <c r="BA148" i="35" s="1"/>
  <c r="BZ148" i="35" s="1"/>
  <c r="AZ63" i="35"/>
  <c r="BA63" i="35" s="1"/>
  <c r="BZ63" i="35" s="1"/>
  <c r="AX63" i="35"/>
  <c r="BY63" i="35" s="1"/>
  <c r="AX97" i="35"/>
  <c r="AZ97" i="35"/>
  <c r="BA97" i="35" s="1"/>
  <c r="AX9" i="35"/>
  <c r="BY9" i="35" s="1"/>
  <c r="AZ9" i="35"/>
  <c r="BA9" i="35" s="1"/>
  <c r="BZ9" i="35" s="1"/>
  <c r="AX85" i="35"/>
  <c r="BY85" i="35" s="1"/>
  <c r="AZ85" i="35"/>
  <c r="BA85" i="35" s="1"/>
  <c r="BZ85" i="35" s="1"/>
  <c r="AX60" i="35"/>
  <c r="BY60" i="35" s="1"/>
  <c r="AZ60" i="35"/>
  <c r="BA60" i="35" s="1"/>
  <c r="BZ60" i="35" s="1"/>
  <c r="AX116" i="35"/>
  <c r="BY116" i="35" s="1"/>
  <c r="AZ116" i="35"/>
  <c r="BA116" i="35" s="1"/>
  <c r="BZ116" i="35" s="1"/>
  <c r="AX136" i="35"/>
  <c r="BY136" i="35" s="1"/>
  <c r="AZ136" i="35"/>
  <c r="BA136" i="35" s="1"/>
  <c r="BZ136" i="35" s="1"/>
  <c r="AX53" i="35"/>
  <c r="BY53" i="35" s="1"/>
  <c r="AZ53" i="35"/>
  <c r="BA53" i="35" s="1"/>
  <c r="BZ53" i="35" s="1"/>
  <c r="AX134" i="35"/>
  <c r="BY134" i="35" s="1"/>
  <c r="AZ134" i="35"/>
  <c r="BA134" i="35" s="1"/>
  <c r="BZ134" i="35" s="1"/>
  <c r="AX70" i="35"/>
  <c r="BY70" i="35" s="1"/>
  <c r="AZ70" i="35"/>
  <c r="BA70" i="35" s="1"/>
  <c r="BZ70" i="35" s="1"/>
  <c r="AX58" i="35"/>
  <c r="BY58" i="35" s="1"/>
  <c r="AZ58" i="35"/>
  <c r="BA58" i="35" s="1"/>
  <c r="BZ58" i="35" s="1"/>
  <c r="AX68" i="35"/>
  <c r="BY68" i="35" s="1"/>
  <c r="AZ68" i="35"/>
  <c r="BA68" i="35" s="1"/>
  <c r="BZ68" i="35" s="1"/>
  <c r="AU113" i="35"/>
  <c r="BX113" i="35" s="1"/>
  <c r="AX152" i="35"/>
  <c r="BY152" i="35" s="1"/>
  <c r="AZ152" i="35"/>
  <c r="BA152" i="35" s="1"/>
  <c r="BZ152" i="35" s="1"/>
  <c r="AX94" i="35"/>
  <c r="BY94" i="35" s="1"/>
  <c r="AZ94" i="35"/>
  <c r="BA94" i="35" s="1"/>
  <c r="BZ94" i="35" s="1"/>
  <c r="AX101" i="35"/>
  <c r="BY101" i="35" s="1"/>
  <c r="AZ101" i="35"/>
  <c r="BA101" i="35" s="1"/>
  <c r="BZ101" i="35" s="1"/>
  <c r="AU141" i="35"/>
  <c r="BX141" i="35" s="1"/>
  <c r="AX38" i="35"/>
  <c r="BY38" i="35" s="1"/>
  <c r="AZ38" i="35"/>
  <c r="BA38" i="35" s="1"/>
  <c r="BZ38" i="35" s="1"/>
  <c r="AU157" i="35"/>
  <c r="BX157" i="35" s="1"/>
  <c r="AU81" i="35"/>
  <c r="BX81" i="35" s="1"/>
  <c r="AU95" i="35"/>
  <c r="BX95" i="35" s="1"/>
  <c r="AX98" i="35"/>
  <c r="BY98" i="35" s="1"/>
  <c r="AZ98" i="35"/>
  <c r="BA98" i="35" s="1"/>
  <c r="BZ98" i="35" s="1"/>
  <c r="AX78" i="35"/>
  <c r="BY78" i="35" s="1"/>
  <c r="AZ78" i="35"/>
  <c r="BA78" i="35" s="1"/>
  <c r="BZ78" i="35" s="1"/>
  <c r="AU28" i="35"/>
  <c r="AU124" i="35"/>
  <c r="AX144" i="35"/>
  <c r="BY144" i="35" s="1"/>
  <c r="AZ144" i="35"/>
  <c r="BA144" i="35" s="1"/>
  <c r="BZ144" i="35" s="1"/>
  <c r="AX45" i="35"/>
  <c r="BY45" i="35" s="1"/>
  <c r="AZ45" i="35"/>
  <c r="BA45" i="35" s="1"/>
  <c r="BZ45" i="35" s="1"/>
  <c r="AU26" i="35"/>
  <c r="BX26" i="35" s="1"/>
  <c r="AX103" i="35"/>
  <c r="BY103" i="35" s="1"/>
  <c r="AZ103" i="35"/>
  <c r="BA103" i="35" s="1"/>
  <c r="BZ103" i="35" s="1"/>
  <c r="AX40" i="35"/>
  <c r="BY40" i="35" s="1"/>
  <c r="AZ40" i="35"/>
  <c r="BA40" i="35" s="1"/>
  <c r="BZ40" i="35" s="1"/>
  <c r="AX80" i="35"/>
  <c r="BY80" i="35" s="1"/>
  <c r="AZ80" i="35"/>
  <c r="BA80" i="35" s="1"/>
  <c r="BZ80" i="35" s="1"/>
  <c r="AU129" i="35"/>
  <c r="BX129" i="35" s="1"/>
  <c r="AX142" i="35"/>
  <c r="AZ142" i="35"/>
  <c r="BA142" i="35" s="1"/>
  <c r="AX75" i="35"/>
  <c r="BY75" i="35" s="1"/>
  <c r="AZ75" i="35"/>
  <c r="BA75" i="35" s="1"/>
  <c r="BZ75" i="35" s="1"/>
  <c r="AU30" i="35"/>
  <c r="AX114" i="35"/>
  <c r="AZ114" i="35"/>
  <c r="BA114" i="35" s="1"/>
  <c r="AX111" i="35"/>
  <c r="AZ111" i="35"/>
  <c r="BA111" i="35" s="1"/>
  <c r="AX127" i="35"/>
  <c r="BY127" i="35" s="1"/>
  <c r="AZ127" i="35"/>
  <c r="BA127" i="35" s="1"/>
  <c r="BZ127" i="35" s="1"/>
  <c r="AB327" i="35"/>
  <c r="AB333" i="35"/>
  <c r="AB330" i="35"/>
  <c r="AB337" i="35"/>
  <c r="AB332" i="35"/>
  <c r="AB328" i="35"/>
  <c r="AB329" i="35"/>
  <c r="AB336" i="35"/>
  <c r="BR198" i="35"/>
  <c r="BS198" i="35"/>
  <c r="CM205" i="35"/>
  <c r="AJ329" i="35"/>
  <c r="CN205" i="35"/>
  <c r="AM329" i="35"/>
  <c r="AA329" i="35"/>
  <c r="BT205" i="35"/>
  <c r="AD329" i="35"/>
  <c r="CL205" i="35"/>
  <c r="AG329" i="35"/>
  <c r="CO205" i="35"/>
  <c r="AP329" i="35"/>
  <c r="AB326" i="35"/>
  <c r="AB338" i="35"/>
  <c r="AB334" i="35"/>
  <c r="AB339" i="35"/>
  <c r="AB335" i="35"/>
  <c r="AB331" i="35"/>
  <c r="BS191" i="35"/>
  <c r="AC210" i="35"/>
  <c r="BR210" i="35" s="1"/>
  <c r="AC209" i="35"/>
  <c r="BR209" i="35" s="1"/>
  <c r="CK207" i="35"/>
  <c r="CJ298" i="35"/>
  <c r="AC205" i="35"/>
  <c r="CJ205" i="35"/>
  <c r="CK206" i="35"/>
  <c r="AC301" i="35"/>
  <c r="BR301" i="35" s="1"/>
  <c r="AF296" i="35"/>
  <c r="BS296" i="35" s="1"/>
  <c r="CK296" i="35"/>
  <c r="CL296" i="35"/>
  <c r="CL207" i="35"/>
  <c r="CL298" i="35"/>
  <c r="CK208" i="35"/>
  <c r="AF205" i="35"/>
  <c r="CK205" i="35"/>
  <c r="AC300" i="35"/>
  <c r="BR300" i="35" s="1"/>
  <c r="AK164" i="35"/>
  <c r="BU164" i="35"/>
  <c r="AK167" i="35"/>
  <c r="BU167" i="35"/>
  <c r="AK166" i="35"/>
  <c r="BU166" i="35"/>
  <c r="AE289" i="35"/>
  <c r="AE258" i="35"/>
  <c r="AE223" i="35"/>
  <c r="AE209" i="35"/>
  <c r="AE272" i="35"/>
  <c r="AE237" i="35"/>
  <c r="AE188" i="35"/>
  <c r="AE230" i="35"/>
  <c r="AE265" i="35"/>
  <c r="AE244" i="35"/>
  <c r="AE216" i="35"/>
  <c r="AE195" i="35"/>
  <c r="AE251" i="35"/>
  <c r="AE202" i="35"/>
  <c r="AE279" i="35"/>
  <c r="AH318" i="35"/>
  <c r="AC202" i="35"/>
  <c r="BR202" i="35" s="1"/>
  <c r="AC195" i="35"/>
  <c r="BR195" i="35" s="1"/>
  <c r="AC188" i="35"/>
  <c r="BR188" i="35" s="1"/>
  <c r="AH317" i="35"/>
  <c r="AE271" i="35"/>
  <c r="AE236" i="35"/>
  <c r="AE187" i="35"/>
  <c r="AE264" i="35"/>
  <c r="AE243" i="35"/>
  <c r="AE215" i="35"/>
  <c r="AE194" i="35"/>
  <c r="AE229" i="35"/>
  <c r="AE250" i="35"/>
  <c r="AE201" i="35"/>
  <c r="AE278" i="35"/>
  <c r="AE257" i="35"/>
  <c r="AE222" i="35"/>
  <c r="AE208" i="35"/>
  <c r="AF208" i="35" s="1"/>
  <c r="BS208" i="35" s="1"/>
  <c r="AB299" i="35"/>
  <c r="AC192" i="35"/>
  <c r="AC199" i="35"/>
  <c r="BR199" i="35" s="1"/>
  <c r="AB297" i="35"/>
  <c r="AE263" i="35"/>
  <c r="AE242" i="35"/>
  <c r="AE214" i="35"/>
  <c r="AE193" i="35"/>
  <c r="AE249" i="35"/>
  <c r="AE200" i="35"/>
  <c r="AE277" i="35"/>
  <c r="AE228" i="35"/>
  <c r="AE256" i="35"/>
  <c r="AE221" i="35"/>
  <c r="AE207" i="35"/>
  <c r="AE270" i="35"/>
  <c r="AE235" i="35"/>
  <c r="AE186" i="35"/>
  <c r="AH316" i="35"/>
  <c r="AC203" i="35"/>
  <c r="BR203" i="35" s="1"/>
  <c r="AC196" i="35"/>
  <c r="BR196" i="35" s="1"/>
  <c r="AI191" i="35"/>
  <c r="AH282" i="35"/>
  <c r="AC206" i="35"/>
  <c r="BR206" i="35" s="1"/>
  <c r="CJ206" i="35"/>
  <c r="AC296" i="35"/>
  <c r="BR296" i="35" s="1"/>
  <c r="CJ296" i="35"/>
  <c r="AC207" i="35"/>
  <c r="BR207" i="35" s="1"/>
  <c r="CJ207" i="35"/>
  <c r="CK298" i="35"/>
  <c r="AC208" i="35"/>
  <c r="BR208" i="35" s="1"/>
  <c r="CJ208" i="35"/>
  <c r="AO166" i="35"/>
  <c r="BV90" i="35"/>
  <c r="AC194" i="35"/>
  <c r="BR194" i="35" s="1"/>
  <c r="AC187" i="35"/>
  <c r="BR187" i="35" s="1"/>
  <c r="AC185" i="35"/>
  <c r="BR185" i="35" s="1"/>
  <c r="AH315" i="35"/>
  <c r="AE248" i="35"/>
  <c r="AE199" i="35"/>
  <c r="AE276" i="35"/>
  <c r="AE255" i="35"/>
  <c r="AE220" i="35"/>
  <c r="AE206" i="35"/>
  <c r="AE269" i="35"/>
  <c r="AE234" i="35"/>
  <c r="AE185" i="35"/>
  <c r="AE262" i="35"/>
  <c r="AE241" i="35"/>
  <c r="AE213" i="35"/>
  <c r="AE192" i="35"/>
  <c r="AE227" i="35"/>
  <c r="AC193" i="35"/>
  <c r="BR193" i="35" s="1"/>
  <c r="AC186" i="35"/>
  <c r="BR186" i="35" s="1"/>
  <c r="AB298" i="35"/>
  <c r="AE217" i="35"/>
  <c r="AE238" i="35"/>
  <c r="AE259" i="35"/>
  <c r="AE224" i="35"/>
  <c r="AE210" i="35"/>
  <c r="AE252" i="35"/>
  <c r="AE203" i="35"/>
  <c r="AE280" i="35"/>
  <c r="AH319" i="35"/>
  <c r="AE266" i="35"/>
  <c r="AE245" i="35"/>
  <c r="AE273" i="35"/>
  <c r="AE189" i="35"/>
  <c r="AE196" i="35"/>
  <c r="AE231" i="35"/>
  <c r="AC189" i="35"/>
  <c r="BR189" i="35" s="1"/>
  <c r="AC200" i="35"/>
  <c r="BR200" i="35" s="1"/>
  <c r="AK261" i="35"/>
  <c r="AK240" i="35"/>
  <c r="AK212" i="35"/>
  <c r="AK191" i="35"/>
  <c r="AK247" i="35"/>
  <c r="AK198" i="35"/>
  <c r="AK275" i="35"/>
  <c r="AK254" i="35"/>
  <c r="AK219" i="35"/>
  <c r="AK205" i="35"/>
  <c r="AL205" i="35" s="1"/>
  <c r="AK268" i="35"/>
  <c r="AK233" i="35"/>
  <c r="AK184" i="35"/>
  <c r="AK226" i="35"/>
  <c r="AN314" i="35"/>
  <c r="AH296" i="35"/>
  <c r="K114" i="3"/>
  <c r="K113" i="3"/>
  <c r="AI198" i="35"/>
  <c r="AC201" i="35"/>
  <c r="BR201" i="35" s="1"/>
  <c r="AR159" i="35"/>
  <c r="BW159" i="35" s="1"/>
  <c r="AR95" i="35"/>
  <c r="BW95" i="35" s="1"/>
  <c r="AR156" i="35"/>
  <c r="BW156" i="35" s="1"/>
  <c r="AR26" i="35"/>
  <c r="BW26" i="35" s="1"/>
  <c r="AR90" i="35"/>
  <c r="BW90" i="35" s="1"/>
  <c r="AR129" i="35"/>
  <c r="BW129" i="35" s="1"/>
  <c r="AR145" i="35"/>
  <c r="BW145" i="35" s="1"/>
  <c r="AR149" i="35"/>
  <c r="BW149" i="35" s="1"/>
  <c r="AR30" i="35"/>
  <c r="BW30" i="35" s="1"/>
  <c r="AR104" i="35"/>
  <c r="BW104" i="35" s="1"/>
  <c r="AR141" i="35"/>
  <c r="BW141" i="35" s="1"/>
  <c r="AR123" i="35"/>
  <c r="BW123" i="35" s="1"/>
  <c r="AR106" i="35"/>
  <c r="BW106" i="35" s="1"/>
  <c r="AR81" i="35"/>
  <c r="BW81" i="35" s="1"/>
  <c r="AR137" i="35"/>
  <c r="BW137" i="35" s="1"/>
  <c r="AR158" i="35"/>
  <c r="BW158" i="35" s="1"/>
  <c r="AR28" i="35"/>
  <c r="BW28" i="35" s="1"/>
  <c r="AR124" i="35"/>
  <c r="BW124" i="35" s="1"/>
  <c r="AR113" i="35"/>
  <c r="BW113" i="35" s="1"/>
  <c r="AN88" i="35"/>
  <c r="AN90" i="35"/>
  <c r="AO164" i="35"/>
  <c r="AO167" i="35"/>
  <c r="AR107" i="35"/>
  <c r="BW107" i="35" s="1"/>
  <c r="AR22" i="35"/>
  <c r="BW22" i="35" s="1"/>
  <c r="AR108" i="35"/>
  <c r="BW108" i="35" s="1"/>
  <c r="AR117" i="35"/>
  <c r="BW117" i="35" s="1"/>
  <c r="AR88" i="35"/>
  <c r="BW88" i="35" s="1"/>
  <c r="AR157" i="35"/>
  <c r="BW157" i="35" s="1"/>
  <c r="AF209" i="35"/>
  <c r="BS209" i="35" s="1"/>
  <c r="AM213" i="35"/>
  <c r="CN213" i="35" s="1"/>
  <c r="AA213" i="35"/>
  <c r="CJ213" i="35" s="1"/>
  <c r="AP213" i="35"/>
  <c r="CO213" i="35" s="1"/>
  <c r="AG213" i="35"/>
  <c r="AJ213" i="35"/>
  <c r="CM213" i="35" s="1"/>
  <c r="AD213" i="35"/>
  <c r="CK213" i="35" s="1"/>
  <c r="AF210" i="35"/>
  <c r="BS210" i="35" s="1"/>
  <c r="AG212" i="35"/>
  <c r="AP212" i="35"/>
  <c r="AM212" i="35"/>
  <c r="AJ212" i="35"/>
  <c r="AA212" i="35"/>
  <c r="AD212" i="35"/>
  <c r="AG214" i="35"/>
  <c r="CL214" i="35" s="1"/>
  <c r="AP214" i="35"/>
  <c r="CO214" i="35" s="1"/>
  <c r="AM214" i="35"/>
  <c r="CN214" i="35" s="1"/>
  <c r="AJ214" i="35"/>
  <c r="AA214" i="35"/>
  <c r="CJ214" i="35" s="1"/>
  <c r="AD214" i="35"/>
  <c r="CK214" i="35" s="1"/>
  <c r="AC216" i="35"/>
  <c r="BR216" i="35" s="1"/>
  <c r="B229" i="35"/>
  <c r="AC217" i="35"/>
  <c r="BR217" i="35" s="1"/>
  <c r="AP299" i="35"/>
  <c r="CO299" i="35" s="1"/>
  <c r="AA299" i="35"/>
  <c r="AD299" i="35"/>
  <c r="AG299" i="35"/>
  <c r="CL299" i="35" s="1"/>
  <c r="AJ299" i="35"/>
  <c r="CM299" i="35" s="1"/>
  <c r="AM299" i="35"/>
  <c r="CN299" i="35" s="1"/>
  <c r="AP297" i="35"/>
  <c r="CO297" i="35" s="1"/>
  <c r="AA297" i="35"/>
  <c r="AD297" i="35"/>
  <c r="AG297" i="35"/>
  <c r="CL297" i="35" s="1"/>
  <c r="AJ297" i="35"/>
  <c r="CM297" i="35" s="1"/>
  <c r="AM297" i="35"/>
  <c r="CN297" i="35" s="1"/>
  <c r="B227" i="35"/>
  <c r="B226" i="35"/>
  <c r="B228" i="35"/>
  <c r="AM215" i="35"/>
  <c r="CN215" i="35" s="1"/>
  <c r="AA215" i="35"/>
  <c r="CJ215" i="35" s="1"/>
  <c r="AG215" i="35"/>
  <c r="AP215" i="35"/>
  <c r="CO215" i="35" s="1"/>
  <c r="AJ215" i="35"/>
  <c r="CM215" i="35" s="1"/>
  <c r="AD215" i="35"/>
  <c r="CK215" i="35" s="1"/>
  <c r="P142" i="3"/>
  <c r="P186" i="3" s="1"/>
  <c r="AX123" i="35" l="1"/>
  <c r="BY123" i="35" s="1"/>
  <c r="BY111" i="35"/>
  <c r="AX117" i="35"/>
  <c r="BY117" i="35" s="1"/>
  <c r="BY114" i="35"/>
  <c r="BA145" i="35"/>
  <c r="BZ145" i="35" s="1"/>
  <c r="BZ142" i="35"/>
  <c r="AX106" i="35"/>
  <c r="BY106" i="35" s="1"/>
  <c r="BY97" i="35"/>
  <c r="AX26" i="35"/>
  <c r="BY26" i="35" s="1"/>
  <c r="BY23" i="35"/>
  <c r="AX156" i="35"/>
  <c r="BY156" i="35" s="1"/>
  <c r="BY151" i="35"/>
  <c r="AX28" i="35"/>
  <c r="BY28" i="35" s="1"/>
  <c r="BY5" i="35"/>
  <c r="AX158" i="35"/>
  <c r="BY158" i="35" s="1"/>
  <c r="BY140" i="35"/>
  <c r="BA22" i="35"/>
  <c r="BZ22" i="35" s="1"/>
  <c r="BZ20" i="35"/>
  <c r="BA123" i="35"/>
  <c r="BZ123" i="35" s="1"/>
  <c r="BZ111" i="35"/>
  <c r="BA117" i="35"/>
  <c r="BZ117" i="35" s="1"/>
  <c r="BZ114" i="35"/>
  <c r="AX145" i="35"/>
  <c r="BY145" i="35" s="1"/>
  <c r="BY142" i="35"/>
  <c r="BA106" i="35"/>
  <c r="BZ106" i="35" s="1"/>
  <c r="BZ97" i="35"/>
  <c r="BA26" i="35"/>
  <c r="BZ26" i="35" s="1"/>
  <c r="BZ23" i="35"/>
  <c r="BA156" i="35"/>
  <c r="BZ156" i="35" s="1"/>
  <c r="BZ151" i="35"/>
  <c r="BA28" i="35"/>
  <c r="BZ28" i="35" s="1"/>
  <c r="BZ5" i="35"/>
  <c r="BA158" i="35"/>
  <c r="BZ158" i="35" s="1"/>
  <c r="BZ140" i="35"/>
  <c r="AX22" i="35"/>
  <c r="BY22" i="35" s="1"/>
  <c r="BY20" i="35"/>
  <c r="AU167" i="35"/>
  <c r="BX124" i="35"/>
  <c r="AT90" i="35"/>
  <c r="BX90" i="35"/>
  <c r="AU166" i="35"/>
  <c r="BX30" i="35"/>
  <c r="AU164" i="35"/>
  <c r="BX28" i="35"/>
  <c r="AT88" i="35"/>
  <c r="BX88" i="35"/>
  <c r="BA30" i="35"/>
  <c r="BZ30" i="35" s="1"/>
  <c r="AX90" i="35"/>
  <c r="BA88" i="35"/>
  <c r="AX104" i="35"/>
  <c r="BY104" i="35" s="1"/>
  <c r="AX108" i="35"/>
  <c r="BY108" i="35" s="1"/>
  <c r="AX137" i="35"/>
  <c r="BY137" i="35" s="1"/>
  <c r="AX159" i="35"/>
  <c r="BY159" i="35" s="1"/>
  <c r="BA129" i="35"/>
  <c r="BZ129" i="35" s="1"/>
  <c r="AX124" i="35"/>
  <c r="AX95" i="35"/>
  <c r="BY95" i="35" s="1"/>
  <c r="AX81" i="35"/>
  <c r="BY81" i="35" s="1"/>
  <c r="AX157" i="35"/>
  <c r="BY157" i="35" s="1"/>
  <c r="BA141" i="35"/>
  <c r="BZ141" i="35" s="1"/>
  <c r="BA149" i="35"/>
  <c r="BZ149" i="35" s="1"/>
  <c r="AX107" i="35"/>
  <c r="BY107" i="35" s="1"/>
  <c r="BA113" i="35"/>
  <c r="BZ113" i="35" s="1"/>
  <c r="BA90" i="35"/>
  <c r="AX88" i="35"/>
  <c r="BA104" i="35"/>
  <c r="BZ104" i="35" s="1"/>
  <c r="BA108" i="35"/>
  <c r="BZ108" i="35" s="1"/>
  <c r="BA137" i="35"/>
  <c r="BZ137" i="35" s="1"/>
  <c r="BA159" i="35"/>
  <c r="BZ159" i="35" s="1"/>
  <c r="AX30" i="35"/>
  <c r="AX129" i="35"/>
  <c r="BY129" i="35" s="1"/>
  <c r="BA124" i="35"/>
  <c r="BA95" i="35"/>
  <c r="BZ95" i="35" s="1"/>
  <c r="BA81" i="35"/>
  <c r="BZ81" i="35" s="1"/>
  <c r="BA157" i="35"/>
  <c r="BZ157" i="35" s="1"/>
  <c r="AX141" i="35"/>
  <c r="BY141" i="35" s="1"/>
  <c r="AX149" i="35"/>
  <c r="BY149" i="35" s="1"/>
  <c r="BA107" i="35"/>
  <c r="BZ107" i="35" s="1"/>
  <c r="AX113" i="35"/>
  <c r="BY113" i="35" s="1"/>
  <c r="AE337" i="35"/>
  <c r="AE333" i="35"/>
  <c r="BU205" i="35"/>
  <c r="AD330" i="35"/>
  <c r="AJ330" i="35"/>
  <c r="CO212" i="35"/>
  <c r="AP330" i="35"/>
  <c r="BT198" i="35"/>
  <c r="AE327" i="35"/>
  <c r="AE334" i="35"/>
  <c r="AE326" i="35"/>
  <c r="AE338" i="35"/>
  <c r="AE331" i="35"/>
  <c r="AE339" i="35"/>
  <c r="AE335" i="35"/>
  <c r="AC328" i="35"/>
  <c r="BR328" i="35" s="1"/>
  <c r="AA330" i="35"/>
  <c r="CN212" i="35"/>
  <c r="AM330" i="35"/>
  <c r="AG330" i="35"/>
  <c r="AE332" i="35"/>
  <c r="AE330" i="35"/>
  <c r="AE329" i="35"/>
  <c r="AE336" i="35"/>
  <c r="AE328" i="35"/>
  <c r="BT191" i="35"/>
  <c r="BR192" i="35"/>
  <c r="AC327" i="35"/>
  <c r="BR327" i="35" s="1"/>
  <c r="BS205" i="35"/>
  <c r="BR205" i="35"/>
  <c r="AC329" i="35"/>
  <c r="BR329" i="35" s="1"/>
  <c r="CK297" i="35"/>
  <c r="CK299" i="35"/>
  <c r="AC212" i="35"/>
  <c r="CJ212" i="35"/>
  <c r="AI212" i="35"/>
  <c r="CL212" i="35"/>
  <c r="AN164" i="35"/>
  <c r="BV164" i="35"/>
  <c r="CL215" i="35"/>
  <c r="AC297" i="35"/>
  <c r="BR297" i="35" s="1"/>
  <c r="CJ297" i="35"/>
  <c r="AC299" i="35"/>
  <c r="BR299" i="35" s="1"/>
  <c r="CJ299" i="35"/>
  <c r="CM214" i="35"/>
  <c r="AF212" i="35"/>
  <c r="CK212" i="35"/>
  <c r="AL212" i="35"/>
  <c r="CM212" i="35"/>
  <c r="CL213" i="35"/>
  <c r="AN167" i="35"/>
  <c r="BV167" i="35"/>
  <c r="AK296" i="35"/>
  <c r="AL198" i="35"/>
  <c r="AL191" i="35"/>
  <c r="AF189" i="35"/>
  <c r="BS189" i="35" s="1"/>
  <c r="AH266" i="35"/>
  <c r="AH245" i="35"/>
  <c r="AH217" i="35"/>
  <c r="AH196" i="35"/>
  <c r="AH252" i="35"/>
  <c r="AH203" i="35"/>
  <c r="AH280" i="35"/>
  <c r="AK319" i="35"/>
  <c r="AH259" i="35"/>
  <c r="AH224" i="35"/>
  <c r="AH210" i="35"/>
  <c r="AI210" i="35" s="1"/>
  <c r="BT210" i="35" s="1"/>
  <c r="AH273" i="35"/>
  <c r="AH238" i="35"/>
  <c r="AH189" i="35"/>
  <c r="AH231" i="35"/>
  <c r="AF203" i="35"/>
  <c r="BS203" i="35" s="1"/>
  <c r="AE301" i="35"/>
  <c r="AE297" i="35"/>
  <c r="AF199" i="35"/>
  <c r="AH255" i="35"/>
  <c r="AH220" i="35"/>
  <c r="AH206" i="35"/>
  <c r="AH269" i="35"/>
  <c r="AH234" i="35"/>
  <c r="AH185" i="35"/>
  <c r="AH227" i="35"/>
  <c r="AK315" i="35"/>
  <c r="AH262" i="35"/>
  <c r="AH241" i="35"/>
  <c r="AH213" i="35"/>
  <c r="AH192" i="35"/>
  <c r="AH248" i="35"/>
  <c r="AH199" i="35"/>
  <c r="AH276" i="35"/>
  <c r="AH249" i="35"/>
  <c r="AH200" i="35"/>
  <c r="AH277" i="35"/>
  <c r="AH256" i="35"/>
  <c r="AH221" i="35"/>
  <c r="AH207" i="35"/>
  <c r="AH228" i="35"/>
  <c r="AH270" i="35"/>
  <c r="AH235" i="35"/>
  <c r="AH186" i="35"/>
  <c r="AH263" i="35"/>
  <c r="AH242" i="35"/>
  <c r="AH214" i="35"/>
  <c r="AI214" i="35" s="1"/>
  <c r="BT214" i="35" s="1"/>
  <c r="AH193" i="35"/>
  <c r="AK316" i="35"/>
  <c r="AE298" i="35"/>
  <c r="AE284" i="35"/>
  <c r="AE299" i="35"/>
  <c r="AF201" i="35"/>
  <c r="BS201" i="35" s="1"/>
  <c r="AH272" i="35"/>
  <c r="AH237" i="35"/>
  <c r="AH188" i="35"/>
  <c r="AH265" i="35"/>
  <c r="AH244" i="35"/>
  <c r="AH216" i="35"/>
  <c r="AH195" i="35"/>
  <c r="AH251" i="35"/>
  <c r="AH202" i="35"/>
  <c r="AH279" i="35"/>
  <c r="AH258" i="35"/>
  <c r="AH223" i="35"/>
  <c r="AH209" i="35"/>
  <c r="AI209" i="35" s="1"/>
  <c r="BT209" i="35" s="1"/>
  <c r="AH230" i="35"/>
  <c r="AK318" i="35"/>
  <c r="AF202" i="35"/>
  <c r="BS202" i="35" s="1"/>
  <c r="AF195" i="35"/>
  <c r="BS195" i="35" s="1"/>
  <c r="AE300" i="35"/>
  <c r="AN268" i="35"/>
  <c r="AN233" i="35"/>
  <c r="AN184" i="35"/>
  <c r="AN261" i="35"/>
  <c r="AN240" i="35"/>
  <c r="AN212" i="35"/>
  <c r="AO212" i="35" s="1"/>
  <c r="AN191" i="35"/>
  <c r="AN226" i="35"/>
  <c r="AN247" i="35"/>
  <c r="AN198" i="35"/>
  <c r="AN275" i="35"/>
  <c r="AN254" i="35"/>
  <c r="AN219" i="35"/>
  <c r="AN205" i="35"/>
  <c r="AO205" i="35" s="1"/>
  <c r="AQ314" i="35"/>
  <c r="AT314" i="35" s="1"/>
  <c r="AK282" i="35"/>
  <c r="AF196" i="35"/>
  <c r="BS196" i="35" s="1"/>
  <c r="AE287" i="35"/>
  <c r="AF192" i="35"/>
  <c r="AF185" i="35"/>
  <c r="BS185" i="35" s="1"/>
  <c r="AE283" i="35"/>
  <c r="AN166" i="35"/>
  <c r="BV166" i="35"/>
  <c r="AH289" i="35"/>
  <c r="AF186" i="35"/>
  <c r="BS186" i="35" s="1"/>
  <c r="AF200" i="35"/>
  <c r="BS200" i="35" s="1"/>
  <c r="AF193" i="35"/>
  <c r="BS193" i="35" s="1"/>
  <c r="AE285" i="35"/>
  <c r="AF194" i="35"/>
  <c r="BS194" i="35" s="1"/>
  <c r="AF187" i="35"/>
  <c r="BS187" i="35" s="1"/>
  <c r="AH257" i="35"/>
  <c r="AH222" i="35"/>
  <c r="AH208" i="35"/>
  <c r="AH271" i="35"/>
  <c r="AH236" i="35"/>
  <c r="AH187" i="35"/>
  <c r="AH264" i="35"/>
  <c r="AH243" i="35"/>
  <c r="AH215" i="35"/>
  <c r="AH194" i="35"/>
  <c r="AH250" i="35"/>
  <c r="AH201" i="35"/>
  <c r="AH278" i="35"/>
  <c r="AH229" i="35"/>
  <c r="AK317" i="35"/>
  <c r="AE286" i="35"/>
  <c r="AF188" i="35"/>
  <c r="BS188" i="35" s="1"/>
  <c r="L113" i="3"/>
  <c r="L114" i="3"/>
  <c r="AI296" i="35"/>
  <c r="BT296" i="35" s="1"/>
  <c r="AF206" i="35"/>
  <c r="BS206" i="35" s="1"/>
  <c r="AC298" i="35"/>
  <c r="BR298" i="35" s="1"/>
  <c r="AF207" i="35"/>
  <c r="BS207" i="35" s="1"/>
  <c r="AQ88" i="35"/>
  <c r="AR167" i="35"/>
  <c r="AR164" i="35"/>
  <c r="AR166" i="35"/>
  <c r="AQ90" i="35"/>
  <c r="B235" i="35"/>
  <c r="B233" i="35"/>
  <c r="B234" i="35"/>
  <c r="AC224" i="35"/>
  <c r="BR224" i="35" s="1"/>
  <c r="AP222" i="35"/>
  <c r="CO222" i="35" s="1"/>
  <c r="AG222" i="35"/>
  <c r="AM222" i="35"/>
  <c r="CN222" i="35" s="1"/>
  <c r="AA222" i="35"/>
  <c r="AD222" i="35"/>
  <c r="AJ222" i="35"/>
  <c r="CM222" i="35" s="1"/>
  <c r="AF214" i="35"/>
  <c r="BS214" i="35" s="1"/>
  <c r="AF217" i="35"/>
  <c r="BS217" i="35" s="1"/>
  <c r="AF216" i="35"/>
  <c r="BS216" i="35" s="1"/>
  <c r="AF215" i="35"/>
  <c r="BS215" i="35" s="1"/>
  <c r="AC215" i="35"/>
  <c r="BR215" i="35" s="1"/>
  <c r="AP221" i="35"/>
  <c r="CO221" i="35" s="1"/>
  <c r="AM221" i="35"/>
  <c r="CN221" i="35" s="1"/>
  <c r="AG221" i="35"/>
  <c r="AA221" i="35"/>
  <c r="AD221" i="35"/>
  <c r="AJ221" i="35"/>
  <c r="AM219" i="35"/>
  <c r="AG219" i="35"/>
  <c r="AA219" i="35"/>
  <c r="AJ219" i="35"/>
  <c r="AP219" i="35"/>
  <c r="AD219" i="35"/>
  <c r="AM220" i="35"/>
  <c r="CN220" i="35" s="1"/>
  <c r="AA220" i="35"/>
  <c r="AG220" i="35"/>
  <c r="AP220" i="35"/>
  <c r="CO220" i="35" s="1"/>
  <c r="AD220" i="35"/>
  <c r="AJ220" i="35"/>
  <c r="CM220" i="35" s="1"/>
  <c r="B236" i="35"/>
  <c r="AC223" i="35"/>
  <c r="BR223" i="35" s="1"/>
  <c r="AC214" i="35"/>
  <c r="BR214" i="35" s="1"/>
  <c r="AF213" i="35"/>
  <c r="BS213" i="35" s="1"/>
  <c r="AC213" i="35"/>
  <c r="BR213" i="35" s="1"/>
  <c r="O142" i="3"/>
  <c r="O186" i="3" s="1"/>
  <c r="BA164" i="35" l="1"/>
  <c r="AZ164" i="35" s="1"/>
  <c r="BA167" i="35"/>
  <c r="BZ124" i="35"/>
  <c r="AX166" i="35"/>
  <c r="BY30" i="35"/>
  <c r="BZ164" i="35"/>
  <c r="AW88" i="35"/>
  <c r="BY88" i="35"/>
  <c r="AW90" i="35"/>
  <c r="BY90" i="35"/>
  <c r="AZ90" i="35"/>
  <c r="BZ90" i="35"/>
  <c r="AX167" i="35"/>
  <c r="BY124" i="35"/>
  <c r="AZ88" i="35"/>
  <c r="BZ88" i="35"/>
  <c r="AT164" i="35"/>
  <c r="BX164" i="35"/>
  <c r="AT166" i="35"/>
  <c r="O113" i="3" s="1"/>
  <c r="BX166" i="35"/>
  <c r="AT167" i="35"/>
  <c r="O114" i="3" s="1"/>
  <c r="BX167" i="35"/>
  <c r="AT268" i="35"/>
  <c r="AT254" i="35"/>
  <c r="AT240" i="35"/>
  <c r="AT275" i="35"/>
  <c r="AT261" i="35"/>
  <c r="AT247" i="35"/>
  <c r="AT233" i="35"/>
  <c r="AT226" i="35"/>
  <c r="AT219" i="35"/>
  <c r="AT212" i="35"/>
  <c r="AT205" i="35"/>
  <c r="AT198" i="35"/>
  <c r="AT191" i="35"/>
  <c r="AT184" i="35"/>
  <c r="AW314" i="35"/>
  <c r="BA166" i="35"/>
  <c r="AX164" i="35"/>
  <c r="AA331" i="35"/>
  <c r="BV205" i="35"/>
  <c r="BV212" i="35"/>
  <c r="CO219" i="35"/>
  <c r="AP331" i="35"/>
  <c r="CN219" i="35"/>
  <c r="AM331" i="35"/>
  <c r="BS192" i="35"/>
  <c r="AF327" i="35"/>
  <c r="BS327" i="35" s="1"/>
  <c r="AH339" i="35"/>
  <c r="AH335" i="35"/>
  <c r="AH330" i="35"/>
  <c r="AH337" i="35"/>
  <c r="AH332" i="35"/>
  <c r="AH333" i="35"/>
  <c r="AH329" i="35"/>
  <c r="AH336" i="35"/>
  <c r="BU198" i="35"/>
  <c r="BU212" i="35"/>
  <c r="BS212" i="35"/>
  <c r="AF330" i="35"/>
  <c r="BS330" i="35" s="1"/>
  <c r="BT212" i="35"/>
  <c r="BR212" i="35"/>
  <c r="AC330" i="35"/>
  <c r="BR330" i="35" s="1"/>
  <c r="AD331" i="35"/>
  <c r="AJ331" i="35"/>
  <c r="AG331" i="35"/>
  <c r="AH328" i="35"/>
  <c r="AH327" i="35"/>
  <c r="AH334" i="35"/>
  <c r="AH326" i="35"/>
  <c r="AH338" i="35"/>
  <c r="AH331" i="35"/>
  <c r="BS199" i="35"/>
  <c r="AF328" i="35"/>
  <c r="BS328" i="35" s="1"/>
  <c r="BU191" i="35"/>
  <c r="AF329" i="35"/>
  <c r="BS329" i="35" s="1"/>
  <c r="AI213" i="35"/>
  <c r="BT213" i="35" s="1"/>
  <c r="AF297" i="35"/>
  <c r="BS297" i="35" s="1"/>
  <c r="AF220" i="35"/>
  <c r="BS220" i="35" s="1"/>
  <c r="CK220" i="35"/>
  <c r="AI220" i="35"/>
  <c r="BT220" i="35" s="1"/>
  <c r="CL220" i="35"/>
  <c r="AC219" i="35"/>
  <c r="CJ219" i="35"/>
  <c r="AF221" i="35"/>
  <c r="BS221" i="35" s="1"/>
  <c r="CK221" i="35"/>
  <c r="AI221" i="35"/>
  <c r="BT221" i="35" s="1"/>
  <c r="CL221" i="35"/>
  <c r="AC222" i="35"/>
  <c r="BR222" i="35" s="1"/>
  <c r="CJ222" i="35"/>
  <c r="AI222" i="35"/>
  <c r="BT222" i="35" s="1"/>
  <c r="CL222" i="35"/>
  <c r="AC220" i="35"/>
  <c r="BR220" i="35" s="1"/>
  <c r="CJ220" i="35"/>
  <c r="AF219" i="35"/>
  <c r="CK219" i="35"/>
  <c r="AL219" i="35"/>
  <c r="CM219" i="35"/>
  <c r="AI219" i="35"/>
  <c r="CL219" i="35"/>
  <c r="CM221" i="35"/>
  <c r="AC221" i="35"/>
  <c r="BR221" i="35" s="1"/>
  <c r="CJ221" i="35"/>
  <c r="AF222" i="35"/>
  <c r="BS222" i="35" s="1"/>
  <c r="CK222" i="35"/>
  <c r="AQ166" i="35"/>
  <c r="BW166" i="35"/>
  <c r="AQ167" i="35"/>
  <c r="BW167" i="35"/>
  <c r="AE293" i="35"/>
  <c r="AK250" i="35"/>
  <c r="AK201" i="35"/>
  <c r="AK278" i="35"/>
  <c r="AK257" i="35"/>
  <c r="AK222" i="35"/>
  <c r="AK208" i="35"/>
  <c r="AK229" i="35"/>
  <c r="AK271" i="35"/>
  <c r="AK236" i="35"/>
  <c r="AK187" i="35"/>
  <c r="AK264" i="35"/>
  <c r="AK243" i="35"/>
  <c r="AK215" i="35"/>
  <c r="AK194" i="35"/>
  <c r="AN317" i="35"/>
  <c r="AH285" i="35"/>
  <c r="AH299" i="35"/>
  <c r="AI208" i="35"/>
  <c r="BT208" i="35" s="1"/>
  <c r="AE292" i="35"/>
  <c r="AE290" i="35"/>
  <c r="AE294" i="35"/>
  <c r="AK289" i="35"/>
  <c r="AQ254" i="35"/>
  <c r="AQ219" i="35"/>
  <c r="AR219" i="35" s="1"/>
  <c r="AQ205" i="35"/>
  <c r="AQ268" i="35"/>
  <c r="AQ233" i="35"/>
  <c r="AQ184" i="35"/>
  <c r="AQ261" i="35"/>
  <c r="AQ240" i="35"/>
  <c r="AQ212" i="35"/>
  <c r="AQ191" i="35"/>
  <c r="AQ247" i="35"/>
  <c r="AQ198" i="35"/>
  <c r="AQ275" i="35"/>
  <c r="AQ226" i="35"/>
  <c r="AN282" i="35"/>
  <c r="AO191" i="35"/>
  <c r="AF300" i="35"/>
  <c r="BS300" i="35" s="1"/>
  <c r="AK265" i="35"/>
  <c r="AK244" i="35"/>
  <c r="AK216" i="35"/>
  <c r="AK195" i="35"/>
  <c r="AK251" i="35"/>
  <c r="AK202" i="35"/>
  <c r="AK279" i="35"/>
  <c r="AN318" i="35"/>
  <c r="AK258" i="35"/>
  <c r="AK223" i="35"/>
  <c r="AK209" i="35"/>
  <c r="AL209" i="35" s="1"/>
  <c r="BU209" i="35" s="1"/>
  <c r="AK272" i="35"/>
  <c r="AK237" i="35"/>
  <c r="AK188" i="35"/>
  <c r="AK230" i="35"/>
  <c r="AH300" i="35"/>
  <c r="AI202" i="35"/>
  <c r="BT202" i="35" s="1"/>
  <c r="AI195" i="35"/>
  <c r="BT195" i="35" s="1"/>
  <c r="AI188" i="35"/>
  <c r="BT188" i="35" s="1"/>
  <c r="AE291" i="35"/>
  <c r="AF298" i="35"/>
  <c r="BS298" i="35" s="1"/>
  <c r="AK263" i="35"/>
  <c r="AK242" i="35"/>
  <c r="AK214" i="35"/>
  <c r="AK193" i="35"/>
  <c r="AK249" i="35"/>
  <c r="AK200" i="35"/>
  <c r="AK277" i="35"/>
  <c r="AN316" i="35"/>
  <c r="AK256" i="35"/>
  <c r="AK221" i="35"/>
  <c r="AK207" i="35"/>
  <c r="AK270" i="35"/>
  <c r="AK235" i="35"/>
  <c r="AK186" i="35"/>
  <c r="AK228" i="35"/>
  <c r="AH284" i="35"/>
  <c r="AH283" i="35"/>
  <c r="AH297" i="35"/>
  <c r="AI206" i="35"/>
  <c r="AH301" i="35"/>
  <c r="AH287" i="35"/>
  <c r="AL296" i="35"/>
  <c r="BU296" i="35" s="1"/>
  <c r="AQ164" i="35"/>
  <c r="BW164" i="35"/>
  <c r="AI201" i="35"/>
  <c r="BT201" i="35" s="1"/>
  <c r="AI194" i="35"/>
  <c r="BT194" i="35" s="1"/>
  <c r="AI187" i="35"/>
  <c r="BT187" i="35" s="1"/>
  <c r="M113" i="3"/>
  <c r="AN296" i="35"/>
  <c r="AO198" i="35"/>
  <c r="AH286" i="35"/>
  <c r="AI193" i="35"/>
  <c r="BT193" i="35" s="1"/>
  <c r="AI186" i="35"/>
  <c r="BT186" i="35" s="1"/>
  <c r="AH298" i="35"/>
  <c r="AI207" i="35"/>
  <c r="BT207" i="35" s="1"/>
  <c r="AI200" i="35"/>
  <c r="BT200" i="35" s="1"/>
  <c r="AI199" i="35"/>
  <c r="AI192" i="35"/>
  <c r="AK269" i="35"/>
  <c r="AK234" i="35"/>
  <c r="AK185" i="35"/>
  <c r="AK262" i="35"/>
  <c r="AK241" i="35"/>
  <c r="AK213" i="35"/>
  <c r="AK192" i="35"/>
  <c r="AK227" i="35"/>
  <c r="AK248" i="35"/>
  <c r="AK199" i="35"/>
  <c r="AK276" i="35"/>
  <c r="AK255" i="35"/>
  <c r="AK220" i="35"/>
  <c r="AK206" i="35"/>
  <c r="AN315" i="35"/>
  <c r="AI185" i="35"/>
  <c r="BT185" i="35" s="1"/>
  <c r="AF301" i="35"/>
  <c r="BS301" i="35" s="1"/>
  <c r="AI189" i="35"/>
  <c r="BT189" i="35" s="1"/>
  <c r="AK266" i="35"/>
  <c r="AK245" i="35"/>
  <c r="AK217" i="35"/>
  <c r="AK196" i="35"/>
  <c r="AK252" i="35"/>
  <c r="AK203" i="35"/>
  <c r="AK280" i="35"/>
  <c r="AN319" i="35"/>
  <c r="AK259" i="35"/>
  <c r="AK224" i="35"/>
  <c r="AK210" i="35"/>
  <c r="AL210" i="35" s="1"/>
  <c r="BU210" i="35" s="1"/>
  <c r="AK273" i="35"/>
  <c r="AK238" i="35"/>
  <c r="AK189" i="35"/>
  <c r="AK231" i="35"/>
  <c r="AI203" i="35"/>
  <c r="BT203" i="35" s="1"/>
  <c r="AI196" i="35"/>
  <c r="BT196" i="35" s="1"/>
  <c r="M114" i="3"/>
  <c r="AI215" i="35"/>
  <c r="BT215" i="35" s="1"/>
  <c r="AF299" i="35"/>
  <c r="BS299" i="35" s="1"/>
  <c r="B243" i="35"/>
  <c r="AI216" i="35"/>
  <c r="BT216" i="35" s="1"/>
  <c r="AF223" i="35"/>
  <c r="BS223" i="35" s="1"/>
  <c r="AF224" i="35"/>
  <c r="BS224" i="35" s="1"/>
  <c r="AC231" i="35"/>
  <c r="BR231" i="35" s="1"/>
  <c r="AP227" i="35"/>
  <c r="CO227" i="35" s="1"/>
  <c r="AJ227" i="35"/>
  <c r="CM227" i="35" s="1"/>
  <c r="AD227" i="35"/>
  <c r="CK227" i="35" s="1"/>
  <c r="AM227" i="35"/>
  <c r="CN227" i="35" s="1"/>
  <c r="AG227" i="35"/>
  <c r="AA227" i="35"/>
  <c r="CJ227" i="35" s="1"/>
  <c r="B240" i="35"/>
  <c r="B242" i="35"/>
  <c r="AC230" i="35"/>
  <c r="BR230" i="35" s="1"/>
  <c r="AP229" i="35"/>
  <c r="CO229" i="35" s="1"/>
  <c r="AJ229" i="35"/>
  <c r="CM229" i="35" s="1"/>
  <c r="AD229" i="35"/>
  <c r="CK229" i="35" s="1"/>
  <c r="AM229" i="35"/>
  <c r="CN229" i="35" s="1"/>
  <c r="AG229" i="35"/>
  <c r="AA229" i="35"/>
  <c r="CJ229" i="35" s="1"/>
  <c r="AI217" i="35"/>
  <c r="BT217" i="35" s="1"/>
  <c r="B241" i="35"/>
  <c r="AP226" i="35"/>
  <c r="AG226" i="35"/>
  <c r="AM226" i="35"/>
  <c r="AA226" i="35"/>
  <c r="AD226" i="35"/>
  <c r="AJ226" i="35"/>
  <c r="AP228" i="35"/>
  <c r="CO228" i="35" s="1"/>
  <c r="AG228" i="35"/>
  <c r="CL228" i="35" s="1"/>
  <c r="AM228" i="35"/>
  <c r="CN228" i="35" s="1"/>
  <c r="AA228" i="35"/>
  <c r="CJ228" i="35" s="1"/>
  <c r="AD228" i="35"/>
  <c r="AJ228" i="35"/>
  <c r="AO219" i="35"/>
  <c r="AL220" i="35"/>
  <c r="BU220" i="35" s="1"/>
  <c r="AZ166" i="35" l="1"/>
  <c r="Q113" i="3" s="1"/>
  <c r="BZ166" i="35"/>
  <c r="AW164" i="35"/>
  <c r="BY164" i="35"/>
  <c r="AW167" i="35"/>
  <c r="P114" i="3" s="1"/>
  <c r="BY167" i="35"/>
  <c r="AW166" i="35"/>
  <c r="P113" i="3" s="1"/>
  <c r="BY166" i="35"/>
  <c r="AZ167" i="35"/>
  <c r="Q114" i="3" s="1"/>
  <c r="BZ167" i="35"/>
  <c r="AZ314" i="35"/>
  <c r="AW275" i="35"/>
  <c r="AW261" i="35"/>
  <c r="AW247" i="35"/>
  <c r="AW233" i="35"/>
  <c r="AW268" i="35"/>
  <c r="AW240" i="35"/>
  <c r="AW219" i="35"/>
  <c r="AW205" i="35"/>
  <c r="AW191" i="35"/>
  <c r="AW254" i="35"/>
  <c r="AW226" i="35"/>
  <c r="AW212" i="35"/>
  <c r="AW198" i="35"/>
  <c r="AW184" i="35"/>
  <c r="AU191" i="35"/>
  <c r="BX191" i="35" s="1"/>
  <c r="AU205" i="35"/>
  <c r="BX205" i="35" s="1"/>
  <c r="AT296" i="35"/>
  <c r="AU296" i="35" s="1"/>
  <c r="BX296" i="35" s="1"/>
  <c r="AU219" i="35"/>
  <c r="BX219" i="35" s="1"/>
  <c r="AU233" i="35"/>
  <c r="BX233" i="35" s="1"/>
  <c r="AU261" i="35"/>
  <c r="BX261" i="35" s="1"/>
  <c r="AU240" i="35"/>
  <c r="BX240" i="35" s="1"/>
  <c r="AU268" i="35"/>
  <c r="BX268" i="35" s="1"/>
  <c r="AU184" i="35"/>
  <c r="BX184" i="35" s="1"/>
  <c r="AU198" i="35"/>
  <c r="BX198" i="35" s="1"/>
  <c r="AU212" i="35"/>
  <c r="BX212" i="35" s="1"/>
  <c r="AU226" i="35"/>
  <c r="BX226" i="35" s="1"/>
  <c r="AU247" i="35"/>
  <c r="BX247" i="35" s="1"/>
  <c r="AU275" i="35"/>
  <c r="BX275" i="35" s="1"/>
  <c r="AT282" i="35"/>
  <c r="AU254" i="35"/>
  <c r="BX254" i="35" s="1"/>
  <c r="AK331" i="35"/>
  <c r="BW219" i="35"/>
  <c r="AD332" i="35"/>
  <c r="CN226" i="35"/>
  <c r="AM332" i="35"/>
  <c r="CO226" i="35"/>
  <c r="AP332" i="35"/>
  <c r="BV219" i="35"/>
  <c r="AJ332" i="35"/>
  <c r="AA332" i="35"/>
  <c r="AG332" i="35"/>
  <c r="AK329" i="35"/>
  <c r="AK336" i="35"/>
  <c r="AK328" i="35"/>
  <c r="AK332" i="35"/>
  <c r="AK330" i="35"/>
  <c r="AK337" i="35"/>
  <c r="AK333" i="35"/>
  <c r="BT192" i="35"/>
  <c r="AI327" i="35"/>
  <c r="BT327" i="35" s="1"/>
  <c r="BV198" i="35"/>
  <c r="BV191" i="35"/>
  <c r="AK339" i="35"/>
  <c r="AK335" i="35"/>
  <c r="AK327" i="35"/>
  <c r="AK334" i="35"/>
  <c r="AK326" i="35"/>
  <c r="AK338" i="35"/>
  <c r="BT199" i="35"/>
  <c r="AI328" i="35"/>
  <c r="BT328" i="35" s="1"/>
  <c r="BT206" i="35"/>
  <c r="AI329" i="35"/>
  <c r="BT329" i="35" s="1"/>
  <c r="BT219" i="35"/>
  <c r="BU219" i="35"/>
  <c r="BS219" i="35"/>
  <c r="AF331" i="35"/>
  <c r="BS331" i="35" s="1"/>
  <c r="BR219" i="35"/>
  <c r="AC331" i="35"/>
  <c r="BR331" i="35" s="1"/>
  <c r="AI330" i="35"/>
  <c r="BT330" i="35" s="1"/>
  <c r="AL222" i="35"/>
  <c r="BU222" i="35" s="1"/>
  <c r="AL228" i="35"/>
  <c r="BU228" i="35" s="1"/>
  <c r="CM228" i="35"/>
  <c r="AL226" i="35"/>
  <c r="CM226" i="35"/>
  <c r="AC226" i="35"/>
  <c r="CJ226" i="35"/>
  <c r="AI226" i="35"/>
  <c r="CL226" i="35"/>
  <c r="AI229" i="35"/>
  <c r="BT229" i="35" s="1"/>
  <c r="CL229" i="35"/>
  <c r="AK301" i="35"/>
  <c r="AK287" i="35"/>
  <c r="AN262" i="35"/>
  <c r="AN241" i="35"/>
  <c r="AN213" i="35"/>
  <c r="AN192" i="35"/>
  <c r="AN248" i="35"/>
  <c r="AN199" i="35"/>
  <c r="AN276" i="35"/>
  <c r="AN227" i="35"/>
  <c r="AN255" i="35"/>
  <c r="AN220" i="35"/>
  <c r="AN206" i="35"/>
  <c r="AN269" i="35"/>
  <c r="AN234" i="35"/>
  <c r="AN185" i="35"/>
  <c r="AQ315" i="35"/>
  <c r="AT315" i="35" s="1"/>
  <c r="AK283" i="35"/>
  <c r="AL192" i="35"/>
  <c r="AL185" i="35"/>
  <c r="BU185" i="35" s="1"/>
  <c r="AH294" i="35"/>
  <c r="AI297" i="35"/>
  <c r="BT297" i="35" s="1"/>
  <c r="AH290" i="35"/>
  <c r="AH291" i="35"/>
  <c r="AK298" i="35"/>
  <c r="AL207" i="35"/>
  <c r="BU207" i="35" s="1"/>
  <c r="AK284" i="35"/>
  <c r="AL214" i="35"/>
  <c r="BU214" i="35" s="1"/>
  <c r="AI300" i="35"/>
  <c r="BT300" i="35" s="1"/>
  <c r="AK300" i="35"/>
  <c r="AK286" i="35"/>
  <c r="AN289" i="35"/>
  <c r="AR198" i="35"/>
  <c r="AR191" i="35"/>
  <c r="AI299" i="35"/>
  <c r="BT299" i="35" s="1"/>
  <c r="AH292" i="35"/>
  <c r="AN257" i="35"/>
  <c r="AN222" i="35"/>
  <c r="AO222" i="35" s="1"/>
  <c r="BV222" i="35" s="1"/>
  <c r="AN208" i="35"/>
  <c r="AN271" i="35"/>
  <c r="AN236" i="35"/>
  <c r="AN187" i="35"/>
  <c r="AN264" i="35"/>
  <c r="AN243" i="35"/>
  <c r="AN215" i="35"/>
  <c r="AN194" i="35"/>
  <c r="AN250" i="35"/>
  <c r="AN201" i="35"/>
  <c r="AN278" i="35"/>
  <c r="AN229" i="35"/>
  <c r="AQ317" i="35"/>
  <c r="AT317" i="35" s="1"/>
  <c r="AL215" i="35"/>
  <c r="BU215" i="35" s="1"/>
  <c r="AK285" i="35"/>
  <c r="AF228" i="35"/>
  <c r="BS228" i="35" s="1"/>
  <c r="CK228" i="35"/>
  <c r="AF226" i="35"/>
  <c r="CK226" i="35"/>
  <c r="AI227" i="35"/>
  <c r="BT227" i="35" s="1"/>
  <c r="CL227" i="35"/>
  <c r="AL189" i="35"/>
  <c r="BU189" i="35" s="1"/>
  <c r="AN259" i="35"/>
  <c r="AN224" i="35"/>
  <c r="AN210" i="35"/>
  <c r="AO210" i="35" s="1"/>
  <c r="BV210" i="35" s="1"/>
  <c r="AN273" i="35"/>
  <c r="AN238" i="35"/>
  <c r="AN189" i="35"/>
  <c r="AN266" i="35"/>
  <c r="AN245" i="35"/>
  <c r="AN217" i="35"/>
  <c r="AN196" i="35"/>
  <c r="AN252" i="35"/>
  <c r="AN203" i="35"/>
  <c r="AN280" i="35"/>
  <c r="AN231" i="35"/>
  <c r="AQ319" i="35"/>
  <c r="AT319" i="35" s="1"/>
  <c r="AL203" i="35"/>
  <c r="BU203" i="35" s="1"/>
  <c r="AL196" i="35"/>
  <c r="BU196" i="35" s="1"/>
  <c r="AK297" i="35"/>
  <c r="AL206" i="35"/>
  <c r="AL199" i="35"/>
  <c r="AL213" i="35"/>
  <c r="AI298" i="35"/>
  <c r="BT298" i="35" s="1"/>
  <c r="AH293" i="35"/>
  <c r="AO296" i="35"/>
  <c r="BV296" i="35" s="1"/>
  <c r="AI301" i="35"/>
  <c r="BT301" i="35" s="1"/>
  <c r="AL186" i="35"/>
  <c r="BU186" i="35" s="1"/>
  <c r="AN270" i="35"/>
  <c r="AN235" i="35"/>
  <c r="AN186" i="35"/>
  <c r="AN263" i="35"/>
  <c r="AN242" i="35"/>
  <c r="AN214" i="35"/>
  <c r="AN193" i="35"/>
  <c r="AN228" i="35"/>
  <c r="AN249" i="35"/>
  <c r="AN200" i="35"/>
  <c r="AN277" i="35"/>
  <c r="AN256" i="35"/>
  <c r="AN221" i="35"/>
  <c r="AN207" i="35"/>
  <c r="AQ316" i="35"/>
  <c r="AT316" i="35" s="1"/>
  <c r="AL200" i="35"/>
  <c r="BU200" i="35" s="1"/>
  <c r="AL193" i="35"/>
  <c r="BU193" i="35" s="1"/>
  <c r="AL188" i="35"/>
  <c r="BU188" i="35" s="1"/>
  <c r="AN251" i="35"/>
  <c r="AN202" i="35"/>
  <c r="AN279" i="35"/>
  <c r="AN258" i="35"/>
  <c r="AN223" i="35"/>
  <c r="AN209" i="35"/>
  <c r="AO209" i="35" s="1"/>
  <c r="BV209" i="35" s="1"/>
  <c r="AN272" i="35"/>
  <c r="AN237" i="35"/>
  <c r="AN188" i="35"/>
  <c r="AN265" i="35"/>
  <c r="AN244" i="35"/>
  <c r="AN216" i="35"/>
  <c r="AN195" i="35"/>
  <c r="AN230" i="35"/>
  <c r="AQ318" i="35"/>
  <c r="AT318" i="35" s="1"/>
  <c r="AL202" i="35"/>
  <c r="BU202" i="35" s="1"/>
  <c r="AL195" i="35"/>
  <c r="BU195" i="35" s="1"/>
  <c r="AQ282" i="35"/>
  <c r="AR212" i="35"/>
  <c r="AQ296" i="35"/>
  <c r="AR205" i="35"/>
  <c r="AL194" i="35"/>
  <c r="BU194" i="35" s="1"/>
  <c r="AL187" i="35"/>
  <c r="BU187" i="35" s="1"/>
  <c r="AK299" i="35"/>
  <c r="AL208" i="35"/>
  <c r="BU208" i="35" s="1"/>
  <c r="AL201" i="35"/>
  <c r="BU201" i="35" s="1"/>
  <c r="N114" i="3"/>
  <c r="N113" i="3"/>
  <c r="AL221" i="35"/>
  <c r="BU221" i="35" s="1"/>
  <c r="AC228" i="35"/>
  <c r="BR228" i="35" s="1"/>
  <c r="AI228" i="35"/>
  <c r="BT228" i="35" s="1"/>
  <c r="B248" i="35"/>
  <c r="AC229" i="35"/>
  <c r="BR229" i="35" s="1"/>
  <c r="AC237" i="35"/>
  <c r="BR237" i="35" s="1"/>
  <c r="AP235" i="35"/>
  <c r="CO235" i="35" s="1"/>
  <c r="AJ235" i="35"/>
  <c r="AD235" i="35"/>
  <c r="AM235" i="35"/>
  <c r="CN235" i="35" s="1"/>
  <c r="AG235" i="35"/>
  <c r="AA235" i="35"/>
  <c r="AP233" i="35"/>
  <c r="AJ233" i="35"/>
  <c r="AD233" i="35"/>
  <c r="AM233" i="35"/>
  <c r="AG233" i="35"/>
  <c r="AA233" i="35"/>
  <c r="AC227" i="35"/>
  <c r="BR227" i="35" s="1"/>
  <c r="AC238" i="35"/>
  <c r="BR238" i="35" s="1"/>
  <c r="AL217" i="35"/>
  <c r="BU217" i="35" s="1"/>
  <c r="AI223" i="35"/>
  <c r="BT223" i="35" s="1"/>
  <c r="AP236" i="35"/>
  <c r="CO236" i="35" s="1"/>
  <c r="AG236" i="35"/>
  <c r="AM236" i="35"/>
  <c r="CN236" i="35" s="1"/>
  <c r="AA236" i="35"/>
  <c r="AD236" i="35"/>
  <c r="AJ236" i="35"/>
  <c r="CM236" i="35" s="1"/>
  <c r="AL216" i="35"/>
  <c r="BU216" i="35" s="1"/>
  <c r="AP234" i="35"/>
  <c r="CO234" i="35" s="1"/>
  <c r="AG234" i="35"/>
  <c r="AM234" i="35"/>
  <c r="CN234" i="35" s="1"/>
  <c r="AA234" i="35"/>
  <c r="AD234" i="35"/>
  <c r="AJ234" i="35"/>
  <c r="CM234" i="35" s="1"/>
  <c r="AI224" i="35"/>
  <c r="BT224" i="35" s="1"/>
  <c r="AF229" i="35"/>
  <c r="BS229" i="35" s="1"/>
  <c r="B249" i="35"/>
  <c r="B247" i="35"/>
  <c r="AF227" i="35"/>
  <c r="BS227" i="35" s="1"/>
  <c r="AF231" i="35"/>
  <c r="BS231" i="35" s="1"/>
  <c r="AF230" i="35"/>
  <c r="BS230" i="35" s="1"/>
  <c r="B250" i="35"/>
  <c r="AL227" i="35"/>
  <c r="BU227" i="35" s="1"/>
  <c r="AO226" i="35"/>
  <c r="AO228" i="35"/>
  <c r="BV228" i="35" s="1"/>
  <c r="AR226" i="35"/>
  <c r="AL229" i="35"/>
  <c r="BU229" i="35" s="1"/>
  <c r="AO220" i="35"/>
  <c r="BV220" i="35" s="1"/>
  <c r="AT230" i="35" l="1"/>
  <c r="AU230" i="35" s="1"/>
  <c r="BX230" i="35" s="1"/>
  <c r="AT223" i="35"/>
  <c r="AU223" i="35" s="1"/>
  <c r="BX223" i="35" s="1"/>
  <c r="AT216" i="35"/>
  <c r="AU216" i="35" s="1"/>
  <c r="BX216" i="35" s="1"/>
  <c r="AT209" i="35"/>
  <c r="AT202" i="35"/>
  <c r="AU202" i="35" s="1"/>
  <c r="BX202" i="35" s="1"/>
  <c r="AT195" i="35"/>
  <c r="AU195" i="35" s="1"/>
  <c r="BX195" i="35" s="1"/>
  <c r="AT188" i="35"/>
  <c r="AU188" i="35" s="1"/>
  <c r="BX188" i="35" s="1"/>
  <c r="AW318" i="35"/>
  <c r="AT279" i="35"/>
  <c r="AT265" i="35"/>
  <c r="AU265" i="35" s="1"/>
  <c r="BX265" i="35" s="1"/>
  <c r="AT251" i="35"/>
  <c r="AU251" i="35" s="1"/>
  <c r="BX251" i="35" s="1"/>
  <c r="AT237" i="35"/>
  <c r="AU237" i="35" s="1"/>
  <c r="BX237" i="35" s="1"/>
  <c r="AT272" i="35"/>
  <c r="AU272" i="35" s="1"/>
  <c r="BX272" i="35" s="1"/>
  <c r="AT258" i="35"/>
  <c r="AU258" i="35" s="1"/>
  <c r="BX258" i="35" s="1"/>
  <c r="AT244" i="35"/>
  <c r="AU244" i="35" s="1"/>
  <c r="BX244" i="35" s="1"/>
  <c r="AW316" i="35"/>
  <c r="AT277" i="35"/>
  <c r="AT263" i="35"/>
  <c r="AU263" i="35" s="1"/>
  <c r="BX263" i="35" s="1"/>
  <c r="AT249" i="35"/>
  <c r="AU249" i="35" s="1"/>
  <c r="BX249" i="35" s="1"/>
  <c r="AT235" i="35"/>
  <c r="AU235" i="35" s="1"/>
  <c r="BX235" i="35" s="1"/>
  <c r="AT221" i="35"/>
  <c r="AU221" i="35" s="1"/>
  <c r="BX221" i="35" s="1"/>
  <c r="AT207" i="35"/>
  <c r="AT193" i="35"/>
  <c r="AU193" i="35" s="1"/>
  <c r="BX193" i="35" s="1"/>
  <c r="AT270" i="35"/>
  <c r="AU270" i="35" s="1"/>
  <c r="BX270" i="35" s="1"/>
  <c r="AT256" i="35"/>
  <c r="AU256" i="35" s="1"/>
  <c r="BX256" i="35" s="1"/>
  <c r="AT242" i="35"/>
  <c r="AU242" i="35" s="1"/>
  <c r="BX242" i="35" s="1"/>
  <c r="AT228" i="35"/>
  <c r="AU228" i="35" s="1"/>
  <c r="BX228" i="35" s="1"/>
  <c r="AT214" i="35"/>
  <c r="AU214" i="35" s="1"/>
  <c r="BX214" i="35" s="1"/>
  <c r="AT200" i="35"/>
  <c r="AU200" i="35" s="1"/>
  <c r="BX200" i="35" s="1"/>
  <c r="AT186" i="35"/>
  <c r="AU186" i="35" s="1"/>
  <c r="BX186" i="35" s="1"/>
  <c r="AT280" i="35"/>
  <c r="AT266" i="35"/>
  <c r="AU266" i="35" s="1"/>
  <c r="BX266" i="35" s="1"/>
  <c r="AT252" i="35"/>
  <c r="AU252" i="35" s="1"/>
  <c r="BX252" i="35" s="1"/>
  <c r="AT238" i="35"/>
  <c r="AU238" i="35" s="1"/>
  <c r="BX238" i="35" s="1"/>
  <c r="AT273" i="35"/>
  <c r="AU273" i="35" s="1"/>
  <c r="BX273" i="35" s="1"/>
  <c r="AT259" i="35"/>
  <c r="AU259" i="35" s="1"/>
  <c r="BX259" i="35" s="1"/>
  <c r="AT245" i="35"/>
  <c r="AU245" i="35" s="1"/>
  <c r="BX245" i="35" s="1"/>
  <c r="AT231" i="35"/>
  <c r="AU231" i="35" s="1"/>
  <c r="BX231" i="35" s="1"/>
  <c r="AT224" i="35"/>
  <c r="AU224" i="35" s="1"/>
  <c r="BX224" i="35" s="1"/>
  <c r="AT217" i="35"/>
  <c r="AU217" i="35" s="1"/>
  <c r="BX217" i="35" s="1"/>
  <c r="AT210" i="35"/>
  <c r="AT203" i="35"/>
  <c r="AU203" i="35" s="1"/>
  <c r="BX203" i="35" s="1"/>
  <c r="AT196" i="35"/>
  <c r="AU196" i="35" s="1"/>
  <c r="BX196" i="35" s="1"/>
  <c r="AT189" i="35"/>
  <c r="AU189" i="35" s="1"/>
  <c r="BX189" i="35" s="1"/>
  <c r="AW319" i="35"/>
  <c r="AT271" i="35"/>
  <c r="AU271" i="35" s="1"/>
  <c r="BX271" i="35" s="1"/>
  <c r="AT257" i="35"/>
  <c r="AU257" i="35" s="1"/>
  <c r="BX257" i="35" s="1"/>
  <c r="AT243" i="35"/>
  <c r="AU243" i="35" s="1"/>
  <c r="BX243" i="35" s="1"/>
  <c r="AT278" i="35"/>
  <c r="AT264" i="35"/>
  <c r="AU264" i="35" s="1"/>
  <c r="BX264" i="35" s="1"/>
  <c r="AT250" i="35"/>
  <c r="AU250" i="35" s="1"/>
  <c r="BX250" i="35" s="1"/>
  <c r="AT236" i="35"/>
  <c r="AU236" i="35" s="1"/>
  <c r="BX236" i="35" s="1"/>
  <c r="AT229" i="35"/>
  <c r="AU229" i="35" s="1"/>
  <c r="BX229" i="35" s="1"/>
  <c r="AT222" i="35"/>
  <c r="AU222" i="35" s="1"/>
  <c r="BX222" i="35" s="1"/>
  <c r="AT215" i="35"/>
  <c r="AU215" i="35" s="1"/>
  <c r="BX215" i="35" s="1"/>
  <c r="AT208" i="35"/>
  <c r="AT201" i="35"/>
  <c r="AU201" i="35" s="1"/>
  <c r="BX201" i="35" s="1"/>
  <c r="AT194" i="35"/>
  <c r="AU194" i="35" s="1"/>
  <c r="BX194" i="35" s="1"/>
  <c r="AT187" i="35"/>
  <c r="AU187" i="35" s="1"/>
  <c r="BX187" i="35" s="1"/>
  <c r="AW317" i="35"/>
  <c r="AW315" i="35"/>
  <c r="AT276" i="35"/>
  <c r="AT262" i="35"/>
  <c r="AT248" i="35"/>
  <c r="AT220" i="35"/>
  <c r="AT206" i="35"/>
  <c r="AT269" i="35"/>
  <c r="AT255" i="35"/>
  <c r="AT241" i="35"/>
  <c r="AT227" i="35"/>
  <c r="AT213" i="35"/>
  <c r="AT199" i="35"/>
  <c r="AT185" i="35"/>
  <c r="AT234" i="35"/>
  <c r="AT192" i="35"/>
  <c r="AU282" i="35"/>
  <c r="BX282" i="35" s="1"/>
  <c r="AT289" i="35"/>
  <c r="AU289" i="35" s="1"/>
  <c r="BX289" i="35" s="1"/>
  <c r="AX184" i="35"/>
  <c r="BY184" i="35" s="1"/>
  <c r="AX212" i="35"/>
  <c r="BY212" i="35" s="1"/>
  <c r="AX254" i="35"/>
  <c r="BY254" i="35" s="1"/>
  <c r="AW296" i="35"/>
  <c r="AX296" i="35" s="1"/>
  <c r="BY296" i="35" s="1"/>
  <c r="AX205" i="35"/>
  <c r="BY205" i="35" s="1"/>
  <c r="AX240" i="35"/>
  <c r="BY240" i="35" s="1"/>
  <c r="AX233" i="35"/>
  <c r="BY233" i="35" s="1"/>
  <c r="AX261" i="35"/>
  <c r="BY261" i="35" s="1"/>
  <c r="AZ275" i="35"/>
  <c r="AZ261" i="35"/>
  <c r="AZ247" i="35"/>
  <c r="AZ233" i="35"/>
  <c r="AZ219" i="35"/>
  <c r="AZ205" i="35"/>
  <c r="AZ191" i="35"/>
  <c r="AZ254" i="35"/>
  <c r="AZ226" i="35"/>
  <c r="AZ198" i="35"/>
  <c r="AZ268" i="35"/>
  <c r="AZ240" i="35"/>
  <c r="AZ212" i="35"/>
  <c r="AZ184" i="35"/>
  <c r="AX198" i="35"/>
  <c r="BY198" i="35" s="1"/>
  <c r="AX226" i="35"/>
  <c r="BY226" i="35" s="1"/>
  <c r="AX191" i="35"/>
  <c r="BY191" i="35" s="1"/>
  <c r="AX219" i="35"/>
  <c r="BY219" i="35" s="1"/>
  <c r="AX268" i="35"/>
  <c r="BY268" i="35" s="1"/>
  <c r="AX247" i="35"/>
  <c r="BY247" i="35" s="1"/>
  <c r="AX275" i="35"/>
  <c r="BY275" i="35" s="1"/>
  <c r="AW282" i="35"/>
  <c r="AG333" i="35"/>
  <c r="AD333" i="35"/>
  <c r="CO233" i="35"/>
  <c r="AP333" i="35"/>
  <c r="BW205" i="35"/>
  <c r="BW212" i="35"/>
  <c r="BU213" i="35"/>
  <c r="AL330" i="35"/>
  <c r="BU330" i="35" s="1"/>
  <c r="BU206" i="35"/>
  <c r="AL329" i="35"/>
  <c r="BU329" i="35" s="1"/>
  <c r="BW198" i="35"/>
  <c r="BU192" i="35"/>
  <c r="AL327" i="35"/>
  <c r="BU327" i="35" s="1"/>
  <c r="AN333" i="35"/>
  <c r="AN329" i="35"/>
  <c r="AN336" i="35"/>
  <c r="AN339" i="35"/>
  <c r="AN335" i="35"/>
  <c r="AN330" i="35"/>
  <c r="AN337" i="35"/>
  <c r="BT226" i="35"/>
  <c r="BR226" i="35"/>
  <c r="AC332" i="35"/>
  <c r="BR332" i="35" s="1"/>
  <c r="BU226" i="35"/>
  <c r="BW226" i="35"/>
  <c r="BV226" i="35"/>
  <c r="AA333" i="35"/>
  <c r="CN233" i="35"/>
  <c r="AM333" i="35"/>
  <c r="AJ333" i="35"/>
  <c r="BU199" i="35"/>
  <c r="AL328" i="35"/>
  <c r="BU328" i="35" s="1"/>
  <c r="BS226" i="35"/>
  <c r="AF332" i="35"/>
  <c r="BS332" i="35" s="1"/>
  <c r="BW191" i="35"/>
  <c r="AN326" i="35"/>
  <c r="AN338" i="35"/>
  <c r="AN331" i="35"/>
  <c r="AN332" i="35"/>
  <c r="AN328" i="35"/>
  <c r="AN327" i="35"/>
  <c r="AN334" i="35"/>
  <c r="AI331" i="35"/>
  <c r="BT331" i="35" s="1"/>
  <c r="AF234" i="35"/>
  <c r="BS234" i="35" s="1"/>
  <c r="CK234" i="35"/>
  <c r="AC236" i="35"/>
  <c r="BR236" i="35" s="1"/>
  <c r="CJ236" i="35"/>
  <c r="AI236" i="35"/>
  <c r="BT236" i="35" s="1"/>
  <c r="CL236" i="35"/>
  <c r="AC233" i="35"/>
  <c r="CJ233" i="35"/>
  <c r="AL233" i="35"/>
  <c r="CM233" i="35"/>
  <c r="AC235" i="35"/>
  <c r="BR235" i="35" s="1"/>
  <c r="CJ235" i="35"/>
  <c r="AL235" i="35"/>
  <c r="BU235" i="35" s="1"/>
  <c r="CM235" i="35"/>
  <c r="AR296" i="35"/>
  <c r="BW296" i="35" s="1"/>
  <c r="AQ289" i="35"/>
  <c r="AQ258" i="35"/>
  <c r="AQ223" i="35"/>
  <c r="AQ209" i="35"/>
  <c r="AQ272" i="35"/>
  <c r="AQ237" i="35"/>
  <c r="AQ188" i="35"/>
  <c r="AQ265" i="35"/>
  <c r="AQ244" i="35"/>
  <c r="AQ216" i="35"/>
  <c r="AQ195" i="35"/>
  <c r="AQ251" i="35"/>
  <c r="AQ202" i="35"/>
  <c r="AQ279" i="35"/>
  <c r="AQ230" i="35"/>
  <c r="AO195" i="35"/>
  <c r="BV195" i="35" s="1"/>
  <c r="AO188" i="35"/>
  <c r="BV188" i="35" s="1"/>
  <c r="AN286" i="35"/>
  <c r="AQ256" i="35"/>
  <c r="AQ221" i="35"/>
  <c r="AQ207" i="35"/>
  <c r="AQ270" i="35"/>
  <c r="AQ235" i="35"/>
  <c r="AQ186" i="35"/>
  <c r="AQ263" i="35"/>
  <c r="AQ242" i="35"/>
  <c r="AQ214" i="35"/>
  <c r="AQ193" i="35"/>
  <c r="AQ249" i="35"/>
  <c r="AQ200" i="35"/>
  <c r="AQ277" i="35"/>
  <c r="AQ228" i="35"/>
  <c r="AO221" i="35"/>
  <c r="BV221" i="35" s="1"/>
  <c r="AN284" i="35"/>
  <c r="AO193" i="35"/>
  <c r="BV193" i="35" s="1"/>
  <c r="AO186" i="35"/>
  <c r="BV186" i="35" s="1"/>
  <c r="AO203" i="35"/>
  <c r="BV203" i="35" s="1"/>
  <c r="AO196" i="35"/>
  <c r="BV196" i="35" s="1"/>
  <c r="AO189" i="35"/>
  <c r="BV189" i="35" s="1"/>
  <c r="AO201" i="35"/>
  <c r="BV201" i="35" s="1"/>
  <c r="AO194" i="35"/>
  <c r="BV194" i="35" s="1"/>
  <c r="AO187" i="35"/>
  <c r="BV187" i="35" s="1"/>
  <c r="AL298" i="35"/>
  <c r="BU298" i="35" s="1"/>
  <c r="AK290" i="35"/>
  <c r="AQ269" i="35"/>
  <c r="AQ234" i="35"/>
  <c r="AQ185" i="35"/>
  <c r="AQ262" i="35"/>
  <c r="AQ241" i="35"/>
  <c r="AQ213" i="35"/>
  <c r="AQ192" i="35"/>
  <c r="AQ227" i="35"/>
  <c r="AQ248" i="35"/>
  <c r="AQ199" i="35"/>
  <c r="AQ276" i="35"/>
  <c r="AQ255" i="35"/>
  <c r="AQ220" i="35"/>
  <c r="AQ206" i="35"/>
  <c r="AN297" i="35"/>
  <c r="AO206" i="35"/>
  <c r="AN283" i="35"/>
  <c r="AO213" i="35"/>
  <c r="AK294" i="35"/>
  <c r="AC234" i="35"/>
  <c r="BR234" i="35" s="1"/>
  <c r="CJ234" i="35"/>
  <c r="AI234" i="35"/>
  <c r="BT234" i="35" s="1"/>
  <c r="CL234" i="35"/>
  <c r="AF236" i="35"/>
  <c r="BS236" i="35" s="1"/>
  <c r="CK236" i="35"/>
  <c r="AI233" i="35"/>
  <c r="CL233" i="35"/>
  <c r="AF233" i="35"/>
  <c r="CK233" i="35"/>
  <c r="AI235" i="35"/>
  <c r="BT235" i="35" s="1"/>
  <c r="CL235" i="35"/>
  <c r="AF235" i="35"/>
  <c r="BS235" i="35" s="1"/>
  <c r="CK235" i="35"/>
  <c r="AL299" i="35"/>
  <c r="BU299" i="35" s="1"/>
  <c r="AN300" i="35"/>
  <c r="AO202" i="35"/>
  <c r="BV202" i="35" s="1"/>
  <c r="AN298" i="35"/>
  <c r="AO207" i="35"/>
  <c r="BV207" i="35" s="1"/>
  <c r="AO200" i="35"/>
  <c r="BV200" i="35" s="1"/>
  <c r="AO214" i="35"/>
  <c r="BV214" i="35" s="1"/>
  <c r="AL297" i="35"/>
  <c r="BU297" i="35" s="1"/>
  <c r="AQ259" i="35"/>
  <c r="AQ224" i="35"/>
  <c r="AQ210" i="35"/>
  <c r="AQ273" i="35"/>
  <c r="AQ238" i="35"/>
  <c r="AQ189" i="35"/>
  <c r="AQ231" i="35"/>
  <c r="AQ266" i="35"/>
  <c r="AQ245" i="35"/>
  <c r="AQ217" i="35"/>
  <c r="AR217" i="35" s="1"/>
  <c r="BW217" i="35" s="1"/>
  <c r="AQ196" i="35"/>
  <c r="AQ252" i="35"/>
  <c r="AQ203" i="35"/>
  <c r="AQ280" i="35"/>
  <c r="AN287" i="35"/>
  <c r="AN301" i="35"/>
  <c r="AK292" i="35"/>
  <c r="AQ271" i="35"/>
  <c r="AQ236" i="35"/>
  <c r="AQ187" i="35"/>
  <c r="AQ264" i="35"/>
  <c r="AQ243" i="35"/>
  <c r="AQ215" i="35"/>
  <c r="AQ194" i="35"/>
  <c r="AQ250" i="35"/>
  <c r="AQ201" i="35"/>
  <c r="AQ278" i="35"/>
  <c r="AQ257" i="35"/>
  <c r="AQ222" i="35"/>
  <c r="AQ208" i="35"/>
  <c r="AQ229" i="35"/>
  <c r="AN285" i="35"/>
  <c r="AO215" i="35"/>
  <c r="BV215" i="35" s="1"/>
  <c r="AN299" i="35"/>
  <c r="AO208" i="35"/>
  <c r="BV208" i="35" s="1"/>
  <c r="AK293" i="35"/>
  <c r="AL300" i="35"/>
  <c r="BU300" i="35" s="1"/>
  <c r="AK291" i="35"/>
  <c r="AO185" i="35"/>
  <c r="BV185" i="35" s="1"/>
  <c r="AO199" i="35"/>
  <c r="AO192" i="35"/>
  <c r="AL301" i="35"/>
  <c r="BU301" i="35" s="1"/>
  <c r="B257" i="35"/>
  <c r="AP240" i="35"/>
  <c r="AG240" i="35"/>
  <c r="AM240" i="35"/>
  <c r="AA240" i="35"/>
  <c r="AD240" i="35"/>
  <c r="AJ240" i="35"/>
  <c r="B256" i="35"/>
  <c r="AI231" i="35"/>
  <c r="BT231" i="35" s="1"/>
  <c r="AL224" i="35"/>
  <c r="BU224" i="35" s="1"/>
  <c r="AC245" i="35"/>
  <c r="BR245" i="35" s="1"/>
  <c r="AC244" i="35"/>
  <c r="BR244" i="35" s="1"/>
  <c r="AP241" i="35"/>
  <c r="CO241" i="35" s="1"/>
  <c r="AJ241" i="35"/>
  <c r="CM241" i="35" s="1"/>
  <c r="AD241" i="35"/>
  <c r="CK241" i="35" s="1"/>
  <c r="AM241" i="35"/>
  <c r="CN241" i="35" s="1"/>
  <c r="AG241" i="35"/>
  <c r="AA241" i="35"/>
  <c r="AP243" i="35"/>
  <c r="CO243" i="35" s="1"/>
  <c r="AJ243" i="35"/>
  <c r="CM243" i="35" s="1"/>
  <c r="AD243" i="35"/>
  <c r="CK243" i="35" s="1"/>
  <c r="AM243" i="35"/>
  <c r="CN243" i="35" s="1"/>
  <c r="AG243" i="35"/>
  <c r="AA243" i="35"/>
  <c r="AF237" i="35"/>
  <c r="BS237" i="35" s="1"/>
  <c r="AF238" i="35"/>
  <c r="BS238" i="35" s="1"/>
  <c r="AR216" i="35"/>
  <c r="BW216" i="35" s="1"/>
  <c r="B254" i="35"/>
  <c r="AP242" i="35"/>
  <c r="CO242" i="35" s="1"/>
  <c r="AG242" i="35"/>
  <c r="AM242" i="35"/>
  <c r="CN242" i="35" s="1"/>
  <c r="AA242" i="35"/>
  <c r="AD242" i="35"/>
  <c r="CK242" i="35" s="1"/>
  <c r="AJ242" i="35"/>
  <c r="AO217" i="35"/>
  <c r="BV217" i="35" s="1"/>
  <c r="AL223" i="35"/>
  <c r="BU223" i="35" s="1"/>
  <c r="AI230" i="35"/>
  <c r="BT230" i="35" s="1"/>
  <c r="AO216" i="35"/>
  <c r="BV216" i="35" s="1"/>
  <c r="B255" i="35"/>
  <c r="AO227" i="35"/>
  <c r="BV227" i="35" s="1"/>
  <c r="AR227" i="35"/>
  <c r="BW227" i="35" s="1"/>
  <c r="AO229" i="35"/>
  <c r="BV229" i="35" s="1"/>
  <c r="AL236" i="35"/>
  <c r="BU236" i="35" s="1"/>
  <c r="AR233" i="35"/>
  <c r="AL234" i="35"/>
  <c r="BU234" i="35" s="1"/>
  <c r="AO235" i="35"/>
  <c r="BV235" i="35" s="1"/>
  <c r="AO233" i="35"/>
  <c r="AU192" i="35" l="1"/>
  <c r="AT327" i="35"/>
  <c r="AU185" i="35"/>
  <c r="AT326" i="35"/>
  <c r="AU213" i="35"/>
  <c r="AT330" i="35"/>
  <c r="AU241" i="35"/>
  <c r="AT334" i="35"/>
  <c r="AU269" i="35"/>
  <c r="AT338" i="35"/>
  <c r="AU220" i="35"/>
  <c r="AT331" i="35"/>
  <c r="AU262" i="35"/>
  <c r="AT337" i="35"/>
  <c r="AZ315" i="35"/>
  <c r="AW276" i="35"/>
  <c r="AW262" i="35"/>
  <c r="AW248" i="35"/>
  <c r="AW234" i="35"/>
  <c r="AW220" i="35"/>
  <c r="AW206" i="35"/>
  <c r="AW192" i="35"/>
  <c r="AW255" i="35"/>
  <c r="AW227" i="35"/>
  <c r="AW199" i="35"/>
  <c r="AW269" i="35"/>
  <c r="AW241" i="35"/>
  <c r="AW213" i="35"/>
  <c r="AW185" i="35"/>
  <c r="BA184" i="35"/>
  <c r="BZ184" i="35" s="1"/>
  <c r="BA240" i="35"/>
  <c r="BZ240" i="35" s="1"/>
  <c r="BA198" i="35"/>
  <c r="BZ198" i="35" s="1"/>
  <c r="BA254" i="35"/>
  <c r="BZ254" i="35" s="1"/>
  <c r="AZ296" i="35"/>
  <c r="BA296" i="35" s="1"/>
  <c r="BZ296" i="35" s="1"/>
  <c r="BA205" i="35"/>
  <c r="BZ205" i="35" s="1"/>
  <c r="BA233" i="35"/>
  <c r="BZ233" i="35" s="1"/>
  <c r="BA261" i="35"/>
  <c r="BZ261" i="35" s="1"/>
  <c r="AU234" i="35"/>
  <c r="AT333" i="35"/>
  <c r="AU199" i="35"/>
  <c r="AT328" i="35"/>
  <c r="AU227" i="35"/>
  <c r="AT332" i="35"/>
  <c r="AU255" i="35"/>
  <c r="AT336" i="35"/>
  <c r="AT297" i="35"/>
  <c r="AU297" i="35" s="1"/>
  <c r="BX297" i="35" s="1"/>
  <c r="AU206" i="35"/>
  <c r="BX206" i="35" s="1"/>
  <c r="AT329" i="35"/>
  <c r="AU248" i="35"/>
  <c r="AT335" i="35"/>
  <c r="AU276" i="35"/>
  <c r="BX276" i="35" s="1"/>
  <c r="AT283" i="35"/>
  <c r="AT339" i="35"/>
  <c r="AZ317" i="35"/>
  <c r="AW278" i="35"/>
  <c r="AW264" i="35"/>
  <c r="AX264" i="35" s="1"/>
  <c r="BY264" i="35" s="1"/>
  <c r="AW250" i="35"/>
  <c r="AX250" i="35" s="1"/>
  <c r="BY250" i="35" s="1"/>
  <c r="AW236" i="35"/>
  <c r="AX236" i="35" s="1"/>
  <c r="BY236" i="35" s="1"/>
  <c r="AW222" i="35"/>
  <c r="AX222" i="35" s="1"/>
  <c r="BY222" i="35" s="1"/>
  <c r="AW208" i="35"/>
  <c r="AW194" i="35"/>
  <c r="AX194" i="35" s="1"/>
  <c r="BY194" i="35" s="1"/>
  <c r="AW257" i="35"/>
  <c r="AX257" i="35" s="1"/>
  <c r="BY257" i="35" s="1"/>
  <c r="AW229" i="35"/>
  <c r="AX229" i="35" s="1"/>
  <c r="BY229" i="35" s="1"/>
  <c r="AW201" i="35"/>
  <c r="AX201" i="35" s="1"/>
  <c r="BY201" i="35" s="1"/>
  <c r="AW271" i="35"/>
  <c r="AX271" i="35" s="1"/>
  <c r="BY271" i="35" s="1"/>
  <c r="AW243" i="35"/>
  <c r="AX243" i="35" s="1"/>
  <c r="BY243" i="35" s="1"/>
  <c r="AW215" i="35"/>
  <c r="AX215" i="35" s="1"/>
  <c r="BY215" i="35" s="1"/>
  <c r="AW187" i="35"/>
  <c r="AX187" i="35" s="1"/>
  <c r="BY187" i="35" s="1"/>
  <c r="AT299" i="35"/>
  <c r="AU299" i="35" s="1"/>
  <c r="BX299" i="35" s="1"/>
  <c r="AU208" i="35"/>
  <c r="BX208" i="35" s="1"/>
  <c r="AT298" i="35"/>
  <c r="AU298" i="35" s="1"/>
  <c r="BX298" i="35" s="1"/>
  <c r="AU207" i="35"/>
  <c r="BX207" i="35" s="1"/>
  <c r="AZ316" i="35"/>
  <c r="AW277" i="35"/>
  <c r="AW263" i="35"/>
  <c r="AX263" i="35" s="1"/>
  <c r="BY263" i="35" s="1"/>
  <c r="AW249" i="35"/>
  <c r="AX249" i="35" s="1"/>
  <c r="BY249" i="35" s="1"/>
  <c r="AW235" i="35"/>
  <c r="AX235" i="35" s="1"/>
  <c r="BY235" i="35" s="1"/>
  <c r="AW221" i="35"/>
  <c r="AX221" i="35" s="1"/>
  <c r="BY221" i="35" s="1"/>
  <c r="AW207" i="35"/>
  <c r="AW193" i="35"/>
  <c r="AX193" i="35" s="1"/>
  <c r="BY193" i="35" s="1"/>
  <c r="AW270" i="35"/>
  <c r="AX270" i="35" s="1"/>
  <c r="BY270" i="35" s="1"/>
  <c r="AW256" i="35"/>
  <c r="AX256" i="35" s="1"/>
  <c r="BY256" i="35" s="1"/>
  <c r="AW242" i="35"/>
  <c r="AX242" i="35" s="1"/>
  <c r="BY242" i="35" s="1"/>
  <c r="AW228" i="35"/>
  <c r="AX228" i="35" s="1"/>
  <c r="BY228" i="35" s="1"/>
  <c r="AW214" i="35"/>
  <c r="AX214" i="35" s="1"/>
  <c r="BY214" i="35" s="1"/>
  <c r="AW200" i="35"/>
  <c r="AX200" i="35" s="1"/>
  <c r="BY200" i="35" s="1"/>
  <c r="AW186" i="35"/>
  <c r="AX186" i="35" s="1"/>
  <c r="BY186" i="35" s="1"/>
  <c r="AZ318" i="35"/>
  <c r="AW279" i="35"/>
  <c r="AW265" i="35"/>
  <c r="AX265" i="35" s="1"/>
  <c r="BY265" i="35" s="1"/>
  <c r="AW251" i="35"/>
  <c r="AX251" i="35" s="1"/>
  <c r="BY251" i="35" s="1"/>
  <c r="AW237" i="35"/>
  <c r="AX237" i="35" s="1"/>
  <c r="BY237" i="35" s="1"/>
  <c r="AW223" i="35"/>
  <c r="AX223" i="35" s="1"/>
  <c r="BY223" i="35" s="1"/>
  <c r="AW209" i="35"/>
  <c r="AW195" i="35"/>
  <c r="AX195" i="35" s="1"/>
  <c r="BY195" i="35" s="1"/>
  <c r="AW272" i="35"/>
  <c r="AX272" i="35" s="1"/>
  <c r="BY272" i="35" s="1"/>
  <c r="AW244" i="35"/>
  <c r="AX244" i="35" s="1"/>
  <c r="BY244" i="35" s="1"/>
  <c r="AW216" i="35"/>
  <c r="AX216" i="35" s="1"/>
  <c r="BY216" i="35" s="1"/>
  <c r="AW188" i="35"/>
  <c r="AX188" i="35" s="1"/>
  <c r="BY188" i="35" s="1"/>
  <c r="AW258" i="35"/>
  <c r="AX258" i="35" s="1"/>
  <c r="BY258" i="35" s="1"/>
  <c r="AW230" i="35"/>
  <c r="AX230" i="35" s="1"/>
  <c r="BY230" i="35" s="1"/>
  <c r="AW202" i="35"/>
  <c r="AX202" i="35" s="1"/>
  <c r="BY202" i="35" s="1"/>
  <c r="AT300" i="35"/>
  <c r="AU300" i="35" s="1"/>
  <c r="BX300" i="35" s="1"/>
  <c r="AU209" i="35"/>
  <c r="BX209" i="35" s="1"/>
  <c r="AW289" i="35"/>
  <c r="AX289" i="35" s="1"/>
  <c r="BY289" i="35" s="1"/>
  <c r="AX282" i="35"/>
  <c r="BY282" i="35" s="1"/>
  <c r="BA212" i="35"/>
  <c r="BZ212" i="35" s="1"/>
  <c r="BA268" i="35"/>
  <c r="BZ268" i="35" s="1"/>
  <c r="BA226" i="35"/>
  <c r="BZ226" i="35" s="1"/>
  <c r="BA191" i="35"/>
  <c r="BZ191" i="35" s="1"/>
  <c r="BA219" i="35"/>
  <c r="BZ219" i="35" s="1"/>
  <c r="BA247" i="35"/>
  <c r="BZ247" i="35" s="1"/>
  <c r="BA275" i="35"/>
  <c r="BZ275" i="35" s="1"/>
  <c r="AZ282" i="35"/>
  <c r="AT285" i="35"/>
  <c r="AU278" i="35"/>
  <c r="BX278" i="35" s="1"/>
  <c r="AW238" i="35"/>
  <c r="AX238" i="35" s="1"/>
  <c r="BY238" i="35" s="1"/>
  <c r="AW224" i="35"/>
  <c r="AX224" i="35" s="1"/>
  <c r="BY224" i="35" s="1"/>
  <c r="AW210" i="35"/>
  <c r="AW196" i="35"/>
  <c r="AX196" i="35" s="1"/>
  <c r="BY196" i="35" s="1"/>
  <c r="AW231" i="35"/>
  <c r="AX231" i="35" s="1"/>
  <c r="BY231" i="35" s="1"/>
  <c r="AW217" i="35"/>
  <c r="AX217" i="35" s="1"/>
  <c r="BY217" i="35" s="1"/>
  <c r="AW203" i="35"/>
  <c r="AX203" i="35" s="1"/>
  <c r="BY203" i="35" s="1"/>
  <c r="AW189" i="35"/>
  <c r="AX189" i="35" s="1"/>
  <c r="BY189" i="35" s="1"/>
  <c r="AZ319" i="35"/>
  <c r="AW280" i="35"/>
  <c r="AW266" i="35"/>
  <c r="AX266" i="35" s="1"/>
  <c r="BY266" i="35" s="1"/>
  <c r="AW252" i="35"/>
  <c r="AX252" i="35" s="1"/>
  <c r="BY252" i="35" s="1"/>
  <c r="AW273" i="35"/>
  <c r="AX273" i="35" s="1"/>
  <c r="BY273" i="35" s="1"/>
  <c r="AW259" i="35"/>
  <c r="AX259" i="35" s="1"/>
  <c r="BY259" i="35" s="1"/>
  <c r="AW245" i="35"/>
  <c r="AX245" i="35" s="1"/>
  <c r="BY245" i="35" s="1"/>
  <c r="AT301" i="35"/>
  <c r="AU301" i="35" s="1"/>
  <c r="BX301" i="35" s="1"/>
  <c r="AU210" i="35"/>
  <c r="BX210" i="35" s="1"/>
  <c r="AT287" i="35"/>
  <c r="AU280" i="35"/>
  <c r="BX280" i="35" s="1"/>
  <c r="AU277" i="35"/>
  <c r="BX277" i="35" s="1"/>
  <c r="AT284" i="35"/>
  <c r="AU279" i="35"/>
  <c r="BX279" i="35" s="1"/>
  <c r="AT286" i="35"/>
  <c r="BW233" i="35"/>
  <c r="AD334" i="35"/>
  <c r="CN240" i="35"/>
  <c r="AM334" i="35"/>
  <c r="CO240" i="35"/>
  <c r="AP334" i="35"/>
  <c r="BV192" i="35"/>
  <c r="AO327" i="35"/>
  <c r="BV327" i="35" s="1"/>
  <c r="BS233" i="35"/>
  <c r="AF333" i="35"/>
  <c r="BS333" i="35" s="1"/>
  <c r="BT233" i="35"/>
  <c r="BV213" i="35"/>
  <c r="AO330" i="35"/>
  <c r="BV330" i="35" s="1"/>
  <c r="BV206" i="35"/>
  <c r="AO329" i="35"/>
  <c r="BV329" i="35" s="1"/>
  <c r="AQ329" i="35"/>
  <c r="AQ336" i="35"/>
  <c r="AQ328" i="35"/>
  <c r="AQ332" i="35"/>
  <c r="AQ330" i="35"/>
  <c r="AQ337" i="35"/>
  <c r="AQ333" i="35"/>
  <c r="BU233" i="35"/>
  <c r="BR233" i="35"/>
  <c r="AC333" i="35"/>
  <c r="BR333" i="35" s="1"/>
  <c r="BV233" i="35"/>
  <c r="AJ334" i="35"/>
  <c r="AA334" i="35"/>
  <c r="AG334" i="35"/>
  <c r="BV199" i="35"/>
  <c r="AO328" i="35"/>
  <c r="BV328" i="35" s="1"/>
  <c r="AQ331" i="35"/>
  <c r="AQ339" i="35"/>
  <c r="AQ335" i="35"/>
  <c r="AQ327" i="35"/>
  <c r="AQ334" i="35"/>
  <c r="AQ326" i="35"/>
  <c r="AQ338" i="35"/>
  <c r="AL331" i="35"/>
  <c r="BU331" i="35" s="1"/>
  <c r="AI332" i="35"/>
  <c r="BT332" i="35" s="1"/>
  <c r="AR235" i="35"/>
  <c r="BW235" i="35" s="1"/>
  <c r="AR229" i="35"/>
  <c r="BW229" i="35" s="1"/>
  <c r="AC243" i="35"/>
  <c r="BR243" i="35" s="1"/>
  <c r="CJ243" i="35"/>
  <c r="AC241" i="35"/>
  <c r="BR241" i="35" s="1"/>
  <c r="CJ241" i="35"/>
  <c r="AI243" i="35"/>
  <c r="BT243" i="35" s="1"/>
  <c r="CL243" i="35"/>
  <c r="AI241" i="35"/>
  <c r="BT241" i="35" s="1"/>
  <c r="CL241" i="35"/>
  <c r="AL240" i="35"/>
  <c r="CM240" i="35"/>
  <c r="AC240" i="35"/>
  <c r="CJ240" i="35"/>
  <c r="AI240" i="35"/>
  <c r="CL240" i="35"/>
  <c r="AQ299" i="35"/>
  <c r="AR208" i="35"/>
  <c r="BW208" i="35" s="1"/>
  <c r="AR201" i="35"/>
  <c r="BW201" i="35" s="1"/>
  <c r="AR194" i="35"/>
  <c r="BW194" i="35" s="1"/>
  <c r="AR187" i="35"/>
  <c r="BW187" i="35" s="1"/>
  <c r="AQ287" i="35"/>
  <c r="AR189" i="35"/>
  <c r="BW189" i="35" s="1"/>
  <c r="AO298" i="35"/>
  <c r="BV298" i="35" s="1"/>
  <c r="AO300" i="35"/>
  <c r="BV300" i="35" s="1"/>
  <c r="AN290" i="35"/>
  <c r="AR220" i="35"/>
  <c r="AQ283" i="35"/>
  <c r="AR192" i="35"/>
  <c r="AR185" i="35"/>
  <c r="BW185" i="35" s="1"/>
  <c r="AN291" i="35"/>
  <c r="AR228" i="35"/>
  <c r="BW228" i="35" s="1"/>
  <c r="AR200" i="35"/>
  <c r="BW200" i="35" s="1"/>
  <c r="AR193" i="35"/>
  <c r="BW193" i="35" s="1"/>
  <c r="AR186" i="35"/>
  <c r="BW186" i="35" s="1"/>
  <c r="AR221" i="35"/>
  <c r="BW221" i="35" s="1"/>
  <c r="AQ286" i="35"/>
  <c r="AQ300" i="35"/>
  <c r="AR209" i="35"/>
  <c r="BW209" i="35" s="1"/>
  <c r="AL242" i="35"/>
  <c r="BU242" i="35" s="1"/>
  <c r="CM242" i="35"/>
  <c r="AC242" i="35"/>
  <c r="BR242" i="35" s="1"/>
  <c r="CJ242" i="35"/>
  <c r="AI242" i="35"/>
  <c r="BT242" i="35" s="1"/>
  <c r="CL242" i="35"/>
  <c r="AF240" i="35"/>
  <c r="CK240" i="35"/>
  <c r="AO299" i="35"/>
  <c r="BV299" i="35" s="1"/>
  <c r="AN292" i="35"/>
  <c r="AR222" i="35"/>
  <c r="BW222" i="35" s="1"/>
  <c r="AQ285" i="35"/>
  <c r="AR215" i="35"/>
  <c r="BW215" i="35" s="1"/>
  <c r="AO301" i="35"/>
  <c r="BV301" i="35" s="1"/>
  <c r="AN294" i="35"/>
  <c r="AR203" i="35"/>
  <c r="BW203" i="35" s="1"/>
  <c r="AR196" i="35"/>
  <c r="BW196" i="35" s="1"/>
  <c r="AQ301" i="35"/>
  <c r="AR210" i="35"/>
  <c r="BW210" i="35" s="1"/>
  <c r="AO297" i="35"/>
  <c r="BV297" i="35" s="1"/>
  <c r="AQ297" i="35"/>
  <c r="AR206" i="35"/>
  <c r="AR199" i="35"/>
  <c r="AR213" i="35"/>
  <c r="AQ284" i="35"/>
  <c r="AR214" i="35"/>
  <c r="BW214" i="35" s="1"/>
  <c r="AQ298" i="35"/>
  <c r="AR207" i="35"/>
  <c r="BW207" i="35" s="1"/>
  <c r="AN293" i="35"/>
  <c r="AR202" i="35"/>
  <c r="BW202" i="35" s="1"/>
  <c r="AR195" i="35"/>
  <c r="BW195" i="35" s="1"/>
  <c r="AR188" i="35"/>
  <c r="BW188" i="35" s="1"/>
  <c r="AP248" i="35"/>
  <c r="CO248" i="35" s="1"/>
  <c r="AG248" i="35"/>
  <c r="AM248" i="35"/>
  <c r="CN248" i="35" s="1"/>
  <c r="AA248" i="35"/>
  <c r="CJ248" i="35" s="1"/>
  <c r="AD248" i="35"/>
  <c r="AJ248" i="35"/>
  <c r="CM248" i="35" s="1"/>
  <c r="B262" i="35"/>
  <c r="AI237" i="35"/>
  <c r="BT237" i="35" s="1"/>
  <c r="B261" i="35"/>
  <c r="AR223" i="35"/>
  <c r="BW223" i="35" s="1"/>
  <c r="AF245" i="35"/>
  <c r="BS245" i="35" s="1"/>
  <c r="AF244" i="35"/>
  <c r="BS244" i="35" s="1"/>
  <c r="AC252" i="35"/>
  <c r="BR252" i="35" s="1"/>
  <c r="AI238" i="35"/>
  <c r="BT238" i="35" s="1"/>
  <c r="AP249" i="35"/>
  <c r="CO249" i="35" s="1"/>
  <c r="AJ249" i="35"/>
  <c r="AD249" i="35"/>
  <c r="AM249" i="35"/>
  <c r="CN249" i="35" s="1"/>
  <c r="AG249" i="35"/>
  <c r="AA249" i="35"/>
  <c r="AP250" i="35"/>
  <c r="CO250" i="35" s="1"/>
  <c r="AG250" i="35"/>
  <c r="AM250" i="35"/>
  <c r="CN250" i="35" s="1"/>
  <c r="AA250" i="35"/>
  <c r="AD250" i="35"/>
  <c r="AJ250" i="35"/>
  <c r="CM250" i="35" s="1"/>
  <c r="AO223" i="35"/>
  <c r="BV223" i="35" s="1"/>
  <c r="AL230" i="35"/>
  <c r="AO224" i="35"/>
  <c r="BV224" i="35" s="1"/>
  <c r="AF242" i="35"/>
  <c r="BS242" i="35" s="1"/>
  <c r="AP247" i="35"/>
  <c r="AJ247" i="35"/>
  <c r="AD247" i="35"/>
  <c r="AM247" i="35"/>
  <c r="AG247" i="35"/>
  <c r="AA247" i="35"/>
  <c r="AA335" i="35" s="1"/>
  <c r="AF243" i="35"/>
  <c r="BS243" i="35" s="1"/>
  <c r="AF241" i="35"/>
  <c r="BS241" i="35" s="1"/>
  <c r="AC251" i="35"/>
  <c r="BR251" i="35" s="1"/>
  <c r="AL231" i="35"/>
  <c r="BU231" i="35" s="1"/>
  <c r="B263" i="35"/>
  <c r="B264" i="35"/>
  <c r="AR224" i="35"/>
  <c r="BW224" i="35" s="1"/>
  <c r="AO240" i="35"/>
  <c r="AO242" i="35"/>
  <c r="BV242" i="35" s="1"/>
  <c r="AL241" i="35"/>
  <c r="BU241" i="35" s="1"/>
  <c r="AR240" i="35"/>
  <c r="AR242" i="35"/>
  <c r="BW242" i="35" s="1"/>
  <c r="AL243" i="35"/>
  <c r="BU243" i="35" s="1"/>
  <c r="AR234" i="35"/>
  <c r="BW234" i="35" s="1"/>
  <c r="AR236" i="35"/>
  <c r="BW236" i="35" s="1"/>
  <c r="AO236" i="35"/>
  <c r="BV236" i="35" s="1"/>
  <c r="AO234" i="35"/>
  <c r="BV234" i="35" s="1"/>
  <c r="A19" i="28"/>
  <c r="A8" i="15" s="1"/>
  <c r="AJ335" i="35" l="1"/>
  <c r="AD335" i="35"/>
  <c r="AU336" i="35"/>
  <c r="BX336" i="35" s="1"/>
  <c r="BX255" i="35"/>
  <c r="AU332" i="35"/>
  <c r="BX332" i="35" s="1"/>
  <c r="BX227" i="35"/>
  <c r="AU328" i="35"/>
  <c r="BX328" i="35" s="1"/>
  <c r="BX199" i="35"/>
  <c r="AU333" i="35"/>
  <c r="BX333" i="35" s="1"/>
  <c r="BX234" i="35"/>
  <c r="AU335" i="35"/>
  <c r="BX335" i="35" s="1"/>
  <c r="BX248" i="35"/>
  <c r="AU337" i="35"/>
  <c r="BX337" i="35" s="1"/>
  <c r="BX262" i="35"/>
  <c r="AU331" i="35"/>
  <c r="BX331" i="35" s="1"/>
  <c r="BX220" i="35"/>
  <c r="AU338" i="35"/>
  <c r="BX338" i="35" s="1"/>
  <c r="BX269" i="35"/>
  <c r="AU334" i="35"/>
  <c r="BX334" i="35" s="1"/>
  <c r="BX241" i="35"/>
  <c r="AU330" i="35"/>
  <c r="BX330" i="35" s="1"/>
  <c r="BX213" i="35"/>
  <c r="AU326" i="35"/>
  <c r="BX326" i="35" s="1"/>
  <c r="BX185" i="35"/>
  <c r="AU327" i="35"/>
  <c r="BX327" i="35" s="1"/>
  <c r="BX192" i="35"/>
  <c r="AU287" i="35"/>
  <c r="BX287" i="35" s="1"/>
  <c r="AT294" i="35"/>
  <c r="AU294" i="35" s="1"/>
  <c r="BX294" i="35" s="1"/>
  <c r="AW287" i="35"/>
  <c r="AX280" i="35"/>
  <c r="BY280" i="35" s="1"/>
  <c r="BA282" i="35"/>
  <c r="BZ282" i="35" s="1"/>
  <c r="AZ289" i="35"/>
  <c r="BA289" i="35" s="1"/>
  <c r="BZ289" i="35" s="1"/>
  <c r="AX279" i="35"/>
  <c r="BY279" i="35" s="1"/>
  <c r="AW286" i="35"/>
  <c r="AX207" i="35"/>
  <c r="BY207" i="35" s="1"/>
  <c r="AW298" i="35"/>
  <c r="AX298" i="35" s="1"/>
  <c r="BY298" i="35" s="1"/>
  <c r="AZ277" i="35"/>
  <c r="AZ263" i="35"/>
  <c r="BA263" i="35" s="1"/>
  <c r="BZ263" i="35" s="1"/>
  <c r="AZ249" i="35"/>
  <c r="BA249" i="35" s="1"/>
  <c r="BZ249" i="35" s="1"/>
  <c r="AZ235" i="35"/>
  <c r="BA235" i="35" s="1"/>
  <c r="BZ235" i="35" s="1"/>
  <c r="AZ221" i="35"/>
  <c r="BA221" i="35" s="1"/>
  <c r="BZ221" i="35" s="1"/>
  <c r="AZ207" i="35"/>
  <c r="AZ193" i="35"/>
  <c r="BA193" i="35" s="1"/>
  <c r="BZ193" i="35" s="1"/>
  <c r="AZ270" i="35"/>
  <c r="BA270" i="35" s="1"/>
  <c r="BZ270" i="35" s="1"/>
  <c r="AZ242" i="35"/>
  <c r="BA242" i="35" s="1"/>
  <c r="BZ242" i="35" s="1"/>
  <c r="AZ214" i="35"/>
  <c r="BA214" i="35" s="1"/>
  <c r="BZ214" i="35" s="1"/>
  <c r="AZ186" i="35"/>
  <c r="BA186" i="35" s="1"/>
  <c r="BZ186" i="35" s="1"/>
  <c r="AZ256" i="35"/>
  <c r="BA256" i="35" s="1"/>
  <c r="BZ256" i="35" s="1"/>
  <c r="AZ228" i="35"/>
  <c r="BA228" i="35" s="1"/>
  <c r="BZ228" i="35" s="1"/>
  <c r="AZ200" i="35"/>
  <c r="BA200" i="35" s="1"/>
  <c r="BZ200" i="35" s="1"/>
  <c r="AX208" i="35"/>
  <c r="BY208" i="35" s="1"/>
  <c r="AW299" i="35"/>
  <c r="AX299" i="35" s="1"/>
  <c r="BY299" i="35" s="1"/>
  <c r="AZ271" i="35"/>
  <c r="BA271" i="35" s="1"/>
  <c r="BZ271" i="35" s="1"/>
  <c r="AZ257" i="35"/>
  <c r="BA257" i="35" s="1"/>
  <c r="BZ257" i="35" s="1"/>
  <c r="AZ243" i="35"/>
  <c r="BA243" i="35" s="1"/>
  <c r="BZ243" i="35" s="1"/>
  <c r="AZ229" i="35"/>
  <c r="BA229" i="35" s="1"/>
  <c r="BZ229" i="35" s="1"/>
  <c r="AZ215" i="35"/>
  <c r="BA215" i="35" s="1"/>
  <c r="BZ215" i="35" s="1"/>
  <c r="AZ201" i="35"/>
  <c r="BA201" i="35" s="1"/>
  <c r="BZ201" i="35" s="1"/>
  <c r="AZ187" i="35"/>
  <c r="BA187" i="35" s="1"/>
  <c r="BZ187" i="35" s="1"/>
  <c r="AZ278" i="35"/>
  <c r="AZ264" i="35"/>
  <c r="BA264" i="35" s="1"/>
  <c r="BZ264" i="35" s="1"/>
  <c r="AZ250" i="35"/>
  <c r="BA250" i="35" s="1"/>
  <c r="BZ250" i="35" s="1"/>
  <c r="AZ236" i="35"/>
  <c r="BA236" i="35" s="1"/>
  <c r="BZ236" i="35" s="1"/>
  <c r="AZ222" i="35"/>
  <c r="BA222" i="35" s="1"/>
  <c r="BZ222" i="35" s="1"/>
  <c r="AZ208" i="35"/>
  <c r="AZ194" i="35"/>
  <c r="BA194" i="35" s="1"/>
  <c r="BZ194" i="35" s="1"/>
  <c r="AU283" i="35"/>
  <c r="BX283" i="35" s="1"/>
  <c r="AT290" i="35"/>
  <c r="AU290" i="35" s="1"/>
  <c r="BX290" i="35" s="1"/>
  <c r="AX185" i="35"/>
  <c r="AW326" i="35"/>
  <c r="AX241" i="35"/>
  <c r="AW334" i="35"/>
  <c r="AX199" i="35"/>
  <c r="AW328" i="35"/>
  <c r="AX255" i="35"/>
  <c r="AW336" i="35"/>
  <c r="AW297" i="35"/>
  <c r="AX297" i="35" s="1"/>
  <c r="BY297" i="35" s="1"/>
  <c r="AX206" i="35"/>
  <c r="BY206" i="35" s="1"/>
  <c r="AW329" i="35"/>
  <c r="AX234" i="35"/>
  <c r="AW333" i="35"/>
  <c r="AX262" i="35"/>
  <c r="AW337" i="35"/>
  <c r="AZ269" i="35"/>
  <c r="AZ255" i="35"/>
  <c r="AZ241" i="35"/>
  <c r="AZ227" i="35"/>
  <c r="AZ276" i="35"/>
  <c r="AZ262" i="35"/>
  <c r="AZ248" i="35"/>
  <c r="AZ234" i="35"/>
  <c r="AZ220" i="35"/>
  <c r="AZ206" i="35"/>
  <c r="AZ192" i="35"/>
  <c r="AZ213" i="35"/>
  <c r="AZ185" i="35"/>
  <c r="AZ199" i="35"/>
  <c r="AT293" i="35"/>
  <c r="AU293" i="35" s="1"/>
  <c r="BX293" i="35" s="1"/>
  <c r="AU286" i="35"/>
  <c r="BX286" i="35" s="1"/>
  <c r="AT291" i="35"/>
  <c r="AU291" i="35" s="1"/>
  <c r="BX291" i="35" s="1"/>
  <c r="AU284" i="35"/>
  <c r="BX284" i="35" s="1"/>
  <c r="AZ231" i="35"/>
  <c r="BA231" i="35" s="1"/>
  <c r="BZ231" i="35" s="1"/>
  <c r="AZ217" i="35"/>
  <c r="BA217" i="35" s="1"/>
  <c r="BZ217" i="35" s="1"/>
  <c r="AZ203" i="35"/>
  <c r="BA203" i="35" s="1"/>
  <c r="BZ203" i="35" s="1"/>
  <c r="AZ189" i="35"/>
  <c r="BA189" i="35" s="1"/>
  <c r="BZ189" i="35" s="1"/>
  <c r="AZ238" i="35"/>
  <c r="BA238" i="35" s="1"/>
  <c r="BZ238" i="35" s="1"/>
  <c r="AZ224" i="35"/>
  <c r="BA224" i="35" s="1"/>
  <c r="BZ224" i="35" s="1"/>
  <c r="AZ210" i="35"/>
  <c r="AZ196" i="35"/>
  <c r="BA196" i="35" s="1"/>
  <c r="BZ196" i="35" s="1"/>
  <c r="AZ280" i="35"/>
  <c r="AZ266" i="35"/>
  <c r="BA266" i="35" s="1"/>
  <c r="BZ266" i="35" s="1"/>
  <c r="AZ252" i="35"/>
  <c r="BA252" i="35" s="1"/>
  <c r="BZ252" i="35" s="1"/>
  <c r="AZ273" i="35"/>
  <c r="BA273" i="35" s="1"/>
  <c r="BZ273" i="35" s="1"/>
  <c r="AZ259" i="35"/>
  <c r="BA259" i="35" s="1"/>
  <c r="BZ259" i="35" s="1"/>
  <c r="AZ245" i="35"/>
  <c r="BA245" i="35" s="1"/>
  <c r="BZ245" i="35" s="1"/>
  <c r="AW301" i="35"/>
  <c r="AX301" i="35" s="1"/>
  <c r="BY301" i="35" s="1"/>
  <c r="AX210" i="35"/>
  <c r="BY210" i="35" s="1"/>
  <c r="AT292" i="35"/>
  <c r="AU292" i="35" s="1"/>
  <c r="BX292" i="35" s="1"/>
  <c r="AU285" i="35"/>
  <c r="BX285" i="35" s="1"/>
  <c r="AX209" i="35"/>
  <c r="BY209" i="35" s="1"/>
  <c r="AW300" i="35"/>
  <c r="AX300" i="35" s="1"/>
  <c r="BY300" i="35" s="1"/>
  <c r="AZ272" i="35"/>
  <c r="BA272" i="35" s="1"/>
  <c r="BZ272" i="35" s="1"/>
  <c r="AZ258" i="35"/>
  <c r="BA258" i="35" s="1"/>
  <c r="BZ258" i="35" s="1"/>
  <c r="AZ244" i="35"/>
  <c r="BA244" i="35" s="1"/>
  <c r="BZ244" i="35" s="1"/>
  <c r="AZ230" i="35"/>
  <c r="BA230" i="35" s="1"/>
  <c r="BZ230" i="35" s="1"/>
  <c r="AZ216" i="35"/>
  <c r="BA216" i="35" s="1"/>
  <c r="BZ216" i="35" s="1"/>
  <c r="AZ202" i="35"/>
  <c r="BA202" i="35" s="1"/>
  <c r="BZ202" i="35" s="1"/>
  <c r="AZ188" i="35"/>
  <c r="BA188" i="35" s="1"/>
  <c r="BZ188" i="35" s="1"/>
  <c r="AZ279" i="35"/>
  <c r="AZ265" i="35"/>
  <c r="BA265" i="35" s="1"/>
  <c r="BZ265" i="35" s="1"/>
  <c r="AZ251" i="35"/>
  <c r="BA251" i="35" s="1"/>
  <c r="BZ251" i="35" s="1"/>
  <c r="AZ237" i="35"/>
  <c r="BA237" i="35" s="1"/>
  <c r="BZ237" i="35" s="1"/>
  <c r="AZ223" i="35"/>
  <c r="BA223" i="35" s="1"/>
  <c r="BZ223" i="35" s="1"/>
  <c r="AZ209" i="35"/>
  <c r="AZ195" i="35"/>
  <c r="BA195" i="35" s="1"/>
  <c r="BZ195" i="35" s="1"/>
  <c r="AW284" i="35"/>
  <c r="AX277" i="35"/>
  <c r="BY277" i="35" s="1"/>
  <c r="AW285" i="35"/>
  <c r="AX278" i="35"/>
  <c r="BY278" i="35" s="1"/>
  <c r="AU339" i="35"/>
  <c r="BX339" i="35" s="1"/>
  <c r="AU329" i="35"/>
  <c r="BX329" i="35" s="1"/>
  <c r="AX213" i="35"/>
  <c r="AW330" i="35"/>
  <c r="AX269" i="35"/>
  <c r="AW338" i="35"/>
  <c r="AX227" i="35"/>
  <c r="AW332" i="35"/>
  <c r="AX192" i="35"/>
  <c r="AW327" i="35"/>
  <c r="AX220" i="35"/>
  <c r="AW331" i="35"/>
  <c r="AX248" i="35"/>
  <c r="AW335" i="35"/>
  <c r="AX276" i="35"/>
  <c r="BY276" i="35" s="1"/>
  <c r="AW283" i="35"/>
  <c r="AW339" i="35"/>
  <c r="AG335" i="35"/>
  <c r="AI333" i="35"/>
  <c r="BT333" i="35" s="1"/>
  <c r="BW240" i="35"/>
  <c r="BW199" i="35"/>
  <c r="AR328" i="35"/>
  <c r="BW328" i="35" s="1"/>
  <c r="BS240" i="35"/>
  <c r="AF334" i="35"/>
  <c r="BS334" i="35" s="1"/>
  <c r="AO331" i="35"/>
  <c r="BV331" i="35" s="1"/>
  <c r="BV240" i="35"/>
  <c r="CN247" i="35"/>
  <c r="AM335" i="35"/>
  <c r="BU230" i="35"/>
  <c r="AL332" i="35"/>
  <c r="BU332" i="35" s="1"/>
  <c r="BW213" i="35"/>
  <c r="AR330" i="35"/>
  <c r="BW330" i="35" s="1"/>
  <c r="BW206" i="35"/>
  <c r="AR329" i="35"/>
  <c r="BW329" i="35" s="1"/>
  <c r="BW192" i="35"/>
  <c r="AR327" i="35"/>
  <c r="BW327" i="35" s="1"/>
  <c r="BW220" i="35"/>
  <c r="AR331" i="35"/>
  <c r="BW331" i="35" s="1"/>
  <c r="BT240" i="35"/>
  <c r="BR240" i="35"/>
  <c r="AC334" i="35"/>
  <c r="BR334" i="35" s="1"/>
  <c r="BU240" i="35"/>
  <c r="CO247" i="35"/>
  <c r="AP335" i="35"/>
  <c r="AC247" i="35"/>
  <c r="CJ247" i="35"/>
  <c r="AI247" i="35"/>
  <c r="CL247" i="35"/>
  <c r="AF247" i="35"/>
  <c r="CK247" i="35"/>
  <c r="AF250" i="35"/>
  <c r="BS250" i="35" s="1"/>
  <c r="CK250" i="35"/>
  <c r="AI249" i="35"/>
  <c r="BT249" i="35" s="1"/>
  <c r="CL249" i="35"/>
  <c r="AF249" i="35"/>
  <c r="BS249" i="35" s="1"/>
  <c r="CK249" i="35"/>
  <c r="AF248" i="35"/>
  <c r="BS248" i="35" s="1"/>
  <c r="CK248" i="35"/>
  <c r="AR298" i="35"/>
  <c r="BW298" i="35" s="1"/>
  <c r="AQ291" i="35"/>
  <c r="AQ292" i="35"/>
  <c r="AR300" i="35"/>
  <c r="BW300" i="35" s="1"/>
  <c r="AQ294" i="35"/>
  <c r="AR299" i="35"/>
  <c r="BW299" i="35" s="1"/>
  <c r="AL247" i="35"/>
  <c r="CM247" i="35"/>
  <c r="AC250" i="35"/>
  <c r="BR250" i="35" s="1"/>
  <c r="CJ250" i="35"/>
  <c r="AI250" i="35"/>
  <c r="BT250" i="35" s="1"/>
  <c r="CL250" i="35"/>
  <c r="AC249" i="35"/>
  <c r="BR249" i="35" s="1"/>
  <c r="CJ249" i="35"/>
  <c r="AL249" i="35"/>
  <c r="BU249" i="35" s="1"/>
  <c r="CM249" i="35"/>
  <c r="AI248" i="35"/>
  <c r="BT248" i="35" s="1"/>
  <c r="CL248" i="35"/>
  <c r="AR297" i="35"/>
  <c r="BW297" i="35" s="1"/>
  <c r="AR301" i="35"/>
  <c r="BW301" i="35" s="1"/>
  <c r="AQ293" i="35"/>
  <c r="AQ290" i="35"/>
  <c r="B270" i="35"/>
  <c r="AL238" i="35"/>
  <c r="BU238" i="35" s="1"/>
  <c r="AO231" i="35"/>
  <c r="BV231" i="35" s="1"/>
  <c r="AL237" i="35"/>
  <c r="AO230" i="35"/>
  <c r="AI245" i="35"/>
  <c r="BT245" i="35" s="1"/>
  <c r="AC259" i="35"/>
  <c r="BR259" i="35" s="1"/>
  <c r="AF251" i="35"/>
  <c r="BS251" i="35" s="1"/>
  <c r="AF252" i="35"/>
  <c r="BS252" i="35" s="1"/>
  <c r="B268" i="35"/>
  <c r="AI244" i="35"/>
  <c r="BT244" i="35" s="1"/>
  <c r="B269" i="35"/>
  <c r="AM257" i="35"/>
  <c r="CN257" i="35" s="1"/>
  <c r="AA257" i="35"/>
  <c r="AG257" i="35"/>
  <c r="AP257" i="35"/>
  <c r="CO257" i="35" s="1"/>
  <c r="AD257" i="35"/>
  <c r="CK257" i="35" s="1"/>
  <c r="AJ257" i="35"/>
  <c r="CM257" i="35" s="1"/>
  <c r="AR231" i="35"/>
  <c r="BW231" i="35" s="1"/>
  <c r="B271" i="35"/>
  <c r="AM256" i="35"/>
  <c r="CN256" i="35" s="1"/>
  <c r="AJ256" i="35"/>
  <c r="AD256" i="35"/>
  <c r="CK256" i="35" s="1"/>
  <c r="AP256" i="35"/>
  <c r="CO256" i="35" s="1"/>
  <c r="AG256" i="35"/>
  <c r="CL256" i="35" s="1"/>
  <c r="AA256" i="35"/>
  <c r="AC258" i="35"/>
  <c r="BR258" i="35" s="1"/>
  <c r="AR230" i="35"/>
  <c r="BW230" i="35" s="1"/>
  <c r="AM254" i="35"/>
  <c r="AG254" i="35"/>
  <c r="AA254" i="35"/>
  <c r="AP254" i="35"/>
  <c r="AJ254" i="35"/>
  <c r="AD254" i="35"/>
  <c r="AP255" i="35"/>
  <c r="CO255" i="35" s="1"/>
  <c r="AA255" i="35"/>
  <c r="AG255" i="35"/>
  <c r="AD255" i="35"/>
  <c r="CK255" i="35" s="1"/>
  <c r="AM255" i="35"/>
  <c r="CN255" i="35" s="1"/>
  <c r="AJ255" i="35"/>
  <c r="CM255" i="35" s="1"/>
  <c r="AC248" i="35"/>
  <c r="BR248" i="35" s="1"/>
  <c r="AL250" i="35"/>
  <c r="BU250" i="35" s="1"/>
  <c r="AR249" i="35"/>
  <c r="BW249" i="35" s="1"/>
  <c r="AR247" i="35"/>
  <c r="AL248" i="35"/>
  <c r="BU248" i="35" s="1"/>
  <c r="AO249" i="35"/>
  <c r="BV249" i="35" s="1"/>
  <c r="AO247" i="35"/>
  <c r="AO241" i="35"/>
  <c r="BV241" i="35" s="1"/>
  <c r="AO243" i="35"/>
  <c r="BV243" i="35" s="1"/>
  <c r="AR243" i="35"/>
  <c r="BW243" i="35" s="1"/>
  <c r="AR241" i="35"/>
  <c r="BW241" i="35" s="1"/>
  <c r="H19" i="10"/>
  <c r="H27" i="10"/>
  <c r="G19" i="1"/>
  <c r="AX335" i="35" l="1"/>
  <c r="BY335" i="35" s="1"/>
  <c r="BY248" i="35"/>
  <c r="AX331" i="35"/>
  <c r="BY331" i="35" s="1"/>
  <c r="BY220" i="35"/>
  <c r="AX327" i="35"/>
  <c r="BY327" i="35" s="1"/>
  <c r="BY192" i="35"/>
  <c r="AX332" i="35"/>
  <c r="BY332" i="35" s="1"/>
  <c r="BY227" i="35"/>
  <c r="AX338" i="35"/>
  <c r="BY338" i="35" s="1"/>
  <c r="BY269" i="35"/>
  <c r="AX330" i="35"/>
  <c r="BY330" i="35" s="1"/>
  <c r="BY213" i="35"/>
  <c r="AX337" i="35"/>
  <c r="BY337" i="35" s="1"/>
  <c r="BY262" i="35"/>
  <c r="AX333" i="35"/>
  <c r="BY333" i="35" s="1"/>
  <c r="BY234" i="35"/>
  <c r="AX336" i="35"/>
  <c r="BY336" i="35" s="1"/>
  <c r="BY255" i="35"/>
  <c r="AX328" i="35"/>
  <c r="BY328" i="35" s="1"/>
  <c r="BY199" i="35"/>
  <c r="AX334" i="35"/>
  <c r="BY334" i="35" s="1"/>
  <c r="BY241" i="35"/>
  <c r="AX326" i="35"/>
  <c r="BY326" i="35" s="1"/>
  <c r="BY185" i="35"/>
  <c r="AX339" i="35"/>
  <c r="BY339" i="35" s="1"/>
  <c r="AW290" i="35"/>
  <c r="AX290" i="35" s="1"/>
  <c r="BY290" i="35" s="1"/>
  <c r="AX283" i="35"/>
  <c r="BY283" i="35" s="1"/>
  <c r="AZ286" i="35"/>
  <c r="BA279" i="35"/>
  <c r="BZ279" i="35" s="1"/>
  <c r="BA199" i="35"/>
  <c r="AZ328" i="35"/>
  <c r="BA213" i="35"/>
  <c r="AZ330" i="35"/>
  <c r="BA206" i="35"/>
  <c r="BZ206" i="35" s="1"/>
  <c r="AZ297" i="35"/>
  <c r="BA297" i="35" s="1"/>
  <c r="BZ297" i="35" s="1"/>
  <c r="AZ329" i="35"/>
  <c r="BA234" i="35"/>
  <c r="AZ333" i="35"/>
  <c r="BA262" i="35"/>
  <c r="AZ337" i="35"/>
  <c r="BA227" i="35"/>
  <c r="AZ332" i="35"/>
  <c r="BA255" i="35"/>
  <c r="AZ336" i="35"/>
  <c r="BA278" i="35"/>
  <c r="BZ278" i="35" s="1"/>
  <c r="AZ285" i="35"/>
  <c r="AZ284" i="35"/>
  <c r="BA277" i="35"/>
  <c r="BZ277" i="35" s="1"/>
  <c r="AX287" i="35"/>
  <c r="BY287" i="35" s="1"/>
  <c r="AW294" i="35"/>
  <c r="AX294" i="35" s="1"/>
  <c r="BY294" i="35" s="1"/>
  <c r="AW292" i="35"/>
  <c r="AX292" i="35" s="1"/>
  <c r="BY292" i="35" s="1"/>
  <c r="AX285" i="35"/>
  <c r="BY285" i="35" s="1"/>
  <c r="AX284" i="35"/>
  <c r="BY284" i="35" s="1"/>
  <c r="AW291" i="35"/>
  <c r="AX291" i="35" s="1"/>
  <c r="BY291" i="35" s="1"/>
  <c r="BA209" i="35"/>
  <c r="BZ209" i="35" s="1"/>
  <c r="AZ300" i="35"/>
  <c r="BA300" i="35" s="1"/>
  <c r="BZ300" i="35" s="1"/>
  <c r="AZ287" i="35"/>
  <c r="BA280" i="35"/>
  <c r="BZ280" i="35" s="1"/>
  <c r="AZ301" i="35"/>
  <c r="BA301" i="35" s="1"/>
  <c r="BZ301" i="35" s="1"/>
  <c r="BA210" i="35"/>
  <c r="BZ210" i="35" s="1"/>
  <c r="BA185" i="35"/>
  <c r="AZ326" i="35"/>
  <c r="BA192" i="35"/>
  <c r="AZ327" i="35"/>
  <c r="BA220" i="35"/>
  <c r="AZ331" i="35"/>
  <c r="BA248" i="35"/>
  <c r="AZ335" i="35"/>
  <c r="BA276" i="35"/>
  <c r="BZ276" i="35" s="1"/>
  <c r="AZ283" i="35"/>
  <c r="AZ339" i="35"/>
  <c r="BA241" i="35"/>
  <c r="AZ334" i="35"/>
  <c r="BA269" i="35"/>
  <c r="AZ338" i="35"/>
  <c r="AX329" i="35"/>
  <c r="BY329" i="35" s="1"/>
  <c r="BA208" i="35"/>
  <c r="BZ208" i="35" s="1"/>
  <c r="AZ299" i="35"/>
  <c r="BA299" i="35" s="1"/>
  <c r="BZ299" i="35" s="1"/>
  <c r="BA207" i="35"/>
  <c r="BZ207" i="35" s="1"/>
  <c r="AZ298" i="35"/>
  <c r="BA298" i="35" s="1"/>
  <c r="BZ298" i="35" s="1"/>
  <c r="AW293" i="35"/>
  <c r="AX293" i="35" s="1"/>
  <c r="BY293" i="35" s="1"/>
  <c r="AX286" i="35"/>
  <c r="BY286" i="35" s="1"/>
  <c r="AJ336" i="35"/>
  <c r="AA336" i="35"/>
  <c r="CN254" i="35"/>
  <c r="AM336" i="35"/>
  <c r="BW247" i="35"/>
  <c r="AD336" i="35"/>
  <c r="CO254" i="35"/>
  <c r="AP336" i="35"/>
  <c r="AG336" i="35"/>
  <c r="BU237" i="35"/>
  <c r="AL333" i="35"/>
  <c r="BU333" i="35" s="1"/>
  <c r="AR332" i="35"/>
  <c r="BW332" i="35" s="1"/>
  <c r="BV247" i="35"/>
  <c r="BV230" i="35"/>
  <c r="AO332" i="35"/>
  <c r="BV332" i="35" s="1"/>
  <c r="BU247" i="35"/>
  <c r="BS247" i="35"/>
  <c r="AF335" i="35"/>
  <c r="BS335" i="35" s="1"/>
  <c r="BT247" i="35"/>
  <c r="BR247" i="35"/>
  <c r="AC335" i="35"/>
  <c r="BR335" i="35" s="1"/>
  <c r="AI334" i="35"/>
  <c r="BT334" i="35" s="1"/>
  <c r="AI255" i="35"/>
  <c r="BT255" i="35" s="1"/>
  <c r="CL255" i="35"/>
  <c r="AL254" i="35"/>
  <c r="CM254" i="35"/>
  <c r="AC254" i="35"/>
  <c r="CJ254" i="35"/>
  <c r="AI257" i="35"/>
  <c r="BT257" i="35" s="1"/>
  <c r="CL257" i="35"/>
  <c r="AC255" i="35"/>
  <c r="BR255" i="35" s="1"/>
  <c r="CJ255" i="35"/>
  <c r="AF254" i="35"/>
  <c r="CK254" i="35"/>
  <c r="AI254" i="35"/>
  <c r="CL254" i="35"/>
  <c r="AC256" i="35"/>
  <c r="BR256" i="35" s="1"/>
  <c r="CJ256" i="35"/>
  <c r="AL256" i="35"/>
  <c r="BU256" i="35" s="1"/>
  <c r="CM256" i="35"/>
  <c r="AC257" i="35"/>
  <c r="BR257" i="35" s="1"/>
  <c r="CJ257" i="35"/>
  <c r="AF255" i="35"/>
  <c r="BS255" i="35" s="1"/>
  <c r="AC265" i="35"/>
  <c r="BR265" i="35" s="1"/>
  <c r="AI256" i="35"/>
  <c r="BT256" i="35" s="1"/>
  <c r="AF256" i="35"/>
  <c r="BS256" i="35" s="1"/>
  <c r="B278" i="35"/>
  <c r="AR238" i="35"/>
  <c r="BW238" i="35" s="1"/>
  <c r="AF257" i="35"/>
  <c r="BS257" i="35" s="1"/>
  <c r="B276" i="35"/>
  <c r="AP261" i="35"/>
  <c r="AJ261" i="35"/>
  <c r="AD261" i="35"/>
  <c r="AM261" i="35"/>
  <c r="AG261" i="35"/>
  <c r="AA261" i="35"/>
  <c r="AF259" i="35"/>
  <c r="BS259" i="35" s="1"/>
  <c r="AF258" i="35"/>
  <c r="BS258" i="35" s="1"/>
  <c r="AC266" i="35"/>
  <c r="BR266" i="35" s="1"/>
  <c r="AL244" i="35"/>
  <c r="AL245" i="35"/>
  <c r="BU245" i="35" s="1"/>
  <c r="B277" i="35"/>
  <c r="AR237" i="35"/>
  <c r="AP264" i="35"/>
  <c r="CO264" i="35" s="1"/>
  <c r="AG264" i="35"/>
  <c r="AM264" i="35"/>
  <c r="CN264" i="35" s="1"/>
  <c r="AA264" i="35"/>
  <c r="AD264" i="35"/>
  <c r="AJ264" i="35"/>
  <c r="CM264" i="35" s="1"/>
  <c r="AP262" i="35"/>
  <c r="CO262" i="35" s="1"/>
  <c r="AG262" i="35"/>
  <c r="AM262" i="35"/>
  <c r="CN262" i="35" s="1"/>
  <c r="AA262" i="35"/>
  <c r="CJ262" i="35" s="1"/>
  <c r="AD262" i="35"/>
  <c r="AJ262" i="35"/>
  <c r="CM262" i="35" s="1"/>
  <c r="AI251" i="35"/>
  <c r="BT251" i="35" s="1"/>
  <c r="B275" i="35"/>
  <c r="AI252" i="35"/>
  <c r="BT252" i="35" s="1"/>
  <c r="AO237" i="35"/>
  <c r="AO238" i="35"/>
  <c r="BV238" i="35" s="1"/>
  <c r="AP263" i="35"/>
  <c r="CO263" i="35" s="1"/>
  <c r="AJ263" i="35"/>
  <c r="AD263" i="35"/>
  <c r="AM263" i="35"/>
  <c r="CN263" i="35" s="1"/>
  <c r="AG263" i="35"/>
  <c r="AA263" i="35"/>
  <c r="AO254" i="35"/>
  <c r="AO256" i="35"/>
  <c r="BV256" i="35" s="1"/>
  <c r="AL255" i="35"/>
  <c r="BU255" i="35" s="1"/>
  <c r="AR254" i="35"/>
  <c r="AR256" i="35"/>
  <c r="BW256" i="35" s="1"/>
  <c r="AL257" i="35"/>
  <c r="BU257" i="35" s="1"/>
  <c r="AR248" i="35"/>
  <c r="BW248" i="35" s="1"/>
  <c r="AR250" i="35"/>
  <c r="BW250" i="35" s="1"/>
  <c r="AO250" i="35"/>
  <c r="BV250" i="35" s="1"/>
  <c r="AO248" i="35"/>
  <c r="BV248" i="35" s="1"/>
  <c r="BA338" i="35" l="1"/>
  <c r="BZ338" i="35" s="1"/>
  <c r="BZ269" i="35"/>
  <c r="BA334" i="35"/>
  <c r="BZ334" i="35" s="1"/>
  <c r="BZ241" i="35"/>
  <c r="BA330" i="35"/>
  <c r="BZ330" i="35" s="1"/>
  <c r="BZ213" i="35"/>
  <c r="BA328" i="35"/>
  <c r="BZ328" i="35" s="1"/>
  <c r="BZ199" i="35"/>
  <c r="BA335" i="35"/>
  <c r="BZ335" i="35" s="1"/>
  <c r="BZ248" i="35"/>
  <c r="BA331" i="35"/>
  <c r="BZ331" i="35" s="1"/>
  <c r="BZ220" i="35"/>
  <c r="BA327" i="35"/>
  <c r="BZ327" i="35" s="1"/>
  <c r="BZ192" i="35"/>
  <c r="BA326" i="35"/>
  <c r="BZ326" i="35" s="1"/>
  <c r="BZ185" i="35"/>
  <c r="BA336" i="35"/>
  <c r="BZ336" i="35" s="1"/>
  <c r="BZ255" i="35"/>
  <c r="BA332" i="35"/>
  <c r="BZ332" i="35" s="1"/>
  <c r="BZ227" i="35"/>
  <c r="BA337" i="35"/>
  <c r="BZ337" i="35" s="1"/>
  <c r="BZ262" i="35"/>
  <c r="BA333" i="35"/>
  <c r="BZ333" i="35" s="1"/>
  <c r="BZ234" i="35"/>
  <c r="BA339" i="35"/>
  <c r="BZ339" i="35" s="1"/>
  <c r="BA283" i="35"/>
  <c r="BZ283" i="35" s="1"/>
  <c r="AZ290" i="35"/>
  <c r="BA290" i="35" s="1"/>
  <c r="BZ290" i="35" s="1"/>
  <c r="BA287" i="35"/>
  <c r="BZ287" i="35" s="1"/>
  <c r="AZ294" i="35"/>
  <c r="BA294" i="35" s="1"/>
  <c r="BZ294" i="35" s="1"/>
  <c r="BA286" i="35"/>
  <c r="BZ286" i="35" s="1"/>
  <c r="AZ293" i="35"/>
  <c r="BA293" i="35" s="1"/>
  <c r="BZ293" i="35" s="1"/>
  <c r="AZ291" i="35"/>
  <c r="BA291" i="35" s="1"/>
  <c r="BZ291" i="35" s="1"/>
  <c r="BA284" i="35"/>
  <c r="BZ284" i="35" s="1"/>
  <c r="BA285" i="35"/>
  <c r="BZ285" i="35" s="1"/>
  <c r="AZ292" i="35"/>
  <c r="BA292" i="35" s="1"/>
  <c r="BZ292" i="35" s="1"/>
  <c r="BA329" i="35"/>
  <c r="BZ329" i="35" s="1"/>
  <c r="BV254" i="35"/>
  <c r="BV237" i="35"/>
  <c r="AO333" i="35"/>
  <c r="BV333" i="35" s="1"/>
  <c r="BW254" i="35"/>
  <c r="BU244" i="35"/>
  <c r="AL334" i="35"/>
  <c r="BU334" i="35" s="1"/>
  <c r="AA337" i="35"/>
  <c r="CN261" i="35"/>
  <c r="AM337" i="35"/>
  <c r="AJ337" i="35"/>
  <c r="AI335" i="35"/>
  <c r="BT335" i="35" s="1"/>
  <c r="BW237" i="35"/>
  <c r="AR333" i="35"/>
  <c r="BW333" i="35" s="1"/>
  <c r="AG337" i="35"/>
  <c r="AD337" i="35"/>
  <c r="CO261" i="35"/>
  <c r="AP337" i="35"/>
  <c r="BT254" i="35"/>
  <c r="BS254" i="35"/>
  <c r="AF336" i="35"/>
  <c r="BS336" i="35" s="1"/>
  <c r="BR254" i="35"/>
  <c r="AC336" i="35"/>
  <c r="BR336" i="35" s="1"/>
  <c r="BU254" i="35"/>
  <c r="AF264" i="35"/>
  <c r="BS264" i="35" s="1"/>
  <c r="CK264" i="35"/>
  <c r="AL261" i="35"/>
  <c r="CM261" i="35"/>
  <c r="AC263" i="35"/>
  <c r="BR263" i="35" s="1"/>
  <c r="CJ263" i="35"/>
  <c r="AL263" i="35"/>
  <c r="BU263" i="35" s="1"/>
  <c r="CM263" i="35"/>
  <c r="AF262" i="35"/>
  <c r="BS262" i="35" s="1"/>
  <c r="CK262" i="35"/>
  <c r="AC261" i="35"/>
  <c r="CJ261" i="35"/>
  <c r="AI263" i="35"/>
  <c r="BT263" i="35" s="1"/>
  <c r="CL263" i="35"/>
  <c r="AF263" i="35"/>
  <c r="BS263" i="35" s="1"/>
  <c r="CK263" i="35"/>
  <c r="AI262" i="35"/>
  <c r="BT262" i="35" s="1"/>
  <c r="CL262" i="35"/>
  <c r="AC264" i="35"/>
  <c r="BR264" i="35" s="1"/>
  <c r="CJ264" i="35"/>
  <c r="AI264" i="35"/>
  <c r="BT264" i="35" s="1"/>
  <c r="CL264" i="35"/>
  <c r="AI261" i="35"/>
  <c r="CL261" i="35"/>
  <c r="AF261" i="35"/>
  <c r="CK261" i="35"/>
  <c r="AI259" i="35"/>
  <c r="BT259" i="35" s="1"/>
  <c r="AP268" i="35"/>
  <c r="AJ268" i="35"/>
  <c r="AD268" i="35"/>
  <c r="AM268" i="35"/>
  <c r="AG268" i="35"/>
  <c r="AA268" i="35"/>
  <c r="AI258" i="35"/>
  <c r="BT258" i="35" s="1"/>
  <c r="AC262" i="35"/>
  <c r="BR262" i="35" s="1"/>
  <c r="AP270" i="35"/>
  <c r="CO270" i="35" s="1"/>
  <c r="AJ270" i="35"/>
  <c r="AD270" i="35"/>
  <c r="AM270" i="35"/>
  <c r="CN270" i="35" s="1"/>
  <c r="AG270" i="35"/>
  <c r="AA270" i="35"/>
  <c r="AL252" i="35"/>
  <c r="BU252" i="35" s="1"/>
  <c r="AL251" i="35"/>
  <c r="AC273" i="35"/>
  <c r="BR273" i="35" s="1"/>
  <c r="AP269" i="35"/>
  <c r="CO269" i="35" s="1"/>
  <c r="AJ269" i="35"/>
  <c r="CM269" i="35" s="1"/>
  <c r="AD269" i="35"/>
  <c r="AM269" i="35"/>
  <c r="CN269" i="35" s="1"/>
  <c r="AG269" i="35"/>
  <c r="AA269" i="35"/>
  <c r="AP271" i="35"/>
  <c r="CO271" i="35" s="1"/>
  <c r="AJ271" i="35"/>
  <c r="CM271" i="35" s="1"/>
  <c r="AD271" i="35"/>
  <c r="AM271" i="35"/>
  <c r="CN271" i="35" s="1"/>
  <c r="AG271" i="35"/>
  <c r="AA271" i="35"/>
  <c r="AC272" i="35"/>
  <c r="BR272" i="35" s="1"/>
  <c r="AO245" i="35"/>
  <c r="BV245" i="35" s="1"/>
  <c r="AO244" i="35"/>
  <c r="B282" i="35"/>
  <c r="AR244" i="35"/>
  <c r="B284" i="35"/>
  <c r="AF265" i="35"/>
  <c r="BS265" i="35" s="1"/>
  <c r="AF266" i="35"/>
  <c r="BS266" i="35" s="1"/>
  <c r="B283" i="35"/>
  <c r="AR245" i="35"/>
  <c r="BW245" i="35" s="1"/>
  <c r="B285" i="35"/>
  <c r="AO255" i="35"/>
  <c r="BV255" i="35" s="1"/>
  <c r="AO257" i="35"/>
  <c r="BV257" i="35" s="1"/>
  <c r="AR257" i="35"/>
  <c r="BW257" i="35" s="1"/>
  <c r="AR255" i="35"/>
  <c r="BW255" i="35" s="1"/>
  <c r="AL264" i="35"/>
  <c r="BU264" i="35" s="1"/>
  <c r="AR263" i="35"/>
  <c r="BW263" i="35" s="1"/>
  <c r="AR261" i="35"/>
  <c r="AL262" i="35"/>
  <c r="BU262" i="35" s="1"/>
  <c r="AO263" i="35"/>
  <c r="BV263" i="35" s="1"/>
  <c r="AO261" i="35"/>
  <c r="AB284" i="35"/>
  <c r="AB283" i="35"/>
  <c r="AB282" i="35"/>
  <c r="AB285" i="35"/>
  <c r="BV261" i="35" l="1"/>
  <c r="BW244" i="35"/>
  <c r="AR334" i="35"/>
  <c r="BW334" i="35" s="1"/>
  <c r="BV244" i="35"/>
  <c r="AO334" i="35"/>
  <c r="BV334" i="35" s="1"/>
  <c r="BU251" i="35"/>
  <c r="AL335" i="35"/>
  <c r="BU335" i="35" s="1"/>
  <c r="AA338" i="35"/>
  <c r="CN268" i="35"/>
  <c r="AM338" i="35"/>
  <c r="AJ338" i="35"/>
  <c r="BS261" i="35"/>
  <c r="AF337" i="35"/>
  <c r="BS337" i="35" s="1"/>
  <c r="BT261" i="35"/>
  <c r="BR261" i="35"/>
  <c r="AC337" i="35"/>
  <c r="BR337" i="35" s="1"/>
  <c r="BU261" i="35"/>
  <c r="BW261" i="35"/>
  <c r="AG338" i="35"/>
  <c r="AD338" i="35"/>
  <c r="CO268" i="35"/>
  <c r="AP338" i="35"/>
  <c r="AI336" i="35"/>
  <c r="BT336" i="35" s="1"/>
  <c r="AI271" i="35"/>
  <c r="BT271" i="35" s="1"/>
  <c r="CL271" i="35"/>
  <c r="AF269" i="35"/>
  <c r="BS269" i="35" s="1"/>
  <c r="CK269" i="35"/>
  <c r="AC271" i="35"/>
  <c r="BR271" i="35" s="1"/>
  <c r="CJ271" i="35"/>
  <c r="AC269" i="35"/>
  <c r="BR269" i="35" s="1"/>
  <c r="CJ269" i="35"/>
  <c r="AI270" i="35"/>
  <c r="BT270" i="35" s="1"/>
  <c r="CL270" i="35"/>
  <c r="AF270" i="35"/>
  <c r="BS270" i="35" s="1"/>
  <c r="CK270" i="35"/>
  <c r="AI268" i="35"/>
  <c r="CL268" i="35"/>
  <c r="AF268" i="35"/>
  <c r="CK268" i="35"/>
  <c r="AF271" i="35"/>
  <c r="BS271" i="35" s="1"/>
  <c r="CK271" i="35"/>
  <c r="AI269" i="35"/>
  <c r="BT269" i="35" s="1"/>
  <c r="CL269" i="35"/>
  <c r="AC270" i="35"/>
  <c r="BR270" i="35" s="1"/>
  <c r="CJ270" i="35"/>
  <c r="AL270" i="35"/>
  <c r="BU270" i="35" s="1"/>
  <c r="CM270" i="35"/>
  <c r="AC268" i="35"/>
  <c r="CJ268" i="35"/>
  <c r="AL268" i="35"/>
  <c r="CM268" i="35"/>
  <c r="AP278" i="35"/>
  <c r="CO278" i="35" s="1"/>
  <c r="AG278" i="35"/>
  <c r="AM278" i="35"/>
  <c r="CN278" i="35" s="1"/>
  <c r="AA278" i="35"/>
  <c r="AD278" i="35"/>
  <c r="AJ278" i="35"/>
  <c r="CM278" i="35" s="1"/>
  <c r="AR252" i="35"/>
  <c r="BW252" i="35" s="1"/>
  <c r="B292" i="35"/>
  <c r="AP276" i="35"/>
  <c r="CO276" i="35" s="1"/>
  <c r="AG276" i="35"/>
  <c r="AM276" i="35"/>
  <c r="CN276" i="35" s="1"/>
  <c r="AA276" i="35"/>
  <c r="AD276" i="35"/>
  <c r="AJ276" i="35"/>
  <c r="CM276" i="35" s="1"/>
  <c r="AF273" i="35"/>
  <c r="BS273" i="35" s="1"/>
  <c r="AF272" i="35"/>
  <c r="BS272" i="35" s="1"/>
  <c r="AP277" i="35"/>
  <c r="CO277" i="35" s="1"/>
  <c r="AJ277" i="35"/>
  <c r="AD277" i="35"/>
  <c r="AM277" i="35"/>
  <c r="CN277" i="35" s="1"/>
  <c r="AG277" i="35"/>
  <c r="AA277" i="35"/>
  <c r="AR251" i="35"/>
  <c r="AP275" i="35"/>
  <c r="AJ275" i="35"/>
  <c r="AD275" i="35"/>
  <c r="AM275" i="35"/>
  <c r="AG275" i="35"/>
  <c r="AA275" i="35"/>
  <c r="AO251" i="35"/>
  <c r="AO252" i="35"/>
  <c r="BV252" i="35" s="1"/>
  <c r="AB286" i="35"/>
  <c r="AC279" i="35"/>
  <c r="BR279" i="35" s="1"/>
  <c r="AC280" i="35"/>
  <c r="BR280" i="35" s="1"/>
  <c r="AB287" i="35"/>
  <c r="AL258" i="35"/>
  <c r="AL259" i="35"/>
  <c r="BU259" i="35" s="1"/>
  <c r="B290" i="35"/>
  <c r="B291" i="35"/>
  <c r="B289" i="35"/>
  <c r="AI265" i="35"/>
  <c r="BT265" i="35" s="1"/>
  <c r="AI266" i="35"/>
  <c r="BT266" i="35" s="1"/>
  <c r="AR262" i="35"/>
  <c r="BW262" i="35" s="1"/>
  <c r="AR264" i="35"/>
  <c r="BW264" i="35" s="1"/>
  <c r="AO264" i="35"/>
  <c r="BV264" i="35" s="1"/>
  <c r="AO262" i="35"/>
  <c r="BV262" i="35" s="1"/>
  <c r="AB292" i="35"/>
  <c r="AB289" i="35"/>
  <c r="AB290" i="35"/>
  <c r="AB291" i="35"/>
  <c r="AO268" i="35"/>
  <c r="AO270" i="35"/>
  <c r="BV270" i="35" s="1"/>
  <c r="AL269" i="35"/>
  <c r="BU269" i="35" s="1"/>
  <c r="AR268" i="35"/>
  <c r="AR270" i="35"/>
  <c r="BW270" i="35" s="1"/>
  <c r="AL271" i="35"/>
  <c r="BU271" i="35" s="1"/>
  <c r="F15" i="3"/>
  <c r="F29" i="3" s="1"/>
  <c r="G48" i="9"/>
  <c r="G11" i="9"/>
  <c r="F42" i="9"/>
  <c r="F6" i="15"/>
  <c r="F5" i="21" s="1"/>
  <c r="H63" i="30" s="1"/>
  <c r="F124" i="30"/>
  <c r="F172" i="30" s="1"/>
  <c r="G124" i="30"/>
  <c r="G172" i="30" s="1"/>
  <c r="H124" i="30"/>
  <c r="H172" i="30" s="1"/>
  <c r="I124" i="30"/>
  <c r="I172" i="30" s="1"/>
  <c r="J124" i="30"/>
  <c r="J172" i="30" s="1"/>
  <c r="K124" i="30"/>
  <c r="K172" i="30" s="1"/>
  <c r="L124" i="30"/>
  <c r="L172" i="30" s="1"/>
  <c r="M124" i="30"/>
  <c r="M172" i="30" s="1"/>
  <c r="N124" i="30"/>
  <c r="N172" i="30" s="1"/>
  <c r="O124" i="30"/>
  <c r="O172" i="30" s="1"/>
  <c r="F128" i="30"/>
  <c r="F176" i="30" s="1"/>
  <c r="G128" i="30"/>
  <c r="G176" i="30" s="1"/>
  <c r="H128" i="30"/>
  <c r="H176" i="30" s="1"/>
  <c r="I128" i="30"/>
  <c r="I176" i="30" s="1"/>
  <c r="J128" i="30"/>
  <c r="J176" i="30" s="1"/>
  <c r="K128" i="30"/>
  <c r="K176" i="30" s="1"/>
  <c r="L128" i="30"/>
  <c r="L176" i="30" s="1"/>
  <c r="M128" i="30"/>
  <c r="M176" i="30" s="1"/>
  <c r="N128" i="30"/>
  <c r="N176" i="30" s="1"/>
  <c r="O128" i="30"/>
  <c r="O176" i="30" s="1"/>
  <c r="F130" i="30"/>
  <c r="F178" i="30" s="1"/>
  <c r="G130" i="30"/>
  <c r="G178" i="30" s="1"/>
  <c r="H130" i="30"/>
  <c r="H178" i="30" s="1"/>
  <c r="I130" i="30"/>
  <c r="I178" i="30" s="1"/>
  <c r="J130" i="30"/>
  <c r="J178" i="30" s="1"/>
  <c r="K130" i="30"/>
  <c r="K178" i="30" s="1"/>
  <c r="L130" i="30"/>
  <c r="L178" i="30" s="1"/>
  <c r="M130" i="30"/>
  <c r="M178" i="30" s="1"/>
  <c r="N130" i="30"/>
  <c r="N178" i="30" s="1"/>
  <c r="O130" i="30"/>
  <c r="O178" i="30" s="1"/>
  <c r="F134" i="30"/>
  <c r="F182" i="30" s="1"/>
  <c r="G134" i="30"/>
  <c r="G182" i="30" s="1"/>
  <c r="H134" i="30"/>
  <c r="H182" i="30" s="1"/>
  <c r="I134" i="30"/>
  <c r="I182" i="30" s="1"/>
  <c r="J134" i="30"/>
  <c r="J182" i="30" s="1"/>
  <c r="K134" i="30"/>
  <c r="K182" i="30" s="1"/>
  <c r="L134" i="30"/>
  <c r="L182" i="30" s="1"/>
  <c r="M134" i="30"/>
  <c r="M182" i="30" s="1"/>
  <c r="N134" i="30"/>
  <c r="N182" i="30" s="1"/>
  <c r="O134" i="30"/>
  <c r="O182" i="30" s="1"/>
  <c r="F136" i="30"/>
  <c r="F184" i="30" s="1"/>
  <c r="G136" i="30"/>
  <c r="G184" i="30" s="1"/>
  <c r="H136" i="30"/>
  <c r="H184" i="30" s="1"/>
  <c r="I136" i="30"/>
  <c r="I184" i="30" s="1"/>
  <c r="J136" i="30"/>
  <c r="J184" i="30" s="1"/>
  <c r="K136" i="30"/>
  <c r="K184" i="30" s="1"/>
  <c r="L136" i="30"/>
  <c r="L184" i="30" s="1"/>
  <c r="M136" i="30"/>
  <c r="M184" i="30" s="1"/>
  <c r="N136" i="30"/>
  <c r="N184" i="30" s="1"/>
  <c r="O136" i="30"/>
  <c r="O184" i="30" s="1"/>
  <c r="F138" i="30"/>
  <c r="F186" i="30" s="1"/>
  <c r="G138" i="30"/>
  <c r="G186" i="30" s="1"/>
  <c r="H138" i="30"/>
  <c r="H186" i="30" s="1"/>
  <c r="I138" i="30"/>
  <c r="I186" i="30" s="1"/>
  <c r="J138" i="30"/>
  <c r="J186" i="30" s="1"/>
  <c r="K138" i="30"/>
  <c r="K186" i="30" s="1"/>
  <c r="L138" i="30"/>
  <c r="L186" i="30" s="1"/>
  <c r="M138" i="30"/>
  <c r="M186" i="30" s="1"/>
  <c r="N138" i="30"/>
  <c r="N186" i="30" s="1"/>
  <c r="O138" i="30"/>
  <c r="O186" i="30" s="1"/>
  <c r="F139" i="30"/>
  <c r="F187" i="30" s="1"/>
  <c r="G139" i="30"/>
  <c r="G187" i="30" s="1"/>
  <c r="H139" i="30"/>
  <c r="H187" i="30" s="1"/>
  <c r="I139" i="30"/>
  <c r="I187" i="30" s="1"/>
  <c r="J139" i="30"/>
  <c r="J187" i="30" s="1"/>
  <c r="K139" i="30"/>
  <c r="K187" i="30" s="1"/>
  <c r="L139" i="30"/>
  <c r="L187" i="30" s="1"/>
  <c r="M139" i="30"/>
  <c r="M187" i="30" s="1"/>
  <c r="N139" i="30"/>
  <c r="N187" i="30" s="1"/>
  <c r="O139" i="30"/>
  <c r="O187" i="30" s="1"/>
  <c r="E124" i="30"/>
  <c r="E172" i="30" s="1"/>
  <c r="E128" i="30"/>
  <c r="E176" i="30" s="1"/>
  <c r="E130" i="30"/>
  <c r="E178" i="30" s="1"/>
  <c r="E134" i="30"/>
  <c r="E182" i="30" s="1"/>
  <c r="E136" i="30"/>
  <c r="E184" i="30" s="1"/>
  <c r="E138" i="30"/>
  <c r="E186" i="30" s="1"/>
  <c r="E139" i="30"/>
  <c r="E187" i="30" s="1"/>
  <c r="N95" i="30"/>
  <c r="O95" i="30"/>
  <c r="I110" i="30"/>
  <c r="O110" i="30" s="1"/>
  <c r="H110" i="30"/>
  <c r="N110" i="30" s="1"/>
  <c r="N60" i="30"/>
  <c r="I77" i="30"/>
  <c r="O77" i="30" s="1"/>
  <c r="I79" i="30"/>
  <c r="O79" i="30" s="1"/>
  <c r="I83" i="30"/>
  <c r="O83" i="30" s="1"/>
  <c r="I85" i="30"/>
  <c r="O85" i="30" s="1"/>
  <c r="H83" i="30"/>
  <c r="N83" i="30" s="1"/>
  <c r="H85" i="30"/>
  <c r="N85" i="30" s="1"/>
  <c r="H77" i="30"/>
  <c r="N77" i="30" s="1"/>
  <c r="H79" i="30"/>
  <c r="N79" i="30" s="1"/>
  <c r="C17" i="28"/>
  <c r="B6" i="15" s="1"/>
  <c r="D17" i="28"/>
  <c r="C6" i="15" s="1"/>
  <c r="C22" i="21" s="1"/>
  <c r="E17" i="28"/>
  <c r="D6" i="15" s="1"/>
  <c r="D5" i="21" s="1"/>
  <c r="F17" i="28"/>
  <c r="G11" i="28"/>
  <c r="E11" i="28"/>
  <c r="F11" i="28"/>
  <c r="D11" i="28"/>
  <c r="E6" i="15"/>
  <c r="E4" i="21" s="1"/>
  <c r="D4" i="11"/>
  <c r="S4" i="11" s="1"/>
  <c r="A190" i="11"/>
  <c r="A191" i="11"/>
  <c r="A30" i="3"/>
  <c r="A43" i="3" s="1"/>
  <c r="A57" i="3" s="1"/>
  <c r="A192" i="11"/>
  <c r="A193" i="11"/>
  <c r="A194" i="11"/>
  <c r="A19" i="3"/>
  <c r="A20" i="3"/>
  <c r="A21" i="3"/>
  <c r="A22" i="3"/>
  <c r="B6" i="1"/>
  <c r="B7" i="1"/>
  <c r="B8" i="1"/>
  <c r="B10" i="4"/>
  <c r="B12" i="4" s="1"/>
  <c r="B16" i="4" s="1"/>
  <c r="B35" i="6"/>
  <c r="E4" i="11"/>
  <c r="T4" i="11" s="1"/>
  <c r="D169" i="3"/>
  <c r="D97" i="3"/>
  <c r="T244" i="11"/>
  <c r="AI244" i="11" s="1"/>
  <c r="D170" i="3"/>
  <c r="D98" i="3"/>
  <c r="D141" i="3" s="1"/>
  <c r="A76" i="11"/>
  <c r="A92" i="11"/>
  <c r="A108" i="11"/>
  <c r="A124" i="11"/>
  <c r="AI255" i="11"/>
  <c r="A134" i="11"/>
  <c r="A133" i="11"/>
  <c r="A132" i="11"/>
  <c r="A131" i="11"/>
  <c r="A130" i="11"/>
  <c r="A129" i="11"/>
  <c r="A128" i="11"/>
  <c r="A127" i="11"/>
  <c r="A126" i="11"/>
  <c r="A125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5" i="11"/>
  <c r="A74" i="11"/>
  <c r="A73" i="11"/>
  <c r="A72" i="11"/>
  <c r="A71" i="11"/>
  <c r="D5" i="1"/>
  <c r="E7" i="15"/>
  <c r="F19" i="28"/>
  <c r="E8" i="15" s="1"/>
  <c r="F4" i="11"/>
  <c r="U4" i="11" s="1"/>
  <c r="E169" i="3"/>
  <c r="U244" i="11"/>
  <c r="AJ244" i="11" s="1"/>
  <c r="E170" i="3"/>
  <c r="F14" i="28"/>
  <c r="E3" i="15" s="1"/>
  <c r="G14" i="28"/>
  <c r="F3" i="15" s="1"/>
  <c r="H14" i="28"/>
  <c r="G3" i="15" s="1"/>
  <c r="I14" i="28"/>
  <c r="H3" i="15" s="1"/>
  <c r="J14" i="28"/>
  <c r="I3" i="15" s="1"/>
  <c r="K14" i="28"/>
  <c r="J3" i="15" s="1"/>
  <c r="L14" i="28"/>
  <c r="K3" i="15" s="1"/>
  <c r="M14" i="28"/>
  <c r="L3" i="15" s="1"/>
  <c r="N14" i="28"/>
  <c r="M3" i="15" s="1"/>
  <c r="O14" i="28"/>
  <c r="N3" i="15" s="1"/>
  <c r="F15" i="28"/>
  <c r="E4" i="15" s="1"/>
  <c r="G15" i="28"/>
  <c r="F4" i="15" s="1"/>
  <c r="H15" i="28"/>
  <c r="G4" i="15" s="1"/>
  <c r="I15" i="28"/>
  <c r="H4" i="15" s="1"/>
  <c r="J15" i="28"/>
  <c r="I4" i="15" s="1"/>
  <c r="K15" i="28"/>
  <c r="J4" i="15" s="1"/>
  <c r="L15" i="28"/>
  <c r="K4" i="15" s="1"/>
  <c r="M15" i="28"/>
  <c r="L4" i="15" s="1"/>
  <c r="N15" i="28"/>
  <c r="M4" i="15" s="1"/>
  <c r="O15" i="28"/>
  <c r="N4" i="15" s="1"/>
  <c r="E15" i="28"/>
  <c r="D4" i="15" s="1"/>
  <c r="E14" i="28"/>
  <c r="D3" i="15" s="1"/>
  <c r="C14" i="28"/>
  <c r="D14" i="28"/>
  <c r="C15" i="28"/>
  <c r="D15" i="28"/>
  <c r="H18" i="28"/>
  <c r="I18" i="28"/>
  <c r="J18" i="28"/>
  <c r="I7" i="15" s="1"/>
  <c r="J21" i="10" s="1"/>
  <c r="K18" i="28"/>
  <c r="J7" i="15" s="1"/>
  <c r="L18" i="28"/>
  <c r="M18" i="28"/>
  <c r="L7" i="15" s="1"/>
  <c r="N18" i="28"/>
  <c r="M7" i="15" s="1"/>
  <c r="O18" i="28"/>
  <c r="N7" i="15" s="1"/>
  <c r="F14" i="3"/>
  <c r="E23" i="15"/>
  <c r="E15" i="3" s="1"/>
  <c r="E29" i="3" s="1"/>
  <c r="A31" i="3"/>
  <c r="A44" i="3" s="1"/>
  <c r="A58" i="3" s="1"/>
  <c r="A86" i="3" s="1"/>
  <c r="A100" i="3" s="1"/>
  <c r="A114" i="3" s="1"/>
  <c r="A128" i="3" s="1"/>
  <c r="A143" i="3" s="1"/>
  <c r="A157" i="3" s="1"/>
  <c r="A172" i="3" s="1"/>
  <c r="A187" i="3" s="1"/>
  <c r="B3" i="7"/>
  <c r="B39" i="7" s="1"/>
  <c r="G4" i="11"/>
  <c r="V4" i="11" s="1"/>
  <c r="F169" i="3"/>
  <c r="F23" i="15"/>
  <c r="F7" i="15"/>
  <c r="V244" i="11"/>
  <c r="AK252" i="11" s="1"/>
  <c r="G19" i="28"/>
  <c r="F8" i="15" s="1"/>
  <c r="F170" i="3"/>
  <c r="G7" i="15"/>
  <c r="BP248" i="11" s="1"/>
  <c r="G23" i="15"/>
  <c r="G33" i="15" s="1"/>
  <c r="G14" i="3" s="1"/>
  <c r="H4" i="11"/>
  <c r="W4" i="11" s="1"/>
  <c r="G169" i="3"/>
  <c r="W244" i="11"/>
  <c r="AL252" i="11" s="1"/>
  <c r="G170" i="3"/>
  <c r="H7" i="15"/>
  <c r="H23" i="15"/>
  <c r="H33" i="15" s="1"/>
  <c r="H49" i="15" s="1"/>
  <c r="H15" i="3" s="1"/>
  <c r="I4" i="11"/>
  <c r="X4" i="11" s="1"/>
  <c r="H169" i="3"/>
  <c r="X244" i="11"/>
  <c r="AM244" i="11" s="1"/>
  <c r="H170" i="3"/>
  <c r="I23" i="15"/>
  <c r="I33" i="15" s="1"/>
  <c r="I49" i="15" s="1"/>
  <c r="I15" i="3" s="1"/>
  <c r="J4" i="11"/>
  <c r="Y4" i="11" s="1"/>
  <c r="I169" i="3"/>
  <c r="Y244" i="11"/>
  <c r="AN244" i="11" s="1"/>
  <c r="I170" i="3"/>
  <c r="J23" i="15"/>
  <c r="J33" i="15" s="1"/>
  <c r="K4" i="11"/>
  <c r="Z4" i="11" s="1"/>
  <c r="J169" i="3"/>
  <c r="Z244" i="11"/>
  <c r="AO252" i="11" s="1"/>
  <c r="J170" i="3"/>
  <c r="K7" i="15"/>
  <c r="L21" i="10" s="1"/>
  <c r="K23" i="15"/>
  <c r="K33" i="15" s="1"/>
  <c r="K49" i="15" s="1"/>
  <c r="K15" i="3" s="1"/>
  <c r="L4" i="11"/>
  <c r="AA4" i="11" s="1"/>
  <c r="K169" i="3"/>
  <c r="AA244" i="11"/>
  <c r="AP252" i="11" s="1"/>
  <c r="K170" i="3"/>
  <c r="L23" i="15"/>
  <c r="L33" i="15" s="1"/>
  <c r="M4" i="11"/>
  <c r="AB4" i="11" s="1"/>
  <c r="L169" i="3"/>
  <c r="AB244" i="11"/>
  <c r="AQ252" i="11" s="1"/>
  <c r="L170" i="3"/>
  <c r="M23" i="15"/>
  <c r="M33" i="15" s="1"/>
  <c r="M49" i="15" s="1"/>
  <c r="M15" i="3" s="1"/>
  <c r="N4" i="11"/>
  <c r="AC4" i="11" s="1"/>
  <c r="M169" i="3"/>
  <c r="AC244" i="11"/>
  <c r="AR252" i="11" s="1"/>
  <c r="M170" i="3"/>
  <c r="N23" i="15"/>
  <c r="N33" i="15" s="1"/>
  <c r="N49" i="15" s="1"/>
  <c r="N15" i="3" s="1"/>
  <c r="O4" i="11"/>
  <c r="AD4" i="11" s="1"/>
  <c r="N169" i="3"/>
  <c r="AD244" i="11"/>
  <c r="AS252" i="11" s="1"/>
  <c r="N170" i="3"/>
  <c r="B43" i="7"/>
  <c r="C16" i="5"/>
  <c r="C18" i="5" s="1"/>
  <c r="D16" i="5" s="1"/>
  <c r="H55" i="6"/>
  <c r="I55" i="6" s="1"/>
  <c r="J55" i="6" s="1"/>
  <c r="K55" i="6" s="1"/>
  <c r="L55" i="6" s="1"/>
  <c r="M55" i="6" s="1"/>
  <c r="N55" i="6" s="1"/>
  <c r="O55" i="6" s="1"/>
  <c r="P55" i="6" s="1"/>
  <c r="Q55" i="6" s="1"/>
  <c r="D242" i="11"/>
  <c r="B25" i="34"/>
  <c r="B23" i="34"/>
  <c r="E31" i="3"/>
  <c r="E30" i="3"/>
  <c r="E43" i="3" s="1"/>
  <c r="E42" i="9"/>
  <c r="BM250" i="11"/>
  <c r="C2" i="33"/>
  <c r="C29" i="33" s="1"/>
  <c r="B30" i="33"/>
  <c r="B31" i="33" s="1"/>
  <c r="B32" i="33" s="1"/>
  <c r="B29" i="33"/>
  <c r="I2" i="33"/>
  <c r="I29" i="33" s="1"/>
  <c r="H2" i="33"/>
  <c r="H29" i="33" s="1"/>
  <c r="G2" i="33"/>
  <c r="G29" i="33" s="1"/>
  <c r="F2" i="33"/>
  <c r="F29" i="33" s="1"/>
  <c r="E2" i="33"/>
  <c r="E29" i="33" s="1"/>
  <c r="D2" i="33"/>
  <c r="D29" i="33" s="1"/>
  <c r="R100" i="3"/>
  <c r="A52" i="32"/>
  <c r="A67" i="32"/>
  <c r="A66" i="32"/>
  <c r="A56" i="32"/>
  <c r="A57" i="32"/>
  <c r="A58" i="32"/>
  <c r="A59" i="32"/>
  <c r="A55" i="32"/>
  <c r="A48" i="32"/>
  <c r="A49" i="32"/>
  <c r="A50" i="32"/>
  <c r="A51" i="32"/>
  <c r="A47" i="32"/>
  <c r="N32" i="32"/>
  <c r="M32" i="32"/>
  <c r="L32" i="32"/>
  <c r="K32" i="32"/>
  <c r="J32" i="32"/>
  <c r="I32" i="32"/>
  <c r="H32" i="32"/>
  <c r="G32" i="32"/>
  <c r="F32" i="32"/>
  <c r="E32" i="32"/>
  <c r="E5" i="32"/>
  <c r="F5" i="32" s="1"/>
  <c r="G5" i="32" s="1"/>
  <c r="H5" i="32" s="1"/>
  <c r="I5" i="32" s="1"/>
  <c r="J5" i="32" s="1"/>
  <c r="K5" i="32" s="1"/>
  <c r="L5" i="32" s="1"/>
  <c r="M5" i="32" s="1"/>
  <c r="N5" i="32" s="1"/>
  <c r="K59" i="11"/>
  <c r="H59" i="11"/>
  <c r="I59" i="11" s="1"/>
  <c r="C225" i="3"/>
  <c r="C232" i="3"/>
  <c r="C233" i="3"/>
  <c r="C234" i="3"/>
  <c r="C235" i="3"/>
  <c r="C236" i="3"/>
  <c r="C212" i="3"/>
  <c r="C220" i="11"/>
  <c r="AH181" i="11"/>
  <c r="AH180" i="11"/>
  <c r="G106" i="16"/>
  <c r="A53" i="15"/>
  <c r="R53" i="15" s="1"/>
  <c r="A54" i="15"/>
  <c r="R54" i="15" s="1"/>
  <c r="A55" i="15"/>
  <c r="R55" i="15" s="1"/>
  <c r="A52" i="15"/>
  <c r="R52" i="15" s="1"/>
  <c r="AH174" i="11"/>
  <c r="N26" i="15"/>
  <c r="M26" i="15"/>
  <c r="L26" i="15"/>
  <c r="K26" i="15"/>
  <c r="J26" i="15"/>
  <c r="I26" i="15"/>
  <c r="H26" i="15"/>
  <c r="G26" i="15"/>
  <c r="F26" i="15"/>
  <c r="E26" i="15"/>
  <c r="H106" i="16"/>
  <c r="F106" i="16"/>
  <c r="D32" i="21"/>
  <c r="E32" i="21"/>
  <c r="F32" i="21"/>
  <c r="G32" i="21"/>
  <c r="H32" i="21"/>
  <c r="I32" i="21"/>
  <c r="J32" i="21"/>
  <c r="K32" i="21"/>
  <c r="L32" i="21"/>
  <c r="M32" i="21"/>
  <c r="N32" i="21"/>
  <c r="I18" i="8"/>
  <c r="J18" i="8" s="1"/>
  <c r="H35" i="15"/>
  <c r="G51" i="15"/>
  <c r="D74" i="9"/>
  <c r="D75" i="9"/>
  <c r="D97" i="9"/>
  <c r="D21" i="5"/>
  <c r="E21" i="5" s="1"/>
  <c r="F21" i="5" s="1"/>
  <c r="G21" i="5" s="1"/>
  <c r="D42" i="9"/>
  <c r="C231" i="3"/>
  <c r="D142" i="3"/>
  <c r="A28" i="3"/>
  <c r="A41" i="3" s="1"/>
  <c r="A55" i="3" s="1"/>
  <c r="C38" i="29"/>
  <c r="C57" i="26"/>
  <c r="E121" i="30" s="1"/>
  <c r="E169" i="30" s="1"/>
  <c r="B40" i="6"/>
  <c r="C44" i="26"/>
  <c r="B39" i="6"/>
  <c r="G14" i="15"/>
  <c r="H14" i="15"/>
  <c r="I9" i="3"/>
  <c r="J9" i="3"/>
  <c r="K14" i="15"/>
  <c r="L14" i="15"/>
  <c r="M14" i="15"/>
  <c r="N14" i="15"/>
  <c r="C7" i="15"/>
  <c r="D7" i="15"/>
  <c r="D19" i="28"/>
  <c r="E19" i="28"/>
  <c r="D8" i="15" s="1"/>
  <c r="D20" i="28"/>
  <c r="C14" i="15" s="1"/>
  <c r="F20" i="28"/>
  <c r="E14" i="15" s="1"/>
  <c r="G20" i="28"/>
  <c r="F14" i="15" s="1"/>
  <c r="B7" i="15"/>
  <c r="C19" i="28"/>
  <c r="B8" i="15" s="1"/>
  <c r="C20" i="28"/>
  <c r="B14" i="15" s="1"/>
  <c r="E16" i="28"/>
  <c r="D5" i="15" s="1"/>
  <c r="D44" i="26" s="1"/>
  <c r="F16" i="28"/>
  <c r="E5" i="15" s="1"/>
  <c r="E44" i="26" s="1"/>
  <c r="G16" i="28"/>
  <c r="F5" i="15" s="1"/>
  <c r="F44" i="26" s="1"/>
  <c r="H16" i="28"/>
  <c r="G5" i="15" s="1"/>
  <c r="G47" i="6" s="1"/>
  <c r="I16" i="28"/>
  <c r="H5" i="15" s="1"/>
  <c r="H44" i="26" s="1"/>
  <c r="J16" i="28"/>
  <c r="I5" i="15" s="1"/>
  <c r="I47" i="6" s="1"/>
  <c r="K16" i="28"/>
  <c r="J5" i="15" s="1"/>
  <c r="J44" i="26" s="1"/>
  <c r="L16" i="28"/>
  <c r="K5" i="15" s="1"/>
  <c r="K47" i="6" s="1"/>
  <c r="M16" i="28"/>
  <c r="L5" i="15" s="1"/>
  <c r="L44" i="26" s="1"/>
  <c r="N16" i="28"/>
  <c r="M5" i="15" s="1"/>
  <c r="M47" i="6" s="1"/>
  <c r="O16" i="28"/>
  <c r="N5" i="15" s="1"/>
  <c r="N44" i="26" s="1"/>
  <c r="D16" i="28"/>
  <c r="C5" i="15" s="1"/>
  <c r="C45" i="26" s="1"/>
  <c r="C16" i="28"/>
  <c r="B5" i="15" s="1"/>
  <c r="E13" i="28"/>
  <c r="E22" i="28" s="1"/>
  <c r="D14" i="15"/>
  <c r="C8" i="15"/>
  <c r="C27" i="28"/>
  <c r="F13" i="28"/>
  <c r="F22" i="28" s="1"/>
  <c r="G13" i="28"/>
  <c r="G22" i="28" s="1"/>
  <c r="H13" i="28"/>
  <c r="H22" i="28" s="1"/>
  <c r="I13" i="28"/>
  <c r="I22" i="28" s="1"/>
  <c r="J13" i="28"/>
  <c r="J22" i="28" s="1"/>
  <c r="K13" i="28"/>
  <c r="K22" i="28" s="1"/>
  <c r="L13" i="28"/>
  <c r="L22" i="28" s="1"/>
  <c r="M13" i="28"/>
  <c r="M22" i="28" s="1"/>
  <c r="N13" i="28"/>
  <c r="N22" i="28" s="1"/>
  <c r="O13" i="28"/>
  <c r="O22" i="28" s="1"/>
  <c r="D13" i="28"/>
  <c r="D22" i="28" s="1"/>
  <c r="F323" i="14"/>
  <c r="E323" i="14"/>
  <c r="D323" i="14"/>
  <c r="F301" i="14"/>
  <c r="E301" i="14"/>
  <c r="D301" i="14"/>
  <c r="F279" i="14"/>
  <c r="E279" i="14"/>
  <c r="D279" i="14"/>
  <c r="F257" i="14"/>
  <c r="E257" i="14"/>
  <c r="D257" i="14"/>
  <c r="F235" i="14"/>
  <c r="E235" i="14"/>
  <c r="D235" i="14"/>
  <c r="F213" i="14"/>
  <c r="E213" i="14"/>
  <c r="D213" i="14"/>
  <c r="F191" i="14"/>
  <c r="E191" i="14"/>
  <c r="D191" i="14"/>
  <c r="F169" i="14"/>
  <c r="E169" i="14"/>
  <c r="D169" i="14"/>
  <c r="F147" i="14"/>
  <c r="E147" i="14"/>
  <c r="D147" i="14"/>
  <c r="F125" i="14"/>
  <c r="E125" i="14"/>
  <c r="D125" i="14"/>
  <c r="F103" i="14"/>
  <c r="E103" i="14"/>
  <c r="D103" i="14"/>
  <c r="S103" i="14"/>
  <c r="E81" i="14"/>
  <c r="D81" i="14"/>
  <c r="F81" i="14"/>
  <c r="D3" i="26"/>
  <c r="S323" i="14"/>
  <c r="S301" i="14"/>
  <c r="S279" i="14"/>
  <c r="S257" i="14"/>
  <c r="S235" i="14"/>
  <c r="S213" i="14"/>
  <c r="S191" i="14"/>
  <c r="S169" i="14"/>
  <c r="S147" i="14"/>
  <c r="S125" i="14"/>
  <c r="S81" i="14"/>
  <c r="C79" i="6"/>
  <c r="C85" i="6"/>
  <c r="C84" i="6"/>
  <c r="C87" i="6"/>
  <c r="H84" i="6"/>
  <c r="I84" i="6"/>
  <c r="J84" i="6"/>
  <c r="K84" i="6"/>
  <c r="L84" i="6"/>
  <c r="M84" i="6"/>
  <c r="N84" i="6"/>
  <c r="B62" i="6"/>
  <c r="N88" i="14"/>
  <c r="M88" i="14"/>
  <c r="L88" i="14"/>
  <c r="K88" i="14"/>
  <c r="J88" i="14"/>
  <c r="I88" i="14"/>
  <c r="H88" i="14"/>
  <c r="G88" i="14"/>
  <c r="F88" i="14"/>
  <c r="E88" i="14"/>
  <c r="D88" i="14"/>
  <c r="C88" i="14"/>
  <c r="E65" i="14"/>
  <c r="F65" i="14"/>
  <c r="G65" i="14"/>
  <c r="H65" i="14"/>
  <c r="I65" i="14"/>
  <c r="J65" i="14"/>
  <c r="K65" i="14"/>
  <c r="L65" i="14"/>
  <c r="M65" i="14"/>
  <c r="N65" i="14"/>
  <c r="D65" i="14"/>
  <c r="C65" i="14"/>
  <c r="N3" i="26"/>
  <c r="M3" i="26"/>
  <c r="L3" i="26"/>
  <c r="K3" i="26"/>
  <c r="J3" i="26"/>
  <c r="I3" i="26"/>
  <c r="H3" i="26"/>
  <c r="G3" i="26"/>
  <c r="F3" i="26"/>
  <c r="E3" i="26"/>
  <c r="C3" i="26"/>
  <c r="C35" i="26" s="1"/>
  <c r="C43" i="26" s="1"/>
  <c r="D47" i="15"/>
  <c r="E47" i="15"/>
  <c r="F47" i="15"/>
  <c r="G47" i="15"/>
  <c r="H47" i="15"/>
  <c r="I47" i="15"/>
  <c r="J47" i="15"/>
  <c r="K47" i="15"/>
  <c r="L47" i="15"/>
  <c r="M47" i="15"/>
  <c r="N47" i="15"/>
  <c r="C47" i="15"/>
  <c r="D31" i="15"/>
  <c r="E31" i="15"/>
  <c r="F31" i="15"/>
  <c r="G31" i="15"/>
  <c r="H31" i="15"/>
  <c r="I31" i="15"/>
  <c r="J31" i="15"/>
  <c r="K31" i="15"/>
  <c r="L31" i="15"/>
  <c r="M31" i="15"/>
  <c r="N31" i="15"/>
  <c r="C31" i="15"/>
  <c r="G68" i="22"/>
  <c r="G83" i="22"/>
  <c r="G82" i="22"/>
  <c r="G80" i="22"/>
  <c r="G79" i="22"/>
  <c r="G78" i="22"/>
  <c r="G76" i="22"/>
  <c r="G75" i="22"/>
  <c r="G74" i="22"/>
  <c r="G73" i="22"/>
  <c r="F80" i="22"/>
  <c r="F79" i="22"/>
  <c r="F78" i="22"/>
  <c r="D80" i="22"/>
  <c r="D79" i="22"/>
  <c r="D78" i="22"/>
  <c r="F76" i="22"/>
  <c r="F75" i="22"/>
  <c r="F74" i="22"/>
  <c r="F73" i="22"/>
  <c r="D76" i="22"/>
  <c r="D75" i="22"/>
  <c r="D74" i="22"/>
  <c r="D73" i="22"/>
  <c r="G67" i="22"/>
  <c r="G66" i="22"/>
  <c r="G65" i="22"/>
  <c r="G63" i="22"/>
  <c r="G62" i="22"/>
  <c r="G61" i="22"/>
  <c r="G59" i="22"/>
  <c r="G58" i="22"/>
  <c r="G57" i="22"/>
  <c r="G56" i="22"/>
  <c r="F63" i="22"/>
  <c r="F62" i="22"/>
  <c r="F61" i="22"/>
  <c r="F59" i="22"/>
  <c r="F58" i="22"/>
  <c r="F57" i="22"/>
  <c r="F56" i="22"/>
  <c r="D63" i="22"/>
  <c r="D62" i="22"/>
  <c r="D61" i="22"/>
  <c r="D59" i="22"/>
  <c r="D58" i="22"/>
  <c r="D57" i="22"/>
  <c r="D56" i="22"/>
  <c r="S325" i="14"/>
  <c r="S324" i="14"/>
  <c r="S322" i="14"/>
  <c r="S315" i="14"/>
  <c r="S314" i="14"/>
  <c r="S313" i="14"/>
  <c r="S312" i="14"/>
  <c r="S310" i="14"/>
  <c r="S309" i="14"/>
  <c r="S303" i="14"/>
  <c r="S302" i="14"/>
  <c r="S300" i="14"/>
  <c r="S293" i="14"/>
  <c r="S292" i="14"/>
  <c r="S291" i="14"/>
  <c r="S290" i="14"/>
  <c r="S288" i="14"/>
  <c r="S287" i="14"/>
  <c r="S281" i="14"/>
  <c r="S280" i="14"/>
  <c r="S278" i="14"/>
  <c r="S271" i="14"/>
  <c r="S270" i="14"/>
  <c r="S269" i="14"/>
  <c r="S268" i="14"/>
  <c r="S266" i="14"/>
  <c r="S265" i="14"/>
  <c r="S259" i="14"/>
  <c r="S258" i="14"/>
  <c r="S256" i="14"/>
  <c r="S249" i="14"/>
  <c r="S248" i="14"/>
  <c r="S247" i="14"/>
  <c r="S246" i="14"/>
  <c r="S244" i="14"/>
  <c r="S243" i="14"/>
  <c r="S237" i="14"/>
  <c r="S236" i="14"/>
  <c r="S234" i="14"/>
  <c r="S227" i="14"/>
  <c r="S226" i="14"/>
  <c r="S225" i="14"/>
  <c r="S224" i="14"/>
  <c r="S222" i="14"/>
  <c r="S221" i="14"/>
  <c r="S215" i="14"/>
  <c r="S214" i="14"/>
  <c r="S212" i="14"/>
  <c r="S205" i="14"/>
  <c r="S204" i="14"/>
  <c r="S203" i="14"/>
  <c r="S202" i="14"/>
  <c r="S200" i="14"/>
  <c r="S199" i="14"/>
  <c r="S193" i="14"/>
  <c r="S192" i="14"/>
  <c r="S190" i="14"/>
  <c r="S183" i="14"/>
  <c r="S182" i="14"/>
  <c r="S181" i="14"/>
  <c r="S180" i="14"/>
  <c r="S178" i="14"/>
  <c r="S177" i="14"/>
  <c r="S171" i="14"/>
  <c r="S170" i="14"/>
  <c r="S168" i="14"/>
  <c r="S161" i="14"/>
  <c r="S160" i="14"/>
  <c r="S159" i="14"/>
  <c r="S158" i="14"/>
  <c r="S156" i="14"/>
  <c r="S155" i="14"/>
  <c r="S149" i="14"/>
  <c r="S148" i="14"/>
  <c r="S146" i="14"/>
  <c r="S139" i="14"/>
  <c r="S138" i="14"/>
  <c r="S137" i="14"/>
  <c r="S136" i="14"/>
  <c r="S134" i="14"/>
  <c r="S133" i="14"/>
  <c r="S127" i="14"/>
  <c r="S126" i="14"/>
  <c r="S124" i="14"/>
  <c r="S117" i="14"/>
  <c r="S116" i="14"/>
  <c r="S115" i="14"/>
  <c r="S114" i="14"/>
  <c r="S112" i="14"/>
  <c r="S111" i="14"/>
  <c r="S105" i="14"/>
  <c r="S104" i="14"/>
  <c r="S102" i="14"/>
  <c r="S95" i="14"/>
  <c r="S94" i="14"/>
  <c r="S93" i="14"/>
  <c r="S92" i="14"/>
  <c r="S90" i="14"/>
  <c r="S89" i="14"/>
  <c r="S83" i="14"/>
  <c r="S82" i="14"/>
  <c r="S80" i="14"/>
  <c r="S73" i="14"/>
  <c r="S72" i="14"/>
  <c r="E25" i="14" s="1"/>
  <c r="S71" i="14"/>
  <c r="S70" i="14"/>
  <c r="S68" i="14"/>
  <c r="S67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C12" i="14"/>
  <c r="D12" i="14"/>
  <c r="C13" i="14"/>
  <c r="D13" i="14"/>
  <c r="C14" i="14"/>
  <c r="C15" i="14"/>
  <c r="C16" i="14"/>
  <c r="C21" i="14"/>
  <c r="D21" i="14"/>
  <c r="E21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N3" i="14"/>
  <c r="M3" i="14"/>
  <c r="L3" i="14"/>
  <c r="K3" i="14"/>
  <c r="J3" i="14"/>
  <c r="I3" i="14"/>
  <c r="H3" i="14"/>
  <c r="G3" i="14"/>
  <c r="F3" i="14"/>
  <c r="E3" i="14"/>
  <c r="D3" i="14"/>
  <c r="C3" i="14"/>
  <c r="N308" i="14"/>
  <c r="M308" i="14"/>
  <c r="L308" i="14"/>
  <c r="K308" i="14"/>
  <c r="J308" i="14"/>
  <c r="I308" i="14"/>
  <c r="H308" i="14"/>
  <c r="G308" i="14"/>
  <c r="F308" i="14"/>
  <c r="E308" i="14"/>
  <c r="D308" i="14"/>
  <c r="C308" i="14"/>
  <c r="N286" i="14"/>
  <c r="M286" i="14"/>
  <c r="L286" i="14"/>
  <c r="K286" i="14"/>
  <c r="J286" i="14"/>
  <c r="I286" i="14"/>
  <c r="H286" i="14"/>
  <c r="G286" i="14"/>
  <c r="F286" i="14"/>
  <c r="E286" i="14"/>
  <c r="D286" i="14"/>
  <c r="C286" i="14"/>
  <c r="N264" i="14"/>
  <c r="M264" i="14"/>
  <c r="L264" i="14"/>
  <c r="K264" i="14"/>
  <c r="J264" i="14"/>
  <c r="I264" i="14"/>
  <c r="H264" i="14"/>
  <c r="G264" i="14"/>
  <c r="F264" i="14"/>
  <c r="E264" i="14"/>
  <c r="D264" i="14"/>
  <c r="C264" i="14"/>
  <c r="N242" i="14"/>
  <c r="M242" i="14"/>
  <c r="L242" i="14"/>
  <c r="K242" i="14"/>
  <c r="J242" i="14"/>
  <c r="I242" i="14"/>
  <c r="H242" i="14"/>
  <c r="G242" i="14"/>
  <c r="F242" i="14"/>
  <c r="E242" i="14"/>
  <c r="D242" i="14"/>
  <c r="C242" i="14"/>
  <c r="N220" i="14"/>
  <c r="M220" i="14"/>
  <c r="L220" i="14"/>
  <c r="K220" i="14"/>
  <c r="J220" i="14"/>
  <c r="I220" i="14"/>
  <c r="H220" i="14"/>
  <c r="G220" i="14"/>
  <c r="F220" i="14"/>
  <c r="E220" i="14"/>
  <c r="D220" i="14"/>
  <c r="C220" i="14"/>
  <c r="N198" i="14"/>
  <c r="M198" i="14"/>
  <c r="L198" i="14"/>
  <c r="K198" i="14"/>
  <c r="J198" i="14"/>
  <c r="I198" i="14"/>
  <c r="H198" i="14"/>
  <c r="G198" i="14"/>
  <c r="F198" i="14"/>
  <c r="E198" i="14"/>
  <c r="D198" i="14"/>
  <c r="C198" i="14"/>
  <c r="N176" i="14"/>
  <c r="M176" i="14"/>
  <c r="L176" i="14"/>
  <c r="K176" i="14"/>
  <c r="J176" i="14"/>
  <c r="I176" i="14"/>
  <c r="H176" i="14"/>
  <c r="G176" i="14"/>
  <c r="F176" i="14"/>
  <c r="E176" i="14"/>
  <c r="D176" i="14"/>
  <c r="C176" i="14"/>
  <c r="N154" i="14"/>
  <c r="M154" i="14"/>
  <c r="L154" i="14"/>
  <c r="K154" i="14"/>
  <c r="J154" i="14"/>
  <c r="I154" i="14"/>
  <c r="H154" i="14"/>
  <c r="G154" i="14"/>
  <c r="F154" i="14"/>
  <c r="E154" i="14"/>
  <c r="D154" i="14"/>
  <c r="C154" i="14"/>
  <c r="N132" i="14"/>
  <c r="M132" i="14"/>
  <c r="L132" i="14"/>
  <c r="K132" i="14"/>
  <c r="J132" i="14"/>
  <c r="I132" i="14"/>
  <c r="H132" i="14"/>
  <c r="G132" i="14"/>
  <c r="F132" i="14"/>
  <c r="E132" i="14"/>
  <c r="D132" i="14"/>
  <c r="C132" i="14"/>
  <c r="N110" i="14"/>
  <c r="M110" i="14"/>
  <c r="L110" i="14"/>
  <c r="K110" i="14"/>
  <c r="J110" i="14"/>
  <c r="I110" i="14"/>
  <c r="H110" i="14"/>
  <c r="G110" i="14"/>
  <c r="F110" i="14"/>
  <c r="E110" i="14"/>
  <c r="D110" i="14"/>
  <c r="C110" i="14"/>
  <c r="D320" i="14"/>
  <c r="E320" i="14" s="1"/>
  <c r="D319" i="14"/>
  <c r="E319" i="14" s="1"/>
  <c r="F317" i="14"/>
  <c r="E317" i="14"/>
  <c r="N312" i="14"/>
  <c r="N317" i="14" s="1"/>
  <c r="M312" i="14"/>
  <c r="L312" i="14"/>
  <c r="G312" i="14"/>
  <c r="D298" i="14"/>
  <c r="D297" i="14"/>
  <c r="E297" i="14" s="1"/>
  <c r="F297" i="14" s="1"/>
  <c r="G297" i="14" s="1"/>
  <c r="H297" i="14" s="1"/>
  <c r="I297" i="14" s="1"/>
  <c r="F295" i="14"/>
  <c r="E295" i="14"/>
  <c r="N290" i="14"/>
  <c r="N295" i="14" s="1"/>
  <c r="M290" i="14"/>
  <c r="L290" i="14"/>
  <c r="L295" i="14" s="1"/>
  <c r="G290" i="14"/>
  <c r="D276" i="14"/>
  <c r="D275" i="14"/>
  <c r="E275" i="14" s="1"/>
  <c r="F275" i="14" s="1"/>
  <c r="G275" i="14" s="1"/>
  <c r="H275" i="14" s="1"/>
  <c r="I275" i="14" s="1"/>
  <c r="J275" i="14" s="1"/>
  <c r="K275" i="14" s="1"/>
  <c r="L275" i="14" s="1"/>
  <c r="M275" i="14" s="1"/>
  <c r="N275" i="14" s="1"/>
  <c r="O275" i="14" s="1"/>
  <c r="P275" i="14" s="1"/>
  <c r="Q275" i="14" s="1"/>
  <c r="F273" i="14"/>
  <c r="E273" i="14"/>
  <c r="N268" i="14"/>
  <c r="N273" i="14" s="1"/>
  <c r="M268" i="14"/>
  <c r="M273" i="14" s="1"/>
  <c r="L268" i="14"/>
  <c r="G268" i="14"/>
  <c r="D254" i="14"/>
  <c r="D253" i="14"/>
  <c r="E253" i="14" s="1"/>
  <c r="F251" i="14"/>
  <c r="E251" i="14"/>
  <c r="N246" i="14"/>
  <c r="N251" i="14" s="1"/>
  <c r="M246" i="14"/>
  <c r="L246" i="14"/>
  <c r="L251" i="14" s="1"/>
  <c r="G246" i="14"/>
  <c r="D232" i="14"/>
  <c r="E232" i="14" s="1"/>
  <c r="E233" i="14" s="1"/>
  <c r="D231" i="14"/>
  <c r="E231" i="14" s="1"/>
  <c r="F231" i="14" s="1"/>
  <c r="G231" i="14" s="1"/>
  <c r="H231" i="14" s="1"/>
  <c r="I231" i="14" s="1"/>
  <c r="J231" i="14" s="1"/>
  <c r="K231" i="14" s="1"/>
  <c r="L231" i="14" s="1"/>
  <c r="M231" i="14" s="1"/>
  <c r="N231" i="14" s="1"/>
  <c r="O231" i="14" s="1"/>
  <c r="P231" i="14" s="1"/>
  <c r="Q231" i="14" s="1"/>
  <c r="F229" i="14"/>
  <c r="E229" i="14"/>
  <c r="N224" i="14"/>
  <c r="M224" i="14"/>
  <c r="L224" i="14"/>
  <c r="G224" i="14"/>
  <c r="D210" i="14"/>
  <c r="D209" i="14"/>
  <c r="E209" i="14" s="1"/>
  <c r="F209" i="14" s="1"/>
  <c r="G209" i="14" s="1"/>
  <c r="F207" i="14"/>
  <c r="E207" i="14"/>
  <c r="N202" i="14"/>
  <c r="N207" i="14" s="1"/>
  <c r="M202" i="14"/>
  <c r="L202" i="14"/>
  <c r="G202" i="14"/>
  <c r="D188" i="14"/>
  <c r="E188" i="14" s="1"/>
  <c r="F188" i="14" s="1"/>
  <c r="D187" i="14"/>
  <c r="F185" i="14"/>
  <c r="E185" i="14"/>
  <c r="N180" i="14"/>
  <c r="N185" i="14" s="1"/>
  <c r="M180" i="14"/>
  <c r="L180" i="14"/>
  <c r="L185" i="14" s="1"/>
  <c r="G180" i="14"/>
  <c r="D166" i="14"/>
  <c r="E166" i="14" s="1"/>
  <c r="F166" i="14" s="1"/>
  <c r="D165" i="14"/>
  <c r="F163" i="14"/>
  <c r="E163" i="14"/>
  <c r="N158" i="14"/>
  <c r="M158" i="14"/>
  <c r="L158" i="14"/>
  <c r="L163" i="14" s="1"/>
  <c r="G158" i="14"/>
  <c r="D144" i="14"/>
  <c r="E144" i="14" s="1"/>
  <c r="D143" i="14"/>
  <c r="E143" i="14" s="1"/>
  <c r="F143" i="14" s="1"/>
  <c r="G143" i="14" s="1"/>
  <c r="H143" i="14" s="1"/>
  <c r="I143" i="14" s="1"/>
  <c r="J143" i="14" s="1"/>
  <c r="K143" i="14" s="1"/>
  <c r="L143" i="14" s="1"/>
  <c r="M143" i="14" s="1"/>
  <c r="N143" i="14" s="1"/>
  <c r="O143" i="14" s="1"/>
  <c r="P143" i="14" s="1"/>
  <c r="Q143" i="14" s="1"/>
  <c r="F141" i="14"/>
  <c r="E141" i="14"/>
  <c r="N136" i="14"/>
  <c r="I136" i="14"/>
  <c r="G141" i="14"/>
  <c r="D122" i="14"/>
  <c r="E122" i="14" s="1"/>
  <c r="F122" i="14" s="1"/>
  <c r="D121" i="14"/>
  <c r="E121" i="14" s="1"/>
  <c r="F121" i="14" s="1"/>
  <c r="G121" i="14" s="1"/>
  <c r="H121" i="14" s="1"/>
  <c r="I121" i="14" s="1"/>
  <c r="J121" i="14" s="1"/>
  <c r="K121" i="14" s="1"/>
  <c r="L121" i="14" s="1"/>
  <c r="M121" i="14" s="1"/>
  <c r="N121" i="14" s="1"/>
  <c r="O121" i="14" s="1"/>
  <c r="P121" i="14" s="1"/>
  <c r="Q121" i="14" s="1"/>
  <c r="F119" i="14"/>
  <c r="E119" i="14"/>
  <c r="D100" i="14"/>
  <c r="E100" i="14" s="1"/>
  <c r="D99" i="14"/>
  <c r="E99" i="14" s="1"/>
  <c r="F99" i="14" s="1"/>
  <c r="G99" i="14" s="1"/>
  <c r="H99" i="14" s="1"/>
  <c r="I99" i="14" s="1"/>
  <c r="J99" i="14" s="1"/>
  <c r="K99" i="14" s="1"/>
  <c r="L99" i="14" s="1"/>
  <c r="M99" i="14" s="1"/>
  <c r="N99" i="14" s="1"/>
  <c r="O99" i="14" s="1"/>
  <c r="P99" i="14" s="1"/>
  <c r="Q99" i="14" s="1"/>
  <c r="E97" i="14"/>
  <c r="H92" i="14"/>
  <c r="H97" i="14" s="1"/>
  <c r="F75" i="14"/>
  <c r="E75" i="14"/>
  <c r="D78" i="14"/>
  <c r="E78" i="14" s="1"/>
  <c r="D77" i="14"/>
  <c r="E77" i="14" s="1"/>
  <c r="F77" i="14" s="1"/>
  <c r="G77" i="14" s="1"/>
  <c r="H77" i="14" s="1"/>
  <c r="I77" i="14" s="1"/>
  <c r="J77" i="14" s="1"/>
  <c r="K77" i="14" s="1"/>
  <c r="L77" i="14" s="1"/>
  <c r="M77" i="14" s="1"/>
  <c r="N77" i="14" s="1"/>
  <c r="O77" i="14" s="1"/>
  <c r="P77" i="14" s="1"/>
  <c r="Q77" i="14" s="1"/>
  <c r="A203" i="3"/>
  <c r="A230" i="3" s="1"/>
  <c r="A202" i="3"/>
  <c r="A201" i="3"/>
  <c r="A228" i="3" s="1"/>
  <c r="A60" i="6"/>
  <c r="A61" i="6"/>
  <c r="C23" i="9"/>
  <c r="C24" i="9" s="1"/>
  <c r="C42" i="9"/>
  <c r="C43" i="9" s="1"/>
  <c r="M163" i="14"/>
  <c r="N229" i="14"/>
  <c r="M317" i="14"/>
  <c r="M207" i="14"/>
  <c r="E187" i="14"/>
  <c r="F187" i="14" s="1"/>
  <c r="G119" i="14"/>
  <c r="C32" i="21"/>
  <c r="B32" i="21"/>
  <c r="H141" i="14"/>
  <c r="U29" i="16"/>
  <c r="V29" i="16" s="1"/>
  <c r="W29" i="16" s="1"/>
  <c r="X29" i="16" s="1"/>
  <c r="Y29" i="16" s="1"/>
  <c r="Z29" i="16" s="1"/>
  <c r="AA29" i="16" s="1"/>
  <c r="AB29" i="16" s="1"/>
  <c r="AC29" i="16" s="1"/>
  <c r="AD29" i="16" s="1"/>
  <c r="AE29" i="16" s="1"/>
  <c r="AF29" i="16" s="1"/>
  <c r="AG29" i="16" s="1"/>
  <c r="U30" i="16"/>
  <c r="V30" i="16" s="1"/>
  <c r="W30" i="16" s="1"/>
  <c r="X30" i="16" s="1"/>
  <c r="Y30" i="16" s="1"/>
  <c r="Z30" i="16" s="1"/>
  <c r="AA30" i="16" s="1"/>
  <c r="AB30" i="16" s="1"/>
  <c r="AC30" i="16" s="1"/>
  <c r="AD30" i="16" s="1"/>
  <c r="AE30" i="16" s="1"/>
  <c r="AF30" i="16" s="1"/>
  <c r="AG30" i="16" s="1"/>
  <c r="U31" i="16"/>
  <c r="V31" i="16" s="1"/>
  <c r="U32" i="16"/>
  <c r="V32" i="16" s="1"/>
  <c r="U33" i="16"/>
  <c r="V33" i="16" s="1"/>
  <c r="U34" i="16"/>
  <c r="V34" i="16" s="1"/>
  <c r="W34" i="16" s="1"/>
  <c r="X34" i="16" s="1"/>
  <c r="Y34" i="16" s="1"/>
  <c r="Z34" i="16" s="1"/>
  <c r="AA34" i="16" s="1"/>
  <c r="AB34" i="16" s="1"/>
  <c r="AC34" i="16" s="1"/>
  <c r="AD34" i="16" s="1"/>
  <c r="AE34" i="16" s="1"/>
  <c r="AF34" i="16" s="1"/>
  <c r="AG34" i="16" s="1"/>
  <c r="U35" i="16"/>
  <c r="V35" i="16" s="1"/>
  <c r="W35" i="16" s="1"/>
  <c r="U36" i="16"/>
  <c r="V36" i="16" s="1"/>
  <c r="W36" i="16" s="1"/>
  <c r="U37" i="16"/>
  <c r="V37" i="16" s="1"/>
  <c r="W37" i="16" s="1"/>
  <c r="X37" i="16" s="1"/>
  <c r="Y37" i="16" s="1"/>
  <c r="Z37" i="16" s="1"/>
  <c r="AA37" i="16" s="1"/>
  <c r="AB37" i="16" s="1"/>
  <c r="AC37" i="16" s="1"/>
  <c r="AD37" i="16" s="1"/>
  <c r="AE37" i="16" s="1"/>
  <c r="AF37" i="16" s="1"/>
  <c r="AG37" i="16" s="1"/>
  <c r="U38" i="16"/>
  <c r="V38" i="16" s="1"/>
  <c r="W38" i="16" s="1"/>
  <c r="X38" i="16" s="1"/>
  <c r="Y38" i="16" s="1"/>
  <c r="Z38" i="16" s="1"/>
  <c r="AA38" i="16" s="1"/>
  <c r="AB38" i="16" s="1"/>
  <c r="AC38" i="16" s="1"/>
  <c r="AD38" i="16" s="1"/>
  <c r="AE38" i="16" s="1"/>
  <c r="AF38" i="16" s="1"/>
  <c r="AG38" i="16" s="1"/>
  <c r="U39" i="16"/>
  <c r="U40" i="16"/>
  <c r="V40" i="16" s="1"/>
  <c r="U41" i="16"/>
  <c r="V41" i="16" s="1"/>
  <c r="W41" i="16" s="1"/>
  <c r="X41" i="16" s="1"/>
  <c r="Y41" i="16" s="1"/>
  <c r="Z41" i="16" s="1"/>
  <c r="AA41" i="16" s="1"/>
  <c r="AB41" i="16" s="1"/>
  <c r="AC41" i="16" s="1"/>
  <c r="AD41" i="16" s="1"/>
  <c r="AE41" i="16" s="1"/>
  <c r="AF41" i="16" s="1"/>
  <c r="AG41" i="16" s="1"/>
  <c r="U42" i="16"/>
  <c r="V42" i="16" s="1"/>
  <c r="W42" i="16" s="1"/>
  <c r="X42" i="16" s="1"/>
  <c r="Y42" i="16" s="1"/>
  <c r="Z42" i="16" s="1"/>
  <c r="AA42" i="16" s="1"/>
  <c r="AB42" i="16" s="1"/>
  <c r="AC42" i="16" s="1"/>
  <c r="AD42" i="16" s="1"/>
  <c r="AE42" i="16" s="1"/>
  <c r="AF42" i="16" s="1"/>
  <c r="AG42" i="16" s="1"/>
  <c r="U43" i="16"/>
  <c r="V43" i="16" s="1"/>
  <c r="W43" i="16" s="1"/>
  <c r="X43" i="16" s="1"/>
  <c r="Y43" i="16" s="1"/>
  <c r="Z43" i="16" s="1"/>
  <c r="AA43" i="16" s="1"/>
  <c r="AB43" i="16" s="1"/>
  <c r="AC43" i="16" s="1"/>
  <c r="AD43" i="16" s="1"/>
  <c r="AE43" i="16" s="1"/>
  <c r="AF43" i="16" s="1"/>
  <c r="AG43" i="16" s="1"/>
  <c r="U44" i="16"/>
  <c r="V44" i="16" s="1"/>
  <c r="U45" i="16"/>
  <c r="V45" i="16" s="1"/>
  <c r="W45" i="16" s="1"/>
  <c r="X45" i="16" s="1"/>
  <c r="Y45" i="16" s="1"/>
  <c r="Z45" i="16" s="1"/>
  <c r="AA45" i="16" s="1"/>
  <c r="AB45" i="16" s="1"/>
  <c r="AC45" i="16" s="1"/>
  <c r="AD45" i="16" s="1"/>
  <c r="AE45" i="16" s="1"/>
  <c r="AF45" i="16" s="1"/>
  <c r="AG45" i="16" s="1"/>
  <c r="U46" i="16"/>
  <c r="V46" i="16" s="1"/>
  <c r="U47" i="16"/>
  <c r="V47" i="16" s="1"/>
  <c r="W47" i="16" s="1"/>
  <c r="X47" i="16" s="1"/>
  <c r="Y47" i="16" s="1"/>
  <c r="Z47" i="16" s="1"/>
  <c r="AA47" i="16" s="1"/>
  <c r="AB47" i="16" s="1"/>
  <c r="AC47" i="16" s="1"/>
  <c r="AD47" i="16" s="1"/>
  <c r="AE47" i="16" s="1"/>
  <c r="AF47" i="16" s="1"/>
  <c r="AG47" i="16" s="1"/>
  <c r="U48" i="16"/>
  <c r="V48" i="16" s="1"/>
  <c r="W48" i="16" s="1"/>
  <c r="X48" i="16" s="1"/>
  <c r="Y48" i="16" s="1"/>
  <c r="Z48" i="16" s="1"/>
  <c r="AA48" i="16" s="1"/>
  <c r="AB48" i="16" s="1"/>
  <c r="AC48" i="16" s="1"/>
  <c r="AD48" i="16" s="1"/>
  <c r="AE48" i="16" s="1"/>
  <c r="AF48" i="16" s="1"/>
  <c r="AG48" i="16" s="1"/>
  <c r="U49" i="16"/>
  <c r="V49" i="16" s="1"/>
  <c r="W49" i="16" s="1"/>
  <c r="X49" i="16" s="1"/>
  <c r="Y49" i="16" s="1"/>
  <c r="Z49" i="16" s="1"/>
  <c r="AA49" i="16" s="1"/>
  <c r="AB49" i="16" s="1"/>
  <c r="AC49" i="16" s="1"/>
  <c r="AD49" i="16" s="1"/>
  <c r="AE49" i="16" s="1"/>
  <c r="AF49" i="16" s="1"/>
  <c r="AG49" i="16" s="1"/>
  <c r="U50" i="16"/>
  <c r="V50" i="16" s="1"/>
  <c r="W50" i="16" s="1"/>
  <c r="X50" i="16" s="1"/>
  <c r="Y50" i="16" s="1"/>
  <c r="Z50" i="16" s="1"/>
  <c r="AA50" i="16" s="1"/>
  <c r="AB50" i="16" s="1"/>
  <c r="AC50" i="16" s="1"/>
  <c r="AD50" i="16" s="1"/>
  <c r="AE50" i="16" s="1"/>
  <c r="AF50" i="16" s="1"/>
  <c r="AG50" i="16" s="1"/>
  <c r="U51" i="16"/>
  <c r="V51" i="16" s="1"/>
  <c r="W51" i="16" s="1"/>
  <c r="X51" i="16" s="1"/>
  <c r="U52" i="16"/>
  <c r="V52" i="16" s="1"/>
  <c r="W52" i="16" s="1"/>
  <c r="X52" i="16" s="1"/>
  <c r="Y52" i="16" s="1"/>
  <c r="Z52" i="16" s="1"/>
  <c r="AA52" i="16" s="1"/>
  <c r="AB52" i="16" s="1"/>
  <c r="AC52" i="16" s="1"/>
  <c r="AD52" i="16" s="1"/>
  <c r="AE52" i="16" s="1"/>
  <c r="AF52" i="16" s="1"/>
  <c r="AG52" i="16" s="1"/>
  <c r="U53" i="16"/>
  <c r="V53" i="16" s="1"/>
  <c r="W53" i="16" s="1"/>
  <c r="C91" i="9"/>
  <c r="F32" i="12"/>
  <c r="G32" i="12"/>
  <c r="H32" i="12"/>
  <c r="I32" i="12"/>
  <c r="J32" i="12"/>
  <c r="K32" i="12"/>
  <c r="L32" i="12"/>
  <c r="M32" i="12"/>
  <c r="N32" i="12"/>
  <c r="E32" i="12"/>
  <c r="B15" i="18"/>
  <c r="B48" i="18" s="1"/>
  <c r="B11" i="18"/>
  <c r="B44" i="18" s="1"/>
  <c r="B12" i="18"/>
  <c r="B45" i="18" s="1"/>
  <c r="B13" i="18"/>
  <c r="B46" i="18" s="1"/>
  <c r="B14" i="18"/>
  <c r="B47" i="18" s="1"/>
  <c r="B10" i="18"/>
  <c r="B43" i="18" s="1"/>
  <c r="E33" i="10"/>
  <c r="E27" i="10" s="1"/>
  <c r="H35" i="10"/>
  <c r="E11" i="10"/>
  <c r="E12" i="10"/>
  <c r="E7" i="10"/>
  <c r="E17" i="10" s="1"/>
  <c r="D27" i="4" s="1"/>
  <c r="F247" i="11"/>
  <c r="E247" i="11"/>
  <c r="E243" i="11"/>
  <c r="T243" i="11" s="1"/>
  <c r="AI243" i="11" s="1"/>
  <c r="AX243" i="11" s="1"/>
  <c r="BM243" i="11" s="1"/>
  <c r="F243" i="11"/>
  <c r="U243" i="11" s="1"/>
  <c r="AJ243" i="11" s="1"/>
  <c r="AY243" i="11" s="1"/>
  <c r="BN243" i="11" s="1"/>
  <c r="G243" i="11"/>
  <c r="V243" i="11" s="1"/>
  <c r="AK243" i="11" s="1"/>
  <c r="AZ243" i="11" s="1"/>
  <c r="BO243" i="11" s="1"/>
  <c r="H243" i="11"/>
  <c r="W243" i="11" s="1"/>
  <c r="AL243" i="11" s="1"/>
  <c r="BA243" i="11" s="1"/>
  <c r="BP243" i="11" s="1"/>
  <c r="I243" i="11"/>
  <c r="X243" i="11" s="1"/>
  <c r="AM243" i="11" s="1"/>
  <c r="BB243" i="11" s="1"/>
  <c r="BQ243" i="11" s="1"/>
  <c r="J243" i="11"/>
  <c r="Y243" i="11" s="1"/>
  <c r="AN243" i="11" s="1"/>
  <c r="BC243" i="11" s="1"/>
  <c r="BR243" i="11" s="1"/>
  <c r="K243" i="11"/>
  <c r="Z243" i="11" s="1"/>
  <c r="AO243" i="11" s="1"/>
  <c r="BD243" i="11" s="1"/>
  <c r="BS243" i="11" s="1"/>
  <c r="L243" i="11"/>
  <c r="AA243" i="11" s="1"/>
  <c r="AP243" i="11" s="1"/>
  <c r="BE243" i="11" s="1"/>
  <c r="BT243" i="11" s="1"/>
  <c r="M243" i="11"/>
  <c r="AB243" i="11" s="1"/>
  <c r="AQ243" i="11" s="1"/>
  <c r="BF243" i="11" s="1"/>
  <c r="BU243" i="11" s="1"/>
  <c r="N243" i="11"/>
  <c r="AC243" i="11" s="1"/>
  <c r="AR243" i="11" s="1"/>
  <c r="BG243" i="11" s="1"/>
  <c r="BV243" i="11" s="1"/>
  <c r="O243" i="11"/>
  <c r="AD243" i="11" s="1"/>
  <c r="AS243" i="11" s="1"/>
  <c r="BH243" i="11" s="1"/>
  <c r="BW243" i="11" s="1"/>
  <c r="D243" i="11"/>
  <c r="S243" i="11" s="1"/>
  <c r="AH243" i="11" s="1"/>
  <c r="AW243" i="11" s="1"/>
  <c r="BL243" i="11" s="1"/>
  <c r="B33" i="12"/>
  <c r="A43" i="12"/>
  <c r="B43" i="12"/>
  <c r="A44" i="12"/>
  <c r="B44" i="12"/>
  <c r="A28" i="12"/>
  <c r="B28" i="12"/>
  <c r="A29" i="12"/>
  <c r="B29" i="12"/>
  <c r="A30" i="12"/>
  <c r="B30" i="12"/>
  <c r="A32" i="12"/>
  <c r="B32" i="12"/>
  <c r="A34" i="12"/>
  <c r="B34" i="12"/>
  <c r="A36" i="12"/>
  <c r="B36" i="12"/>
  <c r="A37" i="12"/>
  <c r="B37" i="12"/>
  <c r="A38" i="12"/>
  <c r="B38" i="12"/>
  <c r="A41" i="12"/>
  <c r="B41" i="12"/>
  <c r="A42" i="12"/>
  <c r="B42" i="12"/>
  <c r="B27" i="12"/>
  <c r="A27" i="12"/>
  <c r="E103" i="16"/>
  <c r="E105" i="16" s="1"/>
  <c r="F103" i="16"/>
  <c r="F105" i="16" s="1"/>
  <c r="G103" i="16"/>
  <c r="G105" i="16" s="1"/>
  <c r="D103" i="16"/>
  <c r="N3" i="17"/>
  <c r="E3" i="17"/>
  <c r="F3" i="17"/>
  <c r="G3" i="17"/>
  <c r="H3" i="17"/>
  <c r="I3" i="17"/>
  <c r="J3" i="17"/>
  <c r="K3" i="17"/>
  <c r="L3" i="17"/>
  <c r="M3" i="17"/>
  <c r="D3" i="17"/>
  <c r="F10" i="10"/>
  <c r="G10" i="10"/>
  <c r="H29" i="10"/>
  <c r="H10" i="10" s="1"/>
  <c r="I29" i="10"/>
  <c r="I10" i="10" s="1"/>
  <c r="J29" i="10"/>
  <c r="K29" i="10"/>
  <c r="L29" i="10"/>
  <c r="M29" i="10"/>
  <c r="N29" i="10"/>
  <c r="O29" i="10"/>
  <c r="E29" i="10"/>
  <c r="E10" i="10" s="1"/>
  <c r="D51" i="9"/>
  <c r="E22" i="5"/>
  <c r="F22" i="5" s="1"/>
  <c r="G22" i="5" s="1"/>
  <c r="H22" i="5" s="1"/>
  <c r="I22" i="5" s="1"/>
  <c r="J22" i="5" s="1"/>
  <c r="K22" i="5" s="1"/>
  <c r="L22" i="5" s="1"/>
  <c r="M22" i="5" s="1"/>
  <c r="N22" i="5" s="1"/>
  <c r="O22" i="5" s="1"/>
  <c r="P22" i="5" s="1"/>
  <c r="Q22" i="5" s="1"/>
  <c r="D83" i="3"/>
  <c r="D85" i="3"/>
  <c r="E85" i="3"/>
  <c r="F85" i="3"/>
  <c r="G85" i="3"/>
  <c r="H85" i="3"/>
  <c r="I85" i="3"/>
  <c r="J85" i="3"/>
  <c r="K85" i="3"/>
  <c r="L85" i="3"/>
  <c r="M85" i="3"/>
  <c r="N85" i="3"/>
  <c r="D86" i="3"/>
  <c r="E86" i="3"/>
  <c r="F86" i="3"/>
  <c r="G86" i="3"/>
  <c r="H86" i="3"/>
  <c r="I86" i="3"/>
  <c r="J86" i="3"/>
  <c r="K86" i="3"/>
  <c r="L86" i="3"/>
  <c r="M86" i="3"/>
  <c r="N86" i="3"/>
  <c r="D87" i="3"/>
  <c r="E87" i="3"/>
  <c r="F87" i="3"/>
  <c r="G87" i="3"/>
  <c r="H87" i="3"/>
  <c r="I87" i="3"/>
  <c r="J87" i="3"/>
  <c r="K87" i="3"/>
  <c r="L87" i="3"/>
  <c r="M87" i="3"/>
  <c r="N87" i="3"/>
  <c r="D88" i="3"/>
  <c r="E88" i="3"/>
  <c r="F88" i="3"/>
  <c r="G88" i="3"/>
  <c r="H88" i="3"/>
  <c r="I88" i="3"/>
  <c r="J88" i="3"/>
  <c r="K88" i="3"/>
  <c r="L88" i="3"/>
  <c r="M88" i="3"/>
  <c r="N88" i="3"/>
  <c r="D89" i="3"/>
  <c r="E89" i="3"/>
  <c r="F89" i="3"/>
  <c r="G89" i="3"/>
  <c r="H89" i="3"/>
  <c r="I89" i="3"/>
  <c r="J89" i="3"/>
  <c r="K89" i="3"/>
  <c r="L89" i="3"/>
  <c r="M89" i="3"/>
  <c r="N89" i="3"/>
  <c r="D90" i="3"/>
  <c r="E90" i="3"/>
  <c r="F90" i="3"/>
  <c r="G90" i="3"/>
  <c r="H90" i="3"/>
  <c r="I90" i="3"/>
  <c r="J90" i="3"/>
  <c r="K90" i="3"/>
  <c r="L90" i="3"/>
  <c r="M90" i="3"/>
  <c r="N90" i="3"/>
  <c r="D91" i="3"/>
  <c r="E91" i="3"/>
  <c r="F91" i="3"/>
  <c r="G91" i="3"/>
  <c r="H91" i="3"/>
  <c r="I91" i="3"/>
  <c r="J91" i="3"/>
  <c r="K91" i="3"/>
  <c r="L91" i="3"/>
  <c r="M91" i="3"/>
  <c r="N91" i="3"/>
  <c r="C86" i="3"/>
  <c r="C87" i="3"/>
  <c r="C88" i="3"/>
  <c r="C89" i="3"/>
  <c r="C90" i="3"/>
  <c r="C91" i="3"/>
  <c r="C83" i="3"/>
  <c r="A80" i="3"/>
  <c r="D84" i="3"/>
  <c r="C85" i="9"/>
  <c r="C92" i="9"/>
  <c r="R29" i="16"/>
  <c r="AI29" i="16" s="1"/>
  <c r="R30" i="16"/>
  <c r="AI30" i="16" s="1"/>
  <c r="R31" i="16"/>
  <c r="R32" i="16"/>
  <c r="AI32" i="16" s="1"/>
  <c r="AX32" i="16" s="1"/>
  <c r="R33" i="16"/>
  <c r="AI33" i="16" s="1"/>
  <c r="AJ33" i="16" s="1"/>
  <c r="R34" i="16"/>
  <c r="AI34" i="16" s="1"/>
  <c r="R35" i="16"/>
  <c r="AI35" i="16" s="1"/>
  <c r="R36" i="16"/>
  <c r="AI36" i="16" s="1"/>
  <c r="R37" i="16"/>
  <c r="AI37" i="16" s="1"/>
  <c r="R38" i="16"/>
  <c r="AI38" i="16" s="1"/>
  <c r="R39" i="16"/>
  <c r="AI39" i="16" s="1"/>
  <c r="R40" i="16"/>
  <c r="AI40" i="16" s="1"/>
  <c r="R41" i="16"/>
  <c r="AI41" i="16" s="1"/>
  <c r="R42" i="16"/>
  <c r="AI42" i="16" s="1"/>
  <c r="R43" i="16"/>
  <c r="AI43" i="16" s="1"/>
  <c r="R44" i="16"/>
  <c r="AI44" i="16" s="1"/>
  <c r="AX44" i="16" s="1"/>
  <c r="R45" i="16"/>
  <c r="AI45" i="16" s="1"/>
  <c r="R46" i="16"/>
  <c r="AI46" i="16" s="1"/>
  <c r="R47" i="16"/>
  <c r="AI47" i="16" s="1"/>
  <c r="R48" i="16"/>
  <c r="AI48" i="16" s="1"/>
  <c r="R49" i="16"/>
  <c r="AI49" i="16" s="1"/>
  <c r="R50" i="16"/>
  <c r="AI50" i="16" s="1"/>
  <c r="R51" i="16"/>
  <c r="AI51" i="16" s="1"/>
  <c r="R52" i="16"/>
  <c r="AI52" i="16" s="1"/>
  <c r="AX52" i="16" s="1"/>
  <c r="R53" i="16"/>
  <c r="AI53" i="16" s="1"/>
  <c r="AI31" i="16"/>
  <c r="AH54" i="16"/>
  <c r="AW54" i="16"/>
  <c r="A17" i="5"/>
  <c r="A18" i="5"/>
  <c r="A20" i="5"/>
  <c r="A24" i="5"/>
  <c r="A25" i="5"/>
  <c r="A27" i="5"/>
  <c r="A28" i="5"/>
  <c r="A16" i="5"/>
  <c r="T54" i="16"/>
  <c r="A180" i="3"/>
  <c r="A195" i="3" s="1"/>
  <c r="E86" i="9"/>
  <c r="H86" i="9" s="1"/>
  <c r="I86" i="9" s="1"/>
  <c r="J86" i="9" s="1"/>
  <c r="K86" i="9" s="1"/>
  <c r="L86" i="9" s="1"/>
  <c r="M86" i="9" s="1"/>
  <c r="N86" i="9" s="1"/>
  <c r="O86" i="9" s="1"/>
  <c r="P86" i="9" s="1"/>
  <c r="Q86" i="9" s="1"/>
  <c r="H65" i="9"/>
  <c r="I65" i="9" s="1"/>
  <c r="J65" i="9" s="1"/>
  <c r="K65" i="9" s="1"/>
  <c r="L65" i="9" s="1"/>
  <c r="M65" i="9" s="1"/>
  <c r="N65" i="9" s="1"/>
  <c r="O65" i="9" s="1"/>
  <c r="P65" i="9" s="1"/>
  <c r="Q65" i="9" s="1"/>
  <c r="H61" i="9"/>
  <c r="I61" i="9" s="1"/>
  <c r="J61" i="9" s="1"/>
  <c r="K61" i="9" s="1"/>
  <c r="L61" i="9" s="1"/>
  <c r="M61" i="9" s="1"/>
  <c r="N61" i="9" s="1"/>
  <c r="O61" i="9" s="1"/>
  <c r="P61" i="9" s="1"/>
  <c r="Q61" i="9" s="1"/>
  <c r="B3" i="9"/>
  <c r="B2" i="9"/>
  <c r="B47" i="12"/>
  <c r="B22" i="10"/>
  <c r="B21" i="10"/>
  <c r="F20" i="15"/>
  <c r="G20" i="15"/>
  <c r="H20" i="15"/>
  <c r="I20" i="15"/>
  <c r="J20" i="15"/>
  <c r="K20" i="15"/>
  <c r="L20" i="15"/>
  <c r="M20" i="15"/>
  <c r="N20" i="15"/>
  <c r="E20" i="15"/>
  <c r="N3" i="12"/>
  <c r="N26" i="12" s="1"/>
  <c r="I3" i="12"/>
  <c r="I26" i="12" s="1"/>
  <c r="J3" i="12"/>
  <c r="J26" i="12" s="1"/>
  <c r="K3" i="12"/>
  <c r="K26" i="12" s="1"/>
  <c r="L3" i="12"/>
  <c r="L26" i="12" s="1"/>
  <c r="M3" i="12"/>
  <c r="M26" i="12" s="1"/>
  <c r="O3" i="10"/>
  <c r="J3" i="10"/>
  <c r="K3" i="10"/>
  <c r="L3" i="10"/>
  <c r="M3" i="10"/>
  <c r="N3" i="10"/>
  <c r="I1" i="4"/>
  <c r="I44" i="4" s="1"/>
  <c r="J1" i="4"/>
  <c r="J44" i="4" s="1"/>
  <c r="K1" i="4"/>
  <c r="K44" i="4" s="1"/>
  <c r="L1" i="4"/>
  <c r="L44" i="4" s="1"/>
  <c r="M1" i="4"/>
  <c r="M44" i="4" s="1"/>
  <c r="N1" i="4"/>
  <c r="N44" i="4" s="1"/>
  <c r="I3" i="6"/>
  <c r="I38" i="6" s="1"/>
  <c r="I46" i="6" s="1"/>
  <c r="J3" i="6"/>
  <c r="J38" i="6" s="1"/>
  <c r="J46" i="6" s="1"/>
  <c r="K3" i="6"/>
  <c r="K38" i="6" s="1"/>
  <c r="K46" i="6" s="1"/>
  <c r="L3" i="6"/>
  <c r="L38" i="6" s="1"/>
  <c r="L46" i="6" s="1"/>
  <c r="M3" i="6"/>
  <c r="M38" i="6" s="1"/>
  <c r="M46" i="6" s="1"/>
  <c r="N3" i="6"/>
  <c r="N38" i="6" s="1"/>
  <c r="N46" i="6" s="1"/>
  <c r="I43" i="3"/>
  <c r="J43" i="3"/>
  <c r="K43" i="3"/>
  <c r="L43" i="3"/>
  <c r="M43" i="3"/>
  <c r="N43" i="3"/>
  <c r="I44" i="3"/>
  <c r="J44" i="3"/>
  <c r="K44" i="3"/>
  <c r="L44" i="3"/>
  <c r="M44" i="3"/>
  <c r="N44" i="3"/>
  <c r="I45" i="3"/>
  <c r="J45" i="3"/>
  <c r="K45" i="3"/>
  <c r="L45" i="3"/>
  <c r="M45" i="3"/>
  <c r="N45" i="3"/>
  <c r="I46" i="3"/>
  <c r="J46" i="3"/>
  <c r="K46" i="3"/>
  <c r="L46" i="3"/>
  <c r="M46" i="3"/>
  <c r="N46" i="3"/>
  <c r="I47" i="3"/>
  <c r="J47" i="3"/>
  <c r="K47" i="3"/>
  <c r="L47" i="3"/>
  <c r="M47" i="3"/>
  <c r="N47" i="3"/>
  <c r="I48" i="3"/>
  <c r="J48" i="3"/>
  <c r="K48" i="3"/>
  <c r="L48" i="3"/>
  <c r="M48" i="3"/>
  <c r="N48" i="3"/>
  <c r="I49" i="3"/>
  <c r="J49" i="3"/>
  <c r="K49" i="3"/>
  <c r="L49" i="3"/>
  <c r="M49" i="3"/>
  <c r="N49" i="3"/>
  <c r="I144" i="3"/>
  <c r="J144" i="3"/>
  <c r="BS208" i="11" s="1"/>
  <c r="K144" i="3"/>
  <c r="BT208" i="11" s="1"/>
  <c r="L144" i="3"/>
  <c r="M144" i="3"/>
  <c r="BV208" i="11" s="1"/>
  <c r="N144" i="3"/>
  <c r="D2" i="15"/>
  <c r="D18" i="15" s="1"/>
  <c r="E2" i="15"/>
  <c r="E18" i="15" s="1"/>
  <c r="F2" i="15"/>
  <c r="F18" i="15" s="1"/>
  <c r="G2" i="15"/>
  <c r="H2" i="15"/>
  <c r="E3" i="34" s="1"/>
  <c r="I2" i="15"/>
  <c r="F3" i="34" s="1"/>
  <c r="J2" i="15"/>
  <c r="J18" i="15" s="1"/>
  <c r="K2" i="15"/>
  <c r="L2" i="15"/>
  <c r="I3" i="34" s="1"/>
  <c r="M2" i="15"/>
  <c r="J3" i="34" s="1"/>
  <c r="N2" i="15"/>
  <c r="N18" i="15" s="1"/>
  <c r="C2" i="15"/>
  <c r="I32" i="8"/>
  <c r="J32" i="8"/>
  <c r="K32" i="8"/>
  <c r="L32" i="8"/>
  <c r="M32" i="8"/>
  <c r="N32" i="8"/>
  <c r="F55" i="3"/>
  <c r="F66" i="3" s="1"/>
  <c r="D3" i="12"/>
  <c r="D26" i="12" s="1"/>
  <c r="E3" i="12"/>
  <c r="E26" i="12" s="1"/>
  <c r="F3" i="12"/>
  <c r="F26" i="12" s="1"/>
  <c r="G3" i="12"/>
  <c r="G26" i="12" s="1"/>
  <c r="H3" i="12"/>
  <c r="H26" i="12" s="1"/>
  <c r="C3" i="12"/>
  <c r="E3" i="10"/>
  <c r="F3" i="10"/>
  <c r="G3" i="10"/>
  <c r="H3" i="10"/>
  <c r="I3" i="10"/>
  <c r="D3" i="10"/>
  <c r="C46" i="3"/>
  <c r="D46" i="3"/>
  <c r="E46" i="3"/>
  <c r="F46" i="3"/>
  <c r="G46" i="3"/>
  <c r="H46" i="3"/>
  <c r="C47" i="3"/>
  <c r="D47" i="3"/>
  <c r="E47" i="3"/>
  <c r="F47" i="3"/>
  <c r="G47" i="3"/>
  <c r="H47" i="3"/>
  <c r="C48" i="3"/>
  <c r="D48" i="3"/>
  <c r="E48" i="3"/>
  <c r="F48" i="3"/>
  <c r="G48" i="3"/>
  <c r="H48" i="3"/>
  <c r="C145" i="3"/>
  <c r="D145" i="3"/>
  <c r="E145" i="3"/>
  <c r="F145" i="3"/>
  <c r="G145" i="3"/>
  <c r="H145" i="3"/>
  <c r="C146" i="3"/>
  <c r="D146" i="3"/>
  <c r="E146" i="3"/>
  <c r="F146" i="3"/>
  <c r="G146" i="3"/>
  <c r="G40" i="32" s="1"/>
  <c r="H146" i="3"/>
  <c r="C147" i="3"/>
  <c r="D147" i="3"/>
  <c r="E147" i="3"/>
  <c r="F147" i="3"/>
  <c r="G147" i="3"/>
  <c r="H147" i="3"/>
  <c r="BQ211" i="11" s="1"/>
  <c r="CB211" i="11" s="1"/>
  <c r="A32" i="3"/>
  <c r="A45" i="3" s="1"/>
  <c r="A59" i="3" s="1"/>
  <c r="C45" i="3"/>
  <c r="D45" i="3"/>
  <c r="E45" i="3"/>
  <c r="F45" i="3"/>
  <c r="G45" i="3"/>
  <c r="H45" i="3"/>
  <c r="C144" i="3"/>
  <c r="D144" i="3"/>
  <c r="D188" i="3" s="1"/>
  <c r="E144" i="3"/>
  <c r="E188" i="3" s="1"/>
  <c r="F144" i="3"/>
  <c r="F188" i="3" s="1"/>
  <c r="G144" i="3"/>
  <c r="G188" i="3" s="1"/>
  <c r="H144" i="3"/>
  <c r="H188" i="3" s="1"/>
  <c r="G82" i="9"/>
  <c r="H78" i="9"/>
  <c r="I78" i="9" s="1"/>
  <c r="J78" i="9" s="1"/>
  <c r="K78" i="9" s="1"/>
  <c r="L78" i="9" s="1"/>
  <c r="M78" i="9" s="1"/>
  <c r="N78" i="9" s="1"/>
  <c r="O78" i="9" s="1"/>
  <c r="P78" i="9" s="1"/>
  <c r="Q78" i="9" s="1"/>
  <c r="H63" i="9"/>
  <c r="I63" i="9" s="1"/>
  <c r="J63" i="9" s="1"/>
  <c r="K63" i="9" s="1"/>
  <c r="L63" i="9" s="1"/>
  <c r="M63" i="9" s="1"/>
  <c r="N63" i="9" s="1"/>
  <c r="O63" i="9" s="1"/>
  <c r="P63" i="9" s="1"/>
  <c r="Q63" i="9" s="1"/>
  <c r="D43" i="9"/>
  <c r="G43" i="3"/>
  <c r="H43" i="3"/>
  <c r="G44" i="3"/>
  <c r="H44" i="3"/>
  <c r="G49" i="3"/>
  <c r="H49" i="3"/>
  <c r="G148" i="3"/>
  <c r="H148" i="3"/>
  <c r="G1" i="4"/>
  <c r="G44" i="4" s="1"/>
  <c r="H1" i="4"/>
  <c r="H44" i="4" s="1"/>
  <c r="G3" i="6"/>
  <c r="G38" i="6" s="1"/>
  <c r="G46" i="6" s="1"/>
  <c r="H3" i="6"/>
  <c r="H38" i="6" s="1"/>
  <c r="H46" i="6" s="1"/>
  <c r="G32" i="8"/>
  <c r="H32" i="8"/>
  <c r="C2" i="5"/>
  <c r="D2" i="5" s="1"/>
  <c r="B7" i="3"/>
  <c r="AH247" i="11"/>
  <c r="AH246" i="11"/>
  <c r="AH245" i="11"/>
  <c r="AH244" i="11"/>
  <c r="D83" i="9"/>
  <c r="C56" i="3"/>
  <c r="C84" i="3" s="1"/>
  <c r="C57" i="3"/>
  <c r="C85" i="3" s="1"/>
  <c r="D143" i="3"/>
  <c r="D187" i="3" s="1"/>
  <c r="D148" i="3"/>
  <c r="E148" i="3"/>
  <c r="F148" i="3"/>
  <c r="C143" i="3"/>
  <c r="BL207" i="11" s="1"/>
  <c r="C148" i="3"/>
  <c r="C140" i="3"/>
  <c r="A108" i="3"/>
  <c r="D43" i="3"/>
  <c r="F43" i="3"/>
  <c r="D44" i="3"/>
  <c r="E44" i="3"/>
  <c r="F44" i="3"/>
  <c r="D49" i="3"/>
  <c r="E49" i="3"/>
  <c r="F49" i="3"/>
  <c r="C42" i="3"/>
  <c r="C43" i="3"/>
  <c r="C44" i="3"/>
  <c r="C49" i="3"/>
  <c r="C41" i="3"/>
  <c r="A29" i="3"/>
  <c r="A42" i="3" s="1"/>
  <c r="A56" i="3" s="1"/>
  <c r="D3" i="6"/>
  <c r="E3" i="6"/>
  <c r="F3" i="6"/>
  <c r="C3" i="6"/>
  <c r="C1" i="4"/>
  <c r="C44" i="4" s="1"/>
  <c r="D1" i="4"/>
  <c r="D44" i="4" s="1"/>
  <c r="E1" i="4"/>
  <c r="E44" i="4" s="1"/>
  <c r="F1" i="4"/>
  <c r="F44" i="4" s="1"/>
  <c r="B1" i="4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B4" i="3"/>
  <c r="C4" i="3" s="1"/>
  <c r="C153" i="3" s="1"/>
  <c r="D7" i="9"/>
  <c r="C83" i="9"/>
  <c r="C87" i="9" s="1"/>
  <c r="C93" i="9" s="1"/>
  <c r="C94" i="9" s="1"/>
  <c r="G30" i="4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D50" i="29"/>
  <c r="D9" i="5"/>
  <c r="E9" i="5" s="1"/>
  <c r="C10" i="5"/>
  <c r="D8" i="5" s="1"/>
  <c r="C6" i="5"/>
  <c r="D4" i="5" s="1"/>
  <c r="B6" i="4"/>
  <c r="C12" i="5"/>
  <c r="C230" i="3"/>
  <c r="C229" i="3"/>
  <c r="C228" i="3"/>
  <c r="B40" i="7"/>
  <c r="C25" i="5"/>
  <c r="C15" i="10"/>
  <c r="E210" i="14"/>
  <c r="F210" i="14" s="1"/>
  <c r="D211" i="14"/>
  <c r="G49" i="14"/>
  <c r="C51" i="14"/>
  <c r="D31" i="14"/>
  <c r="E254" i="14"/>
  <c r="H268" i="14"/>
  <c r="D189" i="14"/>
  <c r="G251" i="14"/>
  <c r="D277" i="14"/>
  <c r="E276" i="14"/>
  <c r="E189" i="14"/>
  <c r="H180" i="14"/>
  <c r="H185" i="14" s="1"/>
  <c r="G185" i="14"/>
  <c r="H202" i="14"/>
  <c r="I202" i="14" s="1"/>
  <c r="J202" i="14" s="1"/>
  <c r="G207" i="14"/>
  <c r="H209" i="14"/>
  <c r="I209" i="14" s="1"/>
  <c r="J209" i="14" s="1"/>
  <c r="K209" i="14" s="1"/>
  <c r="L209" i="14" s="1"/>
  <c r="M209" i="14" s="1"/>
  <c r="N209" i="14" s="1"/>
  <c r="O209" i="14" s="1"/>
  <c r="P209" i="14" s="1"/>
  <c r="Q209" i="14" s="1"/>
  <c r="G317" i="14"/>
  <c r="H312" i="14"/>
  <c r="H317" i="14" s="1"/>
  <c r="F78" i="14"/>
  <c r="E79" i="14"/>
  <c r="F253" i="14"/>
  <c r="F319" i="14"/>
  <c r="G319" i="14" s="1"/>
  <c r="H319" i="14" s="1"/>
  <c r="I319" i="14" s="1"/>
  <c r="J319" i="14" s="1"/>
  <c r="K319" i="14" s="1"/>
  <c r="L319" i="14" s="1"/>
  <c r="M319" i="14" s="1"/>
  <c r="N319" i="14" s="1"/>
  <c r="O319" i="14" s="1"/>
  <c r="P319" i="14" s="1"/>
  <c r="Q319" i="14" s="1"/>
  <c r="D92" i="9"/>
  <c r="D91" i="9"/>
  <c r="N141" i="14"/>
  <c r="N163" i="14"/>
  <c r="L207" i="14"/>
  <c r="L229" i="14"/>
  <c r="M229" i="14"/>
  <c r="G273" i="14"/>
  <c r="L317" i="14"/>
  <c r="C142" i="3"/>
  <c r="B212" i="3"/>
  <c r="A216" i="3"/>
  <c r="A214" i="3"/>
  <c r="H273" i="14"/>
  <c r="AJ52" i="16"/>
  <c r="AY52" i="16" s="1"/>
  <c r="W33" i="16"/>
  <c r="X33" i="16" s="1"/>
  <c r="Y33" i="16" s="1"/>
  <c r="Z33" i="16" s="1"/>
  <c r="AA33" i="16" s="1"/>
  <c r="AB33" i="16" s="1"/>
  <c r="AC33" i="16" s="1"/>
  <c r="AD33" i="16" s="1"/>
  <c r="AE33" i="16" s="1"/>
  <c r="AF33" i="16" s="1"/>
  <c r="AG33" i="16" s="1"/>
  <c r="H290" i="14"/>
  <c r="I290" i="14" s="1"/>
  <c r="J290" i="14" s="1"/>
  <c r="J295" i="14" s="1"/>
  <c r="M44" i="26"/>
  <c r="I44" i="26"/>
  <c r="BL205" i="11"/>
  <c r="L47" i="6"/>
  <c r="H47" i="6"/>
  <c r="E3" i="29"/>
  <c r="M40" i="14"/>
  <c r="J40" i="14"/>
  <c r="D3" i="29"/>
  <c r="D24" i="9"/>
  <c r="D14" i="21"/>
  <c r="E51" i="14"/>
  <c r="I45" i="14"/>
  <c r="M185" i="14"/>
  <c r="M295" i="14"/>
  <c r="L7" i="11"/>
  <c r="M7" i="11" s="1"/>
  <c r="N7" i="11" s="1"/>
  <c r="O7" i="11" s="1"/>
  <c r="P7" i="11" s="1"/>
  <c r="Q7" i="11" s="1"/>
  <c r="R7" i="11" s="1"/>
  <c r="D84" i="6"/>
  <c r="C74" i="6"/>
  <c r="D41" i="3"/>
  <c r="D42" i="3"/>
  <c r="D38" i="29"/>
  <c r="D87" i="6"/>
  <c r="I18" i="15"/>
  <c r="E18" i="21"/>
  <c r="E23" i="21"/>
  <c r="BQ212" i="11"/>
  <c r="CB212" i="11" s="1"/>
  <c r="BR208" i="11"/>
  <c r="I188" i="3"/>
  <c r="BQ210" i="11"/>
  <c r="CB210" i="11" s="1"/>
  <c r="BW208" i="11"/>
  <c r="N188" i="3"/>
  <c r="BU208" i="11"/>
  <c r="L188" i="3"/>
  <c r="J188" i="3"/>
  <c r="D105" i="16"/>
  <c r="J136" i="14"/>
  <c r="I141" i="14"/>
  <c r="H119" i="14"/>
  <c r="G75" i="14"/>
  <c r="H295" i="14"/>
  <c r="I35" i="10"/>
  <c r="G12" i="10"/>
  <c r="BM207" i="11"/>
  <c r="C13" i="5"/>
  <c r="F196" i="3"/>
  <c r="G188" i="14"/>
  <c r="D145" i="14"/>
  <c r="J29" i="14"/>
  <c r="C41" i="14"/>
  <c r="I143" i="3"/>
  <c r="BR207" i="11" s="1"/>
  <c r="E84" i="6"/>
  <c r="G8" i="10"/>
  <c r="I119" i="14"/>
  <c r="L119" i="14"/>
  <c r="G9" i="10"/>
  <c r="G18" i="10" s="1"/>
  <c r="C15" i="34" s="1"/>
  <c r="C26" i="34" s="1"/>
  <c r="J35" i="10"/>
  <c r="K35" i="10" s="1"/>
  <c r="I295" i="14"/>
  <c r="J143" i="3"/>
  <c r="J187" i="3" s="1"/>
  <c r="E91" i="9"/>
  <c r="G12" i="7"/>
  <c r="E43" i="9"/>
  <c r="E13" i="21"/>
  <c r="I97" i="14"/>
  <c r="J97" i="14"/>
  <c r="I75" i="14"/>
  <c r="AH177" i="11"/>
  <c r="G7" i="10"/>
  <c r="F43" i="9"/>
  <c r="G11" i="10"/>
  <c r="H69" i="9"/>
  <c r="F91" i="9"/>
  <c r="K143" i="3"/>
  <c r="K187" i="3" s="1"/>
  <c r="F83" i="9"/>
  <c r="K119" i="14"/>
  <c r="L143" i="3"/>
  <c r="BU207" i="11" s="1"/>
  <c r="M143" i="3"/>
  <c r="M187" i="3" s="1"/>
  <c r="N143" i="3"/>
  <c r="N187" i="3" s="1"/>
  <c r="E50" i="29"/>
  <c r="D28" i="21"/>
  <c r="D35" i="21"/>
  <c r="D31" i="29"/>
  <c r="E28" i="21"/>
  <c r="AX40" i="16"/>
  <c r="D6" i="5"/>
  <c r="E4" i="5" s="1"/>
  <c r="E6" i="5" s="1"/>
  <c r="F4" i="5" s="1"/>
  <c r="F6" i="5" s="1"/>
  <c r="G4" i="5" s="1"/>
  <c r="G6" i="5" s="1"/>
  <c r="H4" i="5" s="1"/>
  <c r="H6" i="5" s="1"/>
  <c r="I4" i="5" s="1"/>
  <c r="AJ44" i="16"/>
  <c r="AX39" i="16"/>
  <c r="AJ32" i="16"/>
  <c r="AY32" i="16" s="1"/>
  <c r="L49" i="15"/>
  <c r="L15" i="3" s="1"/>
  <c r="B41" i="7"/>
  <c r="B42" i="7"/>
  <c r="C29" i="4"/>
  <c r="C31" i="4" s="1"/>
  <c r="K18" i="8"/>
  <c r="L18" i="8" s="1"/>
  <c r="M18" i="8" s="1"/>
  <c r="N18" i="8" s="1"/>
  <c r="O18" i="8" s="1"/>
  <c r="H16" i="7"/>
  <c r="I16" i="7" s="1"/>
  <c r="J16" i="7" s="1"/>
  <c r="K16" i="7" s="1"/>
  <c r="L16" i="7" s="1"/>
  <c r="M16" i="7" s="1"/>
  <c r="N16" i="7" s="1"/>
  <c r="O16" i="7" s="1"/>
  <c r="D20" i="5"/>
  <c r="I5" i="8"/>
  <c r="J5" i="8" s="1"/>
  <c r="K5" i="8" s="1"/>
  <c r="L5" i="8" s="1"/>
  <c r="M5" i="8" s="1"/>
  <c r="N5" i="8" s="1"/>
  <c r="O5" i="8" s="1"/>
  <c r="D13" i="21"/>
  <c r="F40" i="32"/>
  <c r="AX35" i="16"/>
  <c r="B44" i="7"/>
  <c r="E142" i="3"/>
  <c r="E186" i="3" s="1"/>
  <c r="H142" i="3"/>
  <c r="H186" i="3" s="1"/>
  <c r="E143" i="3"/>
  <c r="BN207" i="11" s="1"/>
  <c r="J49" i="15"/>
  <c r="J15" i="3" s="1"/>
  <c r="M251" i="14"/>
  <c r="L273" i="14"/>
  <c r="L59" i="11"/>
  <c r="M59" i="11" s="1"/>
  <c r="N59" i="11" s="1"/>
  <c r="O59" i="11" s="1"/>
  <c r="P59" i="11" s="1"/>
  <c r="Q59" i="11" s="1"/>
  <c r="R59" i="11" s="1"/>
  <c r="D50" i="14"/>
  <c r="E50" i="14"/>
  <c r="F142" i="3"/>
  <c r="F186" i="3" s="1"/>
  <c r="H143" i="3"/>
  <c r="H187" i="3" s="1"/>
  <c r="G143" i="3"/>
  <c r="BP207" i="11" s="1"/>
  <c r="D8" i="17"/>
  <c r="D9" i="17" s="1"/>
  <c r="Y245" i="11"/>
  <c r="AN245" i="11" s="1"/>
  <c r="I47" i="12"/>
  <c r="I37" i="12" s="1"/>
  <c r="X245" i="11"/>
  <c r="AM245" i="11" s="1"/>
  <c r="AK4" i="11"/>
  <c r="AZ4" i="11" s="1"/>
  <c r="E14" i="3"/>
  <c r="I6" i="28"/>
  <c r="I11" i="28" s="1"/>
  <c r="G142" i="3"/>
  <c r="G186" i="3" s="1"/>
  <c r="I142" i="3"/>
  <c r="I186" i="3" s="1"/>
  <c r="L142" i="3"/>
  <c r="L186" i="3" s="1"/>
  <c r="AY44" i="16"/>
  <c r="H11" i="28"/>
  <c r="H21" i="5"/>
  <c r="I21" i="5" s="1"/>
  <c r="J21" i="5" s="1"/>
  <c r="K21" i="5" s="1"/>
  <c r="L21" i="5" s="1"/>
  <c r="M21" i="5" s="1"/>
  <c r="N21" i="5" s="1"/>
  <c r="O21" i="5" s="1"/>
  <c r="F143" i="3"/>
  <c r="BO207" i="11" s="1"/>
  <c r="H14" i="7"/>
  <c r="G39" i="6"/>
  <c r="J142" i="3"/>
  <c r="J186" i="3" s="1"/>
  <c r="I14" i="7"/>
  <c r="J14" i="7" s="1"/>
  <c r="F8" i="17"/>
  <c r="F38" i="4" s="1"/>
  <c r="F41" i="4" s="1"/>
  <c r="K2" i="9"/>
  <c r="H47" i="12"/>
  <c r="H43" i="12" s="1"/>
  <c r="B37" i="7"/>
  <c r="D186" i="3"/>
  <c r="F9" i="10"/>
  <c r="J47" i="12"/>
  <c r="J28" i="12" s="1"/>
  <c r="D40" i="7"/>
  <c r="AL4" i="11"/>
  <c r="BA4" i="11" s="1"/>
  <c r="AA245" i="11"/>
  <c r="AA246" i="11" s="1"/>
  <c r="AP246" i="11" s="1"/>
  <c r="W245" i="11"/>
  <c r="K47" i="12"/>
  <c r="K39" i="12" s="1"/>
  <c r="Z245" i="11"/>
  <c r="Z246" i="11" s="1"/>
  <c r="F2" i="16"/>
  <c r="F23" i="16" s="1"/>
  <c r="F18" i="21"/>
  <c r="H76" i="30" s="1"/>
  <c r="N76" i="30" s="1"/>
  <c r="F13" i="21"/>
  <c r="H71" i="30" s="1"/>
  <c r="N71" i="30" s="1"/>
  <c r="F84" i="6"/>
  <c r="BM206" i="11"/>
  <c r="D185" i="3"/>
  <c r="G187" i="3"/>
  <c r="AN4" i="11"/>
  <c r="BC4" i="11" s="1"/>
  <c r="N47" i="12"/>
  <c r="N44" i="12" s="1"/>
  <c r="AO244" i="11"/>
  <c r="C82" i="3"/>
  <c r="C110" i="3"/>
  <c r="C13" i="3"/>
  <c r="C139" i="3"/>
  <c r="C168" i="3" s="1"/>
  <c r="C183" i="3" s="1"/>
  <c r="C199" i="3" s="1"/>
  <c r="C96" i="3"/>
  <c r="D4" i="3"/>
  <c r="D124" i="3" s="1"/>
  <c r="C40" i="3"/>
  <c r="C54" i="3"/>
  <c r="C68" i="3" s="1"/>
  <c r="C27" i="3"/>
  <c r="D16" i="21"/>
  <c r="N41" i="12"/>
  <c r="G210" i="14" l="1"/>
  <c r="G211" i="14" s="1"/>
  <c r="F211" i="14"/>
  <c r="W44" i="16"/>
  <c r="X44" i="16" s="1"/>
  <c r="AK44" i="16"/>
  <c r="AZ44" i="16" s="1"/>
  <c r="AX53" i="16"/>
  <c r="AJ53" i="16"/>
  <c r="F100" i="14"/>
  <c r="E101" i="14"/>
  <c r="AJ51" i="16"/>
  <c r="AX51" i="16"/>
  <c r="M21" i="10"/>
  <c r="L2" i="9"/>
  <c r="L47" i="12"/>
  <c r="L31" i="12" s="1"/>
  <c r="C26" i="14"/>
  <c r="B32" i="26"/>
  <c r="C60" i="14"/>
  <c r="N40" i="14"/>
  <c r="I180" i="14"/>
  <c r="E211" i="14"/>
  <c r="L29" i="14"/>
  <c r="C49" i="14"/>
  <c r="K39" i="14"/>
  <c r="B225" i="3"/>
  <c r="G25" i="14"/>
  <c r="G33" i="14" s="1"/>
  <c r="K45" i="14"/>
  <c r="I39" i="14"/>
  <c r="L26" i="14"/>
  <c r="G38" i="14"/>
  <c r="K3" i="34"/>
  <c r="H41" i="14"/>
  <c r="C29" i="14"/>
  <c r="I26" i="14"/>
  <c r="J25" i="14"/>
  <c r="G45" i="14"/>
  <c r="J31" i="14"/>
  <c r="D26" i="14"/>
  <c r="G41" i="14"/>
  <c r="L25" i="14"/>
  <c r="M26" i="14"/>
  <c r="F38" i="14"/>
  <c r="K41" i="14"/>
  <c r="H26" i="14"/>
  <c r="E277" i="14"/>
  <c r="C40" i="14"/>
  <c r="F59" i="14"/>
  <c r="J39" i="14"/>
  <c r="AX307" i="35"/>
  <c r="BY307" i="35" s="1"/>
  <c r="F31" i="14"/>
  <c r="M18" i="15"/>
  <c r="L41" i="14"/>
  <c r="H30" i="14"/>
  <c r="C38" i="14"/>
  <c r="F51" i="14"/>
  <c r="L31" i="14"/>
  <c r="C83" i="6"/>
  <c r="K38" i="14"/>
  <c r="F50" i="14"/>
  <c r="C28" i="14"/>
  <c r="F49" i="14"/>
  <c r="G31" i="14"/>
  <c r="L38" i="14"/>
  <c r="E38" i="14"/>
  <c r="C124" i="3"/>
  <c r="M38" i="14"/>
  <c r="K290" i="14"/>
  <c r="H207" i="14"/>
  <c r="K188" i="3"/>
  <c r="I30" i="14"/>
  <c r="D233" i="14"/>
  <c r="K25" i="14"/>
  <c r="D48" i="14"/>
  <c r="D56" i="14" s="1"/>
  <c r="D57" i="14" s="1"/>
  <c r="G39" i="14"/>
  <c r="D30" i="14"/>
  <c r="M30" i="14"/>
  <c r="J10" i="10"/>
  <c r="I2" i="9"/>
  <c r="H188" i="14"/>
  <c r="E45" i="14"/>
  <c r="M188" i="3"/>
  <c r="F48" i="14"/>
  <c r="N26" i="14"/>
  <c r="G30" i="14"/>
  <c r="E41" i="14"/>
  <c r="E20" i="14" s="1"/>
  <c r="D45" i="14"/>
  <c r="D55" i="14" s="1"/>
  <c r="I31" i="14"/>
  <c r="F40" i="14"/>
  <c r="G28" i="14"/>
  <c r="F45" i="14"/>
  <c r="E49" i="14"/>
  <c r="H49" i="14"/>
  <c r="E61" i="14"/>
  <c r="L28" i="14"/>
  <c r="E30" i="14"/>
  <c r="K29" i="14"/>
  <c r="BQ208" i="11"/>
  <c r="AK52" i="16"/>
  <c r="AL52" i="16" s="1"/>
  <c r="E40" i="14"/>
  <c r="I40" i="14"/>
  <c r="C58" i="14"/>
  <c r="AJ40" i="16"/>
  <c r="AY40" i="16" s="1"/>
  <c r="C106" i="16"/>
  <c r="D27" i="9"/>
  <c r="E7" i="9"/>
  <c r="K21" i="10"/>
  <c r="J2" i="9"/>
  <c r="A85" i="3"/>
  <c r="A99" i="3" s="1"/>
  <c r="A113" i="3" s="1"/>
  <c r="A127" i="3" s="1"/>
  <c r="A142" i="3" s="1"/>
  <c r="A156" i="3" s="1"/>
  <c r="A171" i="3" s="1"/>
  <c r="A186" i="3" s="1"/>
  <c r="A71" i="3"/>
  <c r="E255" i="14"/>
  <c r="F254" i="14"/>
  <c r="G254" i="14" s="1"/>
  <c r="B6" i="3"/>
  <c r="B8" i="3" s="1"/>
  <c r="B10" i="3" s="1"/>
  <c r="E40" i="32"/>
  <c r="V39" i="16"/>
  <c r="AJ39" i="16"/>
  <c r="AY39" i="16" s="1"/>
  <c r="B35" i="21"/>
  <c r="B14" i="21"/>
  <c r="B4" i="21"/>
  <c r="B6" i="21" s="1"/>
  <c r="D4" i="30" s="1"/>
  <c r="B8" i="21"/>
  <c r="D5" i="30" s="1"/>
  <c r="F79" i="14"/>
  <c r="G78" i="14"/>
  <c r="H40" i="32"/>
  <c r="BQ209" i="11"/>
  <c r="CB209" i="11" s="1"/>
  <c r="K18" i="15"/>
  <c r="H3" i="34"/>
  <c r="G18" i="15"/>
  <c r="D3" i="34"/>
  <c r="AJ46" i="16"/>
  <c r="AY46" i="16" s="1"/>
  <c r="AX46" i="16"/>
  <c r="E298" i="14"/>
  <c r="D299" i="14"/>
  <c r="F320" i="14"/>
  <c r="E321" i="14"/>
  <c r="N45" i="14"/>
  <c r="C39" i="14"/>
  <c r="N29" i="14"/>
  <c r="H28" i="14"/>
  <c r="H31" i="14"/>
  <c r="M39" i="14"/>
  <c r="N31" i="14"/>
  <c r="K28" i="14"/>
  <c r="N38" i="14"/>
  <c r="E28" i="14"/>
  <c r="H45" i="14"/>
  <c r="J49" i="14"/>
  <c r="D61" i="14"/>
  <c r="C46" i="14"/>
  <c r="K49" i="14"/>
  <c r="E59" i="14"/>
  <c r="E29" i="14"/>
  <c r="G29" i="14"/>
  <c r="C25" i="14"/>
  <c r="D29" i="14"/>
  <c r="D39" i="14"/>
  <c r="K30" i="14"/>
  <c r="F26" i="14"/>
  <c r="J30" i="14"/>
  <c r="J26" i="14"/>
  <c r="L40" i="14"/>
  <c r="H40" i="14"/>
  <c r="N25" i="14"/>
  <c r="M29" i="14"/>
  <c r="I49" i="14"/>
  <c r="D60" i="14"/>
  <c r="J45" i="14"/>
  <c r="N41" i="14"/>
  <c r="J41" i="14"/>
  <c r="F41" i="14"/>
  <c r="N28" i="14"/>
  <c r="N33" i="14" s="1"/>
  <c r="E39" i="14"/>
  <c r="D59" i="14"/>
  <c r="H38" i="14"/>
  <c r="D38" i="14"/>
  <c r="E26" i="14"/>
  <c r="L30" i="14"/>
  <c r="J38" i="14"/>
  <c r="M28" i="14"/>
  <c r="D25" i="14"/>
  <c r="D35" i="14" s="1"/>
  <c r="F39" i="14"/>
  <c r="I28" i="14"/>
  <c r="H39" i="14"/>
  <c r="M31" i="14"/>
  <c r="N39" i="14"/>
  <c r="K31" i="14"/>
  <c r="D28" i="14"/>
  <c r="D36" i="14" s="1"/>
  <c r="L45" i="14"/>
  <c r="N49" i="14"/>
  <c r="C45" i="14"/>
  <c r="E48" i="14"/>
  <c r="C50" i="14"/>
  <c r="E60" i="14"/>
  <c r="E31" i="14"/>
  <c r="C30" i="14"/>
  <c r="C9" i="14" s="1"/>
  <c r="F25" i="14"/>
  <c r="H29" i="14"/>
  <c r="D40" i="14"/>
  <c r="F30" i="14"/>
  <c r="K26" i="14"/>
  <c r="G26" i="14"/>
  <c r="K40" i="14"/>
  <c r="K42" i="14" s="1"/>
  <c r="G40" i="14"/>
  <c r="C31" i="14"/>
  <c r="I25" i="14"/>
  <c r="C48" i="14"/>
  <c r="D51" i="14"/>
  <c r="I29" i="14"/>
  <c r="M41" i="14"/>
  <c r="M42" i="14" s="1"/>
  <c r="I41" i="14"/>
  <c r="I42" i="14" s="1"/>
  <c r="N30" i="14"/>
  <c r="D41" i="14"/>
  <c r="D20" i="14" s="1"/>
  <c r="H25" i="14"/>
  <c r="C59" i="14"/>
  <c r="C18" i="14" s="1"/>
  <c r="D49" i="14"/>
  <c r="D8" i="14" s="1"/>
  <c r="M49" i="14"/>
  <c r="F28" i="14"/>
  <c r="H51" i="15"/>
  <c r="I35" i="15"/>
  <c r="E187" i="3"/>
  <c r="D40" i="3"/>
  <c r="K136" i="14"/>
  <c r="J141" i="14"/>
  <c r="F255" i="14"/>
  <c r="L39" i="14"/>
  <c r="J28" i="14"/>
  <c r="AJ31" i="16"/>
  <c r="AY31" i="16" s="1"/>
  <c r="AX31" i="16"/>
  <c r="F29" i="14"/>
  <c r="F8" i="14" s="1"/>
  <c r="A215" i="3"/>
  <c r="A229" i="3"/>
  <c r="E165" i="14"/>
  <c r="D167" i="14"/>
  <c r="G295" i="14"/>
  <c r="AJ35" i="16"/>
  <c r="F25" i="3"/>
  <c r="AJ34" i="16"/>
  <c r="I38" i="14"/>
  <c r="F144" i="14"/>
  <c r="E145" i="14"/>
  <c r="F214" i="14"/>
  <c r="F232" i="14"/>
  <c r="F233" i="14" s="1"/>
  <c r="F236" i="14" s="1"/>
  <c r="G214" i="14"/>
  <c r="F258" i="14"/>
  <c r="D5" i="16"/>
  <c r="E2" i="5"/>
  <c r="AL44" i="16"/>
  <c r="BA44" i="16" s="1"/>
  <c r="AJ50" i="16"/>
  <c r="AY50" i="16" s="1"/>
  <c r="AX50" i="16"/>
  <c r="AJ48" i="16"/>
  <c r="AX48" i="16"/>
  <c r="AX49" i="16"/>
  <c r="AJ49" i="16"/>
  <c r="B36" i="26"/>
  <c r="C29" i="28" s="1"/>
  <c r="B37" i="26"/>
  <c r="BA309" i="35"/>
  <c r="BZ309" i="35" s="1"/>
  <c r="AU306" i="35"/>
  <c r="BX306" i="35" s="1"/>
  <c r="BA307" i="35"/>
  <c r="BZ307" i="35" s="1"/>
  <c r="AU307" i="35"/>
  <c r="BX307" i="35" s="1"/>
  <c r="AX309" i="35"/>
  <c r="BY309" i="35" s="1"/>
  <c r="BA308" i="35"/>
  <c r="BZ308" i="35" s="1"/>
  <c r="AY305" i="35"/>
  <c r="AV308" i="35"/>
  <c r="AV309" i="35"/>
  <c r="AV306" i="35"/>
  <c r="AY310" i="35"/>
  <c r="AS308" i="35"/>
  <c r="AV307" i="35"/>
  <c r="P104" i="3" s="1"/>
  <c r="AS306" i="35"/>
  <c r="AY309" i="35"/>
  <c r="AV305" i="35"/>
  <c r="AY307" i="35"/>
  <c r="AS305" i="35"/>
  <c r="AY306" i="35"/>
  <c r="AS309" i="35"/>
  <c r="AV310" i="35"/>
  <c r="AS310" i="35"/>
  <c r="AS307" i="35"/>
  <c r="AY308" i="35"/>
  <c r="AU310" i="35"/>
  <c r="BX310" i="35" s="1"/>
  <c r="AU309" i="35"/>
  <c r="AX305" i="35"/>
  <c r="BY305" i="35" s="1"/>
  <c r="AU305" i="35"/>
  <c r="BX305" i="35" s="1"/>
  <c r="AX308" i="35"/>
  <c r="BY308" i="35" s="1"/>
  <c r="BA305" i="35"/>
  <c r="BZ305" i="35" s="1"/>
  <c r="AX306" i="35"/>
  <c r="BY306" i="35" s="1"/>
  <c r="AU308" i="35"/>
  <c r="BA306" i="35"/>
  <c r="AX310" i="35"/>
  <c r="BA310" i="35"/>
  <c r="AG339" i="35"/>
  <c r="AD339" i="35"/>
  <c r="AA339" i="35"/>
  <c r="BV268" i="35"/>
  <c r="CN275" i="35"/>
  <c r="AM339" i="35"/>
  <c r="AJ339" i="35"/>
  <c r="BW251" i="35"/>
  <c r="AR335" i="35"/>
  <c r="BW335" i="35" s="1"/>
  <c r="BU268" i="35"/>
  <c r="BR268" i="35"/>
  <c r="AC338" i="35"/>
  <c r="BR338" i="35" s="1"/>
  <c r="BS268" i="35"/>
  <c r="AF338" i="35"/>
  <c r="BS338" i="35" s="1"/>
  <c r="BT268" i="35"/>
  <c r="AI337" i="35"/>
  <c r="BT337" i="35" s="1"/>
  <c r="BW268" i="35"/>
  <c r="BU258" i="35"/>
  <c r="AL336" i="35"/>
  <c r="BU336" i="35" s="1"/>
  <c r="BV251" i="35"/>
  <c r="AO335" i="35"/>
  <c r="BV335" i="35" s="1"/>
  <c r="CO275" i="35"/>
  <c r="AP339" i="35"/>
  <c r="AI275" i="35"/>
  <c r="CL275" i="35"/>
  <c r="AF275" i="35"/>
  <c r="CK275" i="35"/>
  <c r="AC277" i="35"/>
  <c r="BR277" i="35" s="1"/>
  <c r="CJ277" i="35"/>
  <c r="AL277" i="35"/>
  <c r="BU277" i="35" s="1"/>
  <c r="CM277" i="35"/>
  <c r="AC276" i="35"/>
  <c r="BR276" i="35" s="1"/>
  <c r="CJ276" i="35"/>
  <c r="AI276" i="35"/>
  <c r="BT276" i="35" s="1"/>
  <c r="CL276" i="35"/>
  <c r="AC278" i="35"/>
  <c r="BR278" i="35" s="1"/>
  <c r="CJ278" i="35"/>
  <c r="AI278" i="35"/>
  <c r="BT278" i="35" s="1"/>
  <c r="CL278" i="35"/>
  <c r="AC275" i="35"/>
  <c r="CJ275" i="35"/>
  <c r="AL275" i="35"/>
  <c r="CM275" i="35"/>
  <c r="AI277" i="35"/>
  <c r="BT277" i="35" s="1"/>
  <c r="CL277" i="35"/>
  <c r="AF277" i="35"/>
  <c r="BS277" i="35" s="1"/>
  <c r="CK277" i="35"/>
  <c r="AF276" i="35"/>
  <c r="BS276" i="35" s="1"/>
  <c r="CK276" i="35"/>
  <c r="AF278" i="35"/>
  <c r="BS278" i="35" s="1"/>
  <c r="CK278" i="35"/>
  <c r="L35" i="10"/>
  <c r="K10" i="10"/>
  <c r="D10" i="5"/>
  <c r="D12" i="5"/>
  <c r="E8" i="10"/>
  <c r="E28" i="10"/>
  <c r="E9" i="10" s="1"/>
  <c r="G187" i="14"/>
  <c r="H187" i="14" s="1"/>
  <c r="I187" i="14" s="1"/>
  <c r="J187" i="14" s="1"/>
  <c r="K187" i="14" s="1"/>
  <c r="L187" i="14" s="1"/>
  <c r="M187" i="14" s="1"/>
  <c r="N187" i="14" s="1"/>
  <c r="O187" i="14" s="1"/>
  <c r="P187" i="14" s="1"/>
  <c r="Q187" i="14" s="1"/>
  <c r="F189" i="14"/>
  <c r="F192" i="14" s="1"/>
  <c r="F123" i="14"/>
  <c r="G122" i="14"/>
  <c r="F9" i="5"/>
  <c r="G9" i="5" s="1"/>
  <c r="H9" i="5" s="1"/>
  <c r="I9" i="5" s="1"/>
  <c r="P5" i="8"/>
  <c r="Q5" i="8" s="1"/>
  <c r="I69" i="9"/>
  <c r="H23" i="1"/>
  <c r="D52" i="3"/>
  <c r="G253" i="14"/>
  <c r="H210" i="14"/>
  <c r="F276" i="14"/>
  <c r="C141" i="3"/>
  <c r="C66" i="3"/>
  <c r="H43" i="15"/>
  <c r="B73" i="11"/>
  <c r="B75" i="11"/>
  <c r="B77" i="11"/>
  <c r="B79" i="11"/>
  <c r="B81" i="11"/>
  <c r="B83" i="11"/>
  <c r="B85" i="11"/>
  <c r="B71" i="11"/>
  <c r="A305" i="35"/>
  <c r="B72" i="11"/>
  <c r="B74" i="11"/>
  <c r="B76" i="11"/>
  <c r="B78" i="11"/>
  <c r="B80" i="11"/>
  <c r="B82" i="11"/>
  <c r="B84" i="11"/>
  <c r="B86" i="11"/>
  <c r="D174" i="3"/>
  <c r="E174" i="3" s="1"/>
  <c r="F174" i="3" s="1"/>
  <c r="G174" i="3" s="1"/>
  <c r="H174" i="3" s="1"/>
  <c r="D27" i="5"/>
  <c r="D140" i="3"/>
  <c r="D108" i="3"/>
  <c r="AI273" i="35"/>
  <c r="BT273" i="35" s="1"/>
  <c r="AI272" i="35"/>
  <c r="BT272" i="35" s="1"/>
  <c r="AP282" i="35"/>
  <c r="CO282" i="35" s="1"/>
  <c r="AJ282" i="35"/>
  <c r="CM282" i="35" s="1"/>
  <c r="AD282" i="35"/>
  <c r="AM282" i="35"/>
  <c r="CN282" i="35" s="1"/>
  <c r="AG282" i="35"/>
  <c r="AA282" i="35"/>
  <c r="AP284" i="35"/>
  <c r="CO284" i="35" s="1"/>
  <c r="AJ284" i="35"/>
  <c r="CM284" i="35" s="1"/>
  <c r="AD284" i="35"/>
  <c r="AM284" i="35"/>
  <c r="CN284" i="35" s="1"/>
  <c r="AG284" i="35"/>
  <c r="AA284" i="35"/>
  <c r="AP283" i="35"/>
  <c r="CO283" i="35" s="1"/>
  <c r="AG283" i="35"/>
  <c r="CL283" i="35" s="1"/>
  <c r="AM283" i="35"/>
  <c r="CN283" i="35" s="1"/>
  <c r="AA283" i="35"/>
  <c r="AD283" i="35"/>
  <c r="AJ283" i="35"/>
  <c r="CM283" i="35" s="1"/>
  <c r="AL265" i="35"/>
  <c r="AB294" i="35"/>
  <c r="AC287" i="35"/>
  <c r="BR287" i="35" s="1"/>
  <c r="AO259" i="35"/>
  <c r="BV259" i="35" s="1"/>
  <c r="AO258" i="35"/>
  <c r="AF279" i="35"/>
  <c r="BS279" i="35" s="1"/>
  <c r="AP285" i="35"/>
  <c r="CO285" i="35" s="1"/>
  <c r="AG285" i="35"/>
  <c r="CL285" i="35" s="1"/>
  <c r="AM285" i="35"/>
  <c r="CN285" i="35" s="1"/>
  <c r="AA285" i="35"/>
  <c r="AD285" i="35"/>
  <c r="AJ285" i="35"/>
  <c r="CM285" i="35" s="1"/>
  <c r="AR259" i="35"/>
  <c r="BW259" i="35" s="1"/>
  <c r="P18" i="8"/>
  <c r="C239" i="3"/>
  <c r="C52" i="3"/>
  <c r="D255" i="14"/>
  <c r="D321" i="14"/>
  <c r="G9" i="3"/>
  <c r="AP289" i="35"/>
  <c r="CO289" i="35" s="1"/>
  <c r="AG289" i="35"/>
  <c r="AM289" i="35"/>
  <c r="CN289" i="35" s="1"/>
  <c r="AA289" i="35"/>
  <c r="AD289" i="35"/>
  <c r="AJ289" i="35"/>
  <c r="AP291" i="35"/>
  <c r="CO291" i="35" s="1"/>
  <c r="AG291" i="35"/>
  <c r="AM291" i="35"/>
  <c r="CN291" i="35" s="1"/>
  <c r="AA291" i="35"/>
  <c r="AD291" i="35"/>
  <c r="AJ291" i="35"/>
  <c r="AP290" i="35"/>
  <c r="CO290" i="35" s="1"/>
  <c r="AJ290" i="35"/>
  <c r="CM290" i="35" s="1"/>
  <c r="AD290" i="35"/>
  <c r="AM290" i="35"/>
  <c r="CN290" i="35" s="1"/>
  <c r="AG290" i="35"/>
  <c r="CL290" i="35" s="1"/>
  <c r="AA290" i="35"/>
  <c r="AL266" i="35"/>
  <c r="BU266" i="35" s="1"/>
  <c r="AB293" i="35"/>
  <c r="AC286" i="35"/>
  <c r="BR286" i="35" s="1"/>
  <c r="AR258" i="35"/>
  <c r="AF280" i="35"/>
  <c r="BS280" i="35" s="1"/>
  <c r="Z308" i="35"/>
  <c r="BQ308" i="35" s="1"/>
  <c r="K306" i="35"/>
  <c r="BL306" i="35" s="1"/>
  <c r="Q307" i="35"/>
  <c r="BN307" i="35" s="1"/>
  <c r="C310" i="35"/>
  <c r="CB310" i="35" s="1"/>
  <c r="C308" i="35"/>
  <c r="CB308" i="35" s="1"/>
  <c r="AA309" i="35"/>
  <c r="AJ309" i="35"/>
  <c r="O307" i="35"/>
  <c r="CF307" i="35" s="1"/>
  <c r="X309" i="35"/>
  <c r="CI309" i="35" s="1"/>
  <c r="U310" i="35"/>
  <c r="CH310" i="35" s="1"/>
  <c r="N307" i="35"/>
  <c r="BM307" i="35" s="1"/>
  <c r="L310" i="35"/>
  <c r="CE310" i="35" s="1"/>
  <c r="Q310" i="35"/>
  <c r="BN310" i="35" s="1"/>
  <c r="X306" i="35"/>
  <c r="CI306" i="35" s="1"/>
  <c r="N309" i="35"/>
  <c r="BM309" i="35" s="1"/>
  <c r="H306" i="35"/>
  <c r="BK306" i="35" s="1"/>
  <c r="U309" i="35"/>
  <c r="CH309" i="35" s="1"/>
  <c r="H308" i="35"/>
  <c r="BK308" i="35" s="1"/>
  <c r="N310" i="35"/>
  <c r="E310" i="35"/>
  <c r="K307" i="35"/>
  <c r="BL307" i="35" s="1"/>
  <c r="O309" i="35"/>
  <c r="CF309" i="35" s="1"/>
  <c r="X310" i="35"/>
  <c r="CI310" i="35" s="1"/>
  <c r="T306" i="35"/>
  <c r="BO306" i="35" s="1"/>
  <c r="T310" i="35"/>
  <c r="BO310" i="35" s="1"/>
  <c r="I307" i="35"/>
  <c r="CD307" i="35" s="1"/>
  <c r="Z306" i="35"/>
  <c r="Z307" i="35"/>
  <c r="BQ307" i="35" s="1"/>
  <c r="X307" i="35"/>
  <c r="CI307" i="35" s="1"/>
  <c r="H307" i="35"/>
  <c r="BK307" i="35" s="1"/>
  <c r="X308" i="35"/>
  <c r="O305" i="35"/>
  <c r="CF305" i="35" s="1"/>
  <c r="K309" i="35"/>
  <c r="BL309" i="35" s="1"/>
  <c r="U307" i="35"/>
  <c r="CH307" i="35" s="1"/>
  <c r="W309" i="35"/>
  <c r="W307" i="35"/>
  <c r="U305" i="35"/>
  <c r="CH305" i="35" s="1"/>
  <c r="L308" i="35"/>
  <c r="CE308" i="35" s="1"/>
  <c r="I305" i="35"/>
  <c r="CD305" i="35" s="1"/>
  <c r="L307" i="35"/>
  <c r="CE307" i="35" s="1"/>
  <c r="F306" i="35"/>
  <c r="CC306" i="35" s="1"/>
  <c r="K305" i="35"/>
  <c r="BL305" i="35" s="1"/>
  <c r="AP310" i="35"/>
  <c r="C307" i="35"/>
  <c r="CB307" i="35" s="1"/>
  <c r="Q306" i="35"/>
  <c r="BN306" i="35" s="1"/>
  <c r="Q308" i="35"/>
  <c r="BN308" i="35" s="1"/>
  <c r="T307" i="35"/>
  <c r="BO307" i="35" s="1"/>
  <c r="H310" i="35"/>
  <c r="BK310" i="35" s="1"/>
  <c r="E308" i="35"/>
  <c r="U306" i="35"/>
  <c r="CH306" i="35" s="1"/>
  <c r="W308" i="35"/>
  <c r="BP308" i="35" s="1"/>
  <c r="F309" i="35"/>
  <c r="CC309" i="35" s="1"/>
  <c r="C305" i="35"/>
  <c r="CB305" i="35" s="1"/>
  <c r="W310" i="35"/>
  <c r="T309" i="35"/>
  <c r="BO309" i="35" s="1"/>
  <c r="R307" i="35"/>
  <c r="CG307" i="35" s="1"/>
  <c r="AD309" i="35"/>
  <c r="N308" i="35"/>
  <c r="O308" i="35"/>
  <c r="CF308" i="35" s="1"/>
  <c r="I309" i="35"/>
  <c r="N306" i="35"/>
  <c r="BM306" i="35" s="1"/>
  <c r="X305" i="35"/>
  <c r="F308" i="35"/>
  <c r="CC308" i="35" s="1"/>
  <c r="R309" i="35"/>
  <c r="CG309" i="35" s="1"/>
  <c r="Z305" i="35"/>
  <c r="BQ305" i="35" s="1"/>
  <c r="C306" i="35"/>
  <c r="CB306" i="35" s="1"/>
  <c r="AM310" i="35"/>
  <c r="Z309" i="35"/>
  <c r="L305" i="35"/>
  <c r="CE305" i="35" s="1"/>
  <c r="R310" i="35"/>
  <c r="CG310" i="35" s="1"/>
  <c r="T305" i="35"/>
  <c r="BO305" i="35" s="1"/>
  <c r="K308" i="35"/>
  <c r="BL308" i="35" s="1"/>
  <c r="O306" i="35"/>
  <c r="CF306" i="35" s="1"/>
  <c r="L306" i="35"/>
  <c r="CE306" i="35" s="1"/>
  <c r="N305" i="35"/>
  <c r="BM305" i="35" s="1"/>
  <c r="AP309" i="35"/>
  <c r="Q305" i="35"/>
  <c r="BN305" i="35" s="1"/>
  <c r="F305" i="35"/>
  <c r="CC305" i="35" s="1"/>
  <c r="AA310" i="35"/>
  <c r="I306" i="35"/>
  <c r="I310" i="35"/>
  <c r="CD310" i="35" s="1"/>
  <c r="AM309" i="35"/>
  <c r="R305" i="35"/>
  <c r="CG305" i="35" s="1"/>
  <c r="L309" i="35"/>
  <c r="CE309" i="35" s="1"/>
  <c r="AJ310" i="35"/>
  <c r="R308" i="35"/>
  <c r="CG308" i="35" s="1"/>
  <c r="Q309" i="35"/>
  <c r="AG310" i="35"/>
  <c r="C309" i="35"/>
  <c r="CB309" i="35" s="1"/>
  <c r="H309" i="35"/>
  <c r="E307" i="35"/>
  <c r="Z310" i="35"/>
  <c r="O310" i="35"/>
  <c r="CF310" i="35" s="1"/>
  <c r="AG309" i="35"/>
  <c r="W306" i="35"/>
  <c r="I308" i="35"/>
  <c r="CD308" i="35" s="1"/>
  <c r="R306" i="35"/>
  <c r="CG306" i="35" s="1"/>
  <c r="E305" i="35"/>
  <c r="BJ305" i="35" s="1"/>
  <c r="F310" i="35"/>
  <c r="CC310" i="35" s="1"/>
  <c r="E306" i="35"/>
  <c r="E309" i="35"/>
  <c r="K310" i="35"/>
  <c r="W305" i="35"/>
  <c r="BP305" i="35" s="1"/>
  <c r="AD310" i="35"/>
  <c r="U308" i="35"/>
  <c r="F307" i="35"/>
  <c r="T308" i="35"/>
  <c r="BO308" i="35" s="1"/>
  <c r="H305" i="35"/>
  <c r="BK305" i="35" s="1"/>
  <c r="B121" i="11"/>
  <c r="B123" i="11"/>
  <c r="B125" i="11"/>
  <c r="B127" i="11"/>
  <c r="B129" i="11"/>
  <c r="B131" i="11"/>
  <c r="B133" i="11"/>
  <c r="B119" i="11"/>
  <c r="D177" i="3"/>
  <c r="E177" i="3" s="1"/>
  <c r="A308" i="35"/>
  <c r="B120" i="11"/>
  <c r="B122" i="11"/>
  <c r="B124" i="11"/>
  <c r="B126" i="11"/>
  <c r="B128" i="11"/>
  <c r="B130" i="11"/>
  <c r="B132" i="11"/>
  <c r="B134" i="11"/>
  <c r="B105" i="11"/>
  <c r="B107" i="11"/>
  <c r="B109" i="11"/>
  <c r="B111" i="11"/>
  <c r="B113" i="11"/>
  <c r="B115" i="11"/>
  <c r="B117" i="11"/>
  <c r="B103" i="11"/>
  <c r="D176" i="3"/>
  <c r="E176" i="3" s="1"/>
  <c r="F176" i="3" s="1"/>
  <c r="G176" i="3" s="1"/>
  <c r="H176" i="3" s="1"/>
  <c r="B104" i="11"/>
  <c r="B106" i="11"/>
  <c r="B108" i="11"/>
  <c r="B110" i="11"/>
  <c r="B112" i="11"/>
  <c r="B114" i="11"/>
  <c r="B116" i="11"/>
  <c r="B118" i="11"/>
  <c r="A307" i="35"/>
  <c r="G191" i="3"/>
  <c r="G38" i="15" s="1"/>
  <c r="G54" i="15" s="1"/>
  <c r="B89" i="11"/>
  <c r="B91" i="11"/>
  <c r="B93" i="11"/>
  <c r="B95" i="11"/>
  <c r="B97" i="11"/>
  <c r="B99" i="11"/>
  <c r="B101" i="11"/>
  <c r="B87" i="11"/>
  <c r="D175" i="3"/>
  <c r="E175" i="3" s="1"/>
  <c r="F175" i="3" s="1"/>
  <c r="G175" i="3" s="1"/>
  <c r="H175" i="3" s="1"/>
  <c r="A306" i="35"/>
  <c r="B88" i="11"/>
  <c r="B90" i="11"/>
  <c r="B92" i="11"/>
  <c r="B94" i="11"/>
  <c r="B96" i="11"/>
  <c r="B98" i="11"/>
  <c r="B100" i="11"/>
  <c r="B102" i="11"/>
  <c r="E140" i="3"/>
  <c r="E25" i="3"/>
  <c r="AL284" i="35"/>
  <c r="BU284" i="35" s="1"/>
  <c r="AL282" i="35"/>
  <c r="BU282" i="35" s="1"/>
  <c r="AI283" i="35"/>
  <c r="BT283" i="35" s="1"/>
  <c r="AI290" i="35"/>
  <c r="BT290" i="35" s="1"/>
  <c r="AI285" i="35"/>
  <c r="BT285" i="35" s="1"/>
  <c r="AL278" i="35"/>
  <c r="BU278" i="35" s="1"/>
  <c r="AR277" i="35"/>
  <c r="BW277" i="35" s="1"/>
  <c r="AR275" i="35"/>
  <c r="AL276" i="35"/>
  <c r="BU276" i="35" s="1"/>
  <c r="AO277" i="35"/>
  <c r="BV277" i="35" s="1"/>
  <c r="AO275" i="35"/>
  <c r="AO269" i="35"/>
  <c r="BV269" i="35" s="1"/>
  <c r="AO271" i="35"/>
  <c r="BV271" i="35" s="1"/>
  <c r="AR271" i="35"/>
  <c r="BW271" i="35" s="1"/>
  <c r="AR269" i="35"/>
  <c r="BW269" i="35" s="1"/>
  <c r="C28" i="5"/>
  <c r="H21" i="10"/>
  <c r="H36" i="10" s="1"/>
  <c r="E141" i="3"/>
  <c r="BN206" i="11" s="1"/>
  <c r="H9" i="3"/>
  <c r="H18" i="15"/>
  <c r="B28" i="21"/>
  <c r="J47" i="6"/>
  <c r="N47" i="6"/>
  <c r="C94" i="3"/>
  <c r="D94" i="3"/>
  <c r="AS4" i="11"/>
  <c r="BH4" i="11" s="1"/>
  <c r="AQ4" i="11"/>
  <c r="BF4" i="11" s="1"/>
  <c r="AP4" i="11"/>
  <c r="BE4" i="11" s="1"/>
  <c r="BT4" i="11" s="1"/>
  <c r="AO4" i="11"/>
  <c r="BD4" i="11" s="1"/>
  <c r="AM4" i="11"/>
  <c r="BB4" i="11" s="1"/>
  <c r="BQ4" i="11" s="1"/>
  <c r="H4" i="18" s="1"/>
  <c r="AJ4" i="11"/>
  <c r="AY4" i="11" s="1"/>
  <c r="AI4" i="11"/>
  <c r="AX4" i="11" s="1"/>
  <c r="L39" i="12"/>
  <c r="J37" i="12"/>
  <c r="BW207" i="11"/>
  <c r="F53" i="14"/>
  <c r="F141" i="3"/>
  <c r="N9" i="3"/>
  <c r="N43" i="15"/>
  <c r="L9" i="3"/>
  <c r="L43" i="15"/>
  <c r="M9" i="3"/>
  <c r="M43" i="15"/>
  <c r="K9" i="3"/>
  <c r="K43" i="15"/>
  <c r="O25" i="14"/>
  <c r="Q25" i="14"/>
  <c r="O26" i="14"/>
  <c r="Q26" i="14"/>
  <c r="O28" i="14"/>
  <c r="Q28" i="14"/>
  <c r="O29" i="14"/>
  <c r="Q29" i="14"/>
  <c r="O30" i="14"/>
  <c r="Q30" i="14"/>
  <c r="O31" i="14"/>
  <c r="Q31" i="14"/>
  <c r="P38" i="14"/>
  <c r="P39" i="14"/>
  <c r="P40" i="14"/>
  <c r="P41" i="14"/>
  <c r="P45" i="14"/>
  <c r="P49" i="14"/>
  <c r="P25" i="14"/>
  <c r="P26" i="14"/>
  <c r="P28" i="14"/>
  <c r="P29" i="14"/>
  <c r="P30" i="14"/>
  <c r="P31" i="14"/>
  <c r="O38" i="14"/>
  <c r="Q38" i="14"/>
  <c r="O39" i="14"/>
  <c r="Q39" i="14"/>
  <c r="O40" i="14"/>
  <c r="Q40" i="14"/>
  <c r="O41" i="14"/>
  <c r="Q41" i="14"/>
  <c r="O45" i="14"/>
  <c r="Q45" i="14"/>
  <c r="O49" i="14"/>
  <c r="Q49" i="14"/>
  <c r="BS4" i="11"/>
  <c r="J4" i="18" s="1"/>
  <c r="BR4" i="11"/>
  <c r="I4" i="18" s="1"/>
  <c r="H211" i="14"/>
  <c r="H214" i="14" s="1"/>
  <c r="I210" i="14"/>
  <c r="H246" i="14"/>
  <c r="I188" i="14"/>
  <c r="I207" i="14"/>
  <c r="A290" i="14"/>
  <c r="K70" i="14"/>
  <c r="M70" i="14"/>
  <c r="M75" i="14" s="1"/>
  <c r="L70" i="14"/>
  <c r="N70" i="14"/>
  <c r="N75" i="14" s="1"/>
  <c r="N42" i="12"/>
  <c r="I21" i="10"/>
  <c r="I30" i="10" s="1"/>
  <c r="H39" i="4"/>
  <c r="I39" i="4" s="1"/>
  <c r="J39" i="4" s="1"/>
  <c r="K39" i="4" s="1"/>
  <c r="L39" i="4" s="1"/>
  <c r="M39" i="4" s="1"/>
  <c r="N39" i="4" s="1"/>
  <c r="O39" i="4" s="1"/>
  <c r="P39" i="4" s="1"/>
  <c r="Q39" i="4" s="1"/>
  <c r="I36" i="10"/>
  <c r="J36" i="10" s="1"/>
  <c r="K36" i="10" s="1"/>
  <c r="L36" i="10" s="1"/>
  <c r="I35" i="12"/>
  <c r="C6" i="3"/>
  <c r="C4" i="4" s="1"/>
  <c r="C5" i="4" s="1"/>
  <c r="C6" i="4" s="1"/>
  <c r="C45" i="4" s="1"/>
  <c r="C3" i="34"/>
  <c r="N34" i="12"/>
  <c r="N33" i="12"/>
  <c r="B15" i="21"/>
  <c r="G49" i="15"/>
  <c r="C28" i="21"/>
  <c r="C5" i="21"/>
  <c r="E2" i="16"/>
  <c r="E7" i="16" s="1"/>
  <c r="E5" i="21"/>
  <c r="E6" i="21" s="1"/>
  <c r="F3" i="29"/>
  <c r="F23" i="21"/>
  <c r="H81" i="30" s="1"/>
  <c r="N81" i="30" s="1"/>
  <c r="F122" i="3"/>
  <c r="F130" i="3" s="1"/>
  <c r="B10" i="21"/>
  <c r="E34" i="14"/>
  <c r="D18" i="14"/>
  <c r="E8" i="14"/>
  <c r="E18" i="14"/>
  <c r="F10" i="14"/>
  <c r="L18" i="15"/>
  <c r="G3" i="34"/>
  <c r="G44" i="26"/>
  <c r="K44" i="26"/>
  <c r="E7" i="14"/>
  <c r="F18" i="14"/>
  <c r="E35" i="14"/>
  <c r="F35" i="14" s="1"/>
  <c r="C13" i="21"/>
  <c r="C3" i="7"/>
  <c r="C27" i="5"/>
  <c r="J39" i="6"/>
  <c r="I39" i="6"/>
  <c r="J12" i="6"/>
  <c r="P16" i="7"/>
  <c r="H39" i="6"/>
  <c r="I12" i="6"/>
  <c r="H12" i="6"/>
  <c r="B3" i="22"/>
  <c r="H224" i="14"/>
  <c r="G229" i="14"/>
  <c r="K141" i="14"/>
  <c r="L136" i="14"/>
  <c r="G163" i="14"/>
  <c r="H158" i="14"/>
  <c r="G166" i="14"/>
  <c r="G48" i="14"/>
  <c r="AH4" i="11"/>
  <c r="AW4" i="11" s="1"/>
  <c r="N40" i="12"/>
  <c r="N35" i="12"/>
  <c r="N29" i="12"/>
  <c r="N27" i="12"/>
  <c r="H2" i="9"/>
  <c r="H16" i="9" s="1"/>
  <c r="I16" i="9" s="1"/>
  <c r="J16" i="9" s="1"/>
  <c r="K16" i="9" s="1"/>
  <c r="AR244" i="11"/>
  <c r="B13" i="21"/>
  <c r="B22" i="21"/>
  <c r="B23" i="21"/>
  <c r="C3" i="29"/>
  <c r="C14" i="21"/>
  <c r="AK244" i="11"/>
  <c r="AB245" i="11"/>
  <c r="AQ245" i="11" s="1"/>
  <c r="V245" i="11"/>
  <c r="AK245" i="11" s="1"/>
  <c r="AM252" i="11"/>
  <c r="AN252" i="11"/>
  <c r="AC245" i="11"/>
  <c r="AR245" i="11" s="1"/>
  <c r="AI252" i="11"/>
  <c r="AJ252" i="11"/>
  <c r="AD245" i="11"/>
  <c r="AS244" i="11"/>
  <c r="C17" i="14"/>
  <c r="G8" i="14"/>
  <c r="D14" i="14"/>
  <c r="E53" i="14"/>
  <c r="H33" i="14"/>
  <c r="C19" i="14"/>
  <c r="C5" i="14"/>
  <c r="C10" i="14"/>
  <c r="B42" i="6"/>
  <c r="B43" i="6" s="1"/>
  <c r="E21" i="16"/>
  <c r="Y246" i="11"/>
  <c r="AN246" i="11" s="1"/>
  <c r="D29" i="26"/>
  <c r="D31" i="26"/>
  <c r="D32" i="26"/>
  <c r="D13" i="3"/>
  <c r="N30" i="12"/>
  <c r="N43" i="12"/>
  <c r="N28" i="12"/>
  <c r="N38" i="12"/>
  <c r="N39" i="12"/>
  <c r="N37" i="12"/>
  <c r="N31" i="12"/>
  <c r="J31" i="12"/>
  <c r="J43" i="12"/>
  <c r="D38" i="4"/>
  <c r="D41" i="4" s="1"/>
  <c r="C38" i="26"/>
  <c r="C31" i="26"/>
  <c r="C32" i="26"/>
  <c r="C29" i="26"/>
  <c r="E29" i="26"/>
  <c r="E31" i="26"/>
  <c r="E32" i="26"/>
  <c r="F29" i="26"/>
  <c r="F31" i="26"/>
  <c r="F32" i="26"/>
  <c r="H42" i="14"/>
  <c r="L42" i="14"/>
  <c r="M34" i="14"/>
  <c r="F7" i="14"/>
  <c r="F42" i="14"/>
  <c r="J42" i="14"/>
  <c r="N42" i="14"/>
  <c r="F34" i="14"/>
  <c r="F33" i="14"/>
  <c r="C62" i="26"/>
  <c r="I28" i="12"/>
  <c r="E151" i="3"/>
  <c r="E48" i="32" s="1"/>
  <c r="E56" i="32" s="1"/>
  <c r="F22" i="16"/>
  <c r="K28" i="12"/>
  <c r="F4" i="14"/>
  <c r="J40" i="12"/>
  <c r="J42" i="12"/>
  <c r="D84" i="9"/>
  <c r="D87" i="9" s="1"/>
  <c r="D93" i="9" s="1"/>
  <c r="K33" i="14"/>
  <c r="A83" i="3"/>
  <c r="A97" i="3" s="1"/>
  <c r="A111" i="3" s="1"/>
  <c r="A125" i="3" s="1"/>
  <c r="A140" i="3" s="1"/>
  <c r="A154" i="3" s="1"/>
  <c r="A169" i="3" s="1"/>
  <c r="A184" i="3" s="1"/>
  <c r="S8" i="11" s="1"/>
  <c r="A69" i="3"/>
  <c r="B38" i="26"/>
  <c r="B39" i="26" s="1"/>
  <c r="B40" i="26" s="1"/>
  <c r="I27" i="12"/>
  <c r="H4" i="14"/>
  <c r="C23" i="28"/>
  <c r="I29" i="12"/>
  <c r="D4" i="14"/>
  <c r="J30" i="10"/>
  <c r="K30" i="10" s="1"/>
  <c r="H35" i="12"/>
  <c r="M35" i="10"/>
  <c r="L10" i="10"/>
  <c r="BN4" i="11"/>
  <c r="E4" i="18" s="1"/>
  <c r="D110" i="3"/>
  <c r="BP4" i="11"/>
  <c r="G4" i="18" s="1"/>
  <c r="J33" i="12"/>
  <c r="J30" i="12"/>
  <c r="J44" i="12"/>
  <c r="J34" i="12"/>
  <c r="H29" i="12"/>
  <c r="X246" i="11"/>
  <c r="E33" i="14"/>
  <c r="AX36" i="16"/>
  <c r="AJ36" i="16"/>
  <c r="A84" i="3"/>
  <c r="A98" i="3" s="1"/>
  <c r="A112" i="3" s="1"/>
  <c r="A126" i="3" s="1"/>
  <c r="A141" i="3" s="1"/>
  <c r="A155" i="3" s="1"/>
  <c r="A170" i="3" s="1"/>
  <c r="A185" i="3" s="1"/>
  <c r="A70" i="3"/>
  <c r="BU4" i="11"/>
  <c r="CF230" i="11" s="1"/>
  <c r="E35" i="26"/>
  <c r="E43" i="26" s="1"/>
  <c r="G35" i="26"/>
  <c r="G43" i="26" s="1"/>
  <c r="I35" i="26"/>
  <c r="I43" i="26" s="1"/>
  <c r="K35" i="26"/>
  <c r="K43" i="26" s="1"/>
  <c r="M35" i="26"/>
  <c r="M43" i="26" s="1"/>
  <c r="D35" i="26"/>
  <c r="D43" i="26" s="1"/>
  <c r="B29" i="22"/>
  <c r="B28" i="22"/>
  <c r="B23" i="22"/>
  <c r="B22" i="22"/>
  <c r="B12" i="22"/>
  <c r="B14" i="22"/>
  <c r="B7" i="22"/>
  <c r="B30" i="22"/>
  <c r="B27" i="22"/>
  <c r="B24" i="22"/>
  <c r="B11" i="22"/>
  <c r="B13" i="22"/>
  <c r="B10" i="22"/>
  <c r="B6" i="22"/>
  <c r="D37" i="26"/>
  <c r="D22" i="26"/>
  <c r="D20" i="26"/>
  <c r="D15" i="26"/>
  <c r="D11" i="26"/>
  <c r="D9" i="26"/>
  <c r="D7" i="26"/>
  <c r="D52" i="26" s="1"/>
  <c r="D5" i="26"/>
  <c r="D24" i="22"/>
  <c r="D27" i="22"/>
  <c r="D28" i="22"/>
  <c r="D29" i="22"/>
  <c r="D30" i="22"/>
  <c r="D6" i="22"/>
  <c r="D7" i="22"/>
  <c r="D10" i="22"/>
  <c r="D11" i="22"/>
  <c r="D12" i="22"/>
  <c r="D13" i="22"/>
  <c r="D14" i="22"/>
  <c r="F51" i="30" s="1"/>
  <c r="D38" i="26"/>
  <c r="D36" i="26"/>
  <c r="D23" i="26"/>
  <c r="D21" i="26"/>
  <c r="D16" i="26"/>
  <c r="D12" i="26"/>
  <c r="D10" i="26"/>
  <c r="D8" i="26"/>
  <c r="D6" i="26"/>
  <c r="D4" i="26"/>
  <c r="D22" i="22"/>
  <c r="D23" i="22"/>
  <c r="D27" i="3"/>
  <c r="E4" i="3"/>
  <c r="E139" i="3" s="1"/>
  <c r="E168" i="3" s="1"/>
  <c r="E183" i="3" s="1"/>
  <c r="E199" i="3" s="1"/>
  <c r="D153" i="3"/>
  <c r="I44" i="12"/>
  <c r="I38" i="12"/>
  <c r="I41" i="12"/>
  <c r="I40" i="12"/>
  <c r="AO245" i="11"/>
  <c r="BO4" i="11"/>
  <c r="F4" i="18" s="1"/>
  <c r="F11" i="10"/>
  <c r="K34" i="14"/>
  <c r="E10" i="14"/>
  <c r="F35" i="26"/>
  <c r="F43" i="26" s="1"/>
  <c r="H35" i="26"/>
  <c r="H43" i="26" s="1"/>
  <c r="J35" i="26"/>
  <c r="J43" i="26" s="1"/>
  <c r="L35" i="26"/>
  <c r="L43" i="26" s="1"/>
  <c r="N35" i="26"/>
  <c r="N43" i="26" s="1"/>
  <c r="C36" i="26"/>
  <c r="C22" i="26"/>
  <c r="E25" i="30" s="1"/>
  <c r="C20" i="26"/>
  <c r="C15" i="26"/>
  <c r="C11" i="26"/>
  <c r="C9" i="26"/>
  <c r="C7" i="26"/>
  <c r="C52" i="26" s="1"/>
  <c r="C5" i="26"/>
  <c r="C22" i="22"/>
  <c r="C23" i="22"/>
  <c r="C37" i="26"/>
  <c r="C23" i="26"/>
  <c r="C21" i="26"/>
  <c r="C16" i="26"/>
  <c r="C12" i="26"/>
  <c r="C10" i="26"/>
  <c r="C8" i="26"/>
  <c r="C6" i="26"/>
  <c r="C4" i="26"/>
  <c r="C24" i="22"/>
  <c r="C27" i="22"/>
  <c r="C28" i="22"/>
  <c r="C29" i="22"/>
  <c r="C30" i="22"/>
  <c r="C6" i="22"/>
  <c r="C7" i="22"/>
  <c r="C10" i="22"/>
  <c r="C11" i="22"/>
  <c r="C12" i="22"/>
  <c r="C13" i="22"/>
  <c r="E52" i="30" s="1"/>
  <c r="C14" i="22"/>
  <c r="E51" i="30" s="1"/>
  <c r="E122" i="3"/>
  <c r="E38" i="26"/>
  <c r="E36" i="26"/>
  <c r="E23" i="26"/>
  <c r="E21" i="26"/>
  <c r="E16" i="26"/>
  <c r="E12" i="26"/>
  <c r="E10" i="26"/>
  <c r="E8" i="26"/>
  <c r="E6" i="26"/>
  <c r="E4" i="26"/>
  <c r="E22" i="22"/>
  <c r="E23" i="22"/>
  <c r="E37" i="26"/>
  <c r="E22" i="26"/>
  <c r="E20" i="26"/>
  <c r="E15" i="26"/>
  <c r="E11" i="26"/>
  <c r="E9" i="26"/>
  <c r="E7" i="26"/>
  <c r="E52" i="26" s="1"/>
  <c r="E5" i="26"/>
  <c r="E24" i="22"/>
  <c r="E27" i="22"/>
  <c r="E28" i="22"/>
  <c r="E29" i="22"/>
  <c r="E30" i="22"/>
  <c r="E6" i="22"/>
  <c r="E7" i="22"/>
  <c r="E10" i="22"/>
  <c r="E11" i="22"/>
  <c r="E12" i="22"/>
  <c r="E13" i="22"/>
  <c r="E14" i="22"/>
  <c r="G51" i="30" s="1"/>
  <c r="F37" i="26"/>
  <c r="F22" i="26"/>
  <c r="H114" i="30" s="1"/>
  <c r="N114" i="30" s="1"/>
  <c r="F20" i="26"/>
  <c r="F15" i="26"/>
  <c r="F11" i="26"/>
  <c r="H103" i="30" s="1"/>
  <c r="N103" i="30" s="1"/>
  <c r="F9" i="26"/>
  <c r="F7" i="26"/>
  <c r="F5" i="26"/>
  <c r="F24" i="22"/>
  <c r="F27" i="22"/>
  <c r="F28" i="22"/>
  <c r="F29" i="22"/>
  <c r="F30" i="22"/>
  <c r="F6" i="22"/>
  <c r="F7" i="22"/>
  <c r="F10" i="22"/>
  <c r="F11" i="22"/>
  <c r="F12" i="22"/>
  <c r="F13" i="22"/>
  <c r="F14" i="22"/>
  <c r="H51" i="30" s="1"/>
  <c r="F38" i="26"/>
  <c r="F36" i="26"/>
  <c r="F23" i="26"/>
  <c r="F21" i="26"/>
  <c r="F16" i="26"/>
  <c r="F12" i="26"/>
  <c r="F10" i="26"/>
  <c r="F8" i="26"/>
  <c r="F6" i="26"/>
  <c r="F4" i="26"/>
  <c r="F22" i="22"/>
  <c r="F23" i="22"/>
  <c r="AX38" i="16"/>
  <c r="AJ38" i="16"/>
  <c r="Y51" i="16"/>
  <c r="Z51" i="16" s="1"/>
  <c r="AA51" i="16" s="1"/>
  <c r="AB51" i="16" s="1"/>
  <c r="AC51" i="16" s="1"/>
  <c r="AD51" i="16" s="1"/>
  <c r="AE51" i="16" s="1"/>
  <c r="AF51" i="16" s="1"/>
  <c r="AG51" i="16" s="1"/>
  <c r="AJ42" i="16"/>
  <c r="AX42" i="16"/>
  <c r="AJ29" i="16"/>
  <c r="AX29" i="16"/>
  <c r="X53" i="16"/>
  <c r="Y53" i="16" s="1"/>
  <c r="Z53" i="16" s="1"/>
  <c r="AA53" i="16" s="1"/>
  <c r="AB53" i="16" s="1"/>
  <c r="AC53" i="16" s="1"/>
  <c r="AD53" i="16" s="1"/>
  <c r="AE53" i="16" s="1"/>
  <c r="AF53" i="16" s="1"/>
  <c r="AG53" i="16" s="1"/>
  <c r="W46" i="16"/>
  <c r="X46" i="16" s="1"/>
  <c r="Y46" i="16" s="1"/>
  <c r="Z46" i="16" s="1"/>
  <c r="AA46" i="16" s="1"/>
  <c r="AB46" i="16" s="1"/>
  <c r="AC46" i="16" s="1"/>
  <c r="AD46" i="16" s="1"/>
  <c r="AE46" i="16" s="1"/>
  <c r="AF46" i="16" s="1"/>
  <c r="AG46" i="16" s="1"/>
  <c r="AK46" i="16"/>
  <c r="Y44" i="16"/>
  <c r="Z44" i="16" s="1"/>
  <c r="AA44" i="16" s="1"/>
  <c r="AB44" i="16" s="1"/>
  <c r="AC44" i="16" s="1"/>
  <c r="AD44" i="16" s="1"/>
  <c r="AE44" i="16" s="1"/>
  <c r="AF44" i="16" s="1"/>
  <c r="AG44" i="16" s="1"/>
  <c r="AM44" i="16"/>
  <c r="W39" i="16"/>
  <c r="X39" i="16" s="1"/>
  <c r="Y39" i="16" s="1"/>
  <c r="Z39" i="16" s="1"/>
  <c r="AA39" i="16" s="1"/>
  <c r="AB39" i="16" s="1"/>
  <c r="AC39" i="16" s="1"/>
  <c r="AD39" i="16" s="1"/>
  <c r="AE39" i="16" s="1"/>
  <c r="AF39" i="16" s="1"/>
  <c r="AG39" i="16" s="1"/>
  <c r="AK39" i="16"/>
  <c r="X35" i="16"/>
  <c r="Y35" i="16" s="1"/>
  <c r="Z35" i="16" s="1"/>
  <c r="AA35" i="16" s="1"/>
  <c r="AB35" i="16" s="1"/>
  <c r="AC35" i="16" s="1"/>
  <c r="AD35" i="16" s="1"/>
  <c r="AE35" i="16" s="1"/>
  <c r="AF35" i="16" s="1"/>
  <c r="AG35" i="16" s="1"/>
  <c r="W31" i="16"/>
  <c r="X31" i="16" s="1"/>
  <c r="Y31" i="16" s="1"/>
  <c r="Z31" i="16" s="1"/>
  <c r="AA31" i="16" s="1"/>
  <c r="AB31" i="16" s="1"/>
  <c r="AC31" i="16" s="1"/>
  <c r="AD31" i="16" s="1"/>
  <c r="AE31" i="16" s="1"/>
  <c r="AF31" i="16" s="1"/>
  <c r="AG31" i="16" s="1"/>
  <c r="AK31" i="16"/>
  <c r="AZ31" i="16" s="1"/>
  <c r="AJ43" i="16"/>
  <c r="AX43" i="16"/>
  <c r="AJ30" i="16"/>
  <c r="AX30" i="16"/>
  <c r="W40" i="16"/>
  <c r="X40" i="16" s="1"/>
  <c r="Y40" i="16" s="1"/>
  <c r="Z40" i="16" s="1"/>
  <c r="AA40" i="16" s="1"/>
  <c r="AB40" i="16" s="1"/>
  <c r="AC40" i="16" s="1"/>
  <c r="AD40" i="16" s="1"/>
  <c r="AE40" i="16" s="1"/>
  <c r="AF40" i="16" s="1"/>
  <c r="AG40" i="16" s="1"/>
  <c r="AK40" i="16"/>
  <c r="W32" i="16"/>
  <c r="X32" i="16" s="1"/>
  <c r="Y32" i="16" s="1"/>
  <c r="Z32" i="16" s="1"/>
  <c r="AA32" i="16" s="1"/>
  <c r="AB32" i="16" s="1"/>
  <c r="AC32" i="16" s="1"/>
  <c r="AD32" i="16" s="1"/>
  <c r="AE32" i="16" s="1"/>
  <c r="AF32" i="16" s="1"/>
  <c r="AG32" i="16" s="1"/>
  <c r="AK32" i="16"/>
  <c r="E24" i="16"/>
  <c r="AK50" i="16"/>
  <c r="E16" i="16"/>
  <c r="H8" i="14"/>
  <c r="N8" i="14"/>
  <c r="N4" i="14"/>
  <c r="M8" i="14"/>
  <c r="L33" i="14"/>
  <c r="N34" i="14"/>
  <c r="K8" i="14"/>
  <c r="J8" i="14"/>
  <c r="K4" i="14"/>
  <c r="E55" i="14"/>
  <c r="F55" i="14" s="1"/>
  <c r="G55" i="14" s="1"/>
  <c r="H55" i="14" s="1"/>
  <c r="I55" i="14" s="1"/>
  <c r="J55" i="14" s="1"/>
  <c r="K55" i="14" s="1"/>
  <c r="L55" i="14" s="1"/>
  <c r="E4" i="14"/>
  <c r="I33" i="14"/>
  <c r="C4" i="14"/>
  <c r="H75" i="14"/>
  <c r="I8" i="14"/>
  <c r="I4" i="14"/>
  <c r="G42" i="14"/>
  <c r="J119" i="14"/>
  <c r="G34" i="14"/>
  <c r="D82" i="3"/>
  <c r="D96" i="3"/>
  <c r="D54" i="3"/>
  <c r="D68" i="3" s="1"/>
  <c r="D139" i="3"/>
  <c r="D168" i="3" s="1"/>
  <c r="D183" i="3" s="1"/>
  <c r="D199" i="3" s="1"/>
  <c r="L4" i="18"/>
  <c r="AP244" i="11"/>
  <c r="E8" i="16"/>
  <c r="H11" i="10"/>
  <c r="G14" i="18" s="1"/>
  <c r="G47" i="18" s="1"/>
  <c r="AP245" i="11"/>
  <c r="L33" i="12"/>
  <c r="F12" i="10"/>
  <c r="F7" i="10"/>
  <c r="K14" i="7"/>
  <c r="BS207" i="11"/>
  <c r="BV207" i="11"/>
  <c r="L187" i="3"/>
  <c r="F187" i="3"/>
  <c r="I187" i="3"/>
  <c r="BQ248" i="11"/>
  <c r="BR248" i="11" s="1"/>
  <c r="BS248" i="11" s="1"/>
  <c r="BT248" i="11" s="1"/>
  <c r="BU248" i="11" s="1"/>
  <c r="BV248" i="11" s="1"/>
  <c r="BW248" i="11" s="1"/>
  <c r="BX248" i="11" s="1"/>
  <c r="BY248" i="11" s="1"/>
  <c r="BZ248" i="11" s="1"/>
  <c r="F28" i="16"/>
  <c r="F25" i="16"/>
  <c r="F19" i="16"/>
  <c r="H34" i="12"/>
  <c r="L35" i="12"/>
  <c r="L27" i="12"/>
  <c r="BN205" i="11"/>
  <c r="I42" i="12"/>
  <c r="L4" i="14"/>
  <c r="D15" i="21"/>
  <c r="D17" i="21" s="1"/>
  <c r="F6" i="30" s="1"/>
  <c r="H82" i="9"/>
  <c r="I82" i="9" s="1"/>
  <c r="J82" i="9" s="1"/>
  <c r="K82" i="9" s="1"/>
  <c r="L82" i="9" s="1"/>
  <c r="M82" i="9" s="1"/>
  <c r="N82" i="9" s="1"/>
  <c r="O82" i="9" s="1"/>
  <c r="P82" i="9" s="1"/>
  <c r="Q82" i="9" s="1"/>
  <c r="E36" i="14"/>
  <c r="D37" i="14"/>
  <c r="AO246" i="11"/>
  <c r="Z247" i="11"/>
  <c r="AO247" i="11" s="1"/>
  <c r="BM205" i="11"/>
  <c r="D151" i="3"/>
  <c r="K142" i="3"/>
  <c r="K186" i="3" s="1"/>
  <c r="AR4" i="11"/>
  <c r="BG4" i="11" s="1"/>
  <c r="M36" i="10"/>
  <c r="F14" i="16"/>
  <c r="F11" i="16"/>
  <c r="AA247" i="11"/>
  <c r="AP247" i="11" s="1"/>
  <c r="AL255" i="11"/>
  <c r="H30" i="12"/>
  <c r="H8" i="12" s="1"/>
  <c r="F8" i="10"/>
  <c r="L34" i="12"/>
  <c r="L28" i="12"/>
  <c r="L43" i="12"/>
  <c r="H44" i="12"/>
  <c r="H38" i="12"/>
  <c r="H33" i="12"/>
  <c r="H11" i="12" s="1"/>
  <c r="AM255" i="11" s="1"/>
  <c r="E184" i="3"/>
  <c r="I39" i="12"/>
  <c r="I30" i="12"/>
  <c r="E9" i="14"/>
  <c r="E54" i="30"/>
  <c r="E46" i="30" s="1"/>
  <c r="D9" i="14"/>
  <c r="AL244" i="11"/>
  <c r="H12" i="7"/>
  <c r="H11" i="6" s="1"/>
  <c r="G11" i="6"/>
  <c r="K39" i="6"/>
  <c r="A73" i="3"/>
  <c r="A87" i="3"/>
  <c r="A101" i="3" s="1"/>
  <c r="A115" i="3" s="1"/>
  <c r="A129" i="3" s="1"/>
  <c r="A144" i="3" s="1"/>
  <c r="A158" i="3" s="1"/>
  <c r="A173" i="3" s="1"/>
  <c r="A188" i="3" s="1"/>
  <c r="A72" i="3"/>
  <c r="L34" i="14"/>
  <c r="H34" i="14"/>
  <c r="F9" i="14"/>
  <c r="F10" i="16"/>
  <c r="F18" i="16"/>
  <c r="F27" i="16"/>
  <c r="F15" i="16"/>
  <c r="F26" i="16"/>
  <c r="F7" i="16"/>
  <c r="F21" i="16"/>
  <c r="F17" i="16"/>
  <c r="F13" i="16"/>
  <c r="F9" i="16"/>
  <c r="F24" i="16"/>
  <c r="F20" i="16"/>
  <c r="F16" i="16"/>
  <c r="F12" i="16"/>
  <c r="F8" i="16"/>
  <c r="AL245" i="11"/>
  <c r="W246" i="11"/>
  <c r="W247" i="11" s="1"/>
  <c r="AL247" i="11" s="1"/>
  <c r="I6" i="5"/>
  <c r="J4" i="5" s="1"/>
  <c r="J6" i="28"/>
  <c r="I17" i="28"/>
  <c r="H6" i="15" s="1"/>
  <c r="N35" i="10"/>
  <c r="M10" i="10"/>
  <c r="J9" i="5"/>
  <c r="C16" i="34"/>
  <c r="L92" i="14"/>
  <c r="K97" i="14"/>
  <c r="K202" i="14"/>
  <c r="A202" i="14" s="1"/>
  <c r="J207" i="14"/>
  <c r="AK34" i="16"/>
  <c r="AY34" i="16"/>
  <c r="AJ41" i="16"/>
  <c r="AX41" i="16"/>
  <c r="AJ37" i="16"/>
  <c r="AX37" i="16"/>
  <c r="X36" i="16"/>
  <c r="Y36" i="16" s="1"/>
  <c r="Z36" i="16" s="1"/>
  <c r="AA36" i="16" s="1"/>
  <c r="AB36" i="16" s="1"/>
  <c r="AC36" i="16" s="1"/>
  <c r="AD36" i="16" s="1"/>
  <c r="AE36" i="16" s="1"/>
  <c r="AF36" i="16" s="1"/>
  <c r="AG36" i="16" s="1"/>
  <c r="J297" i="14"/>
  <c r="K297" i="14" s="1"/>
  <c r="L297" i="14" s="1"/>
  <c r="M297" i="14" s="1"/>
  <c r="N297" i="14" s="1"/>
  <c r="O297" i="14" s="1"/>
  <c r="P297" i="14" s="1"/>
  <c r="Q297" i="14" s="1"/>
  <c r="G6" i="15"/>
  <c r="I31" i="12"/>
  <c r="I43" i="12"/>
  <c r="I33" i="12"/>
  <c r="I34" i="12"/>
  <c r="BT207" i="11"/>
  <c r="K295" i="14"/>
  <c r="A295" i="14" s="1"/>
  <c r="AK33" i="16"/>
  <c r="AY33" i="16"/>
  <c r="AJ47" i="16"/>
  <c r="AX47" i="16"/>
  <c r="AX45" i="16"/>
  <c r="AJ45" i="16"/>
  <c r="G17" i="10"/>
  <c r="AZ52" i="16"/>
  <c r="D10" i="14"/>
  <c r="B24" i="21"/>
  <c r="I268" i="14"/>
  <c r="G232" i="14"/>
  <c r="I312" i="14"/>
  <c r="C7" i="14"/>
  <c r="E19" i="14"/>
  <c r="AX33" i="16"/>
  <c r="AX34" i="16"/>
  <c r="E123" i="14"/>
  <c r="F126" i="14" s="1"/>
  <c r="U245" i="11"/>
  <c r="E18" i="16"/>
  <c r="D79" i="14"/>
  <c r="D123" i="14"/>
  <c r="D101" i="14"/>
  <c r="C61" i="14"/>
  <c r="C20" i="14" s="1"/>
  <c r="M45" i="14"/>
  <c r="L49" i="14"/>
  <c r="L8" i="14" s="1"/>
  <c r="M25" i="14"/>
  <c r="B17" i="4"/>
  <c r="B18" i="4" s="1"/>
  <c r="D30" i="29"/>
  <c r="K37" i="12"/>
  <c r="K35" i="12"/>
  <c r="K38" i="12"/>
  <c r="K40" i="12"/>
  <c r="K30" i="12"/>
  <c r="K31" i="12"/>
  <c r="K42" i="12"/>
  <c r="K33" i="12"/>
  <c r="K27" i="12"/>
  <c r="K43" i="12"/>
  <c r="K41" i="12"/>
  <c r="K34" i="12"/>
  <c r="K44" i="12"/>
  <c r="K29" i="12"/>
  <c r="J27" i="12"/>
  <c r="J39" i="12"/>
  <c r="J38" i="12"/>
  <c r="J35" i="12"/>
  <c r="J29" i="12"/>
  <c r="J41" i="12"/>
  <c r="L37" i="12"/>
  <c r="L44" i="12"/>
  <c r="L40" i="12"/>
  <c r="L29" i="12"/>
  <c r="L38" i="12"/>
  <c r="L30" i="12"/>
  <c r="L42" i="12"/>
  <c r="L41" i="12"/>
  <c r="D19" i="14"/>
  <c r="J4" i="14"/>
  <c r="D56" i="16"/>
  <c r="T5" i="16"/>
  <c r="AI5" i="16" s="1"/>
  <c r="AX5" i="16" s="1"/>
  <c r="H40" i="12"/>
  <c r="H39" i="12"/>
  <c r="H42" i="12"/>
  <c r="H31" i="12"/>
  <c r="H41" i="12"/>
  <c r="H37" i="12"/>
  <c r="H27" i="12"/>
  <c r="H5" i="12" s="1"/>
  <c r="H28" i="12"/>
  <c r="H6" i="12" s="1"/>
  <c r="BB152" i="11" s="1"/>
  <c r="BQ207" i="11"/>
  <c r="H31" i="9"/>
  <c r="H17" i="9"/>
  <c r="I17" i="9" s="1"/>
  <c r="J17" i="9" s="1"/>
  <c r="K17" i="9" s="1"/>
  <c r="L17" i="9" s="1"/>
  <c r="H62" i="9"/>
  <c r="I62" i="9" s="1"/>
  <c r="J62" i="9" s="1"/>
  <c r="K62" i="9" s="1"/>
  <c r="L62" i="9" s="1"/>
  <c r="BP250" i="11"/>
  <c r="BQ250" i="11" s="1"/>
  <c r="BR250" i="11" s="1"/>
  <c r="BS250" i="11" s="1"/>
  <c r="BT250" i="11" s="1"/>
  <c r="BU250" i="11" s="1"/>
  <c r="BV250" i="11" s="1"/>
  <c r="BW250" i="11" s="1"/>
  <c r="BX250" i="11" s="1"/>
  <c r="BY250" i="11" s="1"/>
  <c r="BZ250" i="11" s="1"/>
  <c r="A198" i="11"/>
  <c r="A36" i="3"/>
  <c r="A49" i="3" s="1"/>
  <c r="A63" i="3" s="1"/>
  <c r="A196" i="11"/>
  <c r="A34" i="3"/>
  <c r="A47" i="3" s="1"/>
  <c r="A61" i="3" s="1"/>
  <c r="D122" i="3"/>
  <c r="D2" i="16"/>
  <c r="D4" i="21"/>
  <c r="D6" i="21" s="1"/>
  <c r="D23" i="21"/>
  <c r="H48" i="9"/>
  <c r="O21" i="10"/>
  <c r="N2" i="9"/>
  <c r="M47" i="12"/>
  <c r="N21" i="10"/>
  <c r="M2" i="9"/>
  <c r="A197" i="11"/>
  <c r="A35" i="3"/>
  <c r="A48" i="3" s="1"/>
  <c r="A62" i="3" s="1"/>
  <c r="A195" i="11"/>
  <c r="A33" i="3"/>
  <c r="A46" i="3" s="1"/>
  <c r="A60" i="3" s="1"/>
  <c r="C122" i="3"/>
  <c r="C23" i="21"/>
  <c r="C24" i="21" s="1"/>
  <c r="C18" i="21"/>
  <c r="J33" i="14"/>
  <c r="D18" i="21"/>
  <c r="AQ244" i="11"/>
  <c r="T245" i="11"/>
  <c r="D184" i="3"/>
  <c r="D94" i="9" l="1"/>
  <c r="D28" i="4"/>
  <c r="D29" i="4" s="1"/>
  <c r="D31" i="4" s="1"/>
  <c r="E185" i="3"/>
  <c r="D15" i="14"/>
  <c r="I189" i="14"/>
  <c r="Q42" i="14"/>
  <c r="BB151" i="11"/>
  <c r="G189" i="14"/>
  <c r="F66" i="14"/>
  <c r="F80" i="14" s="1"/>
  <c r="F12" i="14"/>
  <c r="I34" i="14"/>
  <c r="AK51" i="16"/>
  <c r="AY51" i="16"/>
  <c r="C8" i="14"/>
  <c r="G4" i="14"/>
  <c r="L16" i="9"/>
  <c r="P42" i="14"/>
  <c r="D6" i="3"/>
  <c r="G100" i="14"/>
  <c r="F101" i="14"/>
  <c r="F104" i="14" s="1"/>
  <c r="J180" i="14"/>
  <c r="I185" i="14"/>
  <c r="AK53" i="16"/>
  <c r="AY53" i="16"/>
  <c r="F189" i="3"/>
  <c r="D7" i="14"/>
  <c r="E56" i="14"/>
  <c r="F56" i="14" s="1"/>
  <c r="D30" i="26"/>
  <c r="G190" i="3"/>
  <c r="G37" i="15" s="1"/>
  <c r="G53" i="15" s="1"/>
  <c r="G35" i="14"/>
  <c r="H35" i="14" s="1"/>
  <c r="I35" i="14" s="1"/>
  <c r="J35" i="14" s="1"/>
  <c r="D192" i="3"/>
  <c r="H189" i="14"/>
  <c r="H192" i="14" s="1"/>
  <c r="P8" i="14"/>
  <c r="J34" i="14"/>
  <c r="AM52" i="16"/>
  <c r="BA52" i="16"/>
  <c r="O42" i="14"/>
  <c r="P34" i="14"/>
  <c r="F190" i="3"/>
  <c r="CQ310" i="35"/>
  <c r="P107" i="3"/>
  <c r="CR307" i="35"/>
  <c r="Q104" i="3"/>
  <c r="CQ309" i="35"/>
  <c r="P106" i="3"/>
  <c r="AY35" i="16"/>
  <c r="AK35" i="16"/>
  <c r="F165" i="14"/>
  <c r="E167" i="14"/>
  <c r="I51" i="15"/>
  <c r="J35" i="15"/>
  <c r="G79" i="14"/>
  <c r="H78" i="14"/>
  <c r="CR308" i="35"/>
  <c r="Q105" i="3"/>
  <c r="CP309" i="35"/>
  <c r="O106" i="3"/>
  <c r="CQ305" i="35"/>
  <c r="P102" i="3"/>
  <c r="CP308" i="35"/>
  <c r="O105" i="3"/>
  <c r="CQ308" i="35"/>
  <c r="P105" i="3"/>
  <c r="F321" i="14"/>
  <c r="F324" i="14" s="1"/>
  <c r="G320" i="14"/>
  <c r="CP307" i="35"/>
  <c r="O104" i="3"/>
  <c r="CR306" i="35"/>
  <c r="Q103" i="3"/>
  <c r="CR309" i="35"/>
  <c r="Q106" i="3"/>
  <c r="CR310" i="35"/>
  <c r="Q107" i="3"/>
  <c r="CR305" i="35"/>
  <c r="Q102" i="3"/>
  <c r="F7" i="9"/>
  <c r="E46" i="9"/>
  <c r="E27" i="9"/>
  <c r="CP310" i="35"/>
  <c r="O107" i="3"/>
  <c r="CP305" i="35"/>
  <c r="O102" i="3"/>
  <c r="CP306" i="35"/>
  <c r="O103" i="3"/>
  <c r="CQ306" i="35"/>
  <c r="P103" i="3"/>
  <c r="F298" i="14"/>
  <c r="E299" i="14"/>
  <c r="D189" i="3"/>
  <c r="G192" i="14"/>
  <c r="G144" i="14"/>
  <c r="F145" i="14"/>
  <c r="F148" i="14" s="1"/>
  <c r="F2" i="5"/>
  <c r="E5" i="16"/>
  <c r="AY49" i="16"/>
  <c r="AK49" i="16"/>
  <c r="AK48" i="16"/>
  <c r="AY48" i="16"/>
  <c r="BA135" i="11"/>
  <c r="AW151" i="11"/>
  <c r="AW153" i="11"/>
  <c r="AW155" i="11"/>
  <c r="AW157" i="11"/>
  <c r="AW159" i="11"/>
  <c r="AW160" i="11"/>
  <c r="AW161" i="11"/>
  <c r="AW162" i="11"/>
  <c r="AW163" i="11"/>
  <c r="AW165" i="11"/>
  <c r="AW152" i="11"/>
  <c r="AW154" i="11"/>
  <c r="AW156" i="11"/>
  <c r="AW158" i="11"/>
  <c r="AW166" i="11"/>
  <c r="AW164" i="11"/>
  <c r="AX152" i="11"/>
  <c r="AX154" i="11"/>
  <c r="AX156" i="11"/>
  <c r="AX158" i="11"/>
  <c r="AX166" i="11"/>
  <c r="AX151" i="11"/>
  <c r="AX153" i="11"/>
  <c r="AX155" i="11"/>
  <c r="AX157" i="11"/>
  <c r="AX159" i="11"/>
  <c r="AX160" i="11"/>
  <c r="AX161" i="11"/>
  <c r="AX162" i="11"/>
  <c r="AX163" i="11"/>
  <c r="AX164" i="11"/>
  <c r="AX165" i="11"/>
  <c r="AZ166" i="11"/>
  <c r="AZ164" i="11"/>
  <c r="AZ162" i="11"/>
  <c r="AZ160" i="11"/>
  <c r="AZ157" i="11"/>
  <c r="AZ151" i="11"/>
  <c r="AZ156" i="11"/>
  <c r="AZ152" i="11"/>
  <c r="BA166" i="11"/>
  <c r="BA156" i="11"/>
  <c r="BA152" i="11"/>
  <c r="BA155" i="11"/>
  <c r="BB154" i="11"/>
  <c r="CC230" i="11"/>
  <c r="AY151" i="11"/>
  <c r="AY153" i="11"/>
  <c r="AY155" i="11"/>
  <c r="AY157" i="11"/>
  <c r="AY159" i="11"/>
  <c r="AY160" i="11"/>
  <c r="AY161" i="11"/>
  <c r="AY162" i="11"/>
  <c r="AY163" i="11"/>
  <c r="AY164" i="11"/>
  <c r="AY152" i="11"/>
  <c r="AY154" i="11"/>
  <c r="AY156" i="11"/>
  <c r="AY158" i="11"/>
  <c r="AY166" i="11"/>
  <c r="AY165" i="11"/>
  <c r="AZ165" i="11"/>
  <c r="AZ163" i="11"/>
  <c r="AZ161" i="11"/>
  <c r="AZ159" i="11"/>
  <c r="AZ155" i="11"/>
  <c r="AZ158" i="11"/>
  <c r="AZ154" i="11"/>
  <c r="BA165" i="11"/>
  <c r="BA158" i="11"/>
  <c r="BA154" i="11"/>
  <c r="BA157" i="11"/>
  <c r="BA151" i="11"/>
  <c r="H21" i="9"/>
  <c r="I21" i="9" s="1"/>
  <c r="J21" i="9" s="1"/>
  <c r="K21" i="9" s="1"/>
  <c r="L21" i="9" s="1"/>
  <c r="H13" i="9"/>
  <c r="H79" i="9"/>
  <c r="I79" i="9" s="1"/>
  <c r="J79" i="9" s="1"/>
  <c r="K79" i="9" s="1"/>
  <c r="L79" i="9" s="1"/>
  <c r="F68" i="26"/>
  <c r="H132" i="30" s="1"/>
  <c r="H180" i="30" s="1"/>
  <c r="AW310" i="35"/>
  <c r="P121" i="3" s="1"/>
  <c r="BY310" i="35"/>
  <c r="AT308" i="35"/>
  <c r="O119" i="3" s="1"/>
  <c r="BX308" i="35"/>
  <c r="AT309" i="35"/>
  <c r="O120" i="3" s="1"/>
  <c r="BX309" i="35"/>
  <c r="AZ310" i="35"/>
  <c r="Q121" i="3" s="1"/>
  <c r="BZ310" i="35"/>
  <c r="AZ306" i="35"/>
  <c r="Q117" i="3" s="1"/>
  <c r="BZ306" i="35"/>
  <c r="AW307" i="35"/>
  <c r="P118" i="3" s="1"/>
  <c r="CQ307" i="35"/>
  <c r="AW306" i="35"/>
  <c r="P117" i="3" s="1"/>
  <c r="AW308" i="35"/>
  <c r="P119" i="3" s="1"/>
  <c r="AW305" i="35"/>
  <c r="P116" i="3" s="1"/>
  <c r="AX311" i="35"/>
  <c r="BY311" i="35" s="1"/>
  <c r="AT310" i="35"/>
  <c r="O121" i="3" s="1"/>
  <c r="AY311" i="35"/>
  <c r="CR311" i="35" s="1"/>
  <c r="AY171" i="35"/>
  <c r="AW309" i="35"/>
  <c r="P120" i="3" s="1"/>
  <c r="AZ307" i="35"/>
  <c r="Q118" i="3" s="1"/>
  <c r="AZ309" i="35"/>
  <c r="Q120" i="3" s="1"/>
  <c r="AZ305" i="35"/>
  <c r="Q116" i="3" s="1"/>
  <c r="BA311" i="35"/>
  <c r="BZ311" i="35" s="1"/>
  <c r="AT305" i="35"/>
  <c r="O116" i="3" s="1"/>
  <c r="AU311" i="35"/>
  <c r="BX311" i="35" s="1"/>
  <c r="AS311" i="35"/>
  <c r="CP311" i="35" s="1"/>
  <c r="AS171" i="35"/>
  <c r="AV311" i="35"/>
  <c r="CQ311" i="35" s="1"/>
  <c r="AV171" i="35"/>
  <c r="AZ308" i="35"/>
  <c r="Q119" i="3" s="1"/>
  <c r="AT307" i="35"/>
  <c r="O118" i="3" s="1"/>
  <c r="AT306" i="35"/>
  <c r="O117" i="3" s="1"/>
  <c r="BW275" i="35"/>
  <c r="BV275" i="35"/>
  <c r="BW258" i="35"/>
  <c r="AR336" i="35"/>
  <c r="BW336" i="35" s="1"/>
  <c r="BV258" i="35"/>
  <c r="AO336" i="35"/>
  <c r="BV336" i="35" s="1"/>
  <c r="BU265" i="35"/>
  <c r="AL337" i="35"/>
  <c r="BU337" i="35" s="1"/>
  <c r="BU275" i="35"/>
  <c r="BR275" i="35"/>
  <c r="AC339" i="35"/>
  <c r="BR339" i="35" s="1"/>
  <c r="BS275" i="35"/>
  <c r="AF339" i="35"/>
  <c r="BS339" i="35" s="1"/>
  <c r="BT275" i="35"/>
  <c r="AI338" i="35"/>
  <c r="BT338" i="35" s="1"/>
  <c r="V308" i="35"/>
  <c r="CH308" i="35"/>
  <c r="D309" i="35"/>
  <c r="BJ309" i="35"/>
  <c r="V306" i="35"/>
  <c r="BP306" i="35"/>
  <c r="D307" i="35"/>
  <c r="BJ307" i="35"/>
  <c r="P309" i="35"/>
  <c r="BN309" i="35"/>
  <c r="L107" i="3"/>
  <c r="L150" i="3" s="1"/>
  <c r="BU214" i="11" s="1"/>
  <c r="CF214" i="11" s="1"/>
  <c r="CM310" i="35"/>
  <c r="I107" i="3"/>
  <c r="I150" i="3" s="1"/>
  <c r="I194" i="3" s="1"/>
  <c r="CJ310" i="35"/>
  <c r="M107" i="3"/>
  <c r="M150" i="3" s="1"/>
  <c r="M194" i="3" s="1"/>
  <c r="CN310" i="35"/>
  <c r="J106" i="3"/>
  <c r="J149" i="3" s="1"/>
  <c r="BS213" i="11" s="1"/>
  <c r="CD213" i="11" s="1"/>
  <c r="CK309" i="35"/>
  <c r="D308" i="35"/>
  <c r="BJ308" i="35"/>
  <c r="N107" i="3"/>
  <c r="N150" i="3" s="1"/>
  <c r="CO310" i="35"/>
  <c r="V309" i="35"/>
  <c r="BP309" i="35"/>
  <c r="Y308" i="35"/>
  <c r="CI308" i="35"/>
  <c r="Y306" i="35"/>
  <c r="BQ306" i="35"/>
  <c r="M310" i="35"/>
  <c r="BM310" i="35"/>
  <c r="L106" i="3"/>
  <c r="L149" i="3" s="1"/>
  <c r="L193" i="3" s="1"/>
  <c r="L40" i="15" s="1"/>
  <c r="L56" i="15" s="1"/>
  <c r="CM309" i="35"/>
  <c r="AC293" i="35"/>
  <c r="BR293" i="35" s="1"/>
  <c r="AC290" i="35"/>
  <c r="BR290" i="35" s="1"/>
  <c r="CJ290" i="35"/>
  <c r="AL291" i="35"/>
  <c r="BU291" i="35" s="1"/>
  <c r="CM291" i="35"/>
  <c r="AC291" i="35"/>
  <c r="BR291" i="35" s="1"/>
  <c r="CJ291" i="35"/>
  <c r="AI291" i="35"/>
  <c r="BT291" i="35" s="1"/>
  <c r="CL291" i="35"/>
  <c r="AL289" i="35"/>
  <c r="BU289" i="35" s="1"/>
  <c r="CM289" i="35"/>
  <c r="AC289" i="35"/>
  <c r="BR289" i="35" s="1"/>
  <c r="CJ289" i="35"/>
  <c r="AI289" i="35"/>
  <c r="BT289" i="35" s="1"/>
  <c r="CL289" i="35"/>
  <c r="AF285" i="35"/>
  <c r="BS285" i="35" s="1"/>
  <c r="CK285" i="35"/>
  <c r="AF283" i="35"/>
  <c r="BS283" i="35" s="1"/>
  <c r="CK283" i="35"/>
  <c r="AI284" i="35"/>
  <c r="BT284" i="35" s="1"/>
  <c r="CL284" i="35"/>
  <c r="AF284" i="35"/>
  <c r="BS284" i="35" s="1"/>
  <c r="CK284" i="35"/>
  <c r="AI282" i="35"/>
  <c r="BT282" i="35" s="1"/>
  <c r="CL282" i="35"/>
  <c r="AF282" i="35"/>
  <c r="BS282" i="35" s="1"/>
  <c r="CK282" i="35"/>
  <c r="G307" i="35"/>
  <c r="CC307" i="35"/>
  <c r="J107" i="3"/>
  <c r="J150" i="3" s="1"/>
  <c r="CK310" i="35"/>
  <c r="J310" i="35"/>
  <c r="BL310" i="35"/>
  <c r="D306" i="35"/>
  <c r="BJ306" i="35"/>
  <c r="K106" i="3"/>
  <c r="K149" i="3" s="1"/>
  <c r="CL309" i="35"/>
  <c r="Y310" i="35"/>
  <c r="BQ310" i="35"/>
  <c r="G309" i="35"/>
  <c r="BK309" i="35"/>
  <c r="K107" i="3"/>
  <c r="K150" i="3" s="1"/>
  <c r="CL310" i="35"/>
  <c r="M106" i="3"/>
  <c r="M149" i="3" s="1"/>
  <c r="M193" i="3" s="1"/>
  <c r="M40" i="15" s="1"/>
  <c r="M56" i="15" s="1"/>
  <c r="CN309" i="35"/>
  <c r="J306" i="35"/>
  <c r="CD306" i="35"/>
  <c r="N106" i="3"/>
  <c r="CO309" i="35"/>
  <c r="Y309" i="35"/>
  <c r="BQ309" i="35"/>
  <c r="X311" i="35"/>
  <c r="CI311" i="35" s="1"/>
  <c r="CI305" i="35"/>
  <c r="J309" i="35"/>
  <c r="CD309" i="35"/>
  <c r="M308" i="35"/>
  <c r="BM308" i="35"/>
  <c r="V310" i="35"/>
  <c r="BP310" i="35"/>
  <c r="V307" i="35"/>
  <c r="BP307" i="35"/>
  <c r="D310" i="35"/>
  <c r="BJ310" i="35"/>
  <c r="I106" i="3"/>
  <c r="I149" i="3" s="1"/>
  <c r="BR213" i="11" s="1"/>
  <c r="CC213" i="11" s="1"/>
  <c r="CJ309" i="35"/>
  <c r="AF290" i="35"/>
  <c r="BS290" i="35" s="1"/>
  <c r="CK290" i="35"/>
  <c r="AF291" i="35"/>
  <c r="BS291" i="35" s="1"/>
  <c r="CK291" i="35"/>
  <c r="AF289" i="35"/>
  <c r="BS289" i="35" s="1"/>
  <c r="CK289" i="35"/>
  <c r="AC285" i="35"/>
  <c r="BR285" i="35" s="1"/>
  <c r="CJ285" i="35"/>
  <c r="AC294" i="35"/>
  <c r="BR294" i="35" s="1"/>
  <c r="AC283" i="35"/>
  <c r="BR283" i="35" s="1"/>
  <c r="CJ283" i="35"/>
  <c r="AC284" i="35"/>
  <c r="BR284" i="35" s="1"/>
  <c r="CJ284" i="35"/>
  <c r="AC282" i="35"/>
  <c r="BR282" i="35" s="1"/>
  <c r="CJ282" i="35"/>
  <c r="Y307" i="35"/>
  <c r="AC306" i="35"/>
  <c r="BR306" i="35" s="1"/>
  <c r="E190" i="3"/>
  <c r="D190" i="3"/>
  <c r="E191" i="3"/>
  <c r="D191" i="3"/>
  <c r="G305" i="35"/>
  <c r="H311" i="35"/>
  <c r="BK311" i="35" s="1"/>
  <c r="J194" i="3"/>
  <c r="BS214" i="11"/>
  <c r="CD214" i="11" s="1"/>
  <c r="E311" i="35"/>
  <c r="BJ311" i="35" s="1"/>
  <c r="D305" i="35"/>
  <c r="BT213" i="11"/>
  <c r="CE213" i="11" s="1"/>
  <c r="K193" i="3"/>
  <c r="K40" i="15" s="1"/>
  <c r="K56" i="15" s="1"/>
  <c r="BT214" i="11"/>
  <c r="CE214" i="11" s="1"/>
  <c r="K194" i="3"/>
  <c r="S308" i="35"/>
  <c r="BV213" i="11"/>
  <c r="CG213" i="11" s="1"/>
  <c r="F311" i="35"/>
  <c r="N149" i="3"/>
  <c r="J308" i="35"/>
  <c r="G310" i="35"/>
  <c r="P308" i="35"/>
  <c r="J305" i="35"/>
  <c r="K311" i="35"/>
  <c r="BL311" i="35" s="1"/>
  <c r="I311" i="35"/>
  <c r="U311" i="35"/>
  <c r="S310" i="35"/>
  <c r="J307" i="35"/>
  <c r="M309" i="35"/>
  <c r="P310" i="35"/>
  <c r="M307" i="35"/>
  <c r="P307" i="35"/>
  <c r="AP292" i="35"/>
  <c r="CO292" i="35" s="1"/>
  <c r="AJ292" i="35"/>
  <c r="CM292" i="35" s="1"/>
  <c r="AD292" i="35"/>
  <c r="CK292" i="35" s="1"/>
  <c r="AM292" i="35"/>
  <c r="CN292" i="35" s="1"/>
  <c r="AG292" i="35"/>
  <c r="CL292" i="35" s="1"/>
  <c r="AA292" i="35"/>
  <c r="CJ292" i="35" s="1"/>
  <c r="AF287" i="35"/>
  <c r="BS287" i="35" s="1"/>
  <c r="AF294" i="35"/>
  <c r="BS294" i="35" s="1"/>
  <c r="AL273" i="35"/>
  <c r="BU273" i="35" s="1"/>
  <c r="AR266" i="35"/>
  <c r="BW266" i="35" s="1"/>
  <c r="AF286" i="35"/>
  <c r="BS286" i="35" s="1"/>
  <c r="AF293" i="35"/>
  <c r="BS293" i="35" s="1"/>
  <c r="AO266" i="35"/>
  <c r="BV266" i="35" s="1"/>
  <c r="G189" i="3"/>
  <c r="G36" i="15" s="1"/>
  <c r="BL206" i="11"/>
  <c r="C151" i="3"/>
  <c r="J69" i="9"/>
  <c r="I23" i="1"/>
  <c r="E8" i="5"/>
  <c r="D13" i="5"/>
  <c r="G15" i="3"/>
  <c r="G25" i="3" s="1"/>
  <c r="K75" i="14"/>
  <c r="J70" i="14"/>
  <c r="V305" i="35"/>
  <c r="W311" i="35"/>
  <c r="BP311" i="35" s="1"/>
  <c r="L194" i="3"/>
  <c r="R311" i="35"/>
  <c r="BR214" i="11"/>
  <c r="CC214" i="11" s="1"/>
  <c r="Q311" i="35"/>
  <c r="BN311" i="35" s="1"/>
  <c r="P305" i="35"/>
  <c r="M305" i="35"/>
  <c r="N311" i="35"/>
  <c r="BM311" i="35" s="1"/>
  <c r="S305" i="35"/>
  <c r="T311" i="35"/>
  <c r="BO311" i="35" s="1"/>
  <c r="L311" i="35"/>
  <c r="Y305" i="35"/>
  <c r="Z311" i="35"/>
  <c r="BQ311" i="35" s="1"/>
  <c r="M306" i="35"/>
  <c r="J193" i="3"/>
  <c r="J40" i="15" s="1"/>
  <c r="J56" i="15" s="1"/>
  <c r="S309" i="35"/>
  <c r="C311" i="35"/>
  <c r="S307" i="35"/>
  <c r="P306" i="35"/>
  <c r="O311" i="35"/>
  <c r="S306" i="35"/>
  <c r="G308" i="35"/>
  <c r="G306" i="35"/>
  <c r="I193" i="3"/>
  <c r="I40" i="15" s="1"/>
  <c r="I56" i="15" s="1"/>
  <c r="AR265" i="35"/>
  <c r="Q18" i="8"/>
  <c r="AO265" i="35"/>
  <c r="AC310" i="35"/>
  <c r="BR310" i="35" s="1"/>
  <c r="AL272" i="35"/>
  <c r="AI279" i="35"/>
  <c r="BT279" i="35" s="1"/>
  <c r="AI280" i="35"/>
  <c r="BT280" i="35" s="1"/>
  <c r="I174" i="3"/>
  <c r="J174" i="3" s="1"/>
  <c r="K174" i="3" s="1"/>
  <c r="L174" i="3" s="1"/>
  <c r="M174" i="3" s="1"/>
  <c r="N174" i="3" s="1"/>
  <c r="O174" i="3" s="1"/>
  <c r="P174" i="3" s="1"/>
  <c r="Q174" i="3" s="1"/>
  <c r="H189" i="3"/>
  <c r="H36" i="15" s="1"/>
  <c r="E189" i="3"/>
  <c r="F277" i="14"/>
  <c r="F280" i="14" s="1"/>
  <c r="G276" i="14"/>
  <c r="H253" i="14"/>
  <c r="I253" i="14" s="1"/>
  <c r="J253" i="14" s="1"/>
  <c r="K253" i="14" s="1"/>
  <c r="L253" i="14" s="1"/>
  <c r="M253" i="14" s="1"/>
  <c r="N253" i="14" s="1"/>
  <c r="O253" i="14" s="1"/>
  <c r="P253" i="14" s="1"/>
  <c r="Q253" i="14" s="1"/>
  <c r="G255" i="14"/>
  <c r="G258" i="14" s="1"/>
  <c r="G123" i="14"/>
  <c r="G126" i="14" s="1"/>
  <c r="H122" i="14"/>
  <c r="F177" i="3"/>
  <c r="E192" i="3"/>
  <c r="E195" i="3" s="1"/>
  <c r="E49" i="32" s="1"/>
  <c r="I176" i="3"/>
  <c r="H191" i="3"/>
  <c r="H38" i="15" s="1"/>
  <c r="H54" i="15" s="1"/>
  <c r="F191" i="3"/>
  <c r="I175" i="3"/>
  <c r="H190" i="3"/>
  <c r="U171" i="35"/>
  <c r="X171" i="35"/>
  <c r="C134" i="3"/>
  <c r="C163" i="3" s="1"/>
  <c r="C135" i="3"/>
  <c r="C164" i="3" s="1"/>
  <c r="D135" i="3"/>
  <c r="D134" i="3"/>
  <c r="E125" i="3"/>
  <c r="E134" i="3"/>
  <c r="E135" i="3"/>
  <c r="D25" i="29"/>
  <c r="D4" i="4"/>
  <c r="D5" i="4" s="1"/>
  <c r="D6" i="4" s="1"/>
  <c r="D45" i="4" s="1"/>
  <c r="B17" i="21"/>
  <c r="D6" i="30" s="1"/>
  <c r="D33" i="30" s="1"/>
  <c r="F125" i="3"/>
  <c r="F32" i="18" s="1"/>
  <c r="F135" i="3"/>
  <c r="F134" i="3"/>
  <c r="B31" i="22"/>
  <c r="D15" i="30" s="1"/>
  <c r="AR276" i="35"/>
  <c r="BW276" i="35" s="1"/>
  <c r="AR278" i="35"/>
  <c r="BW278" i="35" s="1"/>
  <c r="AO278" i="35"/>
  <c r="BV278" i="35" s="1"/>
  <c r="AO276" i="35"/>
  <c r="BV276" i="35" s="1"/>
  <c r="AO282" i="35"/>
  <c r="BV282" i="35" s="1"/>
  <c r="AO289" i="35"/>
  <c r="BV289" i="35" s="1"/>
  <c r="AO284" i="35"/>
  <c r="BV284" i="35" s="1"/>
  <c r="AO291" i="35"/>
  <c r="BV291" i="35" s="1"/>
  <c r="AL283" i="35"/>
  <c r="BU283" i="35" s="1"/>
  <c r="AL290" i="35"/>
  <c r="BU290" i="35" s="1"/>
  <c r="AR282" i="35"/>
  <c r="BW282" i="35" s="1"/>
  <c r="AR289" i="35"/>
  <c r="BW289" i="35" s="1"/>
  <c r="AR284" i="35"/>
  <c r="BW284" i="35" s="1"/>
  <c r="AR291" i="35"/>
  <c r="BW291" i="35" s="1"/>
  <c r="AL285" i="35"/>
  <c r="BU285" i="35" s="1"/>
  <c r="AI307" i="35"/>
  <c r="BT307" i="35" s="1"/>
  <c r="AI306" i="35"/>
  <c r="BT306" i="35" s="1"/>
  <c r="CD230" i="11"/>
  <c r="BW4" i="11"/>
  <c r="AZ150" i="11"/>
  <c r="AZ148" i="11"/>
  <c r="AZ146" i="11"/>
  <c r="AZ144" i="11"/>
  <c r="AZ142" i="11"/>
  <c r="AZ140" i="11"/>
  <c r="AZ138" i="11"/>
  <c r="AZ135" i="11"/>
  <c r="BA150" i="11"/>
  <c r="BA142" i="11"/>
  <c r="BA140" i="11"/>
  <c r="BA138" i="11"/>
  <c r="AX135" i="11"/>
  <c r="AX136" i="11"/>
  <c r="AX137" i="11"/>
  <c r="AX138" i="11"/>
  <c r="AX139" i="11"/>
  <c r="AX140" i="11"/>
  <c r="AX141" i="11"/>
  <c r="AX142" i="11"/>
  <c r="AX143" i="11"/>
  <c r="AX144" i="11"/>
  <c r="AX145" i="11"/>
  <c r="AX146" i="11"/>
  <c r="AX147" i="11"/>
  <c r="AX148" i="11"/>
  <c r="AX149" i="11"/>
  <c r="AX150" i="11"/>
  <c r="BB135" i="11"/>
  <c r="BB136" i="11"/>
  <c r="BB138" i="11"/>
  <c r="AW135" i="11"/>
  <c r="AW136" i="11"/>
  <c r="AW137" i="11"/>
  <c r="AW138" i="11"/>
  <c r="AW139" i="11"/>
  <c r="AW140" i="11"/>
  <c r="AW141" i="11"/>
  <c r="AW142" i="11"/>
  <c r="AW143" i="11"/>
  <c r="AW144" i="11"/>
  <c r="AW145" i="11"/>
  <c r="AW146" i="11"/>
  <c r="AW147" i="11"/>
  <c r="AW148" i="11"/>
  <c r="AW149" i="11"/>
  <c r="AW150" i="11"/>
  <c r="AY135" i="11"/>
  <c r="AY136" i="11"/>
  <c r="AY137" i="11"/>
  <c r="AY138" i="11"/>
  <c r="AY139" i="11"/>
  <c r="AY140" i="11"/>
  <c r="AY141" i="11"/>
  <c r="AY142" i="11"/>
  <c r="AY143" i="11"/>
  <c r="AY144" i="11"/>
  <c r="AY145" i="11"/>
  <c r="AY146" i="11"/>
  <c r="AY147" i="11"/>
  <c r="AY148" i="11"/>
  <c r="AY149" i="11"/>
  <c r="AY150" i="11"/>
  <c r="BM4" i="11"/>
  <c r="D4" i="18" s="1"/>
  <c r="AZ149" i="11"/>
  <c r="AZ147" i="11"/>
  <c r="AZ145" i="11"/>
  <c r="AZ143" i="11"/>
  <c r="AZ141" i="11"/>
  <c r="AZ139" i="11"/>
  <c r="AZ136" i="11"/>
  <c r="BA149" i="11"/>
  <c r="BA141" i="11"/>
  <c r="BA139" i="11"/>
  <c r="BA136" i="11"/>
  <c r="CB230" i="11"/>
  <c r="V246" i="11"/>
  <c r="AK246" i="11" s="1"/>
  <c r="E12" i="16"/>
  <c r="E23" i="16"/>
  <c r="A28" i="14"/>
  <c r="BO206" i="11"/>
  <c r="F185" i="3"/>
  <c r="V19" i="11" s="1"/>
  <c r="AK19" i="11" s="1"/>
  <c r="E82" i="3"/>
  <c r="E153" i="3"/>
  <c r="O34" i="14"/>
  <c r="E15" i="14"/>
  <c r="S17" i="11"/>
  <c r="AH17" i="11" s="1"/>
  <c r="S13" i="11"/>
  <c r="AH13" i="11" s="1"/>
  <c r="S9" i="11"/>
  <c r="AH9" i="11" s="1"/>
  <c r="S18" i="11"/>
  <c r="AH18" i="11" s="1"/>
  <c r="S14" i="11"/>
  <c r="AH14" i="11" s="1"/>
  <c r="S10" i="11"/>
  <c r="F68" i="14"/>
  <c r="F76" i="14" s="1"/>
  <c r="S6" i="11"/>
  <c r="AH6" i="11" s="1"/>
  <c r="S15" i="11"/>
  <c r="AH15" i="11" s="1"/>
  <c r="S11" i="11"/>
  <c r="AH11" i="11" s="1"/>
  <c r="S7" i="11"/>
  <c r="AH7" i="11" s="1"/>
  <c r="S16" i="11"/>
  <c r="S12" i="11"/>
  <c r="AH12" i="11" s="1"/>
  <c r="F175" i="14"/>
  <c r="F178" i="14" s="1"/>
  <c r="F186" i="14" s="1"/>
  <c r="F214" i="3"/>
  <c r="F132" i="3"/>
  <c r="F221" i="3" s="1"/>
  <c r="F87" i="14"/>
  <c r="F102" i="14" s="1"/>
  <c r="F126" i="3"/>
  <c r="F109" i="14"/>
  <c r="F112" i="14" s="1"/>
  <c r="F120" i="14" s="1"/>
  <c r="F153" i="14"/>
  <c r="F156" i="14" s="1"/>
  <c r="F164" i="14" s="1"/>
  <c r="E124" i="3"/>
  <c r="F128" i="3"/>
  <c r="F157" i="3" s="1"/>
  <c r="F204" i="3" s="1"/>
  <c r="E57" i="14"/>
  <c r="F241" i="14"/>
  <c r="F244" i="14" s="1"/>
  <c r="F252" i="14" s="1"/>
  <c r="F131" i="3"/>
  <c r="F220" i="3" s="1"/>
  <c r="F129" i="3"/>
  <c r="F158" i="3" s="1"/>
  <c r="F205" i="3" s="1"/>
  <c r="F127" i="3"/>
  <c r="F131" i="14"/>
  <c r="F146" i="14" s="1"/>
  <c r="F285" i="14"/>
  <c r="F288" i="14" s="1"/>
  <c r="F296" i="14" s="1"/>
  <c r="F263" i="14"/>
  <c r="F197" i="14"/>
  <c r="F200" i="14" s="1"/>
  <c r="F208" i="14" s="1"/>
  <c r="F219" i="14"/>
  <c r="F222" i="14" s="1"/>
  <c r="F230" i="14" s="1"/>
  <c r="F307" i="14"/>
  <c r="F322" i="14" s="1"/>
  <c r="A39" i="14"/>
  <c r="A26" i="14"/>
  <c r="A40" i="14"/>
  <c r="AB246" i="11"/>
  <c r="H57" i="9"/>
  <c r="I57" i="9" s="1"/>
  <c r="J57" i="9" s="1"/>
  <c r="K57" i="9" s="1"/>
  <c r="L57" i="9" s="1"/>
  <c r="H15" i="9"/>
  <c r="I15" i="9" s="1"/>
  <c r="J15" i="9" s="1"/>
  <c r="K15" i="9" s="1"/>
  <c r="L15" i="9" s="1"/>
  <c r="E11" i="16"/>
  <c r="E13" i="16"/>
  <c r="E28" i="16"/>
  <c r="E27" i="16"/>
  <c r="A31" i="14"/>
  <c r="A25" i="14"/>
  <c r="A27" i="14" s="1"/>
  <c r="A45" i="14"/>
  <c r="A30" i="14"/>
  <c r="A41" i="14"/>
  <c r="P33" i="14"/>
  <c r="P4" i="14"/>
  <c r="O33" i="14"/>
  <c r="O4" i="14"/>
  <c r="E12" i="14"/>
  <c r="O8" i="14"/>
  <c r="Q34" i="14"/>
  <c r="A34" i="14" s="1"/>
  <c r="Q33" i="14"/>
  <c r="Q4" i="14"/>
  <c r="Q8" i="14"/>
  <c r="AW245" i="11"/>
  <c r="BL245" i="11" s="1"/>
  <c r="AW247" i="11"/>
  <c r="BL247" i="11" s="1"/>
  <c r="AW7" i="11"/>
  <c r="AW10" i="11"/>
  <c r="AW12" i="11"/>
  <c r="AW13" i="11"/>
  <c r="AW14" i="11"/>
  <c r="AW15" i="11"/>
  <c r="AW17" i="11"/>
  <c r="AW19" i="11"/>
  <c r="AW21" i="11"/>
  <c r="AW22" i="11"/>
  <c r="AW24" i="11"/>
  <c r="AW29" i="11"/>
  <c r="AW31" i="11"/>
  <c r="AW33" i="11"/>
  <c r="AW36" i="11"/>
  <c r="AW38" i="11"/>
  <c r="AW39" i="11"/>
  <c r="AW40" i="11"/>
  <c r="AW41" i="11"/>
  <c r="AW43" i="11"/>
  <c r="AW45" i="11"/>
  <c r="AW47" i="11"/>
  <c r="AW48" i="11"/>
  <c r="AW50" i="11"/>
  <c r="AW55" i="11"/>
  <c r="AW57" i="11"/>
  <c r="AW59" i="11"/>
  <c r="AW62" i="11"/>
  <c r="AW64" i="11"/>
  <c r="AW65" i="11"/>
  <c r="AW66" i="11"/>
  <c r="AW67" i="11"/>
  <c r="AW69" i="11"/>
  <c r="AW71" i="11"/>
  <c r="AW73" i="11"/>
  <c r="AW74" i="11"/>
  <c r="AW77" i="11"/>
  <c r="AW79" i="11"/>
  <c r="AW80" i="11"/>
  <c r="AW81" i="11"/>
  <c r="AW83" i="11"/>
  <c r="AW85" i="11"/>
  <c r="AW87" i="11"/>
  <c r="AW89" i="11"/>
  <c r="AW90" i="11"/>
  <c r="AW93" i="11"/>
  <c r="AW95" i="11"/>
  <c r="AW96" i="11"/>
  <c r="AW97" i="11"/>
  <c r="AW99" i="11"/>
  <c r="AW101" i="11"/>
  <c r="AW103" i="11"/>
  <c r="AW105" i="11"/>
  <c r="AW106" i="11"/>
  <c r="AW109" i="11"/>
  <c r="AW111" i="11"/>
  <c r="AW112" i="11"/>
  <c r="AW113" i="11"/>
  <c r="AW115" i="11"/>
  <c r="AW117" i="11"/>
  <c r="AW119" i="11"/>
  <c r="AW121" i="11"/>
  <c r="AW122" i="11"/>
  <c r="AW125" i="11"/>
  <c r="AW127" i="11"/>
  <c r="AW128" i="11"/>
  <c r="AW129" i="11"/>
  <c r="AW246" i="11"/>
  <c r="BL246" i="11" s="1"/>
  <c r="AW244" i="11"/>
  <c r="BL244" i="11" s="1"/>
  <c r="AW8" i="11"/>
  <c r="AW9" i="11"/>
  <c r="AW11" i="11"/>
  <c r="AW16" i="11"/>
  <c r="AW18" i="11"/>
  <c r="AW20" i="11"/>
  <c r="AW23" i="11"/>
  <c r="AW25" i="11"/>
  <c r="AW26" i="11"/>
  <c r="AW27" i="11"/>
  <c r="AW28" i="11"/>
  <c r="AW30" i="11"/>
  <c r="AW32" i="11"/>
  <c r="AW34" i="11"/>
  <c r="AW35" i="11"/>
  <c r="AW37" i="11"/>
  <c r="AW42" i="11"/>
  <c r="AW44" i="11"/>
  <c r="AW46" i="11"/>
  <c r="AW49" i="11"/>
  <c r="AW51" i="11"/>
  <c r="AW52" i="11"/>
  <c r="AW53" i="11"/>
  <c r="AW54" i="11"/>
  <c r="AW56" i="11"/>
  <c r="AW58" i="11"/>
  <c r="AW60" i="11"/>
  <c r="AW61" i="11"/>
  <c r="AW63" i="11"/>
  <c r="AW68" i="11"/>
  <c r="AW70" i="11"/>
  <c r="AW72" i="11"/>
  <c r="AW75" i="11"/>
  <c r="AW76" i="11"/>
  <c r="AW78" i="11"/>
  <c r="AW82" i="11"/>
  <c r="AW84" i="11"/>
  <c r="AW86" i="11"/>
  <c r="AW88" i="11"/>
  <c r="AW91" i="11"/>
  <c r="AW92" i="11"/>
  <c r="AW94" i="11"/>
  <c r="AW98" i="11"/>
  <c r="AW100" i="11"/>
  <c r="AW102" i="11"/>
  <c r="AW104" i="11"/>
  <c r="AW107" i="11"/>
  <c r="AW108" i="11"/>
  <c r="AW116" i="11"/>
  <c r="AW118" i="11"/>
  <c r="AW126" i="11"/>
  <c r="AW131" i="11"/>
  <c r="AW133" i="11"/>
  <c r="AW6" i="11"/>
  <c r="AW110" i="11"/>
  <c r="AW114" i="11"/>
  <c r="AW120" i="11"/>
  <c r="AW123" i="11"/>
  <c r="AW124" i="11"/>
  <c r="AW130" i="11"/>
  <c r="AW132" i="11"/>
  <c r="AW134" i="11"/>
  <c r="BI51" i="11"/>
  <c r="BI25" i="11"/>
  <c r="BJ51" i="11"/>
  <c r="BJ25" i="11"/>
  <c r="BJ64" i="11"/>
  <c r="BJ38" i="11"/>
  <c r="BJ12" i="11"/>
  <c r="BI64" i="11"/>
  <c r="BI38" i="11"/>
  <c r="BI12" i="11"/>
  <c r="BK38" i="11"/>
  <c r="BK25" i="11"/>
  <c r="BK12" i="11"/>
  <c r="BK64" i="11"/>
  <c r="BK51" i="11"/>
  <c r="BH51" i="11"/>
  <c r="BH25" i="11"/>
  <c r="I11" i="10"/>
  <c r="H14" i="18" s="1"/>
  <c r="H47" i="18" s="1"/>
  <c r="AZ132" i="11"/>
  <c r="AZ125" i="11"/>
  <c r="AZ116" i="11"/>
  <c r="AZ111" i="11"/>
  <c r="AZ6" i="11"/>
  <c r="AZ131" i="11"/>
  <c r="AZ128" i="11"/>
  <c r="AZ122" i="11"/>
  <c r="AZ114" i="11"/>
  <c r="AZ103" i="11"/>
  <c r="AZ100" i="11"/>
  <c r="AZ96" i="11"/>
  <c r="AZ93" i="11"/>
  <c r="AZ87" i="11"/>
  <c r="AZ84" i="11"/>
  <c r="AZ80" i="11"/>
  <c r="AZ77" i="11"/>
  <c r="AZ71" i="11"/>
  <c r="AZ68" i="11"/>
  <c r="AZ65" i="11"/>
  <c r="AZ59" i="11"/>
  <c r="AZ54" i="11"/>
  <c r="AZ48" i="11"/>
  <c r="AZ44" i="11"/>
  <c r="AZ40" i="11"/>
  <c r="AZ38" i="11"/>
  <c r="AZ30" i="11"/>
  <c r="AZ24" i="11"/>
  <c r="AZ19" i="11"/>
  <c r="AZ16" i="11"/>
  <c r="AZ13" i="11"/>
  <c r="AZ7" i="11"/>
  <c r="AZ246" i="11"/>
  <c r="AZ244" i="11"/>
  <c r="AZ120" i="11"/>
  <c r="AZ115" i="11"/>
  <c r="AZ110" i="11"/>
  <c r="AZ102" i="11"/>
  <c r="AZ97" i="11"/>
  <c r="AZ88" i="11"/>
  <c r="AZ83" i="11"/>
  <c r="AZ78" i="11"/>
  <c r="AZ69" i="11"/>
  <c r="AZ63" i="11"/>
  <c r="AZ58" i="11"/>
  <c r="AZ55" i="11"/>
  <c r="AZ52" i="11"/>
  <c r="AZ46" i="11"/>
  <c r="AZ41" i="11"/>
  <c r="AZ35" i="11"/>
  <c r="AZ31" i="11"/>
  <c r="AZ27" i="11"/>
  <c r="AZ25" i="11"/>
  <c r="AZ17" i="11"/>
  <c r="AZ11" i="11"/>
  <c r="BA6" i="11"/>
  <c r="BA120" i="11"/>
  <c r="BA133" i="11"/>
  <c r="BA118" i="11"/>
  <c r="BA102" i="11"/>
  <c r="BA88" i="11"/>
  <c r="BA78" i="11"/>
  <c r="BA63" i="11"/>
  <c r="BA58" i="11"/>
  <c r="BA46" i="11"/>
  <c r="BA35" i="11"/>
  <c r="BA25" i="11"/>
  <c r="BA11" i="11"/>
  <c r="BA125" i="11"/>
  <c r="BA122" i="11"/>
  <c r="BA117" i="11"/>
  <c r="BA107" i="11"/>
  <c r="BA103" i="11"/>
  <c r="BA93" i="11"/>
  <c r="BA90" i="11"/>
  <c r="BA85" i="11"/>
  <c r="BA75" i="11"/>
  <c r="BA71" i="11"/>
  <c r="BA59" i="11"/>
  <c r="BA48" i="11"/>
  <c r="BA38" i="11"/>
  <c r="BA24" i="11"/>
  <c r="BA19" i="11"/>
  <c r="BA7" i="11"/>
  <c r="BC51" i="11"/>
  <c r="BC64" i="11"/>
  <c r="BC12" i="11"/>
  <c r="AX131" i="11"/>
  <c r="AX128" i="11"/>
  <c r="AX122" i="11"/>
  <c r="AX115" i="11"/>
  <c r="AX105" i="11"/>
  <c r="AX134" i="11"/>
  <c r="AX130" i="11"/>
  <c r="AX121" i="11"/>
  <c r="AX113" i="11"/>
  <c r="AX111" i="11"/>
  <c r="AX103" i="11"/>
  <c r="AX99" i="11"/>
  <c r="AX96" i="11"/>
  <c r="AX93" i="11"/>
  <c r="AX89" i="11"/>
  <c r="AX85" i="11"/>
  <c r="AX81" i="11"/>
  <c r="AX79" i="11"/>
  <c r="AX74" i="11"/>
  <c r="AX71" i="11"/>
  <c r="AX67" i="11"/>
  <c r="AX65" i="11"/>
  <c r="AX59" i="11"/>
  <c r="AX55" i="11"/>
  <c r="AX48" i="11"/>
  <c r="AX45" i="11"/>
  <c r="AX41" i="11"/>
  <c r="AX39" i="11"/>
  <c r="AX33" i="11"/>
  <c r="AX29" i="11"/>
  <c r="AX22" i="11"/>
  <c r="AX19" i="11"/>
  <c r="AX15" i="11"/>
  <c r="AX13" i="11"/>
  <c r="AX7" i="11"/>
  <c r="AX244" i="11"/>
  <c r="BM244" i="11" s="1"/>
  <c r="AX123" i="11"/>
  <c r="AX118" i="11"/>
  <c r="AX114" i="11"/>
  <c r="AX107" i="11"/>
  <c r="AX102" i="11"/>
  <c r="AX98" i="11"/>
  <c r="AX91" i="11"/>
  <c r="AX86" i="11"/>
  <c r="AX82" i="11"/>
  <c r="AX75" i="11"/>
  <c r="AX70" i="11"/>
  <c r="AX63" i="11"/>
  <c r="AX60" i="11"/>
  <c r="AX56" i="11"/>
  <c r="AX53" i="11"/>
  <c r="AX51" i="11"/>
  <c r="AX44" i="11"/>
  <c r="AX37" i="11"/>
  <c r="AX34" i="11"/>
  <c r="AX30" i="11"/>
  <c r="AX27" i="11"/>
  <c r="AX25" i="11"/>
  <c r="AX18" i="11"/>
  <c r="AX11" i="11"/>
  <c r="AX8" i="11"/>
  <c r="AX246" i="11"/>
  <c r="AY134" i="11"/>
  <c r="AY118" i="11"/>
  <c r="AY133" i="11"/>
  <c r="AY120" i="11"/>
  <c r="AY104" i="11"/>
  <c r="AY94" i="11"/>
  <c r="AY88" i="11"/>
  <c r="AY78" i="11"/>
  <c r="AY72" i="11"/>
  <c r="AY61" i="11"/>
  <c r="AY53" i="11"/>
  <c r="AY51" i="11"/>
  <c r="AY37" i="11"/>
  <c r="AY32" i="11"/>
  <c r="AY26" i="11"/>
  <c r="AY20" i="11"/>
  <c r="AY9" i="11"/>
  <c r="AY127" i="11"/>
  <c r="AY122" i="11"/>
  <c r="AY117" i="11"/>
  <c r="AY111" i="11"/>
  <c r="AY106" i="11"/>
  <c r="AY101" i="11"/>
  <c r="AY95" i="11"/>
  <c r="AY90" i="11"/>
  <c r="AY85" i="11"/>
  <c r="AY79" i="11"/>
  <c r="AY74" i="11"/>
  <c r="AY66" i="11"/>
  <c r="AY64" i="11"/>
  <c r="AY50" i="11"/>
  <c r="AY45" i="11"/>
  <c r="AY39" i="11"/>
  <c r="AY33" i="11"/>
  <c r="AY22" i="11"/>
  <c r="AY14" i="11"/>
  <c r="AY12" i="11"/>
  <c r="AY245" i="11"/>
  <c r="BB64" i="11"/>
  <c r="BB12" i="11"/>
  <c r="BB25" i="11"/>
  <c r="BD64" i="11"/>
  <c r="BD12" i="11"/>
  <c r="BD25" i="11"/>
  <c r="BE51" i="11"/>
  <c r="BE64" i="11"/>
  <c r="BE12" i="11"/>
  <c r="BF64" i="11"/>
  <c r="BF12" i="11"/>
  <c r="BF25" i="11"/>
  <c r="BV4" i="11"/>
  <c r="BG12" i="11"/>
  <c r="BG38" i="11"/>
  <c r="BG64" i="11"/>
  <c r="BG25" i="11"/>
  <c r="BG51" i="11"/>
  <c r="CE230" i="11"/>
  <c r="K4" i="18"/>
  <c r="J11" i="10"/>
  <c r="I14" i="18" s="1"/>
  <c r="I47" i="18" s="1"/>
  <c r="BL4" i="11"/>
  <c r="BH64" i="11"/>
  <c r="BH38" i="11"/>
  <c r="BH12" i="11"/>
  <c r="AZ133" i="11"/>
  <c r="AZ130" i="11"/>
  <c r="AZ117" i="11"/>
  <c r="AZ112" i="11"/>
  <c r="AZ106" i="11"/>
  <c r="AZ134" i="11"/>
  <c r="AZ129" i="11"/>
  <c r="AZ127" i="11"/>
  <c r="AZ119" i="11"/>
  <c r="AZ109" i="11"/>
  <c r="AZ101" i="11"/>
  <c r="AZ98" i="11"/>
  <c r="AZ95" i="11"/>
  <c r="AZ90" i="11"/>
  <c r="AZ85" i="11"/>
  <c r="AZ82" i="11"/>
  <c r="AZ79" i="11"/>
  <c r="AZ74" i="11"/>
  <c r="AZ70" i="11"/>
  <c r="AZ66" i="11"/>
  <c r="AZ64" i="11"/>
  <c r="AZ56" i="11"/>
  <c r="AZ50" i="11"/>
  <c r="AZ45" i="11"/>
  <c r="AZ42" i="11"/>
  <c r="AZ39" i="11"/>
  <c r="AZ33" i="11"/>
  <c r="AZ28" i="11"/>
  <c r="AZ22" i="11"/>
  <c r="AZ18" i="11"/>
  <c r="AZ14" i="11"/>
  <c r="AZ12" i="11"/>
  <c r="AZ247" i="11"/>
  <c r="AZ245" i="11"/>
  <c r="BO245" i="11" s="1"/>
  <c r="AZ126" i="11"/>
  <c r="AZ118" i="11"/>
  <c r="AZ113" i="11"/>
  <c r="AZ104" i="11"/>
  <c r="AZ99" i="11"/>
  <c r="AZ94" i="11"/>
  <c r="AZ86" i="11"/>
  <c r="AZ81" i="11"/>
  <c r="AZ72" i="11"/>
  <c r="AZ67" i="11"/>
  <c r="AZ61" i="11"/>
  <c r="AZ57" i="11"/>
  <c r="AZ53" i="11"/>
  <c r="AZ51" i="11"/>
  <c r="AZ43" i="11"/>
  <c r="AZ37" i="11"/>
  <c r="AZ32" i="11"/>
  <c r="AZ29" i="11"/>
  <c r="AZ26" i="11"/>
  <c r="AZ20" i="11"/>
  <c r="AZ15" i="11"/>
  <c r="AZ9" i="11"/>
  <c r="BA134" i="11"/>
  <c r="BA110" i="11"/>
  <c r="BA126" i="11"/>
  <c r="BA104" i="11"/>
  <c r="BA94" i="11"/>
  <c r="BA86" i="11"/>
  <c r="BA72" i="11"/>
  <c r="BA61" i="11"/>
  <c r="BA51" i="11"/>
  <c r="BA37" i="11"/>
  <c r="BA32" i="11"/>
  <c r="BA20" i="11"/>
  <c r="BA9" i="11"/>
  <c r="BA123" i="11"/>
  <c r="BA119" i="11"/>
  <c r="BA109" i="11"/>
  <c r="BA106" i="11"/>
  <c r="BA101" i="11"/>
  <c r="BA91" i="11"/>
  <c r="BA87" i="11"/>
  <c r="BA77" i="11"/>
  <c r="BA74" i="11"/>
  <c r="BA64" i="11"/>
  <c r="BA50" i="11"/>
  <c r="BA45" i="11"/>
  <c r="BA33" i="11"/>
  <c r="BA22" i="11"/>
  <c r="BA12" i="11"/>
  <c r="BA244" i="11"/>
  <c r="BP244" i="11" s="1"/>
  <c r="BC25" i="11"/>
  <c r="BC38" i="11"/>
  <c r="AX133" i="11"/>
  <c r="AX129" i="11"/>
  <c r="AX127" i="11"/>
  <c r="AX119" i="11"/>
  <c r="AX109" i="11"/>
  <c r="AX6" i="11"/>
  <c r="AX132" i="11"/>
  <c r="AX125" i="11"/>
  <c r="AX117" i="11"/>
  <c r="AX112" i="11"/>
  <c r="AX106" i="11"/>
  <c r="AX101" i="11"/>
  <c r="AX97" i="11"/>
  <c r="AX95" i="11"/>
  <c r="AX90" i="11"/>
  <c r="AX87" i="11"/>
  <c r="AX83" i="11"/>
  <c r="AX80" i="11"/>
  <c r="AX77" i="11"/>
  <c r="AX73" i="11"/>
  <c r="AX69" i="11"/>
  <c r="AX66" i="11"/>
  <c r="AX64" i="11"/>
  <c r="AX57" i="11"/>
  <c r="AX50" i="11"/>
  <c r="AX47" i="11"/>
  <c r="AX43" i="11"/>
  <c r="AX40" i="11"/>
  <c r="AX38" i="11"/>
  <c r="AX31" i="11"/>
  <c r="AX24" i="11"/>
  <c r="AX21" i="11"/>
  <c r="AX17" i="11"/>
  <c r="AX14" i="11"/>
  <c r="AX12" i="11"/>
  <c r="AX245" i="11"/>
  <c r="AX126" i="11"/>
  <c r="AX120" i="11"/>
  <c r="AX116" i="11"/>
  <c r="AX110" i="11"/>
  <c r="AX104" i="11"/>
  <c r="AX100" i="11"/>
  <c r="AX94" i="11"/>
  <c r="AX88" i="11"/>
  <c r="AX84" i="11"/>
  <c r="AX78" i="11"/>
  <c r="AX72" i="11"/>
  <c r="AX68" i="11"/>
  <c r="AX61" i="11"/>
  <c r="AX58" i="11"/>
  <c r="AX54" i="11"/>
  <c r="AX52" i="11"/>
  <c r="AX46" i="11"/>
  <c r="AX42" i="11"/>
  <c r="AX35" i="11"/>
  <c r="AX32" i="11"/>
  <c r="AX28" i="11"/>
  <c r="AX26" i="11"/>
  <c r="AX20" i="11"/>
  <c r="AX16" i="11"/>
  <c r="AX9" i="11"/>
  <c r="AX247" i="11"/>
  <c r="AY6" i="11"/>
  <c r="AY126" i="11"/>
  <c r="AY107" i="11"/>
  <c r="AY123" i="11"/>
  <c r="AY110" i="11"/>
  <c r="AY102" i="11"/>
  <c r="AY91" i="11"/>
  <c r="AY86" i="11"/>
  <c r="AY75" i="11"/>
  <c r="AY63" i="11"/>
  <c r="AY58" i="11"/>
  <c r="AY52" i="11"/>
  <c r="AY46" i="11"/>
  <c r="AY35" i="11"/>
  <c r="AY27" i="11"/>
  <c r="AY25" i="11"/>
  <c r="AY11" i="11"/>
  <c r="AY128" i="11"/>
  <c r="AY125" i="11"/>
  <c r="AY119" i="11"/>
  <c r="AY112" i="11"/>
  <c r="AY109" i="11"/>
  <c r="AY103" i="11"/>
  <c r="AY96" i="11"/>
  <c r="AY93" i="11"/>
  <c r="AY87" i="11"/>
  <c r="AY80" i="11"/>
  <c r="AY77" i="11"/>
  <c r="AY71" i="11"/>
  <c r="AY65" i="11"/>
  <c r="AY59" i="11"/>
  <c r="AY48" i="11"/>
  <c r="AY40" i="11"/>
  <c r="AY38" i="11"/>
  <c r="AY24" i="11"/>
  <c r="AY19" i="11"/>
  <c r="AY13" i="11"/>
  <c r="AY7" i="11"/>
  <c r="AY244" i="11"/>
  <c r="BN244" i="11" s="1"/>
  <c r="BB38" i="11"/>
  <c r="BB51" i="11"/>
  <c r="BD38" i="11"/>
  <c r="BD51" i="11"/>
  <c r="BE25" i="11"/>
  <c r="BE38" i="11"/>
  <c r="BF38" i="11"/>
  <c r="BF51" i="11"/>
  <c r="G53" i="14"/>
  <c r="G12" i="14" s="1"/>
  <c r="I246" i="14"/>
  <c r="H254" i="14"/>
  <c r="H251" i="14"/>
  <c r="I211" i="14"/>
  <c r="I214" i="14" s="1"/>
  <c r="J210" i="14"/>
  <c r="J211" i="14" s="1"/>
  <c r="A42" i="14"/>
  <c r="A70" i="14"/>
  <c r="G7" i="14"/>
  <c r="M55" i="14"/>
  <c r="N55" i="14" s="1"/>
  <c r="O55" i="14" s="1"/>
  <c r="P55" i="14" s="1"/>
  <c r="Q55" i="14" s="1"/>
  <c r="H34" i="9"/>
  <c r="I34" i="9" s="1"/>
  <c r="J34" i="9" s="1"/>
  <c r="K34" i="9" s="1"/>
  <c r="L34" i="9" s="1"/>
  <c r="H25" i="30"/>
  <c r="D16" i="14"/>
  <c r="F133" i="3"/>
  <c r="F162" i="3" s="1"/>
  <c r="F209" i="3" s="1"/>
  <c r="F310" i="14"/>
  <c r="F318" i="14" s="1"/>
  <c r="H74" i="9"/>
  <c r="I74" i="9" s="1"/>
  <c r="J74" i="9" s="1"/>
  <c r="K74" i="9" s="1"/>
  <c r="L74" i="9" s="1"/>
  <c r="H42" i="9"/>
  <c r="I42" i="9" s="1"/>
  <c r="J42" i="9" s="1"/>
  <c r="K42" i="9" s="1"/>
  <c r="L42" i="9" s="1"/>
  <c r="H60" i="9"/>
  <c r="I60" i="9" s="1"/>
  <c r="J60" i="9" s="1"/>
  <c r="K60" i="9" s="1"/>
  <c r="L60" i="9" s="1"/>
  <c r="H20" i="9"/>
  <c r="I20" i="9" s="1"/>
  <c r="J20" i="9" s="1"/>
  <c r="K20" i="9" s="1"/>
  <c r="L20" i="9" s="1"/>
  <c r="M20" i="9" s="1"/>
  <c r="N20" i="9" s="1"/>
  <c r="O20" i="9" s="1"/>
  <c r="P20" i="9" s="1"/>
  <c r="Q20" i="9" s="1"/>
  <c r="H55" i="9"/>
  <c r="I55" i="9" s="1"/>
  <c r="J55" i="9" s="1"/>
  <c r="K55" i="9" s="1"/>
  <c r="L55" i="9" s="1"/>
  <c r="H64" i="9"/>
  <c r="I64" i="9" s="1"/>
  <c r="J64" i="9" s="1"/>
  <c r="K64" i="9" s="1"/>
  <c r="L64" i="9" s="1"/>
  <c r="AC246" i="11"/>
  <c r="AR246" i="11" s="1"/>
  <c r="H32" i="9"/>
  <c r="I32" i="9" s="1"/>
  <c r="J32" i="9" s="1"/>
  <c r="K32" i="9" s="1"/>
  <c r="L32" i="9" s="1"/>
  <c r="B20" i="21"/>
  <c r="C24" i="28" s="1"/>
  <c r="E14" i="16"/>
  <c r="E22" i="16"/>
  <c r="E20" i="16"/>
  <c r="E10" i="16"/>
  <c r="E19" i="16"/>
  <c r="E9" i="16"/>
  <c r="E17" i="16"/>
  <c r="E26" i="16"/>
  <c r="E15" i="16"/>
  <c r="E25" i="16"/>
  <c r="V247" i="11"/>
  <c r="AK247" i="11" s="1"/>
  <c r="BO247" i="11" s="1"/>
  <c r="I11" i="12"/>
  <c r="AN255" i="11" s="1"/>
  <c r="G14" i="14"/>
  <c r="B8" i="22"/>
  <c r="D12" i="30" s="1"/>
  <c r="H19" i="9"/>
  <c r="I19" i="9" s="1"/>
  <c r="J19" i="9" s="1"/>
  <c r="K19" i="9" s="1"/>
  <c r="L19" i="9" s="1"/>
  <c r="H29" i="9"/>
  <c r="H67" i="9"/>
  <c r="I67" i="9" s="1"/>
  <c r="J67" i="9" s="1"/>
  <c r="K67" i="9" s="1"/>
  <c r="L67" i="9" s="1"/>
  <c r="H52" i="9"/>
  <c r="I52" i="9" s="1"/>
  <c r="J52" i="9" s="1"/>
  <c r="K52" i="9" s="1"/>
  <c r="L52" i="9" s="1"/>
  <c r="H30" i="9"/>
  <c r="I30" i="9" s="1"/>
  <c r="J30" i="9" s="1"/>
  <c r="K30" i="9" s="1"/>
  <c r="L30" i="9" s="1"/>
  <c r="H59" i="9"/>
  <c r="I59" i="9" s="1"/>
  <c r="J59" i="9" s="1"/>
  <c r="K59" i="9" s="1"/>
  <c r="L59" i="9" s="1"/>
  <c r="H66" i="9"/>
  <c r="I66" i="9" s="1"/>
  <c r="J66" i="9" s="1"/>
  <c r="K66" i="9" s="1"/>
  <c r="L66" i="9" s="1"/>
  <c r="H76" i="9"/>
  <c r="I76" i="9" s="1"/>
  <c r="J76" i="9" s="1"/>
  <c r="K76" i="9" s="1"/>
  <c r="L76" i="9" s="1"/>
  <c r="M76" i="9" s="1"/>
  <c r="N76" i="9" s="1"/>
  <c r="O76" i="9" s="1"/>
  <c r="P76" i="9" s="1"/>
  <c r="Q76" i="9" s="1"/>
  <c r="H77" i="9"/>
  <c r="I77" i="9" s="1"/>
  <c r="J77" i="9" s="1"/>
  <c r="K77" i="9" s="1"/>
  <c r="L77" i="9" s="1"/>
  <c r="H22" i="9"/>
  <c r="I22" i="9" s="1"/>
  <c r="J22" i="9" s="1"/>
  <c r="K22" i="9" s="1"/>
  <c r="L22" i="9" s="1"/>
  <c r="M22" i="9" s="1"/>
  <c r="N22" i="9" s="1"/>
  <c r="O22" i="9" s="1"/>
  <c r="P22" i="9" s="1"/>
  <c r="Q22" i="9" s="1"/>
  <c r="H14" i="9"/>
  <c r="I14" i="9" s="1"/>
  <c r="J14" i="9" s="1"/>
  <c r="K14" i="9" s="1"/>
  <c r="L14" i="9" s="1"/>
  <c r="H58" i="9"/>
  <c r="I58" i="9" s="1"/>
  <c r="J58" i="9" s="1"/>
  <c r="K58" i="9" s="1"/>
  <c r="L58" i="9" s="1"/>
  <c r="M58" i="9" s="1"/>
  <c r="N58" i="9" s="1"/>
  <c r="O58" i="9" s="1"/>
  <c r="P58" i="9" s="1"/>
  <c r="Q58" i="9" s="1"/>
  <c r="K11" i="10"/>
  <c r="J14" i="18" s="1"/>
  <c r="J47" i="18" s="1"/>
  <c r="L30" i="10"/>
  <c r="L11" i="10" s="1"/>
  <c r="K14" i="18" s="1"/>
  <c r="K47" i="18" s="1"/>
  <c r="BB19" i="11"/>
  <c r="BB45" i="11"/>
  <c r="BB71" i="11"/>
  <c r="BB103" i="11"/>
  <c r="BB32" i="11"/>
  <c r="BB58" i="11"/>
  <c r="BB87" i="11"/>
  <c r="BB119" i="11"/>
  <c r="BB6" i="11"/>
  <c r="T8" i="11"/>
  <c r="AI8" i="11" s="1"/>
  <c r="T10" i="11"/>
  <c r="AI10" i="11" s="1"/>
  <c r="T12" i="11"/>
  <c r="AI12" i="11" s="1"/>
  <c r="BM12" i="11" s="1"/>
  <c r="T14" i="11"/>
  <c r="AI14" i="11" s="1"/>
  <c r="T16" i="11"/>
  <c r="AI16" i="11" s="1"/>
  <c r="T18" i="11"/>
  <c r="AI18" i="11" s="1"/>
  <c r="T6" i="11"/>
  <c r="AI6" i="11" s="1"/>
  <c r="T7" i="11"/>
  <c r="AI7" i="11" s="1"/>
  <c r="T9" i="11"/>
  <c r="AI9" i="11" s="1"/>
  <c r="T11" i="11"/>
  <c r="AI11" i="11" s="1"/>
  <c r="T13" i="11"/>
  <c r="AI13" i="11" s="1"/>
  <c r="T15" i="11"/>
  <c r="AI15" i="11" s="1"/>
  <c r="T17" i="11"/>
  <c r="AI17" i="11" s="1"/>
  <c r="BB7" i="11"/>
  <c r="BB33" i="11"/>
  <c r="BB59" i="11"/>
  <c r="BB88" i="11"/>
  <c r="BB120" i="11"/>
  <c r="BB20" i="11"/>
  <c r="BB46" i="11"/>
  <c r="BB72" i="11"/>
  <c r="BB104" i="11"/>
  <c r="G23" i="6"/>
  <c r="G5" i="21"/>
  <c r="H2" i="16"/>
  <c r="H5" i="21"/>
  <c r="BB22" i="11"/>
  <c r="BB48" i="11"/>
  <c r="BB74" i="11"/>
  <c r="BB106" i="11"/>
  <c r="BB9" i="11"/>
  <c r="BB35" i="11"/>
  <c r="BB61" i="11"/>
  <c r="BB90" i="11"/>
  <c r="BB122" i="11"/>
  <c r="G4" i="30"/>
  <c r="F23" i="28"/>
  <c r="F234" i="14"/>
  <c r="H33" i="9"/>
  <c r="I33" i="9" s="1"/>
  <c r="J33" i="9" s="1"/>
  <c r="K33" i="9" s="1"/>
  <c r="L33" i="9" s="1"/>
  <c r="M33" i="9" s="1"/>
  <c r="N33" i="9" s="1"/>
  <c r="O33" i="9" s="1"/>
  <c r="P33" i="9" s="1"/>
  <c r="Q33" i="9" s="1"/>
  <c r="U7" i="11"/>
  <c r="AJ7" i="11" s="1"/>
  <c r="U9" i="11"/>
  <c r="AJ9" i="11" s="1"/>
  <c r="U11" i="11"/>
  <c r="AJ11" i="11" s="1"/>
  <c r="U13" i="11"/>
  <c r="AJ13" i="11" s="1"/>
  <c r="U15" i="11"/>
  <c r="AJ15" i="11" s="1"/>
  <c r="U17" i="11"/>
  <c r="AJ17" i="11" s="1"/>
  <c r="U8" i="11"/>
  <c r="AJ8" i="11" s="1"/>
  <c r="U10" i="11"/>
  <c r="AJ10" i="11" s="1"/>
  <c r="U12" i="11"/>
  <c r="AJ12" i="11" s="1"/>
  <c r="BN12" i="11" s="1"/>
  <c r="U14" i="11"/>
  <c r="AJ14" i="11" s="1"/>
  <c r="U16" i="11"/>
  <c r="AJ16" i="11" s="1"/>
  <c r="U18" i="11"/>
  <c r="AJ18" i="11" s="1"/>
  <c r="U6" i="11"/>
  <c r="AJ6" i="11" s="1"/>
  <c r="C39" i="7"/>
  <c r="D3" i="7"/>
  <c r="B15" i="22"/>
  <c r="C3" i="22"/>
  <c r="B20" i="22"/>
  <c r="L14" i="7"/>
  <c r="L12" i="6" s="1"/>
  <c r="Q16" i="7"/>
  <c r="K12" i="6"/>
  <c r="D8" i="22"/>
  <c r="I158" i="14"/>
  <c r="H166" i="14"/>
  <c r="H48" i="14"/>
  <c r="H163" i="14"/>
  <c r="I224" i="14"/>
  <c r="H229" i="14"/>
  <c r="M136" i="14"/>
  <c r="A136" i="14" s="1"/>
  <c r="L141" i="14"/>
  <c r="S19" i="11"/>
  <c r="AH19" i="11" s="1"/>
  <c r="BL19" i="11" s="1"/>
  <c r="U19" i="11"/>
  <c r="AJ19" i="11" s="1"/>
  <c r="S20" i="11"/>
  <c r="AH20" i="11" s="1"/>
  <c r="BL20" i="11" s="1"/>
  <c r="U20" i="11"/>
  <c r="AJ20" i="11" s="1"/>
  <c r="S21" i="11"/>
  <c r="AH21" i="11" s="1"/>
  <c r="BL21" i="11" s="1"/>
  <c r="U21" i="11"/>
  <c r="AJ21" i="11" s="1"/>
  <c r="S22" i="11"/>
  <c r="AH22" i="11" s="1"/>
  <c r="BL22" i="11" s="1"/>
  <c r="U22" i="11"/>
  <c r="AJ22" i="11" s="1"/>
  <c r="BN22" i="11" s="1"/>
  <c r="S23" i="11"/>
  <c r="AH23" i="11" s="1"/>
  <c r="BL23" i="11" s="1"/>
  <c r="U23" i="11"/>
  <c r="AJ23" i="11" s="1"/>
  <c r="S24" i="11"/>
  <c r="AH24" i="11" s="1"/>
  <c r="BL24" i="11" s="1"/>
  <c r="U24" i="11"/>
  <c r="AJ24" i="11" s="1"/>
  <c r="BN24" i="11" s="1"/>
  <c r="S25" i="11"/>
  <c r="AH25" i="11" s="1"/>
  <c r="BL25" i="11" s="1"/>
  <c r="U25" i="11"/>
  <c r="AJ25" i="11" s="1"/>
  <c r="S26" i="11"/>
  <c r="AH26" i="11" s="1"/>
  <c r="BL26" i="11" s="1"/>
  <c r="U26" i="11"/>
  <c r="AJ26" i="11" s="1"/>
  <c r="BN26" i="11" s="1"/>
  <c r="T19" i="11"/>
  <c r="AI19" i="11" s="1"/>
  <c r="BM19" i="11" s="1"/>
  <c r="T20" i="11"/>
  <c r="AI20" i="11" s="1"/>
  <c r="V20" i="11"/>
  <c r="AK20" i="11" s="1"/>
  <c r="T21" i="11"/>
  <c r="AI21" i="11" s="1"/>
  <c r="T22" i="11"/>
  <c r="AI22" i="11" s="1"/>
  <c r="BM22" i="11" s="1"/>
  <c r="V22" i="11"/>
  <c r="AK22" i="11" s="1"/>
  <c r="BO22" i="11" s="1"/>
  <c r="T23" i="11"/>
  <c r="AI23" i="11" s="1"/>
  <c r="T24" i="11"/>
  <c r="AI24" i="11" s="1"/>
  <c r="V24" i="11"/>
  <c r="AK24" i="11" s="1"/>
  <c r="T25" i="11"/>
  <c r="AI25" i="11" s="1"/>
  <c r="T26" i="11"/>
  <c r="AI26" i="11" s="1"/>
  <c r="V26" i="11"/>
  <c r="AK26" i="11" s="1"/>
  <c r="BO26" i="11" s="1"/>
  <c r="T27" i="11"/>
  <c r="AI27" i="11" s="1"/>
  <c r="BM27" i="11" s="1"/>
  <c r="T28" i="11"/>
  <c r="AI28" i="11" s="1"/>
  <c r="V28" i="11"/>
  <c r="AK28" i="11" s="1"/>
  <c r="BO28" i="11" s="1"/>
  <c r="T29" i="11"/>
  <c r="AI29" i="11" s="1"/>
  <c r="U27" i="11"/>
  <c r="AJ27" i="11" s="1"/>
  <c r="U28" i="11"/>
  <c r="AJ28" i="11" s="1"/>
  <c r="U29" i="11"/>
  <c r="AJ29" i="11" s="1"/>
  <c r="T30" i="11"/>
  <c r="AI30" i="11" s="1"/>
  <c r="BM30" i="11" s="1"/>
  <c r="T31" i="11"/>
  <c r="AI31" i="11" s="1"/>
  <c r="BM31" i="11" s="1"/>
  <c r="V31" i="11"/>
  <c r="AK31" i="11" s="1"/>
  <c r="T32" i="11"/>
  <c r="AI32" i="11" s="1"/>
  <c r="V32" i="11"/>
  <c r="AK32" i="11" s="1"/>
  <c r="BO32" i="11" s="1"/>
  <c r="X32" i="11"/>
  <c r="AM32" i="11" s="1"/>
  <c r="Z32" i="11"/>
  <c r="AO32" i="11" s="1"/>
  <c r="AB32" i="11"/>
  <c r="AQ32" i="11" s="1"/>
  <c r="AF32" i="11"/>
  <c r="AU32" i="11" s="1"/>
  <c r="T33" i="11"/>
  <c r="AI33" i="11" s="1"/>
  <c r="BM33" i="11" s="1"/>
  <c r="V33" i="11"/>
  <c r="AK33" i="11" s="1"/>
  <c r="X33" i="11"/>
  <c r="AM33" i="11" s="1"/>
  <c r="Z33" i="11"/>
  <c r="AO33" i="11" s="1"/>
  <c r="AB33" i="11"/>
  <c r="AQ33" i="11" s="1"/>
  <c r="AF33" i="11"/>
  <c r="AU33" i="11" s="1"/>
  <c r="T34" i="11"/>
  <c r="AI34" i="11" s="1"/>
  <c r="BM34" i="11" s="1"/>
  <c r="V34" i="11"/>
  <c r="AK34" i="11" s="1"/>
  <c r="X34" i="11"/>
  <c r="AM34" i="11" s="1"/>
  <c r="Z34" i="11"/>
  <c r="AO34" i="11" s="1"/>
  <c r="AB34" i="11"/>
  <c r="AQ34" i="11" s="1"/>
  <c r="AF34" i="11"/>
  <c r="AU34" i="11" s="1"/>
  <c r="T35" i="11"/>
  <c r="AI35" i="11" s="1"/>
  <c r="V35" i="11"/>
  <c r="AK35" i="11" s="1"/>
  <c r="BO35" i="11" s="1"/>
  <c r="X35" i="11"/>
  <c r="AM35" i="11" s="1"/>
  <c r="Z35" i="11"/>
  <c r="AO35" i="11" s="1"/>
  <c r="AB35" i="11"/>
  <c r="AQ35" i="11" s="1"/>
  <c r="AF35" i="11"/>
  <c r="AU35" i="11" s="1"/>
  <c r="T36" i="11"/>
  <c r="AI36" i="11" s="1"/>
  <c r="V36" i="11"/>
  <c r="AK36" i="11" s="1"/>
  <c r="X36" i="11"/>
  <c r="AM36" i="11" s="1"/>
  <c r="Z36" i="11"/>
  <c r="AO36" i="11" s="1"/>
  <c r="AB36" i="11"/>
  <c r="AQ36" i="11" s="1"/>
  <c r="AF36" i="11"/>
  <c r="AU36" i="11" s="1"/>
  <c r="T37" i="11"/>
  <c r="AI37" i="11" s="1"/>
  <c r="BM37" i="11" s="1"/>
  <c r="V37" i="11"/>
  <c r="AK37" i="11" s="1"/>
  <c r="X37" i="11"/>
  <c r="AM37" i="11" s="1"/>
  <c r="Z37" i="11"/>
  <c r="AO37" i="11" s="1"/>
  <c r="AB37" i="11"/>
  <c r="AQ37" i="11" s="1"/>
  <c r="AF37" i="11"/>
  <c r="AU37" i="11" s="1"/>
  <c r="T38" i="11"/>
  <c r="AI38" i="11" s="1"/>
  <c r="BM38" i="11" s="1"/>
  <c r="V38" i="11"/>
  <c r="AK38" i="11" s="1"/>
  <c r="BO38" i="11" s="1"/>
  <c r="X38" i="11"/>
  <c r="AM38" i="11" s="1"/>
  <c r="Z38" i="11"/>
  <c r="AO38" i="11" s="1"/>
  <c r="BS38" i="11" s="1"/>
  <c r="AB38" i="11"/>
  <c r="AQ38" i="11" s="1"/>
  <c r="AF38" i="11"/>
  <c r="AU38" i="11" s="1"/>
  <c r="BY38" i="11" s="1"/>
  <c r="T39" i="11"/>
  <c r="AI39" i="11" s="1"/>
  <c r="BM39" i="11" s="1"/>
  <c r="V39" i="11"/>
  <c r="AK39" i="11" s="1"/>
  <c r="BO39" i="11" s="1"/>
  <c r="X39" i="11"/>
  <c r="AM39" i="11" s="1"/>
  <c r="Z39" i="11"/>
  <c r="AO39" i="11" s="1"/>
  <c r="AB39" i="11"/>
  <c r="AQ39" i="11" s="1"/>
  <c r="AF39" i="11"/>
  <c r="AU39" i="11" s="1"/>
  <c r="T40" i="11"/>
  <c r="AI40" i="11" s="1"/>
  <c r="V40" i="11"/>
  <c r="AK40" i="11" s="1"/>
  <c r="BO40" i="11" s="1"/>
  <c r="X40" i="11"/>
  <c r="AM40" i="11" s="1"/>
  <c r="Z40" i="11"/>
  <c r="AO40" i="11" s="1"/>
  <c r="AB40" i="11"/>
  <c r="AQ40" i="11" s="1"/>
  <c r="AF40" i="11"/>
  <c r="AU40" i="11" s="1"/>
  <c r="T41" i="11"/>
  <c r="AI41" i="11" s="1"/>
  <c r="BM41" i="11" s="1"/>
  <c r="V41" i="11"/>
  <c r="AK41" i="11" s="1"/>
  <c r="X41" i="11"/>
  <c r="AM41" i="11" s="1"/>
  <c r="Z41" i="11"/>
  <c r="AO41" i="11" s="1"/>
  <c r="AB41" i="11"/>
  <c r="AQ41" i="11" s="1"/>
  <c r="AF41" i="11"/>
  <c r="AU41" i="11" s="1"/>
  <c r="T42" i="11"/>
  <c r="AI42" i="11" s="1"/>
  <c r="V42" i="11"/>
  <c r="AK42" i="11" s="1"/>
  <c r="BO42" i="11" s="1"/>
  <c r="X42" i="11"/>
  <c r="AM42" i="11" s="1"/>
  <c r="Z42" i="11"/>
  <c r="AO42" i="11" s="1"/>
  <c r="AB42" i="11"/>
  <c r="AQ42" i="11" s="1"/>
  <c r="AF42" i="11"/>
  <c r="AU42" i="11" s="1"/>
  <c r="T43" i="11"/>
  <c r="AI43" i="11" s="1"/>
  <c r="V43" i="11"/>
  <c r="AK43" i="11" s="1"/>
  <c r="X43" i="11"/>
  <c r="AM43" i="11" s="1"/>
  <c r="Z43" i="11"/>
  <c r="AO43" i="11" s="1"/>
  <c r="AB43" i="11"/>
  <c r="AQ43" i="11" s="1"/>
  <c r="AF43" i="11"/>
  <c r="AU43" i="11" s="1"/>
  <c r="T44" i="11"/>
  <c r="AI44" i="11" s="1"/>
  <c r="BM44" i="11" s="1"/>
  <c r="V44" i="11"/>
  <c r="AK44" i="11" s="1"/>
  <c r="BO44" i="11" s="1"/>
  <c r="X44" i="11"/>
  <c r="AM44" i="11" s="1"/>
  <c r="Z44" i="11"/>
  <c r="AO44" i="11" s="1"/>
  <c r="AB44" i="11"/>
  <c r="AQ44" i="11" s="1"/>
  <c r="AF44" i="11"/>
  <c r="AU44" i="11" s="1"/>
  <c r="T45" i="11"/>
  <c r="AI45" i="11" s="1"/>
  <c r="BM45" i="11" s="1"/>
  <c r="V45" i="11"/>
  <c r="AK45" i="11" s="1"/>
  <c r="BO45" i="11" s="1"/>
  <c r="X45" i="11"/>
  <c r="AM45" i="11" s="1"/>
  <c r="Z45" i="11"/>
  <c r="AO45" i="11" s="1"/>
  <c r="AB45" i="11"/>
  <c r="AQ45" i="11" s="1"/>
  <c r="AD45" i="11"/>
  <c r="AS45" i="11" s="1"/>
  <c r="AF45" i="11"/>
  <c r="AU45" i="11" s="1"/>
  <c r="T46" i="11"/>
  <c r="AI46" i="11" s="1"/>
  <c r="V46" i="11"/>
  <c r="AK46" i="11" s="1"/>
  <c r="BO46" i="11" s="1"/>
  <c r="X46" i="11"/>
  <c r="AM46" i="11" s="1"/>
  <c r="Z46" i="11"/>
  <c r="AO46" i="11" s="1"/>
  <c r="AB46" i="11"/>
  <c r="AQ46" i="11" s="1"/>
  <c r="AD46" i="11"/>
  <c r="AS46" i="11" s="1"/>
  <c r="AF46" i="11"/>
  <c r="AU46" i="11" s="1"/>
  <c r="T47" i="11"/>
  <c r="AI47" i="11" s="1"/>
  <c r="BM47" i="11" s="1"/>
  <c r="V47" i="11"/>
  <c r="AK47" i="11" s="1"/>
  <c r="X47" i="11"/>
  <c r="AM47" i="11" s="1"/>
  <c r="Z47" i="11"/>
  <c r="AO47" i="11" s="1"/>
  <c r="AB47" i="11"/>
  <c r="AQ47" i="11" s="1"/>
  <c r="AD47" i="11"/>
  <c r="AS47" i="11" s="1"/>
  <c r="AF47" i="11"/>
  <c r="AU47" i="11" s="1"/>
  <c r="T48" i="11"/>
  <c r="AI48" i="11" s="1"/>
  <c r="BM48" i="11" s="1"/>
  <c r="V48" i="11"/>
  <c r="AK48" i="11" s="1"/>
  <c r="X48" i="11"/>
  <c r="AM48" i="11" s="1"/>
  <c r="Z48" i="11"/>
  <c r="AO48" i="11" s="1"/>
  <c r="AB48" i="11"/>
  <c r="AQ48" i="11" s="1"/>
  <c r="AD48" i="11"/>
  <c r="AS48" i="11" s="1"/>
  <c r="AF48" i="11"/>
  <c r="AU48" i="11" s="1"/>
  <c r="T49" i="11"/>
  <c r="AI49" i="11" s="1"/>
  <c r="V49" i="11"/>
  <c r="AK49" i="11" s="1"/>
  <c r="X49" i="11"/>
  <c r="AM49" i="11" s="1"/>
  <c r="Z49" i="11"/>
  <c r="AO49" i="11" s="1"/>
  <c r="AB49" i="11"/>
  <c r="AQ49" i="11" s="1"/>
  <c r="AD49" i="11"/>
  <c r="AS49" i="11" s="1"/>
  <c r="AF49" i="11"/>
  <c r="AU49" i="11" s="1"/>
  <c r="T50" i="11"/>
  <c r="AI50" i="11" s="1"/>
  <c r="V50" i="11"/>
  <c r="AK50" i="11" s="1"/>
  <c r="X50" i="11"/>
  <c r="AM50" i="11" s="1"/>
  <c r="Z50" i="11"/>
  <c r="AO50" i="11" s="1"/>
  <c r="AB50" i="11"/>
  <c r="AQ50" i="11" s="1"/>
  <c r="AD50" i="11"/>
  <c r="AS50" i="11" s="1"/>
  <c r="AF50" i="11"/>
  <c r="AU50" i="11" s="1"/>
  <c r="T51" i="11"/>
  <c r="AI51" i="11" s="1"/>
  <c r="BM51" i="11" s="1"/>
  <c r="V51" i="11"/>
  <c r="AK51" i="11" s="1"/>
  <c r="BO51" i="11" s="1"/>
  <c r="X51" i="11"/>
  <c r="AM51" i="11" s="1"/>
  <c r="Z51" i="11"/>
  <c r="AO51" i="11" s="1"/>
  <c r="BS51" i="11" s="1"/>
  <c r="AB51" i="11"/>
  <c r="AQ51" i="11" s="1"/>
  <c r="AD51" i="11"/>
  <c r="AS51" i="11" s="1"/>
  <c r="BW51" i="11" s="1"/>
  <c r="AF51" i="11"/>
  <c r="AU51" i="11" s="1"/>
  <c r="T52" i="11"/>
  <c r="AI52" i="11" s="1"/>
  <c r="V52" i="11"/>
  <c r="AK52" i="11" s="1"/>
  <c r="X52" i="11"/>
  <c r="AM52" i="11" s="1"/>
  <c r="Z52" i="11"/>
  <c r="AO52" i="11" s="1"/>
  <c r="AB52" i="11"/>
  <c r="AQ52" i="11" s="1"/>
  <c r="AD52" i="11"/>
  <c r="AS52" i="11" s="1"/>
  <c r="AF52" i="11"/>
  <c r="AU52" i="11" s="1"/>
  <c r="T53" i="11"/>
  <c r="AI53" i="11" s="1"/>
  <c r="BM53" i="11" s="1"/>
  <c r="V53" i="11"/>
  <c r="AK53" i="11" s="1"/>
  <c r="X53" i="11"/>
  <c r="AM53" i="11" s="1"/>
  <c r="Z53" i="11"/>
  <c r="AO53" i="11" s="1"/>
  <c r="AB53" i="11"/>
  <c r="AQ53" i="11" s="1"/>
  <c r="AD53" i="11"/>
  <c r="AS53" i="11" s="1"/>
  <c r="AF53" i="11"/>
  <c r="AU53" i="11" s="1"/>
  <c r="T54" i="11"/>
  <c r="AI54" i="11" s="1"/>
  <c r="V54" i="11"/>
  <c r="AK54" i="11" s="1"/>
  <c r="BO54" i="11" s="1"/>
  <c r="X54" i="11"/>
  <c r="AM54" i="11" s="1"/>
  <c r="Z54" i="11"/>
  <c r="AO54" i="11" s="1"/>
  <c r="AB54" i="11"/>
  <c r="AQ54" i="11" s="1"/>
  <c r="AD54" i="11"/>
  <c r="AS54" i="11" s="1"/>
  <c r="AF54" i="11"/>
  <c r="AU54" i="11" s="1"/>
  <c r="T55" i="11"/>
  <c r="AI55" i="11" s="1"/>
  <c r="BM55" i="11" s="1"/>
  <c r="V55" i="11"/>
  <c r="AK55" i="11" s="1"/>
  <c r="BO55" i="11" s="1"/>
  <c r="X55" i="11"/>
  <c r="AM55" i="11" s="1"/>
  <c r="Z55" i="11"/>
  <c r="AO55" i="11" s="1"/>
  <c r="AB55" i="11"/>
  <c r="AQ55" i="11" s="1"/>
  <c r="AD55" i="11"/>
  <c r="AS55" i="11" s="1"/>
  <c r="AF55" i="11"/>
  <c r="AU55" i="11" s="1"/>
  <c r="T56" i="11"/>
  <c r="AI56" i="11" s="1"/>
  <c r="BM56" i="11" s="1"/>
  <c r="V56" i="11"/>
  <c r="AK56" i="11" s="1"/>
  <c r="BO56" i="11" s="1"/>
  <c r="X56" i="11"/>
  <c r="AM56" i="11" s="1"/>
  <c r="Z56" i="11"/>
  <c r="AO56" i="11" s="1"/>
  <c r="AB56" i="11"/>
  <c r="AQ56" i="11" s="1"/>
  <c r="AD56" i="11"/>
  <c r="AS56" i="11" s="1"/>
  <c r="AF56" i="11"/>
  <c r="AU56" i="11" s="1"/>
  <c r="T57" i="11"/>
  <c r="AI57" i="11" s="1"/>
  <c r="BM57" i="11" s="1"/>
  <c r="V57" i="11"/>
  <c r="AK57" i="11" s="1"/>
  <c r="BO57" i="11" s="1"/>
  <c r="X57" i="11"/>
  <c r="AM57" i="11" s="1"/>
  <c r="Z57" i="11"/>
  <c r="AO57" i="11" s="1"/>
  <c r="AB57" i="11"/>
  <c r="AQ57" i="11" s="1"/>
  <c r="AD57" i="11"/>
  <c r="AS57" i="11" s="1"/>
  <c r="AF57" i="11"/>
  <c r="AU57" i="11" s="1"/>
  <c r="T58" i="11"/>
  <c r="AI58" i="11" s="1"/>
  <c r="BM58" i="11" s="1"/>
  <c r="V58" i="11"/>
  <c r="AK58" i="11" s="1"/>
  <c r="X58" i="11"/>
  <c r="AM58" i="11" s="1"/>
  <c r="Z58" i="11"/>
  <c r="AO58" i="11" s="1"/>
  <c r="AB58" i="11"/>
  <c r="AQ58" i="11" s="1"/>
  <c r="AD58" i="11"/>
  <c r="AS58" i="11" s="1"/>
  <c r="AF58" i="11"/>
  <c r="AU58" i="11" s="1"/>
  <c r="T59" i="11"/>
  <c r="AI59" i="11" s="1"/>
  <c r="BM59" i="11" s="1"/>
  <c r="V59" i="11"/>
  <c r="AK59" i="11" s="1"/>
  <c r="X59" i="11"/>
  <c r="AM59" i="11" s="1"/>
  <c r="Z59" i="11"/>
  <c r="AO59" i="11" s="1"/>
  <c r="AB59" i="11"/>
  <c r="AQ59" i="11" s="1"/>
  <c r="AD59" i="11"/>
  <c r="AS59" i="11" s="1"/>
  <c r="AF59" i="11"/>
  <c r="AU59" i="11" s="1"/>
  <c r="T60" i="11"/>
  <c r="AI60" i="11" s="1"/>
  <c r="BM60" i="11" s="1"/>
  <c r="V60" i="11"/>
  <c r="AK60" i="11" s="1"/>
  <c r="X60" i="11"/>
  <c r="AM60" i="11" s="1"/>
  <c r="Z60" i="11"/>
  <c r="AO60" i="11" s="1"/>
  <c r="S27" i="11"/>
  <c r="AH27" i="11" s="1"/>
  <c r="BL27" i="11" s="1"/>
  <c r="S28" i="11"/>
  <c r="AH28" i="11" s="1"/>
  <c r="BL28" i="11" s="1"/>
  <c r="S29" i="11"/>
  <c r="AH29" i="11" s="1"/>
  <c r="BL29" i="11" s="1"/>
  <c r="S30" i="11"/>
  <c r="AH30" i="11" s="1"/>
  <c r="U30" i="11"/>
  <c r="AJ30" i="11" s="1"/>
  <c r="S31" i="11"/>
  <c r="AH31" i="11" s="1"/>
  <c r="U31" i="11"/>
  <c r="AJ31" i="11" s="1"/>
  <c r="S32" i="11"/>
  <c r="AH32" i="11" s="1"/>
  <c r="BL32" i="11" s="1"/>
  <c r="U32" i="11"/>
  <c r="AJ32" i="11" s="1"/>
  <c r="BN32" i="11" s="1"/>
  <c r="W32" i="11"/>
  <c r="AL32" i="11" s="1"/>
  <c r="Y32" i="11"/>
  <c r="AN32" i="11" s="1"/>
  <c r="AA32" i="11"/>
  <c r="AP32" i="11" s="1"/>
  <c r="AE32" i="11"/>
  <c r="AT32" i="11" s="1"/>
  <c r="AG32" i="11"/>
  <c r="AV32" i="11" s="1"/>
  <c r="S33" i="11"/>
  <c r="AH33" i="11" s="1"/>
  <c r="BL33" i="11" s="1"/>
  <c r="U33" i="11"/>
  <c r="AJ33" i="11" s="1"/>
  <c r="W33" i="11"/>
  <c r="AL33" i="11" s="1"/>
  <c r="BP33" i="11" s="1"/>
  <c r="Y33" i="11"/>
  <c r="AN33" i="11" s="1"/>
  <c r="AA33" i="11"/>
  <c r="AP33" i="11" s="1"/>
  <c r="AE33" i="11"/>
  <c r="AT33" i="11" s="1"/>
  <c r="AG33" i="11"/>
  <c r="AV33" i="11" s="1"/>
  <c r="S34" i="11"/>
  <c r="AH34" i="11" s="1"/>
  <c r="U34" i="11"/>
  <c r="AJ34" i="11" s="1"/>
  <c r="W34" i="11"/>
  <c r="AL34" i="11" s="1"/>
  <c r="Y34" i="11"/>
  <c r="AN34" i="11" s="1"/>
  <c r="AA34" i="11"/>
  <c r="AP34" i="11" s="1"/>
  <c r="AE34" i="11"/>
  <c r="AT34" i="11" s="1"/>
  <c r="AG34" i="11"/>
  <c r="AV34" i="11" s="1"/>
  <c r="S35" i="11"/>
  <c r="AH35" i="11" s="1"/>
  <c r="BL35" i="11" s="1"/>
  <c r="U35" i="11"/>
  <c r="AJ35" i="11" s="1"/>
  <c r="W35" i="11"/>
  <c r="AL35" i="11" s="1"/>
  <c r="BP35" i="11" s="1"/>
  <c r="Y35" i="11"/>
  <c r="AN35" i="11" s="1"/>
  <c r="AA35" i="11"/>
  <c r="AP35" i="11" s="1"/>
  <c r="AE35" i="11"/>
  <c r="AT35" i="11" s="1"/>
  <c r="AG35" i="11"/>
  <c r="AV35" i="11" s="1"/>
  <c r="S36" i="11"/>
  <c r="AH36" i="11" s="1"/>
  <c r="U36" i="11"/>
  <c r="AJ36" i="11" s="1"/>
  <c r="W36" i="11"/>
  <c r="AL36" i="11" s="1"/>
  <c r="Y36" i="11"/>
  <c r="AN36" i="11" s="1"/>
  <c r="AA36" i="11"/>
  <c r="AP36" i="11" s="1"/>
  <c r="AE36" i="11"/>
  <c r="AT36" i="11" s="1"/>
  <c r="AG36" i="11"/>
  <c r="AV36" i="11" s="1"/>
  <c r="S37" i="11"/>
  <c r="AH37" i="11" s="1"/>
  <c r="BL37" i="11" s="1"/>
  <c r="U37" i="11"/>
  <c r="AJ37" i="11" s="1"/>
  <c r="BN37" i="11" s="1"/>
  <c r="W37" i="11"/>
  <c r="AL37" i="11" s="1"/>
  <c r="Y37" i="11"/>
  <c r="AN37" i="11" s="1"/>
  <c r="AA37" i="11"/>
  <c r="AP37" i="11" s="1"/>
  <c r="AE37" i="11"/>
  <c r="AT37" i="11" s="1"/>
  <c r="AG37" i="11"/>
  <c r="AV37" i="11" s="1"/>
  <c r="S38" i="11"/>
  <c r="AH38" i="11" s="1"/>
  <c r="BL38" i="11" s="1"/>
  <c r="U38" i="11"/>
  <c r="AJ38" i="11" s="1"/>
  <c r="BN38" i="11" s="1"/>
  <c r="W38" i="11"/>
  <c r="AL38" i="11" s="1"/>
  <c r="Y38" i="11"/>
  <c r="AN38" i="11" s="1"/>
  <c r="BR38" i="11" s="1"/>
  <c r="AA38" i="11"/>
  <c r="AP38" i="11" s="1"/>
  <c r="AE38" i="11"/>
  <c r="AT38" i="11" s="1"/>
  <c r="BX38" i="11" s="1"/>
  <c r="AG38" i="11"/>
  <c r="AV38" i="11" s="1"/>
  <c r="S39" i="11"/>
  <c r="AH39" i="11" s="1"/>
  <c r="BL39" i="11" s="1"/>
  <c r="U39" i="11"/>
  <c r="AJ39" i="11" s="1"/>
  <c r="BN39" i="11" s="1"/>
  <c r="W39" i="11"/>
  <c r="AL39" i="11" s="1"/>
  <c r="Y39" i="11"/>
  <c r="AN39" i="11" s="1"/>
  <c r="AA39" i="11"/>
  <c r="AP39" i="11" s="1"/>
  <c r="AE39" i="11"/>
  <c r="AT39" i="11" s="1"/>
  <c r="AG39" i="11"/>
  <c r="AV39" i="11" s="1"/>
  <c r="S40" i="11"/>
  <c r="AH40" i="11" s="1"/>
  <c r="BL40" i="11" s="1"/>
  <c r="U40" i="11"/>
  <c r="AJ40" i="11" s="1"/>
  <c r="BN40" i="11" s="1"/>
  <c r="W40" i="11"/>
  <c r="AL40" i="11" s="1"/>
  <c r="Y40" i="11"/>
  <c r="AN40" i="11" s="1"/>
  <c r="AA40" i="11"/>
  <c r="AP40" i="11" s="1"/>
  <c r="AE40" i="11"/>
  <c r="AT40" i="11" s="1"/>
  <c r="AG40" i="11"/>
  <c r="AV40" i="11" s="1"/>
  <c r="S41" i="11"/>
  <c r="AH41" i="11" s="1"/>
  <c r="BL41" i="11" s="1"/>
  <c r="U41" i="11"/>
  <c r="AJ41" i="11" s="1"/>
  <c r="W41" i="11"/>
  <c r="AL41" i="11" s="1"/>
  <c r="Y41" i="11"/>
  <c r="AN41" i="11" s="1"/>
  <c r="AA41" i="11"/>
  <c r="AP41" i="11" s="1"/>
  <c r="AE41" i="11"/>
  <c r="AT41" i="11" s="1"/>
  <c r="AG41" i="11"/>
  <c r="AV41" i="11" s="1"/>
  <c r="S42" i="11"/>
  <c r="AH42" i="11" s="1"/>
  <c r="BL42" i="11" s="1"/>
  <c r="U42" i="11"/>
  <c r="AJ42" i="11" s="1"/>
  <c r="W42" i="11"/>
  <c r="AL42" i="11" s="1"/>
  <c r="Y42" i="11"/>
  <c r="AN42" i="11" s="1"/>
  <c r="AA42" i="11"/>
  <c r="AP42" i="11" s="1"/>
  <c r="AE42" i="11"/>
  <c r="AT42" i="11" s="1"/>
  <c r="AG42" i="11"/>
  <c r="AV42" i="11" s="1"/>
  <c r="S43" i="11"/>
  <c r="AH43" i="11" s="1"/>
  <c r="BL43" i="11" s="1"/>
  <c r="U43" i="11"/>
  <c r="AJ43" i="11" s="1"/>
  <c r="W43" i="11"/>
  <c r="AL43" i="11" s="1"/>
  <c r="Y43" i="11"/>
  <c r="AN43" i="11" s="1"/>
  <c r="AA43" i="11"/>
  <c r="AP43" i="11" s="1"/>
  <c r="AE43" i="11"/>
  <c r="AT43" i="11" s="1"/>
  <c r="AG43" i="11"/>
  <c r="AV43" i="11" s="1"/>
  <c r="S44" i="11"/>
  <c r="AH44" i="11" s="1"/>
  <c r="U44" i="11"/>
  <c r="AJ44" i="11" s="1"/>
  <c r="W44" i="11"/>
  <c r="AL44" i="11" s="1"/>
  <c r="Y44" i="11"/>
  <c r="AN44" i="11" s="1"/>
  <c r="AA44" i="11"/>
  <c r="AP44" i="11" s="1"/>
  <c r="AE44" i="11"/>
  <c r="AT44" i="11" s="1"/>
  <c r="AG44" i="11"/>
  <c r="AV44" i="11" s="1"/>
  <c r="S45" i="11"/>
  <c r="AH45" i="11" s="1"/>
  <c r="BL45" i="11" s="1"/>
  <c r="U45" i="11"/>
  <c r="AJ45" i="11" s="1"/>
  <c r="W45" i="11"/>
  <c r="AL45" i="11" s="1"/>
  <c r="BP45" i="11" s="1"/>
  <c r="Y45" i="11"/>
  <c r="AN45" i="11" s="1"/>
  <c r="AA45" i="11"/>
  <c r="AP45" i="11" s="1"/>
  <c r="AC45" i="11"/>
  <c r="AR45" i="11" s="1"/>
  <c r="AE45" i="11"/>
  <c r="AT45" i="11" s="1"/>
  <c r="AG45" i="11"/>
  <c r="AV45" i="11" s="1"/>
  <c r="S46" i="11"/>
  <c r="AH46" i="11" s="1"/>
  <c r="BL46" i="11" s="1"/>
  <c r="U46" i="11"/>
  <c r="AJ46" i="11" s="1"/>
  <c r="W46" i="11"/>
  <c r="AL46" i="11" s="1"/>
  <c r="BP46" i="11" s="1"/>
  <c r="Y46" i="11"/>
  <c r="AN46" i="11" s="1"/>
  <c r="AA46" i="11"/>
  <c r="AP46" i="11" s="1"/>
  <c r="AC46" i="11"/>
  <c r="AR46" i="11" s="1"/>
  <c r="AE46" i="11"/>
  <c r="AT46" i="11" s="1"/>
  <c r="AG46" i="11"/>
  <c r="AV46" i="11" s="1"/>
  <c r="S47" i="11"/>
  <c r="AH47" i="11" s="1"/>
  <c r="BL47" i="11" s="1"/>
  <c r="U47" i="11"/>
  <c r="AJ47" i="11" s="1"/>
  <c r="W47" i="11"/>
  <c r="AL47" i="11" s="1"/>
  <c r="Y47" i="11"/>
  <c r="AN47" i="11" s="1"/>
  <c r="AA47" i="11"/>
  <c r="AP47" i="11" s="1"/>
  <c r="AC47" i="11"/>
  <c r="AR47" i="11" s="1"/>
  <c r="AE47" i="11"/>
  <c r="AT47" i="11" s="1"/>
  <c r="AG47" i="11"/>
  <c r="AV47" i="11" s="1"/>
  <c r="S48" i="11"/>
  <c r="AH48" i="11" s="1"/>
  <c r="BL48" i="11" s="1"/>
  <c r="U48" i="11"/>
  <c r="AJ48" i="11" s="1"/>
  <c r="W48" i="11"/>
  <c r="AL48" i="11" s="1"/>
  <c r="BP48" i="11" s="1"/>
  <c r="Y48" i="11"/>
  <c r="AN48" i="11" s="1"/>
  <c r="AA48" i="11"/>
  <c r="AP48" i="11" s="1"/>
  <c r="AC48" i="11"/>
  <c r="AR48" i="11" s="1"/>
  <c r="AE48" i="11"/>
  <c r="AT48" i="11" s="1"/>
  <c r="AG48" i="11"/>
  <c r="AV48" i="11" s="1"/>
  <c r="S49" i="11"/>
  <c r="AH49" i="11" s="1"/>
  <c r="BL49" i="11" s="1"/>
  <c r="U49" i="11"/>
  <c r="AJ49" i="11" s="1"/>
  <c r="W49" i="11"/>
  <c r="AL49" i="11" s="1"/>
  <c r="Y49" i="11"/>
  <c r="AN49" i="11" s="1"/>
  <c r="AA49" i="11"/>
  <c r="AP49" i="11" s="1"/>
  <c r="AC49" i="11"/>
  <c r="AR49" i="11" s="1"/>
  <c r="AE49" i="11"/>
  <c r="AT49" i="11" s="1"/>
  <c r="AG49" i="11"/>
  <c r="AV49" i="11" s="1"/>
  <c r="S50" i="11"/>
  <c r="AH50" i="11" s="1"/>
  <c r="BL50" i="11" s="1"/>
  <c r="U50" i="11"/>
  <c r="AJ50" i="11" s="1"/>
  <c r="BN50" i="11" s="1"/>
  <c r="W50" i="11"/>
  <c r="AL50" i="11" s="1"/>
  <c r="Y50" i="11"/>
  <c r="AN50" i="11" s="1"/>
  <c r="AA50" i="11"/>
  <c r="AP50" i="11" s="1"/>
  <c r="AC50" i="11"/>
  <c r="AR50" i="11" s="1"/>
  <c r="AE50" i="11"/>
  <c r="AT50" i="11" s="1"/>
  <c r="AG50" i="11"/>
  <c r="AV50" i="11" s="1"/>
  <c r="S51" i="11"/>
  <c r="AH51" i="11" s="1"/>
  <c r="BL51" i="11" s="1"/>
  <c r="U51" i="11"/>
  <c r="AJ51" i="11" s="1"/>
  <c r="W51" i="11"/>
  <c r="AL51" i="11" s="1"/>
  <c r="BP51" i="11" s="1"/>
  <c r="Y51" i="11"/>
  <c r="AN51" i="11" s="1"/>
  <c r="AA51" i="11"/>
  <c r="AP51" i="11" s="1"/>
  <c r="BT51" i="11" s="1"/>
  <c r="AC51" i="11"/>
  <c r="AR51" i="11" s="1"/>
  <c r="AE51" i="11"/>
  <c r="AT51" i="11" s="1"/>
  <c r="BX51" i="11" s="1"/>
  <c r="AG51" i="11"/>
  <c r="AV51" i="11" s="1"/>
  <c r="S52" i="11"/>
  <c r="AH52" i="11" s="1"/>
  <c r="BL52" i="11" s="1"/>
  <c r="U52" i="11"/>
  <c r="AJ52" i="11" s="1"/>
  <c r="W52" i="11"/>
  <c r="AL52" i="11" s="1"/>
  <c r="Y52" i="11"/>
  <c r="AN52" i="11" s="1"/>
  <c r="AA52" i="11"/>
  <c r="AP52" i="11" s="1"/>
  <c r="AC52" i="11"/>
  <c r="AR52" i="11" s="1"/>
  <c r="AE52" i="11"/>
  <c r="AT52" i="11" s="1"/>
  <c r="AG52" i="11"/>
  <c r="AV52" i="11" s="1"/>
  <c r="S53" i="11"/>
  <c r="AH53" i="11" s="1"/>
  <c r="BL53" i="11" s="1"/>
  <c r="U53" i="11"/>
  <c r="AJ53" i="11" s="1"/>
  <c r="BN53" i="11" s="1"/>
  <c r="W53" i="11"/>
  <c r="AL53" i="11" s="1"/>
  <c r="Y53" i="11"/>
  <c r="AN53" i="11" s="1"/>
  <c r="AA53" i="11"/>
  <c r="AP53" i="11" s="1"/>
  <c r="AC53" i="11"/>
  <c r="AR53" i="11" s="1"/>
  <c r="AE53" i="11"/>
  <c r="AT53" i="11" s="1"/>
  <c r="AG53" i="11"/>
  <c r="AV53" i="11" s="1"/>
  <c r="S54" i="11"/>
  <c r="AH54" i="11" s="1"/>
  <c r="BL54" i="11" s="1"/>
  <c r="U54" i="11"/>
  <c r="AJ54" i="11" s="1"/>
  <c r="W54" i="11"/>
  <c r="AL54" i="11" s="1"/>
  <c r="Y54" i="11"/>
  <c r="AN54" i="11" s="1"/>
  <c r="AA54" i="11"/>
  <c r="AP54" i="11" s="1"/>
  <c r="AC54" i="11"/>
  <c r="AR54" i="11" s="1"/>
  <c r="AE54" i="11"/>
  <c r="AT54" i="11" s="1"/>
  <c r="AG54" i="11"/>
  <c r="AV54" i="11" s="1"/>
  <c r="S55" i="11"/>
  <c r="AH55" i="11" s="1"/>
  <c r="U55" i="11"/>
  <c r="AJ55" i="11" s="1"/>
  <c r="W55" i="11"/>
  <c r="AL55" i="11" s="1"/>
  <c r="Y55" i="11"/>
  <c r="AN55" i="11" s="1"/>
  <c r="AA55" i="11"/>
  <c r="AP55" i="11" s="1"/>
  <c r="AC55" i="11"/>
  <c r="AR55" i="11" s="1"/>
  <c r="AE55" i="11"/>
  <c r="AT55" i="11" s="1"/>
  <c r="AG55" i="11"/>
  <c r="AV55" i="11" s="1"/>
  <c r="S56" i="11"/>
  <c r="AH56" i="11" s="1"/>
  <c r="BL56" i="11" s="1"/>
  <c r="U56" i="11"/>
  <c r="AJ56" i="11" s="1"/>
  <c r="W56" i="11"/>
  <c r="AL56" i="11" s="1"/>
  <c r="Y56" i="11"/>
  <c r="AN56" i="11" s="1"/>
  <c r="AA56" i="11"/>
  <c r="AP56" i="11" s="1"/>
  <c r="AC56" i="11"/>
  <c r="AR56" i="11" s="1"/>
  <c r="AE56" i="11"/>
  <c r="AT56" i="11" s="1"/>
  <c r="AG56" i="11"/>
  <c r="AV56" i="11" s="1"/>
  <c r="S57" i="11"/>
  <c r="AH57" i="11" s="1"/>
  <c r="BL57" i="11" s="1"/>
  <c r="U57" i="11"/>
  <c r="AJ57" i="11" s="1"/>
  <c r="W57" i="11"/>
  <c r="AL57" i="11" s="1"/>
  <c r="Y57" i="11"/>
  <c r="AN57" i="11" s="1"/>
  <c r="AA57" i="11"/>
  <c r="AP57" i="11" s="1"/>
  <c r="AC57" i="11"/>
  <c r="AR57" i="11" s="1"/>
  <c r="AE57" i="11"/>
  <c r="AT57" i="11" s="1"/>
  <c r="AG57" i="11"/>
  <c r="AV57" i="11" s="1"/>
  <c r="S58" i="11"/>
  <c r="AH58" i="11" s="1"/>
  <c r="BL58" i="11" s="1"/>
  <c r="U58" i="11"/>
  <c r="AJ58" i="11" s="1"/>
  <c r="W58" i="11"/>
  <c r="AL58" i="11" s="1"/>
  <c r="BP58" i="11" s="1"/>
  <c r="Y58" i="11"/>
  <c r="AN58" i="11" s="1"/>
  <c r="AA58" i="11"/>
  <c r="AP58" i="11" s="1"/>
  <c r="AC58" i="11"/>
  <c r="AR58" i="11" s="1"/>
  <c r="AE58" i="11"/>
  <c r="AT58" i="11" s="1"/>
  <c r="AG58" i="11"/>
  <c r="AV58" i="11" s="1"/>
  <c r="S59" i="11"/>
  <c r="AH59" i="11" s="1"/>
  <c r="BL59" i="11" s="1"/>
  <c r="U59" i="11"/>
  <c r="AJ59" i="11" s="1"/>
  <c r="W59" i="11"/>
  <c r="AL59" i="11" s="1"/>
  <c r="BP59" i="11" s="1"/>
  <c r="Y59" i="11"/>
  <c r="AN59" i="11" s="1"/>
  <c r="AA59" i="11"/>
  <c r="AP59" i="11" s="1"/>
  <c r="AC59" i="11"/>
  <c r="AR59" i="11" s="1"/>
  <c r="AE59" i="11"/>
  <c r="AT59" i="11" s="1"/>
  <c r="AG59" i="11"/>
  <c r="AV59" i="11" s="1"/>
  <c r="S60" i="11"/>
  <c r="AH60" i="11" s="1"/>
  <c r="BL60" i="11" s="1"/>
  <c r="U60" i="11"/>
  <c r="AJ60" i="11" s="1"/>
  <c r="W60" i="11"/>
  <c r="AL60" i="11" s="1"/>
  <c r="AA60" i="11"/>
  <c r="AP60" i="11" s="1"/>
  <c r="AC60" i="11"/>
  <c r="AR60" i="11" s="1"/>
  <c r="AE60" i="11"/>
  <c r="AT60" i="11" s="1"/>
  <c r="AG60" i="11"/>
  <c r="AV60" i="11" s="1"/>
  <c r="S61" i="11"/>
  <c r="AH61" i="11" s="1"/>
  <c r="U61" i="11"/>
  <c r="AJ61" i="11" s="1"/>
  <c r="BN61" i="11" s="1"/>
  <c r="W61" i="11"/>
  <c r="AL61" i="11" s="1"/>
  <c r="Y61" i="11"/>
  <c r="AN61" i="11" s="1"/>
  <c r="AA61" i="11"/>
  <c r="AP61" i="11" s="1"/>
  <c r="AC61" i="11"/>
  <c r="AR61" i="11" s="1"/>
  <c r="AE61" i="11"/>
  <c r="AT61" i="11" s="1"/>
  <c r="AG61" i="11"/>
  <c r="AV61" i="11" s="1"/>
  <c r="S62" i="11"/>
  <c r="AH62" i="11" s="1"/>
  <c r="BL62" i="11" s="1"/>
  <c r="U62" i="11"/>
  <c r="AJ62" i="11" s="1"/>
  <c r="W62" i="11"/>
  <c r="AL62" i="11" s="1"/>
  <c r="Y62" i="11"/>
  <c r="AN62" i="11" s="1"/>
  <c r="AA62" i="11"/>
  <c r="AP62" i="11" s="1"/>
  <c r="AC62" i="11"/>
  <c r="AR62" i="11" s="1"/>
  <c r="AE62" i="11"/>
  <c r="AT62" i="11" s="1"/>
  <c r="AG62" i="11"/>
  <c r="AV62" i="11" s="1"/>
  <c r="S63" i="11"/>
  <c r="AH63" i="11" s="1"/>
  <c r="BL63" i="11" s="1"/>
  <c r="U63" i="11"/>
  <c r="AJ63" i="11" s="1"/>
  <c r="BN63" i="11" s="1"/>
  <c r="W63" i="11"/>
  <c r="AL63" i="11" s="1"/>
  <c r="Y63" i="11"/>
  <c r="AN63" i="11" s="1"/>
  <c r="AA63" i="11"/>
  <c r="AP63" i="11" s="1"/>
  <c r="AC63" i="11"/>
  <c r="AR63" i="11" s="1"/>
  <c r="AE63" i="11"/>
  <c r="AT63" i="11" s="1"/>
  <c r="AG63" i="11"/>
  <c r="AV63" i="11" s="1"/>
  <c r="S64" i="11"/>
  <c r="AH64" i="11" s="1"/>
  <c r="U64" i="11"/>
  <c r="AJ64" i="11" s="1"/>
  <c r="BN64" i="11" s="1"/>
  <c r="W64" i="11"/>
  <c r="AL64" i="11" s="1"/>
  <c r="Y64" i="11"/>
  <c r="AN64" i="11" s="1"/>
  <c r="BR64" i="11" s="1"/>
  <c r="AA64" i="11"/>
  <c r="AP64" i="11" s="1"/>
  <c r="AC64" i="11"/>
  <c r="AR64" i="11" s="1"/>
  <c r="BV64" i="11" s="1"/>
  <c r="AE64" i="11"/>
  <c r="AT64" i="11" s="1"/>
  <c r="BX64" i="11" s="1"/>
  <c r="AG64" i="11"/>
  <c r="AV64" i="11" s="1"/>
  <c r="S65" i="11"/>
  <c r="AH65" i="11" s="1"/>
  <c r="BL65" i="11" s="1"/>
  <c r="U65" i="11"/>
  <c r="AJ65" i="11" s="1"/>
  <c r="BN65" i="11" s="1"/>
  <c r="W65" i="11"/>
  <c r="AL65" i="11" s="1"/>
  <c r="Y65" i="11"/>
  <c r="AN65" i="11" s="1"/>
  <c r="AA65" i="11"/>
  <c r="AP65" i="11" s="1"/>
  <c r="AC65" i="11"/>
  <c r="AR65" i="11" s="1"/>
  <c r="AE65" i="11"/>
  <c r="AT65" i="11" s="1"/>
  <c r="AG65" i="11"/>
  <c r="AV65" i="11" s="1"/>
  <c r="S66" i="11"/>
  <c r="AH66" i="11" s="1"/>
  <c r="U66" i="11"/>
  <c r="AJ66" i="11" s="1"/>
  <c r="BN66" i="11" s="1"/>
  <c r="W66" i="11"/>
  <c r="AL66" i="11" s="1"/>
  <c r="Y66" i="11"/>
  <c r="AN66" i="11" s="1"/>
  <c r="AA66" i="11"/>
  <c r="AP66" i="11" s="1"/>
  <c r="AC66" i="11"/>
  <c r="AR66" i="11" s="1"/>
  <c r="AE66" i="11"/>
  <c r="AT66" i="11" s="1"/>
  <c r="AG66" i="11"/>
  <c r="AV66" i="11" s="1"/>
  <c r="S67" i="11"/>
  <c r="AH67" i="11" s="1"/>
  <c r="BL67" i="11" s="1"/>
  <c r="U67" i="11"/>
  <c r="AJ67" i="11" s="1"/>
  <c r="W67" i="11"/>
  <c r="AL67" i="11" s="1"/>
  <c r="Y67" i="11"/>
  <c r="AN67" i="11" s="1"/>
  <c r="AA67" i="11"/>
  <c r="AP67" i="11" s="1"/>
  <c r="AC67" i="11"/>
  <c r="AR67" i="11" s="1"/>
  <c r="AE67" i="11"/>
  <c r="AT67" i="11" s="1"/>
  <c r="AG67" i="11"/>
  <c r="AV67" i="11" s="1"/>
  <c r="S68" i="11"/>
  <c r="AH68" i="11" s="1"/>
  <c r="U68" i="11"/>
  <c r="AJ68" i="11" s="1"/>
  <c r="W68" i="11"/>
  <c r="AL68" i="11" s="1"/>
  <c r="Y68" i="11"/>
  <c r="AN68" i="11" s="1"/>
  <c r="AA68" i="11"/>
  <c r="AP68" i="11" s="1"/>
  <c r="AC68" i="11"/>
  <c r="AR68" i="11" s="1"/>
  <c r="AE68" i="11"/>
  <c r="AT68" i="11" s="1"/>
  <c r="AG68" i="11"/>
  <c r="AV68" i="11" s="1"/>
  <c r="S69" i="11"/>
  <c r="AH69" i="11" s="1"/>
  <c r="U69" i="11"/>
  <c r="AJ69" i="11" s="1"/>
  <c r="W69" i="11"/>
  <c r="AL69" i="11" s="1"/>
  <c r="Y69" i="11"/>
  <c r="AN69" i="11" s="1"/>
  <c r="AA69" i="11"/>
  <c r="AP69" i="11" s="1"/>
  <c r="AC69" i="11"/>
  <c r="AR69" i="11" s="1"/>
  <c r="AE69" i="11"/>
  <c r="AT69" i="11" s="1"/>
  <c r="AG69" i="11"/>
  <c r="AV69" i="11" s="1"/>
  <c r="S70" i="11"/>
  <c r="AH70" i="11" s="1"/>
  <c r="BL70" i="11" s="1"/>
  <c r="U70" i="11"/>
  <c r="AJ70" i="11" s="1"/>
  <c r="W70" i="11"/>
  <c r="AL70" i="11" s="1"/>
  <c r="Y70" i="11"/>
  <c r="AN70" i="11" s="1"/>
  <c r="AA70" i="11"/>
  <c r="AP70" i="11" s="1"/>
  <c r="AC70" i="11"/>
  <c r="AR70" i="11" s="1"/>
  <c r="AE70" i="11"/>
  <c r="AT70" i="11" s="1"/>
  <c r="AG70" i="11"/>
  <c r="AV70" i="11" s="1"/>
  <c r="Y60" i="11"/>
  <c r="AN60" i="11" s="1"/>
  <c r="AB60" i="11"/>
  <c r="AQ60" i="11" s="1"/>
  <c r="AD60" i="11"/>
  <c r="AS60" i="11" s="1"/>
  <c r="AF60" i="11"/>
  <c r="AU60" i="11" s="1"/>
  <c r="T61" i="11"/>
  <c r="AI61" i="11" s="1"/>
  <c r="BM61" i="11" s="1"/>
  <c r="V61" i="11"/>
  <c r="AK61" i="11" s="1"/>
  <c r="X61" i="11"/>
  <c r="AM61" i="11" s="1"/>
  <c r="Z61" i="11"/>
  <c r="AO61" i="11" s="1"/>
  <c r="AB61" i="11"/>
  <c r="AQ61" i="11" s="1"/>
  <c r="AD61" i="11"/>
  <c r="AS61" i="11" s="1"/>
  <c r="AF61" i="11"/>
  <c r="AU61" i="11" s="1"/>
  <c r="T62" i="11"/>
  <c r="AI62" i="11" s="1"/>
  <c r="V62" i="11"/>
  <c r="AK62" i="11" s="1"/>
  <c r="X62" i="11"/>
  <c r="AM62" i="11" s="1"/>
  <c r="Z62" i="11"/>
  <c r="AO62" i="11" s="1"/>
  <c r="AB62" i="11"/>
  <c r="AQ62" i="11" s="1"/>
  <c r="AD62" i="11"/>
  <c r="AS62" i="11" s="1"/>
  <c r="AF62" i="11"/>
  <c r="AU62" i="11" s="1"/>
  <c r="T63" i="11"/>
  <c r="AI63" i="11" s="1"/>
  <c r="BM63" i="11" s="1"/>
  <c r="V63" i="11"/>
  <c r="AK63" i="11" s="1"/>
  <c r="X63" i="11"/>
  <c r="AM63" i="11" s="1"/>
  <c r="Z63" i="11"/>
  <c r="AO63" i="11" s="1"/>
  <c r="AB63" i="11"/>
  <c r="AQ63" i="11" s="1"/>
  <c r="AD63" i="11"/>
  <c r="AS63" i="11" s="1"/>
  <c r="AF63" i="11"/>
  <c r="AU63" i="11" s="1"/>
  <c r="T64" i="11"/>
  <c r="AI64" i="11" s="1"/>
  <c r="BM64" i="11" s="1"/>
  <c r="V64" i="11"/>
  <c r="AK64" i="11" s="1"/>
  <c r="X64" i="11"/>
  <c r="AM64" i="11" s="1"/>
  <c r="BQ64" i="11" s="1"/>
  <c r="Z64" i="11"/>
  <c r="AO64" i="11" s="1"/>
  <c r="AB64" i="11"/>
  <c r="AQ64" i="11" s="1"/>
  <c r="BU64" i="11" s="1"/>
  <c r="AD64" i="11"/>
  <c r="AS64" i="11" s="1"/>
  <c r="BW64" i="11" s="1"/>
  <c r="AF64" i="11"/>
  <c r="AU64" i="11" s="1"/>
  <c r="BY64" i="11" s="1"/>
  <c r="T65" i="11"/>
  <c r="AI65" i="11" s="1"/>
  <c r="BM65" i="11" s="1"/>
  <c r="V65" i="11"/>
  <c r="AK65" i="11" s="1"/>
  <c r="BO65" i="11" s="1"/>
  <c r="X65" i="11"/>
  <c r="AM65" i="11" s="1"/>
  <c r="Z65" i="11"/>
  <c r="AO65" i="11" s="1"/>
  <c r="AB65" i="11"/>
  <c r="AQ65" i="11" s="1"/>
  <c r="AD65" i="11"/>
  <c r="AS65" i="11" s="1"/>
  <c r="AF65" i="11"/>
  <c r="AU65" i="11" s="1"/>
  <c r="T66" i="11"/>
  <c r="AI66" i="11" s="1"/>
  <c r="BM66" i="11" s="1"/>
  <c r="V66" i="11"/>
  <c r="AK66" i="11" s="1"/>
  <c r="BO66" i="11" s="1"/>
  <c r="X66" i="11"/>
  <c r="AM66" i="11" s="1"/>
  <c r="Z66" i="11"/>
  <c r="AO66" i="11" s="1"/>
  <c r="AB66" i="11"/>
  <c r="AQ66" i="11" s="1"/>
  <c r="AD66" i="11"/>
  <c r="AS66" i="11" s="1"/>
  <c r="AF66" i="11"/>
  <c r="AU66" i="11" s="1"/>
  <c r="T67" i="11"/>
  <c r="AI67" i="11" s="1"/>
  <c r="BM67" i="11" s="1"/>
  <c r="V67" i="11"/>
  <c r="AK67" i="11" s="1"/>
  <c r="BO67" i="11" s="1"/>
  <c r="X67" i="11"/>
  <c r="AM67" i="11" s="1"/>
  <c r="Z67" i="11"/>
  <c r="AO67" i="11" s="1"/>
  <c r="AB67" i="11"/>
  <c r="AQ67" i="11" s="1"/>
  <c r="AD67" i="11"/>
  <c r="AS67" i="11" s="1"/>
  <c r="AF67" i="11"/>
  <c r="AU67" i="11" s="1"/>
  <c r="T68" i="11"/>
  <c r="AI68" i="11" s="1"/>
  <c r="BM68" i="11" s="1"/>
  <c r="V68" i="11"/>
  <c r="AK68" i="11" s="1"/>
  <c r="X68" i="11"/>
  <c r="AM68" i="11" s="1"/>
  <c r="Z68" i="11"/>
  <c r="AO68" i="11" s="1"/>
  <c r="AB68" i="11"/>
  <c r="AQ68" i="11" s="1"/>
  <c r="AD68" i="11"/>
  <c r="AS68" i="11" s="1"/>
  <c r="AF68" i="11"/>
  <c r="AU68" i="11" s="1"/>
  <c r="T69" i="11"/>
  <c r="AI69" i="11" s="1"/>
  <c r="BM69" i="11" s="1"/>
  <c r="V69" i="11"/>
  <c r="AK69" i="11" s="1"/>
  <c r="X69" i="11"/>
  <c r="AM69" i="11" s="1"/>
  <c r="Z69" i="11"/>
  <c r="AO69" i="11" s="1"/>
  <c r="AB69" i="11"/>
  <c r="AQ69" i="11" s="1"/>
  <c r="AD69" i="11"/>
  <c r="AS69" i="11" s="1"/>
  <c r="AF69" i="11"/>
  <c r="AU69" i="11" s="1"/>
  <c r="T70" i="11"/>
  <c r="AI70" i="11" s="1"/>
  <c r="BM70" i="11" s="1"/>
  <c r="V70" i="11"/>
  <c r="AK70" i="11" s="1"/>
  <c r="X70" i="11"/>
  <c r="AM70" i="11" s="1"/>
  <c r="Z70" i="11"/>
  <c r="AO70" i="11" s="1"/>
  <c r="AB70" i="11"/>
  <c r="AQ70" i="11" s="1"/>
  <c r="AD70" i="11"/>
  <c r="AS70" i="11" s="1"/>
  <c r="AF70" i="11"/>
  <c r="AU70" i="11" s="1"/>
  <c r="H41" i="9"/>
  <c r="I41" i="9" s="1"/>
  <c r="J41" i="9" s="1"/>
  <c r="K41" i="9" s="1"/>
  <c r="L41" i="9" s="1"/>
  <c r="M41" i="9" s="1"/>
  <c r="N41" i="9" s="1"/>
  <c r="O41" i="9" s="1"/>
  <c r="P41" i="9" s="1"/>
  <c r="Q41" i="9" s="1"/>
  <c r="H72" i="9"/>
  <c r="I72" i="9" s="1"/>
  <c r="J72" i="9" s="1"/>
  <c r="K72" i="9" s="1"/>
  <c r="L72" i="9" s="1"/>
  <c r="M72" i="9" s="1"/>
  <c r="N72" i="9" s="1"/>
  <c r="O72" i="9" s="1"/>
  <c r="P72" i="9" s="1"/>
  <c r="Q72" i="9" s="1"/>
  <c r="H50" i="9"/>
  <c r="I50" i="9" s="1"/>
  <c r="J50" i="9" s="1"/>
  <c r="K50" i="9" s="1"/>
  <c r="L50" i="9" s="1"/>
  <c r="M50" i="9" s="1"/>
  <c r="N50" i="9" s="1"/>
  <c r="O50" i="9" s="1"/>
  <c r="P50" i="9" s="1"/>
  <c r="Q50" i="9" s="1"/>
  <c r="H37" i="9"/>
  <c r="I37" i="9" s="1"/>
  <c r="J37" i="9" s="1"/>
  <c r="K37" i="9" s="1"/>
  <c r="L37" i="9" s="1"/>
  <c r="M37" i="9" s="1"/>
  <c r="N37" i="9" s="1"/>
  <c r="O37" i="9" s="1"/>
  <c r="P37" i="9" s="1"/>
  <c r="Q37" i="9" s="1"/>
  <c r="E14" i="14"/>
  <c r="AD246" i="11"/>
  <c r="AS245" i="11"/>
  <c r="Y247" i="11"/>
  <c r="AN247" i="11" s="1"/>
  <c r="C9" i="29"/>
  <c r="C68" i="26"/>
  <c r="E132" i="30" s="1"/>
  <c r="E180" i="30" s="1"/>
  <c r="F9" i="29"/>
  <c r="F30" i="26"/>
  <c r="C47" i="26"/>
  <c r="F57" i="14"/>
  <c r="G56" i="14"/>
  <c r="E30" i="26"/>
  <c r="G2" i="16"/>
  <c r="F14" i="14"/>
  <c r="F222" i="3"/>
  <c r="F236" i="3" s="1"/>
  <c r="E54" i="3"/>
  <c r="E68" i="3" s="1"/>
  <c r="F4" i="3"/>
  <c r="F27" i="3" s="1"/>
  <c r="E13" i="3"/>
  <c r="F25" i="22"/>
  <c r="F13" i="26"/>
  <c r="E13" i="26"/>
  <c r="C13" i="26"/>
  <c r="D13" i="26"/>
  <c r="M119" i="14"/>
  <c r="E126" i="30"/>
  <c r="E174" i="30" s="1"/>
  <c r="C14" i="29"/>
  <c r="E24" i="26"/>
  <c r="AH10" i="11"/>
  <c r="BL10" i="11" s="1"/>
  <c r="AH8" i="11"/>
  <c r="BL8" i="11" s="1"/>
  <c r="AH16" i="11"/>
  <c r="AC247" i="11"/>
  <c r="AR247" i="11" s="1"/>
  <c r="E54" i="16"/>
  <c r="E17" i="5" s="1"/>
  <c r="I14" i="14"/>
  <c r="C17" i="26"/>
  <c r="C50" i="26" s="1"/>
  <c r="X247" i="11"/>
  <c r="AM247" i="11" s="1"/>
  <c r="AM246" i="11"/>
  <c r="AY36" i="16"/>
  <c r="AK36" i="16"/>
  <c r="G16" i="26"/>
  <c r="G7" i="22"/>
  <c r="G12" i="22"/>
  <c r="G14" i="22"/>
  <c r="I51" i="30" s="1"/>
  <c r="I81" i="9"/>
  <c r="H22" i="26"/>
  <c r="H7" i="22"/>
  <c r="H12" i="22"/>
  <c r="H14" i="22"/>
  <c r="J51" i="30" s="1"/>
  <c r="H16" i="26"/>
  <c r="G25" i="30"/>
  <c r="E68" i="26"/>
  <c r="G132" i="30" s="1"/>
  <c r="G180" i="30" s="1"/>
  <c r="E9" i="29"/>
  <c r="E26" i="30"/>
  <c r="C63" i="26"/>
  <c r="E96" i="3"/>
  <c r="E40" i="3"/>
  <c r="E27" i="3"/>
  <c r="E110" i="3"/>
  <c r="G11" i="26"/>
  <c r="E8" i="17"/>
  <c r="E9" i="17" s="1"/>
  <c r="H11" i="26"/>
  <c r="F15" i="22"/>
  <c r="F8" i="22"/>
  <c r="F24" i="26"/>
  <c r="F39" i="26"/>
  <c r="E15" i="22"/>
  <c r="E8" i="22"/>
  <c r="E25" i="22"/>
  <c r="E17" i="26"/>
  <c r="E39" i="26"/>
  <c r="C15" i="22"/>
  <c r="C8" i="22"/>
  <c r="E12" i="30" s="1"/>
  <c r="C25" i="22"/>
  <c r="H36" i="26"/>
  <c r="G36" i="26"/>
  <c r="D25" i="22"/>
  <c r="D31" i="22"/>
  <c r="D17" i="26"/>
  <c r="H108" i="30"/>
  <c r="N108" i="30" s="1"/>
  <c r="E127" i="3"/>
  <c r="E307" i="14"/>
  <c r="E263" i="14"/>
  <c r="E219" i="14"/>
  <c r="E175" i="14"/>
  <c r="E131" i="14"/>
  <c r="F149" i="14" s="1"/>
  <c r="F150" i="14" s="1"/>
  <c r="E87" i="14"/>
  <c r="E128" i="3"/>
  <c r="E285" i="14"/>
  <c r="E241" i="14"/>
  <c r="F259" i="14" s="1"/>
  <c r="F260" i="14" s="1"/>
  <c r="E197" i="14"/>
  <c r="E153" i="14"/>
  <c r="E109" i="14"/>
  <c r="E112" i="14" s="1"/>
  <c r="E120" i="14" s="1"/>
  <c r="E66" i="14"/>
  <c r="E132" i="3"/>
  <c r="E126" i="3"/>
  <c r="E215" i="3" s="1"/>
  <c r="E133" i="3"/>
  <c r="E129" i="3"/>
  <c r="E130" i="3"/>
  <c r="E131" i="3"/>
  <c r="C8" i="29"/>
  <c r="E24" i="30"/>
  <c r="C69" i="26"/>
  <c r="E133" i="30" s="1"/>
  <c r="E181" i="30" s="1"/>
  <c r="F31" i="22"/>
  <c r="F17" i="26"/>
  <c r="E31" i="22"/>
  <c r="C31" i="22"/>
  <c r="D15" i="22"/>
  <c r="D24" i="26"/>
  <c r="D39" i="26"/>
  <c r="B25" i="22"/>
  <c r="B34" i="22" s="1"/>
  <c r="AY38" i="16"/>
  <c r="AK38" i="16"/>
  <c r="AK30" i="16"/>
  <c r="AY30" i="16"/>
  <c r="AK43" i="16"/>
  <c r="AY43" i="16"/>
  <c r="AY29" i="16"/>
  <c r="AK29" i="16"/>
  <c r="AY42" i="16"/>
  <c r="AK42" i="16"/>
  <c r="AL50" i="16"/>
  <c r="AZ50" i="16"/>
  <c r="AL32" i="16"/>
  <c r="AZ32" i="16"/>
  <c r="AL40" i="16"/>
  <c r="AZ40" i="16"/>
  <c r="AZ39" i="16"/>
  <c r="AL39" i="16"/>
  <c r="BB44" i="16"/>
  <c r="AN44" i="16"/>
  <c r="AZ46" i="16"/>
  <c r="AL46" i="16"/>
  <c r="AL31" i="16"/>
  <c r="H14" i="14"/>
  <c r="F17" i="10"/>
  <c r="L39" i="6"/>
  <c r="M14" i="7"/>
  <c r="I26" i="10"/>
  <c r="H7" i="10"/>
  <c r="G10" i="18" s="1"/>
  <c r="G43" i="18" s="1"/>
  <c r="H81" i="9"/>
  <c r="H68" i="9"/>
  <c r="I68" i="9" s="1"/>
  <c r="J68" i="9" s="1"/>
  <c r="K68" i="9" s="1"/>
  <c r="L68" i="9" s="1"/>
  <c r="H73" i="9"/>
  <c r="I73" i="9" s="1"/>
  <c r="J73" i="9" s="1"/>
  <c r="K73" i="9" s="1"/>
  <c r="L73" i="9" s="1"/>
  <c r="M73" i="9" s="1"/>
  <c r="N73" i="9" s="1"/>
  <c r="O73" i="9" s="1"/>
  <c r="P73" i="9" s="1"/>
  <c r="Q73" i="9" s="1"/>
  <c r="H36" i="9"/>
  <c r="I36" i="9" s="1"/>
  <c r="J36" i="9" s="1"/>
  <c r="K36" i="9" s="1"/>
  <c r="L36" i="9" s="1"/>
  <c r="M36" i="9" s="1"/>
  <c r="N36" i="9" s="1"/>
  <c r="O36" i="9" s="1"/>
  <c r="P36" i="9" s="1"/>
  <c r="Q36" i="9" s="1"/>
  <c r="H70" i="9"/>
  <c r="I70" i="9" s="1"/>
  <c r="J70" i="9" s="1"/>
  <c r="K70" i="9" s="1"/>
  <c r="L70" i="9" s="1"/>
  <c r="H71" i="9"/>
  <c r="I71" i="9" s="1"/>
  <c r="J71" i="9" s="1"/>
  <c r="K71" i="9" s="1"/>
  <c r="L71" i="9" s="1"/>
  <c r="M71" i="9" s="1"/>
  <c r="N71" i="9" s="1"/>
  <c r="O71" i="9" s="1"/>
  <c r="P71" i="9" s="1"/>
  <c r="Q71" i="9" s="1"/>
  <c r="M142" i="3"/>
  <c r="M186" i="3" s="1"/>
  <c r="AC32" i="11" s="1"/>
  <c r="N142" i="3"/>
  <c r="N186" i="3" s="1"/>
  <c r="AD32" i="11" s="1"/>
  <c r="M30" i="10"/>
  <c r="M11" i="10" s="1"/>
  <c r="L14" i="18" s="1"/>
  <c r="L47" i="18" s="1"/>
  <c r="D79" i="6"/>
  <c r="E79" i="6"/>
  <c r="CG230" i="11"/>
  <c r="M4" i="18"/>
  <c r="E37" i="14"/>
  <c r="F36" i="14"/>
  <c r="H9" i="12"/>
  <c r="AL246" i="11"/>
  <c r="I12" i="7"/>
  <c r="A205" i="3"/>
  <c r="A218" i="3" s="1"/>
  <c r="A232" i="3" s="1"/>
  <c r="F161" i="3"/>
  <c r="F208" i="3" s="1"/>
  <c r="F79" i="6"/>
  <c r="H19" i="28"/>
  <c r="G8" i="15" s="1"/>
  <c r="BP249" i="11" s="1"/>
  <c r="H232" i="14"/>
  <c r="G233" i="14"/>
  <c r="G236" i="14" s="1"/>
  <c r="F67" i="32"/>
  <c r="F27" i="4"/>
  <c r="F140" i="3"/>
  <c r="AK45" i="16"/>
  <c r="AY45" i="16"/>
  <c r="AY37" i="16"/>
  <c r="AK37" i="16"/>
  <c r="AY41" i="16"/>
  <c r="AK41" i="16"/>
  <c r="AZ34" i="16"/>
  <c r="AL34" i="16"/>
  <c r="K207" i="14"/>
  <c r="A207" i="14" s="1"/>
  <c r="K210" i="14"/>
  <c r="L48" i="14"/>
  <c r="L75" i="14"/>
  <c r="O35" i="10"/>
  <c r="N10" i="10"/>
  <c r="J11" i="28"/>
  <c r="J17" i="28"/>
  <c r="I6" i="15" s="1"/>
  <c r="K6" i="28"/>
  <c r="J6" i="5"/>
  <c r="K4" i="5" s="1"/>
  <c r="F90" i="14"/>
  <c r="F98" i="14" s="1"/>
  <c r="F190" i="14"/>
  <c r="F215" i="3"/>
  <c r="F219" i="3"/>
  <c r="F159" i="3"/>
  <c r="F206" i="3" s="1"/>
  <c r="M33" i="14"/>
  <c r="M4" i="14"/>
  <c r="A4" i="14" s="1"/>
  <c r="AJ245" i="11"/>
  <c r="U246" i="11"/>
  <c r="I317" i="14"/>
  <c r="J312" i="14"/>
  <c r="I273" i="14"/>
  <c r="J268" i="14"/>
  <c r="I48" i="14"/>
  <c r="AY47" i="16"/>
  <c r="AK47" i="16"/>
  <c r="AL33" i="16"/>
  <c r="AZ33" i="16"/>
  <c r="J11" i="12"/>
  <c r="AO255" i="11" s="1"/>
  <c r="G23" i="21"/>
  <c r="G3" i="29"/>
  <c r="G18" i="21"/>
  <c r="G122" i="3"/>
  <c r="L97" i="14"/>
  <c r="M92" i="14"/>
  <c r="N92" i="14" s="1"/>
  <c r="H12" i="10"/>
  <c r="I31" i="10"/>
  <c r="I8" i="12"/>
  <c r="BC154" i="11" s="1"/>
  <c r="K9" i="5"/>
  <c r="H23" i="21"/>
  <c r="C1" i="33"/>
  <c r="H122" i="3"/>
  <c r="H18" i="21"/>
  <c r="H3" i="29"/>
  <c r="F256" i="14"/>
  <c r="F218" i="3"/>
  <c r="F156" i="3"/>
  <c r="F203" i="3" s="1"/>
  <c r="F134" i="14"/>
  <c r="F142" i="14" s="1"/>
  <c r="F54" i="16"/>
  <c r="F17" i="5" s="1"/>
  <c r="I5" i="12"/>
  <c r="BC151" i="11" s="1"/>
  <c r="I6" i="12"/>
  <c r="BC152" i="11" s="1"/>
  <c r="C133" i="3"/>
  <c r="C162" i="3" s="1"/>
  <c r="C131" i="3"/>
  <c r="C160" i="3" s="1"/>
  <c r="C129" i="3"/>
  <c r="C158" i="3" s="1"/>
  <c r="C127" i="3"/>
  <c r="C156" i="3" s="1"/>
  <c r="C132" i="3"/>
  <c r="C161" i="3" s="1"/>
  <c r="C130" i="3"/>
  <c r="C159" i="3" s="1"/>
  <c r="C128" i="3"/>
  <c r="C157" i="3" s="1"/>
  <c r="C126" i="3"/>
  <c r="C155" i="3" s="1"/>
  <c r="C125" i="3"/>
  <c r="C209" i="11"/>
  <c r="C221" i="11" s="1"/>
  <c r="C232" i="11" s="1"/>
  <c r="BL195" i="11"/>
  <c r="C211" i="11"/>
  <c r="C223" i="11" s="1"/>
  <c r="C234" i="11" s="1"/>
  <c r="BL197" i="11"/>
  <c r="I48" i="9"/>
  <c r="D15" i="16"/>
  <c r="D23" i="16"/>
  <c r="D7" i="16"/>
  <c r="D19" i="16"/>
  <c r="D10" i="16"/>
  <c r="D28" i="16"/>
  <c r="D26" i="16"/>
  <c r="D24" i="16"/>
  <c r="D20" i="16"/>
  <c r="D16" i="16"/>
  <c r="D12" i="16"/>
  <c r="D9" i="16"/>
  <c r="D11" i="16"/>
  <c r="D27" i="16"/>
  <c r="D22" i="16"/>
  <c r="D14" i="16"/>
  <c r="D25" i="16"/>
  <c r="D17" i="16"/>
  <c r="D8" i="16"/>
  <c r="D18" i="16"/>
  <c r="D21" i="16"/>
  <c r="D13" i="16"/>
  <c r="A89" i="3"/>
  <c r="A103" i="3" s="1"/>
  <c r="A117" i="3" s="1"/>
  <c r="A131" i="3" s="1"/>
  <c r="A146" i="3" s="1"/>
  <c r="A160" i="3" s="1"/>
  <c r="A175" i="3" s="1"/>
  <c r="A190" i="3" s="1"/>
  <c r="A207" i="3" s="1"/>
  <c r="A220" i="3" s="1"/>
  <c r="A234" i="3" s="1"/>
  <c r="A75" i="3"/>
  <c r="A77" i="3"/>
  <c r="A91" i="3"/>
  <c r="A105" i="3" s="1"/>
  <c r="A119" i="3" s="1"/>
  <c r="A133" i="3" s="1"/>
  <c r="A148" i="3" s="1"/>
  <c r="A162" i="3" s="1"/>
  <c r="A177" i="3" s="1"/>
  <c r="A192" i="3" s="1"/>
  <c r="A209" i="3" s="1"/>
  <c r="A222" i="3" s="1"/>
  <c r="A236" i="3" s="1"/>
  <c r="I13" i="9"/>
  <c r="I31" i="9"/>
  <c r="J31" i="9" s="1"/>
  <c r="K31" i="9" s="1"/>
  <c r="L31" i="9" s="1"/>
  <c r="M31" i="9" s="1"/>
  <c r="N31" i="9" s="1"/>
  <c r="O31" i="9" s="1"/>
  <c r="P31" i="9" s="1"/>
  <c r="Q31" i="9" s="1"/>
  <c r="K35" i="14"/>
  <c r="J14" i="14"/>
  <c r="M68" i="9"/>
  <c r="N68" i="9" s="1"/>
  <c r="O68" i="9" s="1"/>
  <c r="P68" i="9" s="1"/>
  <c r="Q68" i="9" s="1"/>
  <c r="M21" i="9"/>
  <c r="N21" i="9" s="1"/>
  <c r="O21" i="9" s="1"/>
  <c r="P21" i="9" s="1"/>
  <c r="Q21" i="9" s="1"/>
  <c r="M59" i="9"/>
  <c r="N59" i="9" s="1"/>
  <c r="O59" i="9" s="1"/>
  <c r="P59" i="9" s="1"/>
  <c r="Q59" i="9" s="1"/>
  <c r="M57" i="9"/>
  <c r="N57" i="9" s="1"/>
  <c r="O57" i="9" s="1"/>
  <c r="P57" i="9" s="1"/>
  <c r="Q57" i="9" s="1"/>
  <c r="M64" i="9"/>
  <c r="N64" i="9" s="1"/>
  <c r="O64" i="9" s="1"/>
  <c r="P64" i="9" s="1"/>
  <c r="Q64" i="9" s="1"/>
  <c r="M74" i="9"/>
  <c r="N74" i="9" s="1"/>
  <c r="O74" i="9" s="1"/>
  <c r="P74" i="9" s="1"/>
  <c r="Q74" i="9" s="1"/>
  <c r="M15" i="9"/>
  <c r="N15" i="9" s="1"/>
  <c r="O15" i="9" s="1"/>
  <c r="P15" i="9" s="1"/>
  <c r="Q15" i="9" s="1"/>
  <c r="M30" i="9"/>
  <c r="N30" i="9" s="1"/>
  <c r="O30" i="9" s="1"/>
  <c r="P30" i="9" s="1"/>
  <c r="Q30" i="9" s="1"/>
  <c r="M19" i="9"/>
  <c r="N19" i="9" s="1"/>
  <c r="O19" i="9" s="1"/>
  <c r="P19" i="9" s="1"/>
  <c r="Q19" i="9" s="1"/>
  <c r="M42" i="9"/>
  <c r="N42" i="9" s="1"/>
  <c r="O42" i="9" s="1"/>
  <c r="P42" i="9" s="1"/>
  <c r="Q42" i="9" s="1"/>
  <c r="M52" i="9"/>
  <c r="N52" i="9" s="1"/>
  <c r="O52" i="9" s="1"/>
  <c r="P52" i="9" s="1"/>
  <c r="Q52" i="9" s="1"/>
  <c r="M55" i="9"/>
  <c r="N55" i="9" s="1"/>
  <c r="O55" i="9" s="1"/>
  <c r="P55" i="9" s="1"/>
  <c r="Q55" i="9" s="1"/>
  <c r="M32" i="9"/>
  <c r="N32" i="9" s="1"/>
  <c r="O32" i="9" s="1"/>
  <c r="P32" i="9" s="1"/>
  <c r="Q32" i="9" s="1"/>
  <c r="AI245" i="11"/>
  <c r="T246" i="11"/>
  <c r="E214" i="3"/>
  <c r="E32" i="18"/>
  <c r="E27" i="30"/>
  <c r="C71" i="26"/>
  <c r="E135" i="30" s="1"/>
  <c r="E183" i="30" s="1"/>
  <c r="C24" i="26"/>
  <c r="A88" i="3"/>
  <c r="A102" i="3" s="1"/>
  <c r="A116" i="3" s="1"/>
  <c r="A130" i="3" s="1"/>
  <c r="A145" i="3" s="1"/>
  <c r="A159" i="3" s="1"/>
  <c r="A174" i="3" s="1"/>
  <c r="A189" i="3" s="1"/>
  <c r="A74" i="3"/>
  <c r="A90" i="3"/>
  <c r="A104" i="3" s="1"/>
  <c r="A118" i="3" s="1"/>
  <c r="A132" i="3" s="1"/>
  <c r="A147" i="3" s="1"/>
  <c r="A161" i="3" s="1"/>
  <c r="A176" i="3" s="1"/>
  <c r="A191" i="3" s="1"/>
  <c r="A208" i="3" s="1"/>
  <c r="A221" i="3" s="1"/>
  <c r="A235" i="3" s="1"/>
  <c r="A76" i="3"/>
  <c r="M40" i="12"/>
  <c r="M43" i="12"/>
  <c r="M42" i="12"/>
  <c r="M29" i="12"/>
  <c r="M30" i="12"/>
  <c r="M33" i="12"/>
  <c r="M28" i="12"/>
  <c r="M41" i="12"/>
  <c r="M35" i="12"/>
  <c r="M38" i="12"/>
  <c r="M34" i="12"/>
  <c r="M27" i="12"/>
  <c r="M31" i="12"/>
  <c r="M39" i="12"/>
  <c r="M44" i="12"/>
  <c r="M37" i="12"/>
  <c r="F25" i="30"/>
  <c r="D68" i="26"/>
  <c r="D9" i="29"/>
  <c r="E23" i="28"/>
  <c r="E7" i="21"/>
  <c r="F4" i="30"/>
  <c r="F33" i="30" s="1"/>
  <c r="D129" i="3"/>
  <c r="D127" i="3"/>
  <c r="D285" i="14"/>
  <c r="D175" i="14"/>
  <c r="D109" i="14"/>
  <c r="D128" i="3"/>
  <c r="D131" i="3"/>
  <c r="D263" i="14"/>
  <c r="D197" i="14"/>
  <c r="D87" i="14"/>
  <c r="D125" i="3"/>
  <c r="D133" i="3"/>
  <c r="D241" i="14"/>
  <c r="D66" i="14"/>
  <c r="D126" i="3"/>
  <c r="D219" i="14"/>
  <c r="D130" i="3"/>
  <c r="D307" i="14"/>
  <c r="D131" i="14"/>
  <c r="D132" i="3"/>
  <c r="D153" i="14"/>
  <c r="BL196" i="11"/>
  <c r="C210" i="11"/>
  <c r="C222" i="11" s="1"/>
  <c r="C233" i="11" s="1"/>
  <c r="C212" i="11"/>
  <c r="C224" i="11" s="1"/>
  <c r="C235" i="11" s="1"/>
  <c r="BL198" i="11"/>
  <c r="H23" i="9"/>
  <c r="I23" i="9" s="1"/>
  <c r="J23" i="9" s="1"/>
  <c r="K23" i="9" s="1"/>
  <c r="L23" i="9" s="1"/>
  <c r="M23" i="9" s="1"/>
  <c r="N23" i="9" s="1"/>
  <c r="O23" i="9" s="1"/>
  <c r="P23" i="9" s="1"/>
  <c r="Q23" i="9" s="1"/>
  <c r="E38" i="4"/>
  <c r="E41" i="4" s="1"/>
  <c r="H12" i="12"/>
  <c r="M62" i="9"/>
  <c r="N62" i="9" s="1"/>
  <c r="O62" i="9" s="1"/>
  <c r="P62" i="9" s="1"/>
  <c r="Q62" i="9" s="1"/>
  <c r="M17" i="9"/>
  <c r="N17" i="9" s="1"/>
  <c r="O17" i="9" s="1"/>
  <c r="P17" i="9" s="1"/>
  <c r="Q17" i="9" s="1"/>
  <c r="M79" i="9"/>
  <c r="N79" i="9" s="1"/>
  <c r="O79" i="9" s="1"/>
  <c r="P79" i="9" s="1"/>
  <c r="Q79" i="9" s="1"/>
  <c r="M16" i="9"/>
  <c r="N16" i="9" s="1"/>
  <c r="O16" i="9" s="1"/>
  <c r="P16" i="9" s="1"/>
  <c r="Q16" i="9" s="1"/>
  <c r="M70" i="9"/>
  <c r="N70" i="9" s="1"/>
  <c r="O70" i="9" s="1"/>
  <c r="P70" i="9" s="1"/>
  <c r="Q70" i="9" s="1"/>
  <c r="M60" i="9"/>
  <c r="N60" i="9" s="1"/>
  <c r="O60" i="9" s="1"/>
  <c r="P60" i="9" s="1"/>
  <c r="Q60" i="9" s="1"/>
  <c r="M34" i="9"/>
  <c r="N34" i="9" s="1"/>
  <c r="O34" i="9" s="1"/>
  <c r="P34" i="9" s="1"/>
  <c r="Q34" i="9" s="1"/>
  <c r="M67" i="9"/>
  <c r="N67" i="9" s="1"/>
  <c r="O67" i="9" s="1"/>
  <c r="P67" i="9" s="1"/>
  <c r="Q67" i="9" s="1"/>
  <c r="M66" i="9"/>
  <c r="N66" i="9" s="1"/>
  <c r="O66" i="9" s="1"/>
  <c r="P66" i="9" s="1"/>
  <c r="Q66" i="9" s="1"/>
  <c r="M77" i="9"/>
  <c r="N77" i="9" s="1"/>
  <c r="O77" i="9" s="1"/>
  <c r="P77" i="9" s="1"/>
  <c r="Q77" i="9" s="1"/>
  <c r="M14" i="9"/>
  <c r="N14" i="9" s="1"/>
  <c r="O14" i="9" s="1"/>
  <c r="P14" i="9" s="1"/>
  <c r="Q14" i="9" s="1"/>
  <c r="N36" i="10"/>
  <c r="O36" i="10" s="1"/>
  <c r="P36" i="10" s="1"/>
  <c r="Q36" i="10" s="1"/>
  <c r="R36" i="10" s="1"/>
  <c r="BM52" i="11" l="1"/>
  <c r="BU213" i="11"/>
  <c r="CF213" i="11" s="1"/>
  <c r="AZ51" i="16"/>
  <c r="AL51" i="16"/>
  <c r="BB52" i="16"/>
  <c r="AN52" i="16"/>
  <c r="AZ53" i="16"/>
  <c r="AL53" i="16"/>
  <c r="BO20" i="11"/>
  <c r="J185" i="14"/>
  <c r="K180" i="14"/>
  <c r="J188" i="14"/>
  <c r="J189" i="14" s="1"/>
  <c r="J192" i="14" s="1"/>
  <c r="A180" i="14"/>
  <c r="BP37" i="11"/>
  <c r="D195" i="3"/>
  <c r="AC309" i="35"/>
  <c r="BR309" i="35" s="1"/>
  <c r="H100" i="14"/>
  <c r="G101" i="14"/>
  <c r="I192" i="14"/>
  <c r="AF306" i="35"/>
  <c r="BS306" i="35" s="1"/>
  <c r="BV214" i="11"/>
  <c r="CG214" i="11" s="1"/>
  <c r="F299" i="14"/>
  <c r="F302" i="14" s="1"/>
  <c r="G298" i="14"/>
  <c r="J51" i="15"/>
  <c r="K35" i="15"/>
  <c r="AZ35" i="16"/>
  <c r="AL35" i="16"/>
  <c r="C35" i="28"/>
  <c r="H320" i="14"/>
  <c r="G321" i="14"/>
  <c r="G324" i="14" s="1"/>
  <c r="H79" i="14"/>
  <c r="I78" i="14"/>
  <c r="I79" i="14" s="1"/>
  <c r="G7" i="9"/>
  <c r="F27" i="9"/>
  <c r="F46" i="9"/>
  <c r="G165" i="14"/>
  <c r="F167" i="14"/>
  <c r="F170" i="14" s="1"/>
  <c r="H144" i="14"/>
  <c r="G145" i="14"/>
  <c r="G148" i="14" s="1"/>
  <c r="U5" i="16"/>
  <c r="AJ5" i="16" s="1"/>
  <c r="AY5" i="16" s="1"/>
  <c r="E56" i="16"/>
  <c r="G2" i="5"/>
  <c r="F5" i="16"/>
  <c r="AL49" i="16"/>
  <c r="AZ49" i="16"/>
  <c r="AZ48" i="16"/>
  <c r="AL48" i="16"/>
  <c r="T166" i="11"/>
  <c r="AI166" i="11" s="1"/>
  <c r="BM166" i="11" s="1"/>
  <c r="S164" i="11"/>
  <c r="AH164" i="11" s="1"/>
  <c r="BL164" i="11" s="1"/>
  <c r="T162" i="11"/>
  <c r="AI162" i="11" s="1"/>
  <c r="BM162" i="11" s="1"/>
  <c r="S160" i="11"/>
  <c r="AH160" i="11" s="1"/>
  <c r="BL160" i="11" s="1"/>
  <c r="T158" i="11"/>
  <c r="AI158" i="11" s="1"/>
  <c r="BM158" i="11" s="1"/>
  <c r="S156" i="11"/>
  <c r="AH156" i="11" s="1"/>
  <c r="BL156" i="11" s="1"/>
  <c r="T154" i="11"/>
  <c r="AI154" i="11" s="1"/>
  <c r="BM154" i="11" s="1"/>
  <c r="T152" i="11"/>
  <c r="AI152" i="11" s="1"/>
  <c r="BM152" i="11" s="1"/>
  <c r="S151" i="11"/>
  <c r="AH151" i="11" s="1"/>
  <c r="BL151" i="11" s="1"/>
  <c r="U165" i="11"/>
  <c r="AJ165" i="11" s="1"/>
  <c r="BN165" i="11" s="1"/>
  <c r="S165" i="11"/>
  <c r="AH165" i="11" s="1"/>
  <c r="BL165" i="11" s="1"/>
  <c r="S163" i="11"/>
  <c r="AH163" i="11" s="1"/>
  <c r="BL163" i="11" s="1"/>
  <c r="S161" i="11"/>
  <c r="AH161" i="11" s="1"/>
  <c r="BL161" i="11" s="1"/>
  <c r="T159" i="11"/>
  <c r="AI159" i="11" s="1"/>
  <c r="BM159" i="11" s="1"/>
  <c r="S157" i="11"/>
  <c r="AH157" i="11" s="1"/>
  <c r="BL157" i="11" s="1"/>
  <c r="T155" i="11"/>
  <c r="AI155" i="11" s="1"/>
  <c r="BM155" i="11" s="1"/>
  <c r="S153" i="11"/>
  <c r="AH153" i="11" s="1"/>
  <c r="BL153" i="11" s="1"/>
  <c r="U162" i="11"/>
  <c r="AJ162" i="11" s="1"/>
  <c r="BN162" i="11" s="1"/>
  <c r="U158" i="11"/>
  <c r="AJ158" i="11" s="1"/>
  <c r="BN158" i="11" s="1"/>
  <c r="U154" i="11"/>
  <c r="AJ154" i="11" s="1"/>
  <c r="BN154" i="11" s="1"/>
  <c r="U151" i="11"/>
  <c r="AJ151" i="11" s="1"/>
  <c r="BN151" i="11" s="1"/>
  <c r="U161" i="11"/>
  <c r="AJ161" i="11" s="1"/>
  <c r="BN161" i="11" s="1"/>
  <c r="U157" i="11"/>
  <c r="AJ157" i="11" s="1"/>
  <c r="BN157" i="11" s="1"/>
  <c r="U153" i="11"/>
  <c r="AJ153" i="11" s="1"/>
  <c r="BN153" i="11" s="1"/>
  <c r="U166" i="11"/>
  <c r="AJ166" i="11" s="1"/>
  <c r="BN166" i="11" s="1"/>
  <c r="S166" i="11"/>
  <c r="AH166" i="11" s="1"/>
  <c r="BL166" i="11" s="1"/>
  <c r="T164" i="11"/>
  <c r="AI164" i="11" s="1"/>
  <c r="BM164" i="11" s="1"/>
  <c r="S162" i="11"/>
  <c r="AH162" i="11" s="1"/>
  <c r="BL162" i="11" s="1"/>
  <c r="T160" i="11"/>
  <c r="AI160" i="11" s="1"/>
  <c r="BM160" i="11" s="1"/>
  <c r="S158" i="11"/>
  <c r="AH158" i="11" s="1"/>
  <c r="BL158" i="11" s="1"/>
  <c r="T156" i="11"/>
  <c r="AI156" i="11" s="1"/>
  <c r="BM156" i="11" s="1"/>
  <c r="S154" i="11"/>
  <c r="AH154" i="11" s="1"/>
  <c r="BL154" i="11" s="1"/>
  <c r="S152" i="11"/>
  <c r="AH152" i="11" s="1"/>
  <c r="BL152" i="11" s="1"/>
  <c r="T151" i="11"/>
  <c r="AI151" i="11" s="1"/>
  <c r="BM151" i="11" s="1"/>
  <c r="T165" i="11"/>
  <c r="AI165" i="11" s="1"/>
  <c r="BM165" i="11" s="1"/>
  <c r="T163" i="11"/>
  <c r="AI163" i="11" s="1"/>
  <c r="BM163" i="11" s="1"/>
  <c r="T161" i="11"/>
  <c r="AI161" i="11" s="1"/>
  <c r="BM161" i="11" s="1"/>
  <c r="S159" i="11"/>
  <c r="AH159" i="11" s="1"/>
  <c r="BL159" i="11" s="1"/>
  <c r="T157" i="11"/>
  <c r="AI157" i="11" s="1"/>
  <c r="BM157" i="11" s="1"/>
  <c r="S155" i="11"/>
  <c r="AH155" i="11" s="1"/>
  <c r="BL155" i="11" s="1"/>
  <c r="T153" i="11"/>
  <c r="AI153" i="11" s="1"/>
  <c r="BM153" i="11" s="1"/>
  <c r="U164" i="11"/>
  <c r="AJ164" i="11" s="1"/>
  <c r="BN164" i="11" s="1"/>
  <c r="U160" i="11"/>
  <c r="AJ160" i="11" s="1"/>
  <c r="BN160" i="11" s="1"/>
  <c r="U156" i="11"/>
  <c r="AJ156" i="11" s="1"/>
  <c r="BN156" i="11" s="1"/>
  <c r="U152" i="11"/>
  <c r="AJ152" i="11" s="1"/>
  <c r="BN152" i="11" s="1"/>
  <c r="U163" i="11"/>
  <c r="AJ163" i="11" s="1"/>
  <c r="BN163" i="11" s="1"/>
  <c r="U159" i="11"/>
  <c r="AJ159" i="11" s="1"/>
  <c r="BN159" i="11" s="1"/>
  <c r="U155" i="11"/>
  <c r="AJ155" i="11" s="1"/>
  <c r="BN155" i="11" s="1"/>
  <c r="V164" i="11"/>
  <c r="AK164" i="11" s="1"/>
  <c r="BO164" i="11" s="1"/>
  <c r="V155" i="11"/>
  <c r="AK155" i="11" s="1"/>
  <c r="BO155" i="11" s="1"/>
  <c r="V159" i="11"/>
  <c r="AK159" i="11" s="1"/>
  <c r="BO159" i="11" s="1"/>
  <c r="V163" i="11"/>
  <c r="AK163" i="11" s="1"/>
  <c r="BO163" i="11" s="1"/>
  <c r="V151" i="11"/>
  <c r="AK151" i="11" s="1"/>
  <c r="BO151" i="11" s="1"/>
  <c r="V154" i="11"/>
  <c r="AK154" i="11" s="1"/>
  <c r="BO154" i="11" s="1"/>
  <c r="V158" i="11"/>
  <c r="AK158" i="11" s="1"/>
  <c r="BO158" i="11" s="1"/>
  <c r="V162" i="11"/>
  <c r="AK162" i="11" s="1"/>
  <c r="BO162" i="11" s="1"/>
  <c r="V153" i="11"/>
  <c r="AK153" i="11" s="1"/>
  <c r="V157" i="11"/>
  <c r="AK157" i="11" s="1"/>
  <c r="BO157" i="11" s="1"/>
  <c r="V161" i="11"/>
  <c r="AK161" i="11" s="1"/>
  <c r="BO161" i="11" s="1"/>
  <c r="V165" i="11"/>
  <c r="AK165" i="11" s="1"/>
  <c r="BO165" i="11" s="1"/>
  <c r="V152" i="11"/>
  <c r="AK152" i="11" s="1"/>
  <c r="BO152" i="11" s="1"/>
  <c r="V156" i="11"/>
  <c r="AK156" i="11" s="1"/>
  <c r="BO156" i="11" s="1"/>
  <c r="V160" i="11"/>
  <c r="AK160" i="11" s="1"/>
  <c r="BO160" i="11" s="1"/>
  <c r="V166" i="11"/>
  <c r="AK166" i="11" s="1"/>
  <c r="BO166" i="11" s="1"/>
  <c r="W162" i="11"/>
  <c r="AL162" i="11" s="1"/>
  <c r="W158" i="11"/>
  <c r="AL158" i="11" s="1"/>
  <c r="BP158" i="11" s="1"/>
  <c r="W154" i="11"/>
  <c r="AL154" i="11" s="1"/>
  <c r="BP154" i="11" s="1"/>
  <c r="W151" i="11"/>
  <c r="AL151" i="11" s="1"/>
  <c r="BP151" i="11" s="1"/>
  <c r="W161" i="11"/>
  <c r="AL161" i="11" s="1"/>
  <c r="W157" i="11"/>
  <c r="AL157" i="11" s="1"/>
  <c r="BP157" i="11" s="1"/>
  <c r="W153" i="11"/>
  <c r="AL153" i="11" s="1"/>
  <c r="W165" i="11"/>
  <c r="AL165" i="11" s="1"/>
  <c r="BP165" i="11" s="1"/>
  <c r="W164" i="11"/>
  <c r="AL164" i="11" s="1"/>
  <c r="W160" i="11"/>
  <c r="AL160" i="11" s="1"/>
  <c r="W156" i="11"/>
  <c r="AL156" i="11" s="1"/>
  <c r="BP156" i="11" s="1"/>
  <c r="W152" i="11"/>
  <c r="AL152" i="11" s="1"/>
  <c r="BP152" i="11" s="1"/>
  <c r="W163" i="11"/>
  <c r="AL163" i="11" s="1"/>
  <c r="W159" i="11"/>
  <c r="AL159" i="11" s="1"/>
  <c r="W155" i="11"/>
  <c r="AL155" i="11" s="1"/>
  <c r="BP155" i="11" s="1"/>
  <c r="W166" i="11"/>
  <c r="AL166" i="11" s="1"/>
  <c r="BP166" i="11" s="1"/>
  <c r="X162" i="11"/>
  <c r="AM162" i="11" s="1"/>
  <c r="X158" i="11"/>
  <c r="AM158" i="11" s="1"/>
  <c r="X154" i="11"/>
  <c r="AM154" i="11" s="1"/>
  <c r="BQ154" i="11" s="1"/>
  <c r="X151" i="11"/>
  <c r="AM151" i="11" s="1"/>
  <c r="BQ151" i="11" s="1"/>
  <c r="X163" i="11"/>
  <c r="AM163" i="11" s="1"/>
  <c r="X159" i="11"/>
  <c r="AM159" i="11" s="1"/>
  <c r="X155" i="11"/>
  <c r="AM155" i="11" s="1"/>
  <c r="X164" i="11"/>
  <c r="AM164" i="11" s="1"/>
  <c r="X166" i="11"/>
  <c r="AM166" i="11" s="1"/>
  <c r="X160" i="11"/>
  <c r="AM160" i="11" s="1"/>
  <c r="X156" i="11"/>
  <c r="AM156" i="11" s="1"/>
  <c r="X152" i="11"/>
  <c r="AM152" i="11" s="1"/>
  <c r="BQ152" i="11" s="1"/>
  <c r="X165" i="11"/>
  <c r="AM165" i="11" s="1"/>
  <c r="X161" i="11"/>
  <c r="AM161" i="11" s="1"/>
  <c r="X157" i="11"/>
  <c r="AM157" i="11" s="1"/>
  <c r="X153" i="11"/>
  <c r="AM153" i="11" s="1"/>
  <c r="E41" i="32"/>
  <c r="BB141" i="11"/>
  <c r="BB157" i="11"/>
  <c r="I9" i="12"/>
  <c r="BC155" i="11" s="1"/>
  <c r="BB155" i="11"/>
  <c r="AL292" i="35"/>
  <c r="BU292" i="35" s="1"/>
  <c r="AC307" i="35"/>
  <c r="BR307" i="35" s="1"/>
  <c r="BU272" i="35"/>
  <c r="AL338" i="35"/>
  <c r="BU338" i="35" s="1"/>
  <c r="AI339" i="35"/>
  <c r="BT339" i="35" s="1"/>
  <c r="BV265" i="35"/>
  <c r="AO337" i="35"/>
  <c r="BV337" i="35" s="1"/>
  <c r="BW265" i="35"/>
  <c r="AR337" i="35"/>
  <c r="BW337" i="35" s="1"/>
  <c r="AB310" i="35"/>
  <c r="O312" i="35"/>
  <c r="CF311" i="35"/>
  <c r="L312" i="35"/>
  <c r="CE311" i="35"/>
  <c r="I312" i="35"/>
  <c r="CD311" i="35"/>
  <c r="F312" i="35"/>
  <c r="CC311" i="35"/>
  <c r="U173" i="35"/>
  <c r="AB309" i="35"/>
  <c r="C312" i="35"/>
  <c r="CB311" i="35"/>
  <c r="R312" i="35"/>
  <c r="CG311" i="35"/>
  <c r="U312" i="35"/>
  <c r="CH311" i="35"/>
  <c r="AF307" i="35"/>
  <c r="BS307" i="35" s="1"/>
  <c r="BN13" i="11"/>
  <c r="BN9" i="11"/>
  <c r="BN7" i="11"/>
  <c r="M41" i="15"/>
  <c r="M57" i="15" s="1"/>
  <c r="AC166" i="11"/>
  <c r="AR166" i="11" s="1"/>
  <c r="AC165" i="11"/>
  <c r="AR165" i="11" s="1"/>
  <c r="AC164" i="11"/>
  <c r="AR164" i="11" s="1"/>
  <c r="AC162" i="11"/>
  <c r="AR162" i="11" s="1"/>
  <c r="AC160" i="11"/>
  <c r="AR160" i="11" s="1"/>
  <c r="AC158" i="11"/>
  <c r="AR158" i="11" s="1"/>
  <c r="AC156" i="11"/>
  <c r="AR156" i="11" s="1"/>
  <c r="AC154" i="11"/>
  <c r="AR154" i="11" s="1"/>
  <c r="AC152" i="11"/>
  <c r="AR152" i="11" s="1"/>
  <c r="AC151" i="11"/>
  <c r="AR151" i="11" s="1"/>
  <c r="AC163" i="11"/>
  <c r="AR163" i="11" s="1"/>
  <c r="AC161" i="11"/>
  <c r="AR161" i="11" s="1"/>
  <c r="AC159" i="11"/>
  <c r="AR159" i="11" s="1"/>
  <c r="AC157" i="11"/>
  <c r="AR157" i="11" s="1"/>
  <c r="AC155" i="11"/>
  <c r="AR155" i="11" s="1"/>
  <c r="AC153" i="11"/>
  <c r="AR153" i="11" s="1"/>
  <c r="I41" i="15"/>
  <c r="I57" i="15" s="1"/>
  <c r="Y164" i="11"/>
  <c r="AN164" i="11" s="1"/>
  <c r="Y162" i="11"/>
  <c r="AN162" i="11" s="1"/>
  <c r="Y160" i="11"/>
  <c r="AN160" i="11" s="1"/>
  <c r="Y158" i="11"/>
  <c r="AN158" i="11" s="1"/>
  <c r="Y156" i="11"/>
  <c r="AN156" i="11" s="1"/>
  <c r="Y154" i="11"/>
  <c r="AN154" i="11" s="1"/>
  <c r="BR154" i="11" s="1"/>
  <c r="Y152" i="11"/>
  <c r="AN152" i="11" s="1"/>
  <c r="BR152" i="11" s="1"/>
  <c r="Y151" i="11"/>
  <c r="AN151" i="11" s="1"/>
  <c r="BR151" i="11" s="1"/>
  <c r="Y163" i="11"/>
  <c r="AN163" i="11" s="1"/>
  <c r="Y161" i="11"/>
  <c r="AN161" i="11" s="1"/>
  <c r="Y159" i="11"/>
  <c r="AN159" i="11" s="1"/>
  <c r="Y157" i="11"/>
  <c r="AN157" i="11" s="1"/>
  <c r="Y155" i="11"/>
  <c r="AN155" i="11" s="1"/>
  <c r="BR155" i="11" s="1"/>
  <c r="Y153" i="11"/>
  <c r="AN153" i="11" s="1"/>
  <c r="Y166" i="11"/>
  <c r="AN166" i="11" s="1"/>
  <c r="Y165" i="11"/>
  <c r="AN165" i="11" s="1"/>
  <c r="K41" i="15"/>
  <c r="K57" i="15" s="1"/>
  <c r="AA166" i="11"/>
  <c r="AP166" i="11" s="1"/>
  <c r="AA165" i="11"/>
  <c r="AP165" i="11" s="1"/>
  <c r="AA164" i="11"/>
  <c r="AP164" i="11" s="1"/>
  <c r="AA162" i="11"/>
  <c r="AP162" i="11" s="1"/>
  <c r="AA160" i="11"/>
  <c r="AP160" i="11" s="1"/>
  <c r="AA158" i="11"/>
  <c r="AP158" i="11" s="1"/>
  <c r="AA156" i="11"/>
  <c r="AP156" i="11" s="1"/>
  <c r="AA154" i="11"/>
  <c r="AP154" i="11" s="1"/>
  <c r="AA152" i="11"/>
  <c r="AP152" i="11" s="1"/>
  <c r="AA151" i="11"/>
  <c r="AP151" i="11" s="1"/>
  <c r="AA163" i="11"/>
  <c r="AP163" i="11" s="1"/>
  <c r="AA161" i="11"/>
  <c r="AP161" i="11" s="1"/>
  <c r="AA159" i="11"/>
  <c r="AP159" i="11" s="1"/>
  <c r="AA157" i="11"/>
  <c r="AP157" i="11" s="1"/>
  <c r="AA155" i="11"/>
  <c r="AP155" i="11" s="1"/>
  <c r="AA153" i="11"/>
  <c r="AP153" i="11" s="1"/>
  <c r="L41" i="15"/>
  <c r="L57" i="15" s="1"/>
  <c r="AB166" i="11"/>
  <c r="AQ166" i="11" s="1"/>
  <c r="AB164" i="11"/>
  <c r="AQ164" i="11" s="1"/>
  <c r="AB162" i="11"/>
  <c r="AQ162" i="11" s="1"/>
  <c r="AB160" i="11"/>
  <c r="AQ160" i="11" s="1"/>
  <c r="AB158" i="11"/>
  <c r="AQ158" i="11" s="1"/>
  <c r="AB156" i="11"/>
  <c r="AQ156" i="11" s="1"/>
  <c r="AB154" i="11"/>
  <c r="AQ154" i="11" s="1"/>
  <c r="AB152" i="11"/>
  <c r="AQ152" i="11" s="1"/>
  <c r="AB151" i="11"/>
  <c r="AQ151" i="11" s="1"/>
  <c r="AB165" i="11"/>
  <c r="AQ165" i="11" s="1"/>
  <c r="AB163" i="11"/>
  <c r="AQ163" i="11" s="1"/>
  <c r="AB161" i="11"/>
  <c r="AQ161" i="11" s="1"/>
  <c r="AB159" i="11"/>
  <c r="AQ159" i="11" s="1"/>
  <c r="AB157" i="11"/>
  <c r="AQ157" i="11" s="1"/>
  <c r="AB155" i="11"/>
  <c r="AQ155" i="11" s="1"/>
  <c r="AB153" i="11"/>
  <c r="AQ153" i="11" s="1"/>
  <c r="J41" i="15"/>
  <c r="J57" i="15" s="1"/>
  <c r="Z164" i="11"/>
  <c r="AO164" i="11" s="1"/>
  <c r="Z166" i="11"/>
  <c r="AO166" i="11" s="1"/>
  <c r="Z162" i="11"/>
  <c r="AO162" i="11" s="1"/>
  <c r="Z160" i="11"/>
  <c r="AO160" i="11" s="1"/>
  <c r="Z158" i="11"/>
  <c r="AO158" i="11" s="1"/>
  <c r="Z156" i="11"/>
  <c r="AO156" i="11" s="1"/>
  <c r="Z154" i="11"/>
  <c r="AO154" i="11" s="1"/>
  <c r="Z152" i="11"/>
  <c r="AO152" i="11" s="1"/>
  <c r="Z151" i="11"/>
  <c r="AO151" i="11" s="1"/>
  <c r="Z165" i="11"/>
  <c r="AO165" i="11" s="1"/>
  <c r="Z163" i="11"/>
  <c r="AO163" i="11" s="1"/>
  <c r="Z161" i="11"/>
  <c r="AO161" i="11" s="1"/>
  <c r="Z159" i="11"/>
  <c r="AO159" i="11" s="1"/>
  <c r="Z157" i="11"/>
  <c r="AO157" i="11" s="1"/>
  <c r="Z155" i="11"/>
  <c r="AO155" i="11" s="1"/>
  <c r="Z153" i="11"/>
  <c r="AO153" i="11" s="1"/>
  <c r="H26" i="3"/>
  <c r="H14" i="3"/>
  <c r="H25" i="3" s="1"/>
  <c r="O10" i="10"/>
  <c r="P35" i="10"/>
  <c r="E57" i="32"/>
  <c r="J214" i="14"/>
  <c r="BL13" i="11"/>
  <c r="H123" i="14"/>
  <c r="H126" i="14" s="1"/>
  <c r="I122" i="14"/>
  <c r="G277" i="14"/>
  <c r="G280" i="14" s="1"/>
  <c r="H276" i="14"/>
  <c r="BW214" i="11"/>
  <c r="N194" i="3"/>
  <c r="J75" i="14"/>
  <c r="J78" i="14"/>
  <c r="E10" i="5"/>
  <c r="E12" i="5"/>
  <c r="K69" i="9"/>
  <c r="J23" i="1"/>
  <c r="AO273" i="35"/>
  <c r="BV273" i="35" s="1"/>
  <c r="AR273" i="35"/>
  <c r="BW273" i="35" s="1"/>
  <c r="AL280" i="35"/>
  <c r="BU280" i="35" s="1"/>
  <c r="AF310" i="35"/>
  <c r="BS310" i="35" s="1"/>
  <c r="AF309" i="35"/>
  <c r="BS309" i="35" s="1"/>
  <c r="AA308" i="35"/>
  <c r="AA307" i="35"/>
  <c r="CJ307" i="35" s="1"/>
  <c r="AA306" i="35"/>
  <c r="CJ306" i="35" s="1"/>
  <c r="AC292" i="35"/>
  <c r="BR292" i="35" s="1"/>
  <c r="AM306" i="35"/>
  <c r="AM308" i="35"/>
  <c r="AM307" i="35"/>
  <c r="AJ307" i="35"/>
  <c r="AJ306" i="35"/>
  <c r="AJ308" i="35"/>
  <c r="O149" i="3"/>
  <c r="A75" i="14"/>
  <c r="BL12" i="11"/>
  <c r="BL7" i="11"/>
  <c r="BL14" i="11"/>
  <c r="H52" i="15"/>
  <c r="AI294" i="35"/>
  <c r="BT294" i="35" s="1"/>
  <c r="AI287" i="35"/>
  <c r="BT287" i="35" s="1"/>
  <c r="AI286" i="35"/>
  <c r="BT286" i="35" s="1"/>
  <c r="AI293" i="35"/>
  <c r="BT293" i="35" s="1"/>
  <c r="AL279" i="35"/>
  <c r="AO272" i="35"/>
  <c r="AR272" i="35"/>
  <c r="O150" i="3"/>
  <c r="G141" i="3"/>
  <c r="G52" i="15"/>
  <c r="AG308" i="35"/>
  <c r="AG306" i="35"/>
  <c r="AG307" i="35"/>
  <c r="AD307" i="35"/>
  <c r="CK307" i="35" s="1"/>
  <c r="AD308" i="35"/>
  <c r="AD306" i="35"/>
  <c r="CK306" i="35" s="1"/>
  <c r="AF292" i="35"/>
  <c r="BS292" i="35" s="1"/>
  <c r="AP307" i="35"/>
  <c r="AP306" i="35"/>
  <c r="AP308" i="35"/>
  <c r="BW213" i="11"/>
  <c r="N193" i="3"/>
  <c r="AD142" i="11" s="1"/>
  <c r="AS142" i="11" s="1"/>
  <c r="AI292" i="35"/>
  <c r="BT292" i="35" s="1"/>
  <c r="G177" i="3"/>
  <c r="F192" i="3"/>
  <c r="F41" i="32" s="1"/>
  <c r="J176" i="3"/>
  <c r="J175" i="3"/>
  <c r="H37" i="15"/>
  <c r="AL307" i="35"/>
  <c r="BU307" i="35" s="1"/>
  <c r="AL306" i="35"/>
  <c r="BU306" i="35" s="1"/>
  <c r="AL308" i="35"/>
  <c r="BU308" i="35" s="1"/>
  <c r="AO283" i="35"/>
  <c r="BV283" i="35" s="1"/>
  <c r="AO290" i="35"/>
  <c r="BV290" i="35" s="1"/>
  <c r="AO285" i="35"/>
  <c r="BV285" i="35" s="1"/>
  <c r="AO292" i="35"/>
  <c r="BV292" i="35" s="1"/>
  <c r="AR285" i="35"/>
  <c r="BW285" i="35" s="1"/>
  <c r="AR292" i="35"/>
  <c r="BW292" i="35" s="1"/>
  <c r="AR283" i="35"/>
  <c r="BW283" i="35" s="1"/>
  <c r="AR290" i="35"/>
  <c r="BW290" i="35" s="1"/>
  <c r="F224" i="3"/>
  <c r="F164" i="3"/>
  <c r="F211" i="3" s="1"/>
  <c r="E164" i="3"/>
  <c r="E211" i="3" s="1"/>
  <c r="E224" i="3"/>
  <c r="D224" i="3"/>
  <c r="D164" i="3"/>
  <c r="D211" i="3" s="1"/>
  <c r="BL9" i="11"/>
  <c r="BL17" i="11"/>
  <c r="BC139" i="11"/>
  <c r="BB139" i="11"/>
  <c r="BC135" i="11"/>
  <c r="T140" i="11"/>
  <c r="AI140" i="11" s="1"/>
  <c r="BM140" i="11" s="1"/>
  <c r="T148" i="11"/>
  <c r="AI148" i="11" s="1"/>
  <c r="BM148" i="11" s="1"/>
  <c r="T145" i="11"/>
  <c r="AI145" i="11" s="1"/>
  <c r="BM145" i="11" s="1"/>
  <c r="T142" i="11"/>
  <c r="AI142" i="11" s="1"/>
  <c r="BM142" i="11" s="1"/>
  <c r="T150" i="11"/>
  <c r="AI150" i="11" s="1"/>
  <c r="BM150" i="11" s="1"/>
  <c r="T149" i="11"/>
  <c r="AI149" i="11" s="1"/>
  <c r="BM149" i="11" s="1"/>
  <c r="T143" i="11"/>
  <c r="AI143" i="11" s="1"/>
  <c r="BM143" i="11" s="1"/>
  <c r="T147" i="11"/>
  <c r="AI147" i="11" s="1"/>
  <c r="BM147" i="11" s="1"/>
  <c r="S141" i="11"/>
  <c r="AH141" i="11" s="1"/>
  <c r="BL141" i="11" s="1"/>
  <c r="S149" i="11"/>
  <c r="AH149" i="11" s="1"/>
  <c r="BL149" i="11" s="1"/>
  <c r="S146" i="11"/>
  <c r="AH146" i="11" s="1"/>
  <c r="BL146" i="11" s="1"/>
  <c r="S143" i="11"/>
  <c r="AH143" i="11" s="1"/>
  <c r="BL143" i="11" s="1"/>
  <c r="S135" i="11"/>
  <c r="AH135" i="11" s="1"/>
  <c r="BL135" i="11" s="1"/>
  <c r="S150" i="11"/>
  <c r="AH150" i="11" s="1"/>
  <c r="BL150" i="11" s="1"/>
  <c r="S148" i="11"/>
  <c r="AH148" i="11" s="1"/>
  <c r="BL148" i="11" s="1"/>
  <c r="U135" i="11"/>
  <c r="AJ135" i="11" s="1"/>
  <c r="BN135" i="11" s="1"/>
  <c r="U143" i="11"/>
  <c r="AJ143" i="11" s="1"/>
  <c r="BN143" i="11" s="1"/>
  <c r="U138" i="11"/>
  <c r="AJ138" i="11" s="1"/>
  <c r="BN138" i="11" s="1"/>
  <c r="U137" i="11"/>
  <c r="AJ137" i="11" s="1"/>
  <c r="BN137" i="11" s="1"/>
  <c r="U145" i="11"/>
  <c r="AJ145" i="11" s="1"/>
  <c r="BN145" i="11" s="1"/>
  <c r="U142" i="11"/>
  <c r="AJ142" i="11" s="1"/>
  <c r="BN142" i="11" s="1"/>
  <c r="U136" i="11"/>
  <c r="AJ136" i="11" s="1"/>
  <c r="BN136" i="11" s="1"/>
  <c r="U148" i="11"/>
  <c r="AJ148" i="11" s="1"/>
  <c r="BN148" i="11" s="1"/>
  <c r="AD140" i="11"/>
  <c r="AS140" i="11" s="1"/>
  <c r="AD136" i="11"/>
  <c r="AS136" i="11" s="1"/>
  <c r="AC137" i="11"/>
  <c r="AR137" i="11" s="1"/>
  <c r="AC138" i="11"/>
  <c r="AR138" i="11" s="1"/>
  <c r="AC135" i="11"/>
  <c r="AR135" i="11" s="1"/>
  <c r="AC142" i="11"/>
  <c r="AR142" i="11" s="1"/>
  <c r="AC141" i="11"/>
  <c r="AR141" i="11" s="1"/>
  <c r="AC146" i="11"/>
  <c r="AR146" i="11" s="1"/>
  <c r="AC139" i="11"/>
  <c r="AR139" i="11" s="1"/>
  <c r="AC150" i="11"/>
  <c r="AR150" i="11" s="1"/>
  <c r="AB136" i="11"/>
  <c r="AQ136" i="11" s="1"/>
  <c r="AB137" i="11"/>
  <c r="AQ137" i="11" s="1"/>
  <c r="AB138" i="11"/>
  <c r="AQ138" i="11" s="1"/>
  <c r="AB141" i="11"/>
  <c r="AQ141" i="11" s="1"/>
  <c r="AB148" i="11"/>
  <c r="AQ148" i="11" s="1"/>
  <c r="AB142" i="11"/>
  <c r="AQ142" i="11" s="1"/>
  <c r="AB140" i="11"/>
  <c r="AQ140" i="11" s="1"/>
  <c r="AB150" i="11"/>
  <c r="AQ150" i="11" s="1"/>
  <c r="AA139" i="11"/>
  <c r="AP139" i="11" s="1"/>
  <c r="AA144" i="11"/>
  <c r="AP144" i="11" s="1"/>
  <c r="AA141" i="11"/>
  <c r="AP141" i="11" s="1"/>
  <c r="AA148" i="11"/>
  <c r="AP148" i="11" s="1"/>
  <c r="AA135" i="11"/>
  <c r="AP135" i="11" s="1"/>
  <c r="AA136" i="11"/>
  <c r="AP136" i="11" s="1"/>
  <c r="AA137" i="11"/>
  <c r="AP137" i="11" s="1"/>
  <c r="AA140" i="11"/>
  <c r="AP140" i="11" s="1"/>
  <c r="Z142" i="11"/>
  <c r="AO142" i="11" s="1"/>
  <c r="Z143" i="11"/>
  <c r="AO143" i="11" s="1"/>
  <c r="Z140" i="11"/>
  <c r="AO140" i="11" s="1"/>
  <c r="Z147" i="11"/>
  <c r="AO147" i="11" s="1"/>
  <c r="Z138" i="11"/>
  <c r="AO138" i="11" s="1"/>
  <c r="Z135" i="11"/>
  <c r="AO135" i="11" s="1"/>
  <c r="Z136" i="11"/>
  <c r="AO136" i="11" s="1"/>
  <c r="Z139" i="11"/>
  <c r="AO139" i="11" s="1"/>
  <c r="Y137" i="11"/>
  <c r="AN137" i="11" s="1"/>
  <c r="Y142" i="11"/>
  <c r="AN142" i="11" s="1"/>
  <c r="Y135" i="11"/>
  <c r="AN135" i="11" s="1"/>
  <c r="BR135" i="11" s="1"/>
  <c r="Y138" i="11"/>
  <c r="AN138" i="11" s="1"/>
  <c r="Y144" i="11"/>
  <c r="AN144" i="11" s="1"/>
  <c r="Y149" i="11"/>
  <c r="AN149" i="11" s="1"/>
  <c r="Y148" i="11"/>
  <c r="AN148" i="11" s="1"/>
  <c r="Y147" i="11"/>
  <c r="AN147" i="11" s="1"/>
  <c r="X136" i="11"/>
  <c r="AM136" i="11" s="1"/>
  <c r="BQ136" i="11" s="1"/>
  <c r="X144" i="11"/>
  <c r="AM144" i="11" s="1"/>
  <c r="T136" i="11"/>
  <c r="AI136" i="11" s="1"/>
  <c r="BM136" i="11" s="1"/>
  <c r="T144" i="11"/>
  <c r="AI144" i="11" s="1"/>
  <c r="BM144" i="11" s="1"/>
  <c r="T137" i="11"/>
  <c r="AI137" i="11" s="1"/>
  <c r="BM137" i="11" s="1"/>
  <c r="T139" i="11"/>
  <c r="AI139" i="11" s="1"/>
  <c r="BM139" i="11" s="1"/>
  <c r="T138" i="11"/>
  <c r="AI138" i="11" s="1"/>
  <c r="BM138" i="11" s="1"/>
  <c r="T146" i="11"/>
  <c r="AI146" i="11" s="1"/>
  <c r="BM146" i="11" s="1"/>
  <c r="T141" i="11"/>
  <c r="AI141" i="11" s="1"/>
  <c r="BM141" i="11" s="1"/>
  <c r="T135" i="11"/>
  <c r="AI135" i="11" s="1"/>
  <c r="BM135" i="11" s="1"/>
  <c r="S137" i="11"/>
  <c r="AH137" i="11" s="1"/>
  <c r="BL137" i="11" s="1"/>
  <c r="S145" i="11"/>
  <c r="AH145" i="11" s="1"/>
  <c r="BL145" i="11" s="1"/>
  <c r="S138" i="11"/>
  <c r="AH138" i="11" s="1"/>
  <c r="BL138" i="11" s="1"/>
  <c r="S144" i="11"/>
  <c r="AH144" i="11" s="1"/>
  <c r="BL144" i="11" s="1"/>
  <c r="S139" i="11"/>
  <c r="AH139" i="11" s="1"/>
  <c r="BL139" i="11" s="1"/>
  <c r="S147" i="11"/>
  <c r="AH147" i="11" s="1"/>
  <c r="BL147" i="11" s="1"/>
  <c r="S142" i="11"/>
  <c r="AH142" i="11" s="1"/>
  <c r="BL142" i="11" s="1"/>
  <c r="S136" i="11"/>
  <c r="AH136" i="11" s="1"/>
  <c r="BL136" i="11" s="1"/>
  <c r="S140" i="11"/>
  <c r="AH140" i="11" s="1"/>
  <c r="BL140" i="11" s="1"/>
  <c r="U139" i="11"/>
  <c r="AJ139" i="11" s="1"/>
  <c r="BN139" i="11" s="1"/>
  <c r="U147" i="11"/>
  <c r="AJ147" i="11" s="1"/>
  <c r="BN147" i="11" s="1"/>
  <c r="U146" i="11"/>
  <c r="AJ146" i="11" s="1"/>
  <c r="BN146" i="11" s="1"/>
  <c r="U141" i="11"/>
  <c r="AJ141" i="11" s="1"/>
  <c r="BN141" i="11" s="1"/>
  <c r="U149" i="11"/>
  <c r="AJ149" i="11" s="1"/>
  <c r="BN149" i="11" s="1"/>
  <c r="U150" i="11"/>
  <c r="AJ150" i="11" s="1"/>
  <c r="BN150" i="11" s="1"/>
  <c r="U144" i="11"/>
  <c r="AJ144" i="11" s="1"/>
  <c r="BN144" i="11" s="1"/>
  <c r="U140" i="11"/>
  <c r="AJ140" i="11" s="1"/>
  <c r="BN140" i="11" s="1"/>
  <c r="AD150" i="11"/>
  <c r="AS150" i="11" s="1"/>
  <c r="AD148" i="11"/>
  <c r="AS148" i="11" s="1"/>
  <c r="AD146" i="11"/>
  <c r="AS146" i="11" s="1"/>
  <c r="AD144" i="11"/>
  <c r="AS144" i="11" s="1"/>
  <c r="AC145" i="11"/>
  <c r="AR145" i="11" s="1"/>
  <c r="AC136" i="11"/>
  <c r="AR136" i="11" s="1"/>
  <c r="AC143" i="11"/>
  <c r="AR143" i="11" s="1"/>
  <c r="AC140" i="11"/>
  <c r="AR140" i="11" s="1"/>
  <c r="AC149" i="11"/>
  <c r="AR149" i="11" s="1"/>
  <c r="AC144" i="11"/>
  <c r="AR144" i="11" s="1"/>
  <c r="AC147" i="11"/>
  <c r="AR147" i="11" s="1"/>
  <c r="AC148" i="11"/>
  <c r="AR148" i="11" s="1"/>
  <c r="AB144" i="11"/>
  <c r="AQ144" i="11" s="1"/>
  <c r="AB135" i="11"/>
  <c r="AQ135" i="11" s="1"/>
  <c r="AB146" i="11"/>
  <c r="AQ146" i="11" s="1"/>
  <c r="AB139" i="11"/>
  <c r="AQ139" i="11" s="1"/>
  <c r="AB143" i="11"/>
  <c r="AQ143" i="11" s="1"/>
  <c r="AB149" i="11"/>
  <c r="AQ149" i="11" s="1"/>
  <c r="AB145" i="11"/>
  <c r="AQ145" i="11" s="1"/>
  <c r="AB147" i="11"/>
  <c r="AQ147" i="11" s="1"/>
  <c r="AA147" i="11"/>
  <c r="AP147" i="11" s="1"/>
  <c r="AA150" i="11"/>
  <c r="AP150" i="11" s="1"/>
  <c r="AA149" i="11"/>
  <c r="AP149" i="11" s="1"/>
  <c r="AA146" i="11"/>
  <c r="AP146" i="11" s="1"/>
  <c r="AA143" i="11"/>
  <c r="AP143" i="11" s="1"/>
  <c r="AA142" i="11"/>
  <c r="AP142" i="11" s="1"/>
  <c r="AA145" i="11"/>
  <c r="AP145" i="11" s="1"/>
  <c r="AA138" i="11"/>
  <c r="AP138" i="11" s="1"/>
  <c r="Z150" i="11"/>
  <c r="AO150" i="11" s="1"/>
  <c r="Z149" i="11"/>
  <c r="AO149" i="11" s="1"/>
  <c r="Z148" i="11"/>
  <c r="AO148" i="11" s="1"/>
  <c r="Z145" i="11"/>
  <c r="AO145" i="11" s="1"/>
  <c r="Z146" i="11"/>
  <c r="AO146" i="11" s="1"/>
  <c r="Z141" i="11"/>
  <c r="AO141" i="11" s="1"/>
  <c r="Z144" i="11"/>
  <c r="AO144" i="11" s="1"/>
  <c r="Z137" i="11"/>
  <c r="AO137" i="11" s="1"/>
  <c r="Y145" i="11"/>
  <c r="AN145" i="11" s="1"/>
  <c r="Y140" i="11"/>
  <c r="AN140" i="11" s="1"/>
  <c r="Y143" i="11"/>
  <c r="AN143" i="11" s="1"/>
  <c r="Y136" i="11"/>
  <c r="AN136" i="11" s="1"/>
  <c r="Y141" i="11"/>
  <c r="AN141" i="11" s="1"/>
  <c r="Y150" i="11"/>
  <c r="AN150" i="11" s="1"/>
  <c r="Y139" i="11"/>
  <c r="AN139" i="11" s="1"/>
  <c r="Y146" i="11"/>
  <c r="AN146" i="11" s="1"/>
  <c r="X140" i="11"/>
  <c r="AM140" i="11" s="1"/>
  <c r="X148" i="11"/>
  <c r="AM148" i="11" s="1"/>
  <c r="X149" i="11"/>
  <c r="AM149" i="11" s="1"/>
  <c r="X142" i="11"/>
  <c r="AM142" i="11" s="1"/>
  <c r="X150" i="11"/>
  <c r="AM150" i="11" s="1"/>
  <c r="X145" i="11"/>
  <c r="AM145" i="11" s="1"/>
  <c r="X147" i="11"/>
  <c r="AM147" i="11" s="1"/>
  <c r="W141" i="11"/>
  <c r="AL141" i="11" s="1"/>
  <c r="BP141" i="11" s="1"/>
  <c r="W149" i="11"/>
  <c r="AL149" i="11" s="1"/>
  <c r="BP149" i="11" s="1"/>
  <c r="W148" i="11"/>
  <c r="AL148" i="11" s="1"/>
  <c r="W150" i="11"/>
  <c r="AL150" i="11" s="1"/>
  <c r="BP150" i="11" s="1"/>
  <c r="W139" i="11"/>
  <c r="AL139" i="11" s="1"/>
  <c r="BP139" i="11" s="1"/>
  <c r="W147" i="11"/>
  <c r="AL147" i="11" s="1"/>
  <c r="W144" i="11"/>
  <c r="AL144" i="11" s="1"/>
  <c r="W146" i="11"/>
  <c r="AL146" i="11" s="1"/>
  <c r="V142" i="11"/>
  <c r="AK142" i="11" s="1"/>
  <c r="BO142" i="11" s="1"/>
  <c r="V150" i="11"/>
  <c r="AK150" i="11" s="1"/>
  <c r="BO150" i="11" s="1"/>
  <c r="V143" i="11"/>
  <c r="AK143" i="11" s="1"/>
  <c r="BO143" i="11" s="1"/>
  <c r="V136" i="11"/>
  <c r="AK136" i="11" s="1"/>
  <c r="BO136" i="11" s="1"/>
  <c r="V144" i="11"/>
  <c r="AK144" i="11" s="1"/>
  <c r="BO144" i="11" s="1"/>
  <c r="V139" i="11"/>
  <c r="AK139" i="11" s="1"/>
  <c r="BO139" i="11" s="1"/>
  <c r="X138" i="11"/>
  <c r="AM138" i="11" s="1"/>
  <c r="BQ138" i="11" s="1"/>
  <c r="X137" i="11"/>
  <c r="AM137" i="11" s="1"/>
  <c r="X139" i="11"/>
  <c r="AM139" i="11" s="1"/>
  <c r="BQ139" i="11" s="1"/>
  <c r="X143" i="11"/>
  <c r="AM143" i="11" s="1"/>
  <c r="W145" i="11"/>
  <c r="AL145" i="11" s="1"/>
  <c r="W135" i="11"/>
  <c r="AL135" i="11" s="1"/>
  <c r="BP135" i="11" s="1"/>
  <c r="W136" i="11"/>
  <c r="AL136" i="11" s="1"/>
  <c r="BP136" i="11" s="1"/>
  <c r="V146" i="11"/>
  <c r="AK146" i="11" s="1"/>
  <c r="BO146" i="11" s="1"/>
  <c r="V145" i="11"/>
  <c r="AK145" i="11" s="1"/>
  <c r="BO145" i="11" s="1"/>
  <c r="V148" i="11"/>
  <c r="AK148" i="11" s="1"/>
  <c r="BO148" i="11" s="1"/>
  <c r="V141" i="11"/>
  <c r="AK141" i="11" s="1"/>
  <c r="BO141" i="11" s="1"/>
  <c r="X141" i="11"/>
  <c r="AM141" i="11" s="1"/>
  <c r="BQ141" i="11" s="1"/>
  <c r="X135" i="11"/>
  <c r="AM135" i="11" s="1"/>
  <c r="BQ135" i="11" s="1"/>
  <c r="X146" i="11"/>
  <c r="AM146" i="11" s="1"/>
  <c r="W137" i="11"/>
  <c r="AL137" i="11" s="1"/>
  <c r="W140" i="11"/>
  <c r="AL140" i="11" s="1"/>
  <c r="BP140" i="11" s="1"/>
  <c r="W142" i="11"/>
  <c r="AL142" i="11" s="1"/>
  <c r="BP142" i="11" s="1"/>
  <c r="W143" i="11"/>
  <c r="AL143" i="11" s="1"/>
  <c r="W138" i="11"/>
  <c r="AL138" i="11" s="1"/>
  <c r="BP138" i="11" s="1"/>
  <c r="V138" i="11"/>
  <c r="AK138" i="11" s="1"/>
  <c r="BO138" i="11" s="1"/>
  <c r="V135" i="11"/>
  <c r="AK135" i="11" s="1"/>
  <c r="BO135" i="11" s="1"/>
  <c r="V140" i="11"/>
  <c r="AK140" i="11" s="1"/>
  <c r="BO140" i="11" s="1"/>
  <c r="V147" i="11"/>
  <c r="AK147" i="11" s="1"/>
  <c r="BO147" i="11" s="1"/>
  <c r="V149" i="11"/>
  <c r="AK149" i="11" s="1"/>
  <c r="BO149" i="11" s="1"/>
  <c r="V137" i="11"/>
  <c r="AK137" i="11" s="1"/>
  <c r="H135" i="3"/>
  <c r="H134" i="3"/>
  <c r="G134" i="3"/>
  <c r="G135" i="3"/>
  <c r="F223" i="3"/>
  <c r="F163" i="3"/>
  <c r="F210" i="3" s="1"/>
  <c r="E223" i="3"/>
  <c r="E163" i="3"/>
  <c r="E210" i="3" s="1"/>
  <c r="D223" i="3"/>
  <c r="D163" i="3"/>
  <c r="D210" i="3" s="1"/>
  <c r="BL11" i="11"/>
  <c r="BC136" i="11"/>
  <c r="BC138" i="11"/>
  <c r="N4" i="18"/>
  <c r="CH230" i="11"/>
  <c r="BO246" i="11"/>
  <c r="BM245" i="11"/>
  <c r="BN245" i="11"/>
  <c r="BL16" i="11"/>
  <c r="BO70" i="11"/>
  <c r="BO69" i="11"/>
  <c r="BO68" i="11"/>
  <c r="BS64" i="11"/>
  <c r="BO64" i="11"/>
  <c r="BO61" i="11"/>
  <c r="BL69" i="11"/>
  <c r="BL68" i="11"/>
  <c r="BL66" i="11"/>
  <c r="BT64" i="11"/>
  <c r="BP64" i="11"/>
  <c r="BL64" i="11"/>
  <c r="BP63" i="11"/>
  <c r="BL61" i="11"/>
  <c r="BZ51" i="11"/>
  <c r="BV51" i="11"/>
  <c r="BR51" i="11"/>
  <c r="BN51" i="11"/>
  <c r="BN45" i="11"/>
  <c r="BL44" i="11"/>
  <c r="BZ38" i="11"/>
  <c r="BP38" i="11"/>
  <c r="BL36" i="11"/>
  <c r="BL34" i="11"/>
  <c r="BN33" i="11"/>
  <c r="BL31" i="11"/>
  <c r="BL30" i="11"/>
  <c r="BO59" i="11"/>
  <c r="BO58" i="11"/>
  <c r="BO52" i="11"/>
  <c r="BO48" i="11"/>
  <c r="BO41" i="11"/>
  <c r="BO31" i="11"/>
  <c r="BL18" i="11"/>
  <c r="BL6" i="11"/>
  <c r="BO19" i="11"/>
  <c r="H82" i="16"/>
  <c r="H84" i="16"/>
  <c r="H86" i="16"/>
  <c r="H88" i="16"/>
  <c r="H90" i="16"/>
  <c r="H92" i="16"/>
  <c r="H94" i="16"/>
  <c r="H96" i="16"/>
  <c r="H95" i="16"/>
  <c r="H81" i="16"/>
  <c r="H83" i="16"/>
  <c r="H85" i="16"/>
  <c r="H87" i="16"/>
  <c r="H89" i="16"/>
  <c r="H91" i="16"/>
  <c r="H93" i="16"/>
  <c r="H80" i="16"/>
  <c r="I29" i="9"/>
  <c r="H110" i="9"/>
  <c r="N30" i="10"/>
  <c r="C67" i="26"/>
  <c r="E131" i="30" s="1"/>
  <c r="E179" i="30" s="1"/>
  <c r="BN52" i="11"/>
  <c r="BN48" i="11"/>
  <c r="BN35" i="11"/>
  <c r="BP32" i="11"/>
  <c r="BO53" i="11"/>
  <c r="BO43" i="11"/>
  <c r="BM42" i="11"/>
  <c r="BM40" i="11"/>
  <c r="BU38" i="11"/>
  <c r="BQ38" i="11"/>
  <c r="BO33" i="11"/>
  <c r="BM32" i="11"/>
  <c r="BM29" i="11"/>
  <c r="BM26" i="11"/>
  <c r="BM25" i="11"/>
  <c r="BM21" i="11"/>
  <c r="BN25" i="11"/>
  <c r="BN20" i="11"/>
  <c r="BN19" i="11"/>
  <c r="BN14" i="11"/>
  <c r="BL15" i="11"/>
  <c r="F193" i="14"/>
  <c r="F194" i="14" s="1"/>
  <c r="F281" i="14"/>
  <c r="F282" i="14" s="1"/>
  <c r="F168" i="14"/>
  <c r="F217" i="3"/>
  <c r="F231" i="3" s="1"/>
  <c r="V30" i="11"/>
  <c r="AK30" i="11" s="1"/>
  <c r="BO30" i="11" s="1"/>
  <c r="V29" i="11"/>
  <c r="AK29" i="11" s="1"/>
  <c r="BO29" i="11" s="1"/>
  <c r="V27" i="11"/>
  <c r="AK27" i="11" s="1"/>
  <c r="BO27" i="11" s="1"/>
  <c r="V25" i="11"/>
  <c r="AK25" i="11" s="1"/>
  <c r="BO25" i="11" s="1"/>
  <c r="V23" i="11"/>
  <c r="AK23" i="11" s="1"/>
  <c r="V21" i="11"/>
  <c r="AK21" i="11" s="1"/>
  <c r="F160" i="3"/>
  <c r="F207" i="3" s="1"/>
  <c r="F212" i="14"/>
  <c r="F300" i="14"/>
  <c r="E16" i="14"/>
  <c r="F54" i="3"/>
  <c r="F68" i="3" s="1"/>
  <c r="F136" i="3"/>
  <c r="F124" i="14"/>
  <c r="F216" i="3"/>
  <c r="A33" i="14"/>
  <c r="F215" i="14"/>
  <c r="F216" i="14" s="1"/>
  <c r="F303" i="14"/>
  <c r="F304" i="14" s="1"/>
  <c r="F105" i="14"/>
  <c r="F106" i="14" s="1"/>
  <c r="F139" i="3"/>
  <c r="F168" i="3" s="1"/>
  <c r="F183" i="3" s="1"/>
  <c r="F199" i="3" s="1"/>
  <c r="F82" i="3"/>
  <c r="F153" i="3"/>
  <c r="F266" i="14"/>
  <c r="F274" i="14" s="1"/>
  <c r="F278" i="14"/>
  <c r="F13" i="3"/>
  <c r="F40" i="3"/>
  <c r="F124" i="3"/>
  <c r="BP61" i="11"/>
  <c r="BN59" i="11"/>
  <c r="BN58" i="11"/>
  <c r="BN46" i="11"/>
  <c r="BT38" i="11"/>
  <c r="BQ58" i="11"/>
  <c r="BM54" i="11"/>
  <c r="BU51" i="11"/>
  <c r="BQ51" i="11"/>
  <c r="BM50" i="11"/>
  <c r="BM46" i="11"/>
  <c r="BM43" i="11"/>
  <c r="BM35" i="11"/>
  <c r="BN27" i="11"/>
  <c r="BM28" i="11"/>
  <c r="BM24" i="11"/>
  <c r="BM20" i="11"/>
  <c r="BN6" i="11"/>
  <c r="BN11" i="11"/>
  <c r="A32" i="14"/>
  <c r="E124" i="14"/>
  <c r="AB247" i="11"/>
  <c r="AQ247" i="11" s="1"/>
  <c r="AQ246" i="11"/>
  <c r="H56" i="14"/>
  <c r="H57" i="14" s="1"/>
  <c r="N97" i="14"/>
  <c r="A92" i="14"/>
  <c r="J246" i="14"/>
  <c r="I251" i="14"/>
  <c r="I254" i="14"/>
  <c r="I255" i="14" s="1"/>
  <c r="H255" i="14"/>
  <c r="H258" i="14" s="1"/>
  <c r="F127" i="14"/>
  <c r="B26" i="21"/>
  <c r="B34" i="21" s="1"/>
  <c r="B36" i="21" s="1"/>
  <c r="AD44" i="11"/>
  <c r="AS44" i="11" s="1"/>
  <c r="AD43" i="11"/>
  <c r="AS43" i="11" s="1"/>
  <c r="AD42" i="11"/>
  <c r="AS42" i="11" s="1"/>
  <c r="AD41" i="11"/>
  <c r="AS41" i="11" s="1"/>
  <c r="AD40" i="11"/>
  <c r="AD39" i="11"/>
  <c r="AS39" i="11" s="1"/>
  <c r="AD38" i="11"/>
  <c r="AS38" i="11" s="1"/>
  <c r="BW38" i="11" s="1"/>
  <c r="AD37" i="11"/>
  <c r="AS37" i="11" s="1"/>
  <c r="AD36" i="11"/>
  <c r="AS36" i="11" s="1"/>
  <c r="AD35" i="11"/>
  <c r="AS35" i="11" s="1"/>
  <c r="AD34" i="11"/>
  <c r="AS34" i="11" s="1"/>
  <c r="AD33" i="11"/>
  <c r="AC44" i="11"/>
  <c r="AR44" i="11" s="1"/>
  <c r="AC43" i="11"/>
  <c r="AR43" i="11" s="1"/>
  <c r="AC42" i="11"/>
  <c r="AR42" i="11" s="1"/>
  <c r="AC41" i="11"/>
  <c r="AR41" i="11" s="1"/>
  <c r="AC40" i="11"/>
  <c r="AR40" i="11" s="1"/>
  <c r="AC39" i="11"/>
  <c r="AR39" i="11" s="1"/>
  <c r="AC38" i="11"/>
  <c r="AR38" i="11" s="1"/>
  <c r="BV38" i="11" s="1"/>
  <c r="AC37" i="11"/>
  <c r="AR37" i="11" s="1"/>
  <c r="AC36" i="11"/>
  <c r="AR36" i="11" s="1"/>
  <c r="AC35" i="11"/>
  <c r="AR35" i="11" s="1"/>
  <c r="AC34" i="11"/>
  <c r="AR34" i="11" s="1"/>
  <c r="AC33" i="11"/>
  <c r="AR33" i="11" s="1"/>
  <c r="T129" i="11"/>
  <c r="AI129" i="11" s="1"/>
  <c r="BM129" i="11" s="1"/>
  <c r="C58" i="26"/>
  <c r="E122" i="30" s="1"/>
  <c r="E170" i="30" s="1"/>
  <c r="BC20" i="11"/>
  <c r="BC46" i="11"/>
  <c r="BR46" i="11" s="1"/>
  <c r="BC72" i="11"/>
  <c r="BC104" i="11"/>
  <c r="BC7" i="11"/>
  <c r="BC33" i="11"/>
  <c r="BR33" i="11" s="1"/>
  <c r="BC59" i="11"/>
  <c r="BR59" i="11" s="1"/>
  <c r="BC88" i="11"/>
  <c r="BC120" i="11"/>
  <c r="BC9" i="11"/>
  <c r="BC35" i="11"/>
  <c r="BR35" i="11" s="1"/>
  <c r="BC61" i="11"/>
  <c r="BC90" i="11"/>
  <c r="BC122" i="11"/>
  <c r="BC22" i="11"/>
  <c r="BC48" i="11"/>
  <c r="BR48" i="11" s="1"/>
  <c r="BC74" i="11"/>
  <c r="BC106" i="11"/>
  <c r="I2" i="16"/>
  <c r="I5" i="21"/>
  <c r="BB91" i="11"/>
  <c r="BB123" i="11"/>
  <c r="BB75" i="11"/>
  <c r="BB107" i="11"/>
  <c r="U134" i="11"/>
  <c r="AJ134" i="11" s="1"/>
  <c r="BN134" i="11" s="1"/>
  <c r="U133" i="11"/>
  <c r="AJ133" i="11" s="1"/>
  <c r="BN133" i="11" s="1"/>
  <c r="U132" i="11"/>
  <c r="AJ132" i="11" s="1"/>
  <c r="U131" i="11"/>
  <c r="AJ131" i="11" s="1"/>
  <c r="U130" i="11"/>
  <c r="AJ130" i="11" s="1"/>
  <c r="U129" i="11"/>
  <c r="AJ129" i="11" s="1"/>
  <c r="U128" i="11"/>
  <c r="AJ128" i="11" s="1"/>
  <c r="BN128" i="11" s="1"/>
  <c r="U127" i="11"/>
  <c r="AJ127" i="11" s="1"/>
  <c r="BN127" i="11" s="1"/>
  <c r="U126" i="11"/>
  <c r="AJ126" i="11" s="1"/>
  <c r="BN126" i="11" s="1"/>
  <c r="U124" i="11"/>
  <c r="AJ124" i="11" s="1"/>
  <c r="U123" i="11"/>
  <c r="AJ123" i="11" s="1"/>
  <c r="T134" i="11"/>
  <c r="AI134" i="11" s="1"/>
  <c r="BM134" i="11" s="1"/>
  <c r="T133" i="11"/>
  <c r="AI133" i="11" s="1"/>
  <c r="BM133" i="11" s="1"/>
  <c r="T132" i="11"/>
  <c r="AI132" i="11" s="1"/>
  <c r="BM132" i="11" s="1"/>
  <c r="T131" i="11"/>
  <c r="AI131" i="11" s="1"/>
  <c r="BM131" i="11" s="1"/>
  <c r="T130" i="11"/>
  <c r="AI130" i="11" s="1"/>
  <c r="BM130" i="11" s="1"/>
  <c r="U71" i="11"/>
  <c r="AJ71" i="11" s="1"/>
  <c r="U72" i="11"/>
  <c r="AJ72" i="11" s="1"/>
  <c r="U73" i="11"/>
  <c r="AJ73" i="11" s="1"/>
  <c r="U74" i="11"/>
  <c r="AJ74" i="11" s="1"/>
  <c r="U75" i="11"/>
  <c r="AJ75" i="11" s="1"/>
  <c r="U76" i="11"/>
  <c r="AJ76" i="11" s="1"/>
  <c r="U77" i="11"/>
  <c r="AJ77" i="11" s="1"/>
  <c r="U78" i="11"/>
  <c r="AJ78" i="11" s="1"/>
  <c r="U79" i="11"/>
  <c r="AJ79" i="11" s="1"/>
  <c r="U80" i="11"/>
  <c r="AJ80" i="11" s="1"/>
  <c r="U81" i="11"/>
  <c r="AJ81" i="11" s="1"/>
  <c r="U82" i="11"/>
  <c r="AJ82" i="11" s="1"/>
  <c r="U83" i="11"/>
  <c r="AJ83" i="11" s="1"/>
  <c r="U84" i="11"/>
  <c r="AJ84" i="11" s="1"/>
  <c r="U85" i="11"/>
  <c r="AJ85" i="11" s="1"/>
  <c r="U86" i="11"/>
  <c r="AJ86" i="11" s="1"/>
  <c r="U87" i="11"/>
  <c r="AJ87" i="11" s="1"/>
  <c r="BN87" i="11" s="1"/>
  <c r="U88" i="11"/>
  <c r="U89" i="11"/>
  <c r="AJ89" i="11" s="1"/>
  <c r="U90" i="11"/>
  <c r="AJ90" i="11" s="1"/>
  <c r="BN90" i="11" s="1"/>
  <c r="U91" i="11"/>
  <c r="AJ91" i="11" s="1"/>
  <c r="U92" i="11"/>
  <c r="AJ92" i="11" s="1"/>
  <c r="U93" i="11"/>
  <c r="AJ93" i="11" s="1"/>
  <c r="BN93" i="11" s="1"/>
  <c r="U94" i="11"/>
  <c r="AJ94" i="11" s="1"/>
  <c r="BN94" i="11" s="1"/>
  <c r="U95" i="11"/>
  <c r="AJ95" i="11" s="1"/>
  <c r="BN95" i="11" s="1"/>
  <c r="U96" i="11"/>
  <c r="AJ96" i="11" s="1"/>
  <c r="BN96" i="11" s="1"/>
  <c r="U97" i="11"/>
  <c r="AJ97" i="11" s="1"/>
  <c r="U98" i="11"/>
  <c r="AJ98" i="11" s="1"/>
  <c r="U99" i="11"/>
  <c r="AJ99" i="11" s="1"/>
  <c r="U100" i="11"/>
  <c r="AJ100" i="11" s="1"/>
  <c r="U101" i="11"/>
  <c r="AJ101" i="11" s="1"/>
  <c r="BN101" i="11" s="1"/>
  <c r="U102" i="11"/>
  <c r="AJ102" i="11" s="1"/>
  <c r="BN102" i="11" s="1"/>
  <c r="U103" i="11"/>
  <c r="AJ103" i="11" s="1"/>
  <c r="BN103" i="11" s="1"/>
  <c r="U104" i="11"/>
  <c r="AJ104" i="11" s="1"/>
  <c r="BN104" i="11" s="1"/>
  <c r="U105" i="11"/>
  <c r="AJ105" i="11" s="1"/>
  <c r="U106" i="11"/>
  <c r="AJ106" i="11" s="1"/>
  <c r="BN106" i="11" s="1"/>
  <c r="U107" i="11"/>
  <c r="AJ107" i="11" s="1"/>
  <c r="U108" i="11"/>
  <c r="AJ108" i="11" s="1"/>
  <c r="U109" i="11"/>
  <c r="AJ109" i="11" s="1"/>
  <c r="BN109" i="11" s="1"/>
  <c r="U110" i="11"/>
  <c r="U111" i="11"/>
  <c r="AJ111" i="11" s="1"/>
  <c r="BN111" i="11" s="1"/>
  <c r="U112" i="11"/>
  <c r="AJ112" i="11" s="1"/>
  <c r="BN112" i="11" s="1"/>
  <c r="U113" i="11"/>
  <c r="AJ113" i="11" s="1"/>
  <c r="U114" i="11"/>
  <c r="AJ114" i="11" s="1"/>
  <c r="U115" i="11"/>
  <c r="AJ115" i="11" s="1"/>
  <c r="U116" i="11"/>
  <c r="AJ116" i="11" s="1"/>
  <c r="U117" i="11"/>
  <c r="AJ117" i="11" s="1"/>
  <c r="BN117" i="11" s="1"/>
  <c r="U118" i="11"/>
  <c r="AJ118" i="11" s="1"/>
  <c r="BN118" i="11" s="1"/>
  <c r="U119" i="11"/>
  <c r="AJ119" i="11" s="1"/>
  <c r="BN119" i="11" s="1"/>
  <c r="U120" i="11"/>
  <c r="AJ120" i="11" s="1"/>
  <c r="BN120" i="11" s="1"/>
  <c r="U121" i="11"/>
  <c r="AJ121" i="11" s="1"/>
  <c r="U122" i="11"/>
  <c r="AJ122" i="11" s="1"/>
  <c r="BN122" i="11" s="1"/>
  <c r="V71" i="11"/>
  <c r="AK71" i="11" s="1"/>
  <c r="V72" i="11"/>
  <c r="AK72" i="11" s="1"/>
  <c r="V73" i="11"/>
  <c r="AK73" i="11" s="1"/>
  <c r="V74" i="11"/>
  <c r="AK74" i="11" s="1"/>
  <c r="V75" i="11"/>
  <c r="AK75" i="11" s="1"/>
  <c r="S71" i="11"/>
  <c r="AH71" i="11" s="1"/>
  <c r="BL71" i="11" s="1"/>
  <c r="W71" i="11"/>
  <c r="AL71" i="11" s="1"/>
  <c r="S72" i="11"/>
  <c r="AH72" i="11" s="1"/>
  <c r="BL72" i="11" s="1"/>
  <c r="W72" i="11"/>
  <c r="AL72" i="11" s="1"/>
  <c r="S73" i="11"/>
  <c r="AH73" i="11" s="1"/>
  <c r="BL73" i="11" s="1"/>
  <c r="W73" i="11"/>
  <c r="AL73" i="11" s="1"/>
  <c r="S74" i="11"/>
  <c r="AH74" i="11" s="1"/>
  <c r="BL74" i="11" s="1"/>
  <c r="W74" i="11"/>
  <c r="AL74" i="11" s="1"/>
  <c r="S75" i="11"/>
  <c r="AH75" i="11" s="1"/>
  <c r="BL75" i="11" s="1"/>
  <c r="W75" i="11"/>
  <c r="AL75" i="11" s="1"/>
  <c r="S76" i="11"/>
  <c r="AH76" i="11" s="1"/>
  <c r="BL76" i="11" s="1"/>
  <c r="W76" i="11"/>
  <c r="AL76" i="11" s="1"/>
  <c r="S77" i="11"/>
  <c r="AH77" i="11" s="1"/>
  <c r="BL77" i="11" s="1"/>
  <c r="W77" i="11"/>
  <c r="AL77" i="11" s="1"/>
  <c r="S78" i="11"/>
  <c r="AH78" i="11" s="1"/>
  <c r="BL78" i="11" s="1"/>
  <c r="W78" i="11"/>
  <c r="AL78" i="11" s="1"/>
  <c r="S79" i="11"/>
  <c r="AH79" i="11" s="1"/>
  <c r="BL79" i="11" s="1"/>
  <c r="W79" i="11"/>
  <c r="AL79" i="11" s="1"/>
  <c r="S80" i="11"/>
  <c r="AH80" i="11" s="1"/>
  <c r="BL80" i="11" s="1"/>
  <c r="W80" i="11"/>
  <c r="AL80" i="11" s="1"/>
  <c r="S81" i="11"/>
  <c r="AH81" i="11" s="1"/>
  <c r="BL81" i="11" s="1"/>
  <c r="W81" i="11"/>
  <c r="AL81" i="11" s="1"/>
  <c r="S82" i="11"/>
  <c r="AH82" i="11" s="1"/>
  <c r="BL82" i="11" s="1"/>
  <c r="W82" i="11"/>
  <c r="AL82" i="11" s="1"/>
  <c r="S83" i="11"/>
  <c r="AH83" i="11" s="1"/>
  <c r="BL83" i="11" s="1"/>
  <c r="W83" i="11"/>
  <c r="AL83" i="11" s="1"/>
  <c r="S84" i="11"/>
  <c r="AH84" i="11" s="1"/>
  <c r="BL84" i="11" s="1"/>
  <c r="W84" i="11"/>
  <c r="AL84" i="11" s="1"/>
  <c r="S85" i="11"/>
  <c r="AH85" i="11" s="1"/>
  <c r="BL85" i="11" s="1"/>
  <c r="W85" i="11"/>
  <c r="AL85" i="11" s="1"/>
  <c r="S86" i="11"/>
  <c r="AH86" i="11" s="1"/>
  <c r="BL86" i="11" s="1"/>
  <c r="W86" i="11"/>
  <c r="AL86" i="11" s="1"/>
  <c r="S87" i="11"/>
  <c r="AH87" i="11" s="1"/>
  <c r="BL87" i="11" s="1"/>
  <c r="W87" i="11"/>
  <c r="AL87" i="11" s="1"/>
  <c r="BP87" i="11" s="1"/>
  <c r="S88" i="11"/>
  <c r="AH88" i="11" s="1"/>
  <c r="BL88" i="11" s="1"/>
  <c r="W88" i="11"/>
  <c r="AL88" i="11" s="1"/>
  <c r="BP88" i="11" s="1"/>
  <c r="S89" i="11"/>
  <c r="AH89" i="11" s="1"/>
  <c r="BL89" i="11" s="1"/>
  <c r="W89" i="11"/>
  <c r="AL89" i="11" s="1"/>
  <c r="S90" i="11"/>
  <c r="AH90" i="11" s="1"/>
  <c r="BL90" i="11" s="1"/>
  <c r="W90" i="11"/>
  <c r="AL90" i="11" s="1"/>
  <c r="BP90" i="11" s="1"/>
  <c r="S91" i="11"/>
  <c r="AH91" i="11" s="1"/>
  <c r="BL91" i="11" s="1"/>
  <c r="W91" i="11"/>
  <c r="AL91" i="11" s="1"/>
  <c r="BP91" i="11" s="1"/>
  <c r="S92" i="11"/>
  <c r="AH92" i="11" s="1"/>
  <c r="BL92" i="11" s="1"/>
  <c r="W92" i="11"/>
  <c r="AL92" i="11" s="1"/>
  <c r="S93" i="11"/>
  <c r="AH93" i="11" s="1"/>
  <c r="BL93" i="11" s="1"/>
  <c r="W93" i="11"/>
  <c r="AL93" i="11" s="1"/>
  <c r="BP93" i="11" s="1"/>
  <c r="S94" i="11"/>
  <c r="AH94" i="11" s="1"/>
  <c r="BL94" i="11" s="1"/>
  <c r="W94" i="11"/>
  <c r="AL94" i="11" s="1"/>
  <c r="S95" i="11"/>
  <c r="AH95" i="11" s="1"/>
  <c r="BL95" i="11" s="1"/>
  <c r="W95" i="11"/>
  <c r="AL95" i="11" s="1"/>
  <c r="S96" i="11"/>
  <c r="AH96" i="11" s="1"/>
  <c r="BL96" i="11" s="1"/>
  <c r="W96" i="11"/>
  <c r="AL96" i="11" s="1"/>
  <c r="S97" i="11"/>
  <c r="AH97" i="11" s="1"/>
  <c r="BL97" i="11" s="1"/>
  <c r="W97" i="11"/>
  <c r="AL97" i="11" s="1"/>
  <c r="S98" i="11"/>
  <c r="AH98" i="11" s="1"/>
  <c r="BL98" i="11" s="1"/>
  <c r="W98" i="11"/>
  <c r="AL98" i="11" s="1"/>
  <c r="S99" i="11"/>
  <c r="AH99" i="11" s="1"/>
  <c r="BL99" i="11" s="1"/>
  <c r="W99" i="11"/>
  <c r="AL99" i="11" s="1"/>
  <c r="S100" i="11"/>
  <c r="AH100" i="11" s="1"/>
  <c r="BL100" i="11" s="1"/>
  <c r="W100" i="11"/>
  <c r="AL100" i="11" s="1"/>
  <c r="S101" i="11"/>
  <c r="AH101" i="11" s="1"/>
  <c r="BL101" i="11" s="1"/>
  <c r="W101" i="11"/>
  <c r="AL101" i="11" s="1"/>
  <c r="S102" i="11"/>
  <c r="AH102" i="11" s="1"/>
  <c r="BL102" i="11" s="1"/>
  <c r="W102" i="11"/>
  <c r="AL102" i="11" s="1"/>
  <c r="S103" i="11"/>
  <c r="AH103" i="11" s="1"/>
  <c r="BL103" i="11" s="1"/>
  <c r="W103" i="11"/>
  <c r="AL103" i="11" s="1"/>
  <c r="BP103" i="11" s="1"/>
  <c r="S104" i="11"/>
  <c r="AH104" i="11" s="1"/>
  <c r="BL104" i="11" s="1"/>
  <c r="W104" i="11"/>
  <c r="AL104" i="11" s="1"/>
  <c r="BP104" i="11" s="1"/>
  <c r="S105" i="11"/>
  <c r="AH105" i="11" s="1"/>
  <c r="BL105" i="11" s="1"/>
  <c r="W105" i="11"/>
  <c r="AL105" i="11" s="1"/>
  <c r="S106" i="11"/>
  <c r="AH106" i="11" s="1"/>
  <c r="BL106" i="11" s="1"/>
  <c r="W106" i="11"/>
  <c r="AL106" i="11" s="1"/>
  <c r="BP106" i="11" s="1"/>
  <c r="S107" i="11"/>
  <c r="AH107" i="11" s="1"/>
  <c r="BL107" i="11" s="1"/>
  <c r="W107" i="11"/>
  <c r="AL107" i="11" s="1"/>
  <c r="BP107" i="11" s="1"/>
  <c r="S108" i="11"/>
  <c r="AH108" i="11" s="1"/>
  <c r="BL108" i="11" s="1"/>
  <c r="W108" i="11"/>
  <c r="AL108" i="11" s="1"/>
  <c r="S109" i="11"/>
  <c r="AH109" i="11" s="1"/>
  <c r="BL109" i="11" s="1"/>
  <c r="W109" i="11"/>
  <c r="AL109" i="11" s="1"/>
  <c r="BP109" i="11" s="1"/>
  <c r="S110" i="11"/>
  <c r="AH110" i="11" s="1"/>
  <c r="BL110" i="11" s="1"/>
  <c r="W110" i="11"/>
  <c r="AL110" i="11" s="1"/>
  <c r="S111" i="11"/>
  <c r="AH111" i="11" s="1"/>
  <c r="BL111" i="11" s="1"/>
  <c r="W111" i="11"/>
  <c r="AL111" i="11" s="1"/>
  <c r="S112" i="11"/>
  <c r="AH112" i="11" s="1"/>
  <c r="BL112" i="11" s="1"/>
  <c r="W112" i="11"/>
  <c r="AL112" i="11" s="1"/>
  <c r="S113" i="11"/>
  <c r="AH113" i="11" s="1"/>
  <c r="BL113" i="11" s="1"/>
  <c r="W113" i="11"/>
  <c r="AL113" i="11" s="1"/>
  <c r="S114" i="11"/>
  <c r="AH114" i="11" s="1"/>
  <c r="BL114" i="11" s="1"/>
  <c r="W114" i="11"/>
  <c r="AL114" i="11" s="1"/>
  <c r="S115" i="11"/>
  <c r="AH115" i="11" s="1"/>
  <c r="BL115" i="11" s="1"/>
  <c r="W115" i="11"/>
  <c r="AL115" i="11" s="1"/>
  <c r="S116" i="11"/>
  <c r="AH116" i="11" s="1"/>
  <c r="BL116" i="11" s="1"/>
  <c r="W116" i="11"/>
  <c r="AL116" i="11" s="1"/>
  <c r="S117" i="11"/>
  <c r="AH117" i="11" s="1"/>
  <c r="BL117" i="11" s="1"/>
  <c r="W117" i="11"/>
  <c r="AL117" i="11" s="1"/>
  <c r="S118" i="11"/>
  <c r="AH118" i="11" s="1"/>
  <c r="BL118" i="11" s="1"/>
  <c r="W118" i="11"/>
  <c r="AL118" i="11" s="1"/>
  <c r="S119" i="11"/>
  <c r="AH119" i="11" s="1"/>
  <c r="BL119" i="11" s="1"/>
  <c r="S120" i="11"/>
  <c r="AH120" i="11" s="1"/>
  <c r="BL120" i="11" s="1"/>
  <c r="S121" i="11"/>
  <c r="AH121" i="11" s="1"/>
  <c r="BL121" i="11" s="1"/>
  <c r="S122" i="11"/>
  <c r="AH122" i="11" s="1"/>
  <c r="BL122" i="11" s="1"/>
  <c r="S123" i="11"/>
  <c r="AH123" i="11" s="1"/>
  <c r="BL123" i="11" s="1"/>
  <c r="T71" i="11"/>
  <c r="AI71" i="11" s="1"/>
  <c r="BM71" i="11" s="1"/>
  <c r="T72" i="11"/>
  <c r="AI72" i="11" s="1"/>
  <c r="BM72" i="11" s="1"/>
  <c r="T73" i="11"/>
  <c r="AI73" i="11" s="1"/>
  <c r="BM73" i="11" s="1"/>
  <c r="T74" i="11"/>
  <c r="AI74" i="11" s="1"/>
  <c r="BM74" i="11" s="1"/>
  <c r="T75" i="11"/>
  <c r="AI75" i="11" s="1"/>
  <c r="V76" i="11"/>
  <c r="AK76" i="11" s="1"/>
  <c r="V77" i="11"/>
  <c r="AK77" i="11" s="1"/>
  <c r="V78" i="11"/>
  <c r="AK78" i="11" s="1"/>
  <c r="V79" i="11"/>
  <c r="AK79" i="11" s="1"/>
  <c r="V80" i="11"/>
  <c r="AK80" i="11" s="1"/>
  <c r="V81" i="11"/>
  <c r="AK81" i="11" s="1"/>
  <c r="V82" i="11"/>
  <c r="AK82" i="11" s="1"/>
  <c r="V83" i="11"/>
  <c r="AK83" i="11" s="1"/>
  <c r="V84" i="11"/>
  <c r="AK84" i="11" s="1"/>
  <c r="V85" i="11"/>
  <c r="AK85" i="11" s="1"/>
  <c r="V86" i="11"/>
  <c r="AK86" i="11" s="1"/>
  <c r="V87" i="11"/>
  <c r="AK87" i="11" s="1"/>
  <c r="BO87" i="11" s="1"/>
  <c r="V88" i="11"/>
  <c r="AK88" i="11" s="1"/>
  <c r="BO88" i="11" s="1"/>
  <c r="V89" i="11"/>
  <c r="AK89" i="11" s="1"/>
  <c r="V90" i="11"/>
  <c r="AK90" i="11" s="1"/>
  <c r="BO90" i="11" s="1"/>
  <c r="V91" i="11"/>
  <c r="AK91" i="11" s="1"/>
  <c r="V92" i="11"/>
  <c r="AK92" i="11" s="1"/>
  <c r="V93" i="11"/>
  <c r="AK93" i="11" s="1"/>
  <c r="V94" i="11"/>
  <c r="AK94" i="11" s="1"/>
  <c r="V95" i="11"/>
  <c r="AK95" i="11" s="1"/>
  <c r="BO95" i="11" s="1"/>
  <c r="V96" i="11"/>
  <c r="AK96" i="11" s="1"/>
  <c r="BO96" i="11" s="1"/>
  <c r="V97" i="11"/>
  <c r="AK97" i="11" s="1"/>
  <c r="BO97" i="11" s="1"/>
  <c r="V98" i="11"/>
  <c r="AK98" i="11" s="1"/>
  <c r="BO98" i="11" s="1"/>
  <c r="V99" i="11"/>
  <c r="AK99" i="11" s="1"/>
  <c r="BO99" i="11" s="1"/>
  <c r="V100" i="11"/>
  <c r="AK100" i="11" s="1"/>
  <c r="BO100" i="11" s="1"/>
  <c r="V101" i="11"/>
  <c r="AK101" i="11" s="1"/>
  <c r="V102" i="11"/>
  <c r="AK102" i="11" s="1"/>
  <c r="V103" i="11"/>
  <c r="AK103" i="11" s="1"/>
  <c r="BO103" i="11" s="1"/>
  <c r="V104" i="11"/>
  <c r="AK104" i="11" s="1"/>
  <c r="BO104" i="11" s="1"/>
  <c r="V105" i="11"/>
  <c r="AK105" i="11" s="1"/>
  <c r="V106" i="11"/>
  <c r="AK106" i="11" s="1"/>
  <c r="BO106" i="11" s="1"/>
  <c r="V107" i="11"/>
  <c r="AK107" i="11" s="1"/>
  <c r="V108" i="11"/>
  <c r="AK108" i="11" s="1"/>
  <c r="V109" i="11"/>
  <c r="AK109" i="11" s="1"/>
  <c r="V110" i="11"/>
  <c r="AK110" i="11" s="1"/>
  <c r="V111" i="11"/>
  <c r="AK111" i="11" s="1"/>
  <c r="BO111" i="11" s="1"/>
  <c r="V112" i="11"/>
  <c r="AK112" i="11" s="1"/>
  <c r="BO112" i="11" s="1"/>
  <c r="V113" i="11"/>
  <c r="AK113" i="11" s="1"/>
  <c r="BO113" i="11" s="1"/>
  <c r="V114" i="11"/>
  <c r="AK114" i="11" s="1"/>
  <c r="BO114" i="11" s="1"/>
  <c r="V115" i="11"/>
  <c r="AK115" i="11" s="1"/>
  <c r="BO115" i="11" s="1"/>
  <c r="V116" i="11"/>
  <c r="AK116" i="11" s="1"/>
  <c r="BO116" i="11" s="1"/>
  <c r="V117" i="11"/>
  <c r="AK117" i="11" s="1"/>
  <c r="V118" i="11"/>
  <c r="AK118" i="11" s="1"/>
  <c r="V119" i="11"/>
  <c r="AK119" i="11" s="1"/>
  <c r="BO119" i="11" s="1"/>
  <c r="V120" i="11"/>
  <c r="AK120" i="11" s="1"/>
  <c r="BO120" i="11" s="1"/>
  <c r="V121" i="11"/>
  <c r="AK121" i="11" s="1"/>
  <c r="V122" i="11"/>
  <c r="AK122" i="11" s="1"/>
  <c r="BO122" i="11" s="1"/>
  <c r="V123" i="11"/>
  <c r="AK123" i="11" s="1"/>
  <c r="V124" i="11"/>
  <c r="AK124" i="11" s="1"/>
  <c r="T125" i="11"/>
  <c r="AI125" i="11" s="1"/>
  <c r="BM125" i="11" s="1"/>
  <c r="T126" i="11"/>
  <c r="AI126" i="11" s="1"/>
  <c r="BM126" i="11" s="1"/>
  <c r="T127" i="11"/>
  <c r="AI127" i="11" s="1"/>
  <c r="BM127" i="11" s="1"/>
  <c r="T128" i="11"/>
  <c r="AI128" i="11" s="1"/>
  <c r="BM128" i="11" s="1"/>
  <c r="X71" i="11"/>
  <c r="AM71" i="11" s="1"/>
  <c r="X72" i="11"/>
  <c r="AM72" i="11" s="1"/>
  <c r="X73" i="11"/>
  <c r="AM73" i="11" s="1"/>
  <c r="X74" i="11"/>
  <c r="AM74" i="11" s="1"/>
  <c r="X75" i="11"/>
  <c r="AM75" i="11" s="1"/>
  <c r="T76" i="11"/>
  <c r="AI76" i="11" s="1"/>
  <c r="X76" i="11"/>
  <c r="AM76" i="11" s="1"/>
  <c r="T77" i="11"/>
  <c r="AI77" i="11" s="1"/>
  <c r="BM77" i="11" s="1"/>
  <c r="X77" i="11"/>
  <c r="AM77" i="11" s="1"/>
  <c r="T78" i="11"/>
  <c r="AI78" i="11" s="1"/>
  <c r="X78" i="11"/>
  <c r="AM78" i="11" s="1"/>
  <c r="T79" i="11"/>
  <c r="AI79" i="11" s="1"/>
  <c r="BM79" i="11" s="1"/>
  <c r="X79" i="11"/>
  <c r="AM79" i="11" s="1"/>
  <c r="T80" i="11"/>
  <c r="AI80" i="11" s="1"/>
  <c r="BM80" i="11" s="1"/>
  <c r="X80" i="11"/>
  <c r="AM80" i="11" s="1"/>
  <c r="T81" i="11"/>
  <c r="AI81" i="11" s="1"/>
  <c r="BM81" i="11" s="1"/>
  <c r="X81" i="11"/>
  <c r="AM81" i="11" s="1"/>
  <c r="T82" i="11"/>
  <c r="AI82" i="11" s="1"/>
  <c r="BM82" i="11" s="1"/>
  <c r="X82" i="11"/>
  <c r="AM82" i="11" s="1"/>
  <c r="T83" i="11"/>
  <c r="AI83" i="11" s="1"/>
  <c r="BM83" i="11" s="1"/>
  <c r="X83" i="11"/>
  <c r="AM83" i="11" s="1"/>
  <c r="T84" i="11"/>
  <c r="AI84" i="11" s="1"/>
  <c r="BM84" i="11" s="1"/>
  <c r="X84" i="11"/>
  <c r="AM84" i="11" s="1"/>
  <c r="T85" i="11"/>
  <c r="AI85" i="11" s="1"/>
  <c r="X85" i="11"/>
  <c r="AM85" i="11" s="1"/>
  <c r="T86" i="11"/>
  <c r="AI86" i="11" s="1"/>
  <c r="X86" i="11"/>
  <c r="AM86" i="11" s="1"/>
  <c r="T87" i="11"/>
  <c r="AI87" i="11" s="1"/>
  <c r="BM87" i="11" s="1"/>
  <c r="X87" i="11"/>
  <c r="AM87" i="11" s="1"/>
  <c r="BQ87" i="11" s="1"/>
  <c r="T88" i="11"/>
  <c r="AI88" i="11" s="1"/>
  <c r="BM88" i="11" s="1"/>
  <c r="X88" i="11"/>
  <c r="AM88" i="11" s="1"/>
  <c r="BQ88" i="11" s="1"/>
  <c r="T89" i="11"/>
  <c r="AI89" i="11" s="1"/>
  <c r="BM89" i="11" s="1"/>
  <c r="X89" i="11"/>
  <c r="AM89" i="11" s="1"/>
  <c r="T90" i="11"/>
  <c r="AI90" i="11" s="1"/>
  <c r="BM90" i="11" s="1"/>
  <c r="X90" i="11"/>
  <c r="AM90" i="11" s="1"/>
  <c r="BQ90" i="11" s="1"/>
  <c r="T91" i="11"/>
  <c r="AI91" i="11" s="1"/>
  <c r="BM91" i="11" s="1"/>
  <c r="X91" i="11"/>
  <c r="AM91" i="11" s="1"/>
  <c r="T92" i="11"/>
  <c r="AI92" i="11" s="1"/>
  <c r="X92" i="11"/>
  <c r="AM92" i="11" s="1"/>
  <c r="T93" i="11"/>
  <c r="AI93" i="11" s="1"/>
  <c r="BM93" i="11" s="1"/>
  <c r="X93" i="11"/>
  <c r="AM93" i="11" s="1"/>
  <c r="T94" i="11"/>
  <c r="AI94" i="11" s="1"/>
  <c r="BM94" i="11" s="1"/>
  <c r="X94" i="11"/>
  <c r="AM94" i="11" s="1"/>
  <c r="T95" i="11"/>
  <c r="AI95" i="11" s="1"/>
  <c r="BM95" i="11" s="1"/>
  <c r="X95" i="11"/>
  <c r="AM95" i="11" s="1"/>
  <c r="T96" i="11"/>
  <c r="AI96" i="11" s="1"/>
  <c r="BM96" i="11" s="1"/>
  <c r="X96" i="11"/>
  <c r="AM96" i="11" s="1"/>
  <c r="T97" i="11"/>
  <c r="AI97" i="11" s="1"/>
  <c r="BM97" i="11" s="1"/>
  <c r="X97" i="11"/>
  <c r="AM97" i="11" s="1"/>
  <c r="T98" i="11"/>
  <c r="AI98" i="11" s="1"/>
  <c r="BM98" i="11" s="1"/>
  <c r="X98" i="11"/>
  <c r="AM98" i="11" s="1"/>
  <c r="T99" i="11"/>
  <c r="AI99" i="11" s="1"/>
  <c r="BM99" i="11" s="1"/>
  <c r="X99" i="11"/>
  <c r="AM99" i="11" s="1"/>
  <c r="T100" i="11"/>
  <c r="AI100" i="11" s="1"/>
  <c r="BM100" i="11" s="1"/>
  <c r="X100" i="11"/>
  <c r="AM100" i="11" s="1"/>
  <c r="T101" i="11"/>
  <c r="AI101" i="11" s="1"/>
  <c r="BM101" i="11" s="1"/>
  <c r="X101" i="11"/>
  <c r="AM101" i="11" s="1"/>
  <c r="T102" i="11"/>
  <c r="AI102" i="11" s="1"/>
  <c r="BM102" i="11" s="1"/>
  <c r="X102" i="11"/>
  <c r="AM102" i="11" s="1"/>
  <c r="T103" i="11"/>
  <c r="AI103" i="11" s="1"/>
  <c r="BM103" i="11" s="1"/>
  <c r="X103" i="11"/>
  <c r="AM103" i="11" s="1"/>
  <c r="BQ103" i="11" s="1"/>
  <c r="T104" i="11"/>
  <c r="AI104" i="11" s="1"/>
  <c r="BM104" i="11" s="1"/>
  <c r="X104" i="11"/>
  <c r="AM104" i="11" s="1"/>
  <c r="BQ104" i="11" s="1"/>
  <c r="T105" i="11"/>
  <c r="AI105" i="11" s="1"/>
  <c r="BM105" i="11" s="1"/>
  <c r="X105" i="11"/>
  <c r="AM105" i="11" s="1"/>
  <c r="T106" i="11"/>
  <c r="AI106" i="11" s="1"/>
  <c r="BM106" i="11" s="1"/>
  <c r="X106" i="11"/>
  <c r="AM106" i="11" s="1"/>
  <c r="BQ106" i="11" s="1"/>
  <c r="T107" i="11"/>
  <c r="AI107" i="11" s="1"/>
  <c r="BM107" i="11" s="1"/>
  <c r="X107" i="11"/>
  <c r="AM107" i="11" s="1"/>
  <c r="T108" i="11"/>
  <c r="AI108" i="11" s="1"/>
  <c r="X108" i="11"/>
  <c r="AM108" i="11" s="1"/>
  <c r="T109" i="11"/>
  <c r="AI109" i="11" s="1"/>
  <c r="BM109" i="11" s="1"/>
  <c r="X109" i="11"/>
  <c r="AM109" i="11" s="1"/>
  <c r="T110" i="11"/>
  <c r="AI110" i="11" s="1"/>
  <c r="BM110" i="11" s="1"/>
  <c r="X110" i="11"/>
  <c r="AM110" i="11" s="1"/>
  <c r="T111" i="11"/>
  <c r="AI111" i="11" s="1"/>
  <c r="BM111" i="11" s="1"/>
  <c r="X111" i="11"/>
  <c r="AM111" i="11" s="1"/>
  <c r="T112" i="11"/>
  <c r="AI112" i="11" s="1"/>
  <c r="BM112" i="11" s="1"/>
  <c r="X112" i="11"/>
  <c r="AM112" i="11" s="1"/>
  <c r="T113" i="11"/>
  <c r="AI113" i="11" s="1"/>
  <c r="BM113" i="11" s="1"/>
  <c r="X113" i="11"/>
  <c r="AM113" i="11" s="1"/>
  <c r="T114" i="11"/>
  <c r="AI114" i="11" s="1"/>
  <c r="BM114" i="11" s="1"/>
  <c r="X114" i="11"/>
  <c r="AM114" i="11" s="1"/>
  <c r="T115" i="11"/>
  <c r="AI115" i="11" s="1"/>
  <c r="BM115" i="11" s="1"/>
  <c r="X115" i="11"/>
  <c r="AM115" i="11" s="1"/>
  <c r="T116" i="11"/>
  <c r="AI116" i="11" s="1"/>
  <c r="BM116" i="11" s="1"/>
  <c r="X116" i="11"/>
  <c r="AM116" i="11" s="1"/>
  <c r="T117" i="11"/>
  <c r="AI117" i="11" s="1"/>
  <c r="BM117" i="11" s="1"/>
  <c r="X117" i="11"/>
  <c r="AM117" i="11" s="1"/>
  <c r="T118" i="11"/>
  <c r="AI118" i="11" s="1"/>
  <c r="BM118" i="11" s="1"/>
  <c r="X118" i="11"/>
  <c r="AM118" i="11" s="1"/>
  <c r="T119" i="11"/>
  <c r="AI119" i="11" s="1"/>
  <c r="BM119" i="11" s="1"/>
  <c r="T120" i="11"/>
  <c r="AI120" i="11" s="1"/>
  <c r="BM120" i="11" s="1"/>
  <c r="T121" i="11"/>
  <c r="AI121" i="11" s="1"/>
  <c r="BM121" i="11" s="1"/>
  <c r="T122" i="11"/>
  <c r="AI122" i="11" s="1"/>
  <c r="BM122" i="11" s="1"/>
  <c r="T123" i="11"/>
  <c r="AI123" i="11" s="1"/>
  <c r="BM123" i="11" s="1"/>
  <c r="T124" i="11"/>
  <c r="AI124" i="11" s="1"/>
  <c r="S124" i="11"/>
  <c r="AH124" i="11" s="1"/>
  <c r="BL124" i="11" s="1"/>
  <c r="V125" i="11"/>
  <c r="AK125" i="11" s="1"/>
  <c r="V126" i="11"/>
  <c r="AK126" i="11" s="1"/>
  <c r="V127" i="11"/>
  <c r="AK127" i="11" s="1"/>
  <c r="BO127" i="11" s="1"/>
  <c r="V128" i="11"/>
  <c r="AK128" i="11" s="1"/>
  <c r="BO128" i="11" s="1"/>
  <c r="V129" i="11"/>
  <c r="AK129" i="11" s="1"/>
  <c r="BO129" i="11" s="1"/>
  <c r="V130" i="11"/>
  <c r="AK130" i="11" s="1"/>
  <c r="BO130" i="11" s="1"/>
  <c r="V131" i="11"/>
  <c r="AK131" i="11" s="1"/>
  <c r="BO131" i="11" s="1"/>
  <c r="V132" i="11"/>
  <c r="AK132" i="11" s="1"/>
  <c r="BO132" i="11" s="1"/>
  <c r="V133" i="11"/>
  <c r="AK133" i="11" s="1"/>
  <c r="V134" i="11"/>
  <c r="AK134" i="11" s="1"/>
  <c r="U125" i="11"/>
  <c r="AJ125" i="11" s="1"/>
  <c r="BN125" i="11" s="1"/>
  <c r="BB244" i="11"/>
  <c r="BQ244" i="11" s="1"/>
  <c r="BB24" i="11"/>
  <c r="BB50" i="11"/>
  <c r="BQ50" i="11" s="1"/>
  <c r="BB93" i="11"/>
  <c r="BB125" i="11"/>
  <c r="BB11" i="11"/>
  <c r="BB37" i="11"/>
  <c r="BQ37" i="11" s="1"/>
  <c r="BB63" i="11"/>
  <c r="BQ63" i="11" s="1"/>
  <c r="BB77" i="11"/>
  <c r="BB109" i="11"/>
  <c r="BC75" i="11"/>
  <c r="BC107" i="11"/>
  <c r="BC91" i="11"/>
  <c r="BC123" i="11"/>
  <c r="BC32" i="11"/>
  <c r="BR32" i="11" s="1"/>
  <c r="BC58" i="11"/>
  <c r="BR58" i="11" s="1"/>
  <c r="BC87" i="11"/>
  <c r="BC119" i="11"/>
  <c r="BC6" i="11"/>
  <c r="BC19" i="11"/>
  <c r="BC45" i="11"/>
  <c r="BR45" i="11" s="1"/>
  <c r="BC71" i="11"/>
  <c r="BC103" i="11"/>
  <c r="S134" i="11"/>
  <c r="AH134" i="11" s="1"/>
  <c r="BL134" i="11" s="1"/>
  <c r="S133" i="11"/>
  <c r="AH133" i="11" s="1"/>
  <c r="BL133" i="11" s="1"/>
  <c r="S132" i="11"/>
  <c r="AH132" i="11" s="1"/>
  <c r="BL132" i="11" s="1"/>
  <c r="S131" i="11"/>
  <c r="AH131" i="11" s="1"/>
  <c r="BL131" i="11" s="1"/>
  <c r="S130" i="11"/>
  <c r="AH130" i="11" s="1"/>
  <c r="BL130" i="11" s="1"/>
  <c r="S129" i="11"/>
  <c r="AH129" i="11" s="1"/>
  <c r="BL129" i="11" s="1"/>
  <c r="S128" i="11"/>
  <c r="AH128" i="11" s="1"/>
  <c r="BL128" i="11" s="1"/>
  <c r="S127" i="11"/>
  <c r="AH127" i="11" s="1"/>
  <c r="BL127" i="11" s="1"/>
  <c r="S126" i="11"/>
  <c r="AH126" i="11" s="1"/>
  <c r="BL126" i="11" s="1"/>
  <c r="S125" i="11"/>
  <c r="AH125" i="11" s="1"/>
  <c r="BL125" i="11" s="1"/>
  <c r="G22" i="7"/>
  <c r="H22" i="7" s="1"/>
  <c r="I22" i="7" s="1"/>
  <c r="J22" i="7" s="1"/>
  <c r="K22" i="7" s="1"/>
  <c r="L22" i="7" s="1"/>
  <c r="M22" i="7" s="1"/>
  <c r="N22" i="7" s="1"/>
  <c r="O22" i="7" s="1"/>
  <c r="G23" i="7"/>
  <c r="E3" i="7"/>
  <c r="D39" i="7"/>
  <c r="D13" i="30"/>
  <c r="B18" i="22"/>
  <c r="B37" i="22" s="1"/>
  <c r="C20" i="22"/>
  <c r="D3" i="22"/>
  <c r="M12" i="6"/>
  <c r="C37" i="28"/>
  <c r="D18" i="22"/>
  <c r="F34" i="22"/>
  <c r="O119" i="14"/>
  <c r="O48" i="14"/>
  <c r="M141" i="14"/>
  <c r="A141" i="14" s="1"/>
  <c r="I229" i="14"/>
  <c r="J224" i="14"/>
  <c r="H7" i="14"/>
  <c r="H53" i="14"/>
  <c r="H12" i="14" s="1"/>
  <c r="J158" i="14"/>
  <c r="I166" i="14"/>
  <c r="I163" i="14"/>
  <c r="G57" i="14"/>
  <c r="BZ64" i="11"/>
  <c r="BY51" i="11"/>
  <c r="F46" i="14"/>
  <c r="F5" i="14" s="1"/>
  <c r="E136" i="3"/>
  <c r="E7" i="3" s="1"/>
  <c r="E5" i="29" s="1"/>
  <c r="E6" i="29" s="1"/>
  <c r="E26" i="29" s="1"/>
  <c r="BQ61" i="11"/>
  <c r="BQ35" i="11"/>
  <c r="AS246" i="11"/>
  <c r="AD247" i="11"/>
  <c r="AS247" i="11" s="1"/>
  <c r="BQ32" i="11"/>
  <c r="G5" i="36"/>
  <c r="G20" i="36" s="1"/>
  <c r="C7" i="29"/>
  <c r="E34" i="22"/>
  <c r="C34" i="22"/>
  <c r="F96" i="3"/>
  <c r="G4" i="3"/>
  <c r="F110" i="3"/>
  <c r="D34" i="22"/>
  <c r="C18" i="22"/>
  <c r="N119" i="14"/>
  <c r="N48" i="14"/>
  <c r="F58" i="14"/>
  <c r="F17" i="14" s="1"/>
  <c r="BQ33" i="11"/>
  <c r="BQ59" i="11"/>
  <c r="BQ48" i="11"/>
  <c r="E22" i="30"/>
  <c r="AZ36" i="16"/>
  <c r="AL36" i="16"/>
  <c r="J81" i="9"/>
  <c r="I16" i="26"/>
  <c r="I22" i="26"/>
  <c r="I7" i="22"/>
  <c r="I12" i="22"/>
  <c r="I14" i="22"/>
  <c r="K51" i="30" s="1"/>
  <c r="I36" i="26"/>
  <c r="G84" i="6"/>
  <c r="G22" i="26"/>
  <c r="G68" i="26" s="1"/>
  <c r="I132" i="30" s="1"/>
  <c r="I180" i="30" s="1"/>
  <c r="E159" i="3"/>
  <c r="E206" i="3" s="1"/>
  <c r="E219" i="3"/>
  <c r="E162" i="3"/>
  <c r="E209" i="3" s="1"/>
  <c r="E222" i="3"/>
  <c r="E161" i="3"/>
  <c r="E208" i="3" s="1"/>
  <c r="E221" i="3"/>
  <c r="E200" i="14"/>
  <c r="E208" i="14" s="1"/>
  <c r="E212" i="14"/>
  <c r="E288" i="14"/>
  <c r="E296" i="14" s="1"/>
  <c r="E300" i="14"/>
  <c r="E102" i="14"/>
  <c r="E90" i="14"/>
  <c r="E98" i="14" s="1"/>
  <c r="E190" i="14"/>
  <c r="E178" i="14"/>
  <c r="E186" i="14" s="1"/>
  <c r="E266" i="14"/>
  <c r="E274" i="14" s="1"/>
  <c r="E278" i="14"/>
  <c r="E216" i="3"/>
  <c r="E156" i="3"/>
  <c r="E203" i="3" s="1"/>
  <c r="D14" i="30"/>
  <c r="C34" i="28"/>
  <c r="D26" i="26"/>
  <c r="E160" i="3"/>
  <c r="E207" i="3" s="1"/>
  <c r="E220" i="3"/>
  <c r="E158" i="3"/>
  <c r="E205" i="3" s="1"/>
  <c r="E218" i="3"/>
  <c r="E80" i="14"/>
  <c r="E68" i="14"/>
  <c r="F82" i="14"/>
  <c r="F60" i="14" s="1"/>
  <c r="F19" i="14" s="1"/>
  <c r="F83" i="14"/>
  <c r="E168" i="14"/>
  <c r="E156" i="14"/>
  <c r="E164" i="14" s="1"/>
  <c r="F171" i="14"/>
  <c r="F172" i="14" s="1"/>
  <c r="E256" i="14"/>
  <c r="E244" i="14"/>
  <c r="E252" i="14" s="1"/>
  <c r="E217" i="3"/>
  <c r="E157" i="3"/>
  <c r="E204" i="3" s="1"/>
  <c r="E146" i="14"/>
  <c r="E134" i="14"/>
  <c r="E142" i="14" s="1"/>
  <c r="E222" i="14"/>
  <c r="E230" i="14" s="1"/>
  <c r="E234" i="14"/>
  <c r="F237" i="14"/>
  <c r="F238" i="14" s="1"/>
  <c r="E322" i="14"/>
  <c r="F325" i="14"/>
  <c r="F326" i="14" s="1"/>
  <c r="E310" i="14"/>
  <c r="E318" i="14" s="1"/>
  <c r="F26" i="26"/>
  <c r="C61" i="26"/>
  <c r="C15" i="29"/>
  <c r="C13" i="29" s="1"/>
  <c r="E127" i="30"/>
  <c r="E175" i="30" s="1"/>
  <c r="E26" i="26"/>
  <c r="E18" i="22"/>
  <c r="F18" i="22"/>
  <c r="AL38" i="16"/>
  <c r="AZ38" i="16"/>
  <c r="AM31" i="16"/>
  <c r="BA31" i="16"/>
  <c r="AM40" i="16"/>
  <c r="BA40" i="16"/>
  <c r="AM32" i="16"/>
  <c r="BA32" i="16"/>
  <c r="BA50" i="16"/>
  <c r="AM50" i="16"/>
  <c r="AL43" i="16"/>
  <c r="AZ43" i="16"/>
  <c r="AL30" i="16"/>
  <c r="AZ30" i="16"/>
  <c r="AM46" i="16"/>
  <c r="BA46" i="16"/>
  <c r="BC44" i="16"/>
  <c r="AO44" i="16"/>
  <c r="BA39" i="16"/>
  <c r="AM39" i="16"/>
  <c r="AL42" i="16"/>
  <c r="AZ42" i="16"/>
  <c r="AZ29" i="16"/>
  <c r="AL29" i="16"/>
  <c r="E67" i="32"/>
  <c r="E27" i="4"/>
  <c r="N14" i="7"/>
  <c r="O14" i="7" s="1"/>
  <c r="M39" i="6"/>
  <c r="F39" i="32"/>
  <c r="F4" i="32" s="1"/>
  <c r="F6" i="32" s="1"/>
  <c r="BQ46" i="11"/>
  <c r="BQ45" i="11"/>
  <c r="AH179" i="11"/>
  <c r="AH182" i="11"/>
  <c r="AH170" i="11"/>
  <c r="AH184" i="11"/>
  <c r="AH185" i="11"/>
  <c r="I7" i="10"/>
  <c r="H10" i="18" s="1"/>
  <c r="H43" i="18" s="1"/>
  <c r="J26" i="10"/>
  <c r="AH178" i="11"/>
  <c r="H54" i="30"/>
  <c r="H46" i="30" s="1"/>
  <c r="F15" i="14"/>
  <c r="G36" i="14"/>
  <c r="F37" i="14"/>
  <c r="F16" i="14" s="1"/>
  <c r="AS40" i="11"/>
  <c r="AS33" i="11"/>
  <c r="AS32" i="11"/>
  <c r="F235" i="3"/>
  <c r="G26" i="30"/>
  <c r="E63" i="26"/>
  <c r="F26" i="30"/>
  <c r="D63" i="26"/>
  <c r="AR32" i="11"/>
  <c r="BP50" i="11"/>
  <c r="AH173" i="11"/>
  <c r="AH171" i="11"/>
  <c r="J12" i="7"/>
  <c r="J11" i="6" s="1"/>
  <c r="I11" i="6"/>
  <c r="I11" i="26" s="1"/>
  <c r="AH176" i="11"/>
  <c r="BL55" i="11"/>
  <c r="BL194" i="11" s="1"/>
  <c r="AH183" i="11"/>
  <c r="AH172" i="11"/>
  <c r="AH175" i="11"/>
  <c r="H113" i="30"/>
  <c r="N113" i="30" s="1"/>
  <c r="F63" i="26"/>
  <c r="H26" i="30"/>
  <c r="F230" i="3"/>
  <c r="F234" i="3"/>
  <c r="F233" i="3"/>
  <c r="J25" i="30"/>
  <c r="H9" i="29"/>
  <c r="H68" i="26"/>
  <c r="J132" i="30" s="1"/>
  <c r="J180" i="30" s="1"/>
  <c r="H24" i="16"/>
  <c r="H14" i="16"/>
  <c r="H11" i="16"/>
  <c r="H18" i="16"/>
  <c r="H8" i="16"/>
  <c r="H10" i="16"/>
  <c r="H21" i="16"/>
  <c r="H20" i="16"/>
  <c r="H27" i="16"/>
  <c r="H17" i="16"/>
  <c r="H19" i="16"/>
  <c r="H23" i="16"/>
  <c r="H26" i="16"/>
  <c r="H16" i="16"/>
  <c r="H15" i="16"/>
  <c r="H12" i="16"/>
  <c r="H7" i="16"/>
  <c r="H13" i="16"/>
  <c r="H22" i="16"/>
  <c r="H9" i="16"/>
  <c r="H25" i="16"/>
  <c r="H197" i="14"/>
  <c r="H219" i="14"/>
  <c r="H87" i="14"/>
  <c r="H128" i="3"/>
  <c r="H153" i="14"/>
  <c r="H129" i="3"/>
  <c r="H131" i="14"/>
  <c r="H131" i="3"/>
  <c r="H132" i="3"/>
  <c r="H285" i="14"/>
  <c r="H127" i="3"/>
  <c r="H66" i="14"/>
  <c r="H133" i="3"/>
  <c r="H175" i="14"/>
  <c r="H109" i="14"/>
  <c r="H130" i="3"/>
  <c r="H263" i="14"/>
  <c r="H241" i="14"/>
  <c r="H307" i="14"/>
  <c r="L9" i="5"/>
  <c r="I12" i="10"/>
  <c r="J31" i="10"/>
  <c r="M97" i="14"/>
  <c r="M48" i="14"/>
  <c r="G8" i="16"/>
  <c r="G23" i="16"/>
  <c r="G25" i="16"/>
  <c r="G9" i="16"/>
  <c r="G17" i="16"/>
  <c r="G18" i="16"/>
  <c r="G28" i="16"/>
  <c r="G24" i="16"/>
  <c r="G26" i="16"/>
  <c r="G16" i="16"/>
  <c r="G27" i="16"/>
  <c r="G20" i="16"/>
  <c r="G7" i="16"/>
  <c r="G12" i="16"/>
  <c r="G10" i="16"/>
  <c r="G13" i="16"/>
  <c r="G14" i="16"/>
  <c r="G15" i="16"/>
  <c r="G11" i="16"/>
  <c r="G19" i="16"/>
  <c r="G21" i="16"/>
  <c r="G22" i="16"/>
  <c r="BA33" i="16"/>
  <c r="AM33" i="16"/>
  <c r="I15" i="15"/>
  <c r="H16" i="15"/>
  <c r="X172" i="35" s="1"/>
  <c r="I53" i="14"/>
  <c r="I7" i="14"/>
  <c r="I56" i="14"/>
  <c r="I57" i="14" s="1"/>
  <c r="F7" i="3"/>
  <c r="C5" i="34"/>
  <c r="C28" i="34" s="1"/>
  <c r="K6" i="5"/>
  <c r="L4" i="5" s="1"/>
  <c r="I18" i="21"/>
  <c r="I122" i="3"/>
  <c r="I3" i="29"/>
  <c r="I23" i="21"/>
  <c r="D1" i="33"/>
  <c r="L53" i="14"/>
  <c r="L12" i="14" s="1"/>
  <c r="L7" i="14"/>
  <c r="K211" i="14"/>
  <c r="K214" i="14" s="1"/>
  <c r="L210" i="14"/>
  <c r="AM34" i="16"/>
  <c r="BA34" i="16"/>
  <c r="AL41" i="16"/>
  <c r="AZ41" i="16"/>
  <c r="AL37" i="16"/>
  <c r="AZ37" i="16"/>
  <c r="F184" i="3"/>
  <c r="F195" i="3" s="1"/>
  <c r="F151" i="3"/>
  <c r="F48" i="32" s="1"/>
  <c r="F56" i="32" s="1"/>
  <c r="BO205" i="11"/>
  <c r="I19" i="28"/>
  <c r="H8" i="15" s="1"/>
  <c r="BQ249" i="11" s="1"/>
  <c r="J9" i="28"/>
  <c r="E50" i="26"/>
  <c r="E58" i="26"/>
  <c r="G122" i="30" s="1"/>
  <c r="G170" i="30" s="1"/>
  <c r="G22" i="30"/>
  <c r="E7" i="29"/>
  <c r="BR61" i="11"/>
  <c r="J8" i="12"/>
  <c r="BD154" i="11" s="1"/>
  <c r="G15" i="18"/>
  <c r="G48" i="18" s="1"/>
  <c r="H17" i="10"/>
  <c r="G109" i="14"/>
  <c r="G197" i="14"/>
  <c r="G241" i="14"/>
  <c r="G129" i="3"/>
  <c r="G127" i="3"/>
  <c r="G128" i="3"/>
  <c r="G153" i="14"/>
  <c r="G131" i="14"/>
  <c r="G133" i="3"/>
  <c r="G175" i="14"/>
  <c r="G263" i="14"/>
  <c r="G125" i="3"/>
  <c r="G132" i="3"/>
  <c r="G66" i="14"/>
  <c r="G82" i="14" s="1"/>
  <c r="G285" i="14"/>
  <c r="G87" i="14"/>
  <c r="G219" i="14"/>
  <c r="G126" i="3"/>
  <c r="G215" i="3" s="1"/>
  <c r="G131" i="3"/>
  <c r="G307" i="14"/>
  <c r="G130" i="3"/>
  <c r="AL47" i="16"/>
  <c r="AZ47" i="16"/>
  <c r="G140" i="3"/>
  <c r="G151" i="3" s="1"/>
  <c r="J273" i="14"/>
  <c r="K268" i="14"/>
  <c r="A268" i="14" s="1"/>
  <c r="J317" i="14"/>
  <c r="K312" i="14"/>
  <c r="A312" i="14" s="1"/>
  <c r="AJ246" i="11"/>
  <c r="U247" i="11"/>
  <c r="AJ247" i="11" s="1"/>
  <c r="K17" i="28"/>
  <c r="L6" i="28"/>
  <c r="AL45" i="16"/>
  <c r="AZ45" i="16"/>
  <c r="H233" i="14"/>
  <c r="H236" i="14" s="1"/>
  <c r="I232" i="14"/>
  <c r="H22" i="10"/>
  <c r="E74" i="6"/>
  <c r="K11" i="12"/>
  <c r="F232" i="3"/>
  <c r="H107" i="30"/>
  <c r="N107" i="30" s="1"/>
  <c r="D146" i="14"/>
  <c r="D134" i="14"/>
  <c r="D136" i="3"/>
  <c r="D7" i="3" s="1"/>
  <c r="D5" i="29" s="1"/>
  <c r="D214" i="3"/>
  <c r="D32" i="18"/>
  <c r="D154" i="3"/>
  <c r="D201" i="3" s="1"/>
  <c r="D158" i="3"/>
  <c r="D205" i="3" s="1"/>
  <c r="D218" i="3"/>
  <c r="AJ88" i="11"/>
  <c r="BN88" i="11" s="1"/>
  <c r="A206" i="3"/>
  <c r="A219" i="3" s="1"/>
  <c r="A233" i="3" s="1"/>
  <c r="AJ110" i="11"/>
  <c r="BN110" i="11" s="1"/>
  <c r="BM8" i="11"/>
  <c r="BM7" i="11"/>
  <c r="BM14" i="11"/>
  <c r="BM179" i="11" s="1"/>
  <c r="BM16" i="11"/>
  <c r="BM183" i="11" s="1"/>
  <c r="BM11" i="11"/>
  <c r="BM176" i="11" s="1"/>
  <c r="J9" i="12"/>
  <c r="BD155" i="11" s="1"/>
  <c r="J13" i="9"/>
  <c r="U21" i="16"/>
  <c r="V21" i="16" s="1"/>
  <c r="W21" i="16" s="1"/>
  <c r="U8" i="16"/>
  <c r="V8" i="16" s="1"/>
  <c r="W8" i="16" s="1"/>
  <c r="X8" i="16" s="1"/>
  <c r="Y8" i="16" s="1"/>
  <c r="U25" i="16"/>
  <c r="V25" i="16" s="1"/>
  <c r="W25" i="16" s="1"/>
  <c r="U22" i="16"/>
  <c r="V22" i="16" s="1"/>
  <c r="W22" i="16" s="1"/>
  <c r="U11" i="16"/>
  <c r="V11" i="16" s="1"/>
  <c r="W11" i="16" s="1"/>
  <c r="U12" i="16"/>
  <c r="V12" i="16" s="1"/>
  <c r="W12" i="16" s="1"/>
  <c r="U20" i="16"/>
  <c r="V20" i="16" s="1"/>
  <c r="W20" i="16" s="1"/>
  <c r="U26" i="16"/>
  <c r="V26" i="16" s="1"/>
  <c r="W26" i="16" s="1"/>
  <c r="U10" i="16"/>
  <c r="V10" i="16" s="1"/>
  <c r="W10" i="16" s="1"/>
  <c r="U7" i="16"/>
  <c r="D54" i="16"/>
  <c r="U15" i="16"/>
  <c r="V15" i="16" s="1"/>
  <c r="W15" i="16" s="1"/>
  <c r="J48" i="9"/>
  <c r="J6" i="12"/>
  <c r="BD152" i="11" s="1"/>
  <c r="J5" i="12"/>
  <c r="BD151" i="11" s="1"/>
  <c r="G22" i="22"/>
  <c r="E24" i="9"/>
  <c r="E92" i="9"/>
  <c r="D168" i="14"/>
  <c r="D156" i="14"/>
  <c r="D159" i="3"/>
  <c r="D206" i="3" s="1"/>
  <c r="D219" i="3"/>
  <c r="D155" i="3"/>
  <c r="D202" i="3" s="1"/>
  <c r="D215" i="3"/>
  <c r="D244" i="14"/>
  <c r="D256" i="14"/>
  <c r="D200" i="14"/>
  <c r="D212" i="14"/>
  <c r="D160" i="3"/>
  <c r="D207" i="3" s="1"/>
  <c r="D220" i="3"/>
  <c r="D124" i="14"/>
  <c r="D112" i="14"/>
  <c r="D300" i="14"/>
  <c r="D288" i="14"/>
  <c r="BM9" i="11"/>
  <c r="N11" i="10"/>
  <c r="M14" i="18" s="1"/>
  <c r="M47" i="18" s="1"/>
  <c r="O30" i="10"/>
  <c r="I12" i="12"/>
  <c r="BC157" i="11" s="1"/>
  <c r="D161" i="3"/>
  <c r="D208" i="3" s="1"/>
  <c r="D221" i="3"/>
  <c r="D310" i="14"/>
  <c r="D322" i="14"/>
  <c r="D222" i="14"/>
  <c r="D234" i="14"/>
  <c r="D68" i="14"/>
  <c r="D80" i="14"/>
  <c r="D162" i="3"/>
  <c r="D209" i="3" s="1"/>
  <c r="D222" i="3"/>
  <c r="D90" i="14"/>
  <c r="D102" i="14"/>
  <c r="D266" i="14"/>
  <c r="D278" i="14"/>
  <c r="D157" i="3"/>
  <c r="D204" i="3" s="1"/>
  <c r="D217" i="3"/>
  <c r="D190" i="14"/>
  <c r="D178" i="14"/>
  <c r="D156" i="3"/>
  <c r="D203" i="3" s="1"/>
  <c r="D216" i="3"/>
  <c r="F132" i="30"/>
  <c r="F180" i="30" s="1"/>
  <c r="E23" i="30"/>
  <c r="AI246" i="11"/>
  <c r="BM246" i="11" s="1"/>
  <c r="T247" i="11"/>
  <c r="AI247" i="11" s="1"/>
  <c r="BM247" i="11" s="1"/>
  <c r="BM6" i="11"/>
  <c r="BM17" i="11"/>
  <c r="BM184" i="11" s="1"/>
  <c r="BM13" i="11"/>
  <c r="BM18" i="11"/>
  <c r="BM185" i="11" s="1"/>
  <c r="BM15" i="11"/>
  <c r="L35" i="14"/>
  <c r="K14" i="14"/>
  <c r="U13" i="16"/>
  <c r="V13" i="16" s="1"/>
  <c r="W13" i="16" s="1"/>
  <c r="U18" i="16"/>
  <c r="V18" i="16" s="1"/>
  <c r="W18" i="16" s="1"/>
  <c r="U17" i="16"/>
  <c r="V17" i="16" s="1"/>
  <c r="W17" i="16" s="1"/>
  <c r="U14" i="16"/>
  <c r="V14" i="16" s="1"/>
  <c r="W14" i="16" s="1"/>
  <c r="U27" i="16"/>
  <c r="V27" i="16" s="1"/>
  <c r="W27" i="16" s="1"/>
  <c r="U9" i="16"/>
  <c r="V9" i="16" s="1"/>
  <c r="W9" i="16" s="1"/>
  <c r="U16" i="16"/>
  <c r="V16" i="16" s="1"/>
  <c r="W16" i="16" s="1"/>
  <c r="U24" i="16"/>
  <c r="V24" i="16" s="1"/>
  <c r="W24" i="16" s="1"/>
  <c r="U28" i="16"/>
  <c r="V28" i="16" s="1"/>
  <c r="W28" i="16" s="1"/>
  <c r="U19" i="16"/>
  <c r="V19" i="16" s="1"/>
  <c r="W19" i="16" s="1"/>
  <c r="U23" i="16"/>
  <c r="V23" i="16" s="1"/>
  <c r="W23" i="16" s="1"/>
  <c r="C136" i="3"/>
  <c r="C7" i="3" s="1"/>
  <c r="C154" i="3"/>
  <c r="C165" i="3" s="1"/>
  <c r="K185" i="14" l="1"/>
  <c r="A185" i="14" s="1"/>
  <c r="K188" i="14"/>
  <c r="X21" i="16"/>
  <c r="BA53" i="16"/>
  <c r="AM53" i="16"/>
  <c r="X10" i="16"/>
  <c r="Y10" i="16" s="1"/>
  <c r="G104" i="14"/>
  <c r="BC52" i="16"/>
  <c r="AO52" i="16"/>
  <c r="H101" i="14"/>
  <c r="H104" i="14" s="1"/>
  <c r="I100" i="14"/>
  <c r="BA51" i="16"/>
  <c r="AM51" i="16"/>
  <c r="X11" i="16"/>
  <c r="D238" i="3"/>
  <c r="H165" i="14"/>
  <c r="G167" i="14"/>
  <c r="G170" i="14" s="1"/>
  <c r="H321" i="14"/>
  <c r="H324" i="14" s="1"/>
  <c r="I320" i="14"/>
  <c r="K51" i="15"/>
  <c r="L35" i="15"/>
  <c r="G60" i="14"/>
  <c r="BA35" i="16"/>
  <c r="AM35" i="16"/>
  <c r="H298" i="14"/>
  <c r="G299" i="14"/>
  <c r="G302" i="14" s="1"/>
  <c r="X25" i="16"/>
  <c r="G46" i="9"/>
  <c r="G27" i="9"/>
  <c r="H7" i="9"/>
  <c r="F238" i="3"/>
  <c r="J48" i="14"/>
  <c r="H145" i="14"/>
  <c r="H148" i="14" s="1"/>
  <c r="I144" i="14"/>
  <c r="V5" i="16"/>
  <c r="AK5" i="16" s="1"/>
  <c r="AZ5" i="16" s="1"/>
  <c r="F56" i="16"/>
  <c r="G5" i="16"/>
  <c r="H2" i="5"/>
  <c r="AM48" i="16"/>
  <c r="BA48" i="16"/>
  <c r="AM49" i="16"/>
  <c r="BA49" i="16"/>
  <c r="BS152" i="11"/>
  <c r="BM200" i="11"/>
  <c r="BS155" i="11"/>
  <c r="BS151" i="11"/>
  <c r="BS154" i="11"/>
  <c r="BR157" i="11"/>
  <c r="BQ157" i="11"/>
  <c r="BQ155" i="11"/>
  <c r="BN200" i="11"/>
  <c r="BM172" i="11"/>
  <c r="BV272" i="35"/>
  <c r="AO338" i="35"/>
  <c r="BV338" i="35" s="1"/>
  <c r="BW272" i="35"/>
  <c r="AR338" i="35"/>
  <c r="BW338" i="35" s="1"/>
  <c r="BU279" i="35"/>
  <c r="AL339" i="35"/>
  <c r="BU339" i="35" s="1"/>
  <c r="AD138" i="11"/>
  <c r="AS138" i="11" s="1"/>
  <c r="N105" i="3"/>
  <c r="CO308" i="35"/>
  <c r="N104" i="3"/>
  <c r="CO307" i="35"/>
  <c r="K103" i="3"/>
  <c r="K146" i="3" s="1"/>
  <c r="BT210" i="11" s="1"/>
  <c r="CE210" i="11" s="1"/>
  <c r="CL306" i="35"/>
  <c r="L105" i="3"/>
  <c r="L148" i="3" s="1"/>
  <c r="BU212" i="11" s="1"/>
  <c r="CF212" i="11" s="1"/>
  <c r="CM308" i="35"/>
  <c r="L104" i="3"/>
  <c r="L147" i="3" s="1"/>
  <c r="BU211" i="11" s="1"/>
  <c r="CF211" i="11" s="1"/>
  <c r="CM307" i="35"/>
  <c r="M105" i="3"/>
  <c r="M148" i="3" s="1"/>
  <c r="BV212" i="11" s="1"/>
  <c r="CG212" i="11" s="1"/>
  <c r="CN308" i="35"/>
  <c r="AC308" i="35"/>
  <c r="BR308" i="35" s="1"/>
  <c r="AE309" i="35"/>
  <c r="X173" i="35"/>
  <c r="AI308" i="35"/>
  <c r="BT308" i="35" s="1"/>
  <c r="N103" i="3"/>
  <c r="CO306" i="35"/>
  <c r="AF308" i="35"/>
  <c r="BS308" i="35" s="1"/>
  <c r="J105" i="3"/>
  <c r="J148" i="3" s="1"/>
  <c r="BS212" i="11" s="1"/>
  <c r="CD212" i="11" s="1"/>
  <c r="CK308" i="35"/>
  <c r="K104" i="3"/>
  <c r="K147" i="3" s="1"/>
  <c r="BT211" i="11" s="1"/>
  <c r="CE211" i="11" s="1"/>
  <c r="CL307" i="35"/>
  <c r="K105" i="3"/>
  <c r="K148" i="3" s="1"/>
  <c r="BT212" i="11" s="1"/>
  <c r="CE212" i="11" s="1"/>
  <c r="CL308" i="35"/>
  <c r="L103" i="3"/>
  <c r="L146" i="3" s="1"/>
  <c r="BU210" i="11" s="1"/>
  <c r="CF210" i="11" s="1"/>
  <c r="CM306" i="35"/>
  <c r="M104" i="3"/>
  <c r="M147" i="3" s="1"/>
  <c r="BV211" i="11" s="1"/>
  <c r="CG211" i="11" s="1"/>
  <c r="CN307" i="35"/>
  <c r="M103" i="3"/>
  <c r="M146" i="3" s="1"/>
  <c r="BV210" i="11" s="1"/>
  <c r="CG210" i="11" s="1"/>
  <c r="CN306" i="35"/>
  <c r="I105" i="3"/>
  <c r="I148" i="3" s="1"/>
  <c r="BR212" i="11" s="1"/>
  <c r="CC212" i="11" s="1"/>
  <c r="CJ308" i="35"/>
  <c r="AE310" i="35"/>
  <c r="I120" i="3"/>
  <c r="I134" i="3" s="1"/>
  <c r="I121" i="3"/>
  <c r="AI175" i="11"/>
  <c r="AI251" i="11" s="1"/>
  <c r="AI253" i="11" s="1"/>
  <c r="AJ185" i="11"/>
  <c r="AJ183" i="11"/>
  <c r="AJ179" i="11"/>
  <c r="AJ175" i="11"/>
  <c r="AJ173" i="11"/>
  <c r="AJ171" i="11"/>
  <c r="AI174" i="11"/>
  <c r="AJ184" i="11"/>
  <c r="AJ182" i="11"/>
  <c r="AJ178" i="11"/>
  <c r="AJ176" i="11"/>
  <c r="AJ172" i="11"/>
  <c r="AJ170" i="11"/>
  <c r="AK174" i="11"/>
  <c r="AJ174" i="11"/>
  <c r="BM182" i="11"/>
  <c r="BM178" i="11"/>
  <c r="BM170" i="11"/>
  <c r="BM173" i="11"/>
  <c r="BM171" i="11"/>
  <c r="AI181" i="11"/>
  <c r="AI180" i="11"/>
  <c r="AI177" i="11"/>
  <c r="AK181" i="11"/>
  <c r="AK177" i="11"/>
  <c r="AJ181" i="11"/>
  <c r="AJ177" i="11"/>
  <c r="BM199" i="11"/>
  <c r="BN199" i="11"/>
  <c r="AI179" i="11"/>
  <c r="AI171" i="11"/>
  <c r="AI182" i="11"/>
  <c r="AI183" i="11"/>
  <c r="AI173" i="11"/>
  <c r="AI184" i="11"/>
  <c r="AK180" i="11"/>
  <c r="AJ180" i="11"/>
  <c r="AI185" i="11"/>
  <c r="AI176" i="11"/>
  <c r="AI172" i="11"/>
  <c r="AI170" i="11"/>
  <c r="AI178" i="11"/>
  <c r="AD164" i="11"/>
  <c r="AS164" i="11" s="1"/>
  <c r="AD166" i="11"/>
  <c r="AS166" i="11" s="1"/>
  <c r="AD162" i="11"/>
  <c r="AS162" i="11" s="1"/>
  <c r="AD160" i="11"/>
  <c r="AS160" i="11" s="1"/>
  <c r="AD158" i="11"/>
  <c r="AS158" i="11" s="1"/>
  <c r="AD156" i="11"/>
  <c r="AS156" i="11" s="1"/>
  <c r="AD154" i="11"/>
  <c r="AS154" i="11" s="1"/>
  <c r="AD152" i="11"/>
  <c r="AS152" i="11" s="1"/>
  <c r="AD151" i="11"/>
  <c r="AS151" i="11" s="1"/>
  <c r="AD165" i="11"/>
  <c r="AS165" i="11" s="1"/>
  <c r="AD163" i="11"/>
  <c r="AS163" i="11" s="1"/>
  <c r="AD161" i="11"/>
  <c r="AS161" i="11" s="1"/>
  <c r="AD159" i="11"/>
  <c r="AS159" i="11" s="1"/>
  <c r="AD157" i="11"/>
  <c r="AS157" i="11" s="1"/>
  <c r="AD155" i="11"/>
  <c r="AS155" i="11" s="1"/>
  <c r="AD153" i="11"/>
  <c r="AS153" i="11" s="1"/>
  <c r="AD141" i="11"/>
  <c r="AS141" i="11" s="1"/>
  <c r="AD137" i="11"/>
  <c r="AS137" i="11" s="1"/>
  <c r="AD149" i="11"/>
  <c r="AS149" i="11" s="1"/>
  <c r="AD145" i="11"/>
  <c r="AS145" i="11" s="1"/>
  <c r="AD135" i="11"/>
  <c r="AS135" i="11" s="1"/>
  <c r="AD139" i="11"/>
  <c r="AS139" i="11" s="1"/>
  <c r="AD143" i="11"/>
  <c r="AS143" i="11" s="1"/>
  <c r="AD147" i="11"/>
  <c r="AS147" i="11" s="1"/>
  <c r="AK308" i="35"/>
  <c r="AK307" i="35"/>
  <c r="AK306" i="35"/>
  <c r="BL193" i="11"/>
  <c r="F225" i="3"/>
  <c r="N40" i="15"/>
  <c r="N56" i="15" s="1"/>
  <c r="R193" i="3"/>
  <c r="N148" i="3"/>
  <c r="BW212" i="11" s="1"/>
  <c r="CH212" i="11" s="1"/>
  <c r="N147" i="3"/>
  <c r="BW211" i="11" s="1"/>
  <c r="CH211" i="11" s="1"/>
  <c r="J103" i="3"/>
  <c r="J146" i="3" s="1"/>
  <c r="BS210" i="11" s="1"/>
  <c r="CD210" i="11" s="1"/>
  <c r="AE306" i="35"/>
  <c r="J104" i="3"/>
  <c r="J147" i="3" s="1"/>
  <c r="BS211" i="11" s="1"/>
  <c r="CD211" i="11" s="1"/>
  <c r="AE307" i="35"/>
  <c r="G55" i="18"/>
  <c r="BP206" i="11"/>
  <c r="G185" i="3"/>
  <c r="P150" i="3"/>
  <c r="AR279" i="35"/>
  <c r="AL286" i="35"/>
  <c r="BU286" i="35" s="1"/>
  <c r="AL293" i="35"/>
  <c r="BU293" i="35" s="1"/>
  <c r="AH307" i="35"/>
  <c r="BX213" i="11"/>
  <c r="O193" i="3"/>
  <c r="I103" i="3"/>
  <c r="I146" i="3" s="1"/>
  <c r="AB306" i="35"/>
  <c r="AL287" i="35"/>
  <c r="BU287" i="35" s="1"/>
  <c r="AL294" i="35"/>
  <c r="BU294" i="35" s="1"/>
  <c r="AR280" i="35"/>
  <c r="BW280" i="35" s="1"/>
  <c r="L69" i="9"/>
  <c r="K23" i="1"/>
  <c r="J79" i="14"/>
  <c r="K78" i="14"/>
  <c r="N41" i="15"/>
  <c r="N57" i="15" s="1"/>
  <c r="R194" i="3"/>
  <c r="Q35" i="10"/>
  <c r="P10" i="10"/>
  <c r="I26" i="3"/>
  <c r="I14" i="3"/>
  <c r="I25" i="3" s="1"/>
  <c r="E225" i="3"/>
  <c r="CH213" i="11"/>
  <c r="N146" i="3"/>
  <c r="BW210" i="11" s="1"/>
  <c r="CH210" i="11" s="1"/>
  <c r="BX214" i="11"/>
  <c r="O194" i="3"/>
  <c r="AO279" i="35"/>
  <c r="AI309" i="35"/>
  <c r="BT309" i="35" s="1"/>
  <c r="AI310" i="35"/>
  <c r="BT310" i="35" s="1"/>
  <c r="AH306" i="35"/>
  <c r="P149" i="3"/>
  <c r="I104" i="3"/>
  <c r="I147" i="3" s="1"/>
  <c r="AB307" i="35"/>
  <c r="AO280" i="35"/>
  <c r="BV280" i="35" s="1"/>
  <c r="F8" i="5"/>
  <c r="E13" i="5"/>
  <c r="CH214" i="11"/>
  <c r="H277" i="14"/>
  <c r="H280" i="14" s="1"/>
  <c r="I276" i="14"/>
  <c r="I123" i="14"/>
  <c r="J122" i="14"/>
  <c r="BL191" i="11"/>
  <c r="BL218" i="11" s="1"/>
  <c r="BL192" i="11"/>
  <c r="BL190" i="11"/>
  <c r="BL217" i="11" s="1"/>
  <c r="BR136" i="11"/>
  <c r="H177" i="3"/>
  <c r="G192" i="3"/>
  <c r="K176" i="3"/>
  <c r="H53" i="15"/>
  <c r="K175" i="3"/>
  <c r="BC141" i="11"/>
  <c r="BR141" i="11" s="1"/>
  <c r="I135" i="3"/>
  <c r="H103" i="16"/>
  <c r="H28" i="16"/>
  <c r="G223" i="3"/>
  <c r="G163" i="3"/>
  <c r="G210" i="3" s="1"/>
  <c r="H224" i="3"/>
  <c r="H164" i="3"/>
  <c r="H211" i="3" s="1"/>
  <c r="AR308" i="35"/>
  <c r="BW308" i="35" s="1"/>
  <c r="AR307" i="35"/>
  <c r="BW307" i="35" s="1"/>
  <c r="AR306" i="35"/>
  <c r="BW306" i="35" s="1"/>
  <c r="AO306" i="35"/>
  <c r="BV306" i="35" s="1"/>
  <c r="AO307" i="35"/>
  <c r="BV307" i="35" s="1"/>
  <c r="AO308" i="35"/>
  <c r="BV308" i="35" s="1"/>
  <c r="BR139" i="11"/>
  <c r="BD136" i="11"/>
  <c r="BS136" i="11" s="1"/>
  <c r="BD135" i="11"/>
  <c r="BS135" i="11" s="1"/>
  <c r="BD139" i="11"/>
  <c r="BS139" i="11" s="1"/>
  <c r="BD138" i="11"/>
  <c r="BS138" i="11" s="1"/>
  <c r="G164" i="3"/>
  <c r="G211" i="3" s="1"/>
  <c r="G224" i="3"/>
  <c r="H223" i="3"/>
  <c r="H163" i="3"/>
  <c r="H210" i="3" s="1"/>
  <c r="X9" i="16"/>
  <c r="Y9" i="16" s="1"/>
  <c r="Y25" i="16"/>
  <c r="D212" i="3"/>
  <c r="D225" i="3"/>
  <c r="D237" i="3"/>
  <c r="E237" i="3"/>
  <c r="F237" i="3"/>
  <c r="BR138" i="11"/>
  <c r="E238" i="3"/>
  <c r="G9" i="29"/>
  <c r="I81" i="16"/>
  <c r="I83" i="16"/>
  <c r="I85" i="16"/>
  <c r="I87" i="16"/>
  <c r="I89" i="16"/>
  <c r="I91" i="16"/>
  <c r="I93" i="16"/>
  <c r="I95" i="16"/>
  <c r="I82" i="16"/>
  <c r="I84" i="16"/>
  <c r="I86" i="16"/>
  <c r="I88" i="16"/>
  <c r="I90" i="16"/>
  <c r="I92" i="16"/>
  <c r="I94" i="16"/>
  <c r="I96" i="16"/>
  <c r="I80" i="16"/>
  <c r="I28" i="16" s="1"/>
  <c r="H105" i="16"/>
  <c r="J29" i="9"/>
  <c r="I110" i="9"/>
  <c r="F44" i="32"/>
  <c r="F16" i="32" s="1"/>
  <c r="Y11" i="16"/>
  <c r="F54" i="14"/>
  <c r="F13" i="14" s="1"/>
  <c r="O97" i="14"/>
  <c r="A97" i="14" s="1"/>
  <c r="F128" i="14"/>
  <c r="G19" i="14"/>
  <c r="J251" i="14"/>
  <c r="K246" i="14"/>
  <c r="J254" i="14"/>
  <c r="J255" i="14" s="1"/>
  <c r="J258" i="14" s="1"/>
  <c r="A246" i="14"/>
  <c r="I258" i="14"/>
  <c r="C36" i="28"/>
  <c r="C25" i="28"/>
  <c r="D7" i="30"/>
  <c r="D34" i="30" s="1"/>
  <c r="BQ107" i="11"/>
  <c r="BQ91" i="11"/>
  <c r="BD19" i="11"/>
  <c r="BD45" i="11"/>
  <c r="BS45" i="11" s="1"/>
  <c r="BD71" i="11"/>
  <c r="BD103" i="11"/>
  <c r="BD32" i="11"/>
  <c r="BS32" i="11" s="1"/>
  <c r="BD58" i="11"/>
  <c r="BS58" i="11" s="1"/>
  <c r="BD87" i="11"/>
  <c r="BD119" i="11"/>
  <c r="BD6" i="11"/>
  <c r="BD91" i="11"/>
  <c r="BD123" i="11"/>
  <c r="BD75" i="11"/>
  <c r="BD107" i="11"/>
  <c r="BD22" i="11"/>
  <c r="BD48" i="11"/>
  <c r="BD74" i="11"/>
  <c r="BD106" i="11"/>
  <c r="BD9" i="11"/>
  <c r="BD35" i="11"/>
  <c r="BD61" i="11"/>
  <c r="BS61" i="11" s="1"/>
  <c r="BD90" i="11"/>
  <c r="BD122" i="11"/>
  <c r="BC11" i="11"/>
  <c r="BC37" i="11"/>
  <c r="BR37" i="11" s="1"/>
  <c r="BC63" i="11"/>
  <c r="BR63" i="11" s="1"/>
  <c r="BC77" i="11"/>
  <c r="BC109" i="11"/>
  <c r="BC244" i="11"/>
  <c r="BR244" i="11" s="1"/>
  <c r="BC24" i="11"/>
  <c r="BC50" i="11"/>
  <c r="BR50" i="11" s="1"/>
  <c r="BC93" i="11"/>
  <c r="BC125" i="11"/>
  <c r="BD7" i="11"/>
  <c r="BD33" i="11"/>
  <c r="BS33" i="11" s="1"/>
  <c r="BD59" i="11"/>
  <c r="BS59" i="11" s="1"/>
  <c r="BD88" i="11"/>
  <c r="BD120" i="11"/>
  <c r="BD20" i="11"/>
  <c r="BD46" i="11"/>
  <c r="BS46" i="11" s="1"/>
  <c r="BD72" i="11"/>
  <c r="BD104" i="11"/>
  <c r="V8" i="11"/>
  <c r="AK8" i="11" s="1"/>
  <c r="AK172" i="11" s="1"/>
  <c r="V10" i="11"/>
  <c r="AK10" i="11" s="1"/>
  <c r="V12" i="11"/>
  <c r="AK12" i="11" s="1"/>
  <c r="BO12" i="11" s="1"/>
  <c r="V14" i="11"/>
  <c r="AK14" i="11" s="1"/>
  <c r="V16" i="11"/>
  <c r="AK16" i="11" s="1"/>
  <c r="V18" i="11"/>
  <c r="AK18" i="11" s="1"/>
  <c r="V6" i="11"/>
  <c r="AK6" i="11" s="1"/>
  <c r="V7" i="11"/>
  <c r="AK7" i="11" s="1"/>
  <c r="V9" i="11"/>
  <c r="AK9" i="11" s="1"/>
  <c r="V11" i="11"/>
  <c r="AK11" i="11" s="1"/>
  <c r="AK176" i="11" s="1"/>
  <c r="V13" i="11"/>
  <c r="AK13" i="11" s="1"/>
  <c r="V15" i="11"/>
  <c r="AK15" i="11" s="1"/>
  <c r="V17" i="11"/>
  <c r="AK17" i="11" s="1"/>
  <c r="F3" i="7"/>
  <c r="E39" i="7"/>
  <c r="O12" i="6"/>
  <c r="P14" i="7"/>
  <c r="N12" i="6"/>
  <c r="E3" i="22"/>
  <c r="D20" i="22"/>
  <c r="J229" i="14"/>
  <c r="K224" i="14"/>
  <c r="A224" i="14" s="1"/>
  <c r="P119" i="14"/>
  <c r="P48" i="14"/>
  <c r="K158" i="14"/>
  <c r="A158" i="14" s="1"/>
  <c r="J166" i="14"/>
  <c r="J163" i="14"/>
  <c r="O53" i="14"/>
  <c r="O12" i="14" s="1"/>
  <c r="O7" i="14"/>
  <c r="O11" i="10"/>
  <c r="N14" i="18" s="1"/>
  <c r="N47" i="18" s="1"/>
  <c r="P30" i="10"/>
  <c r="P22" i="7"/>
  <c r="X14" i="16"/>
  <c r="Y14" i="16" s="1"/>
  <c r="E231" i="3"/>
  <c r="H4" i="3"/>
  <c r="G40" i="3"/>
  <c r="G54" i="3"/>
  <c r="G68" i="3" s="1"/>
  <c r="G139" i="3"/>
  <c r="G168" i="3" s="1"/>
  <c r="G183" i="3" s="1"/>
  <c r="G199" i="3" s="1"/>
  <c r="G124" i="3"/>
  <c r="G27" i="3"/>
  <c r="G82" i="3"/>
  <c r="G13" i="3"/>
  <c r="G153" i="3"/>
  <c r="G96" i="3"/>
  <c r="G110" i="3"/>
  <c r="N53" i="14"/>
  <c r="N12" i="14" s="1"/>
  <c r="N7" i="14"/>
  <c r="I25" i="30"/>
  <c r="E58" i="14"/>
  <c r="E17" i="14" s="1"/>
  <c r="G54" i="30" s="1"/>
  <c r="G46" i="30" s="1"/>
  <c r="F5" i="29"/>
  <c r="F6" i="29" s="1"/>
  <c r="F26" i="29" s="1"/>
  <c r="E232" i="3"/>
  <c r="AM36" i="16"/>
  <c r="BA36" i="16"/>
  <c r="X23" i="16"/>
  <c r="Y23" i="16" s="1"/>
  <c r="X16" i="16"/>
  <c r="Y16" i="16" s="1"/>
  <c r="X13" i="16"/>
  <c r="Y13" i="16" s="1"/>
  <c r="X15" i="16"/>
  <c r="Y15" i="16" s="1"/>
  <c r="X12" i="16"/>
  <c r="Y12" i="16" s="1"/>
  <c r="X22" i="16"/>
  <c r="Y22" i="16" s="1"/>
  <c r="N39" i="6"/>
  <c r="O39" i="6" s="1"/>
  <c r="E125" i="30"/>
  <c r="E173" i="30" s="1"/>
  <c r="D27" i="28"/>
  <c r="F61" i="14"/>
  <c r="F84" i="14"/>
  <c r="E76" i="14"/>
  <c r="E46" i="14"/>
  <c r="D36" i="30"/>
  <c r="D16" i="30"/>
  <c r="D35" i="30" s="1"/>
  <c r="E233" i="3"/>
  <c r="E39" i="32"/>
  <c r="E234" i="3"/>
  <c r="E230" i="3"/>
  <c r="E235" i="3"/>
  <c r="E236" i="3"/>
  <c r="AM38" i="16"/>
  <c r="BA38" i="16"/>
  <c r="BA42" i="16"/>
  <c r="AM42" i="16"/>
  <c r="BB46" i="16"/>
  <c r="AN46" i="16"/>
  <c r="AM30" i="16"/>
  <c r="BA30" i="16"/>
  <c r="AM43" i="16"/>
  <c r="BA43" i="16"/>
  <c r="AN32" i="16"/>
  <c r="BB32" i="16"/>
  <c r="BB40" i="16"/>
  <c r="AN40" i="16"/>
  <c r="AN31" i="16"/>
  <c r="BB31" i="16"/>
  <c r="BA29" i="16"/>
  <c r="AM29" i="16"/>
  <c r="AN39" i="16"/>
  <c r="BB39" i="16"/>
  <c r="BD44" i="16"/>
  <c r="AP44" i="16"/>
  <c r="AN50" i="16"/>
  <c r="BB50" i="16"/>
  <c r="X28" i="16"/>
  <c r="Y28" i="16" s="1"/>
  <c r="X27" i="16"/>
  <c r="Y27" i="16" s="1"/>
  <c r="X17" i="16"/>
  <c r="Y17" i="16" s="1"/>
  <c r="X26" i="16"/>
  <c r="Y26" i="16" s="1"/>
  <c r="BO94" i="11"/>
  <c r="X19" i="16"/>
  <c r="Y19" i="16" s="1"/>
  <c r="X24" i="16"/>
  <c r="Y24" i="16" s="1"/>
  <c r="X18" i="16"/>
  <c r="Y18" i="16" s="1"/>
  <c r="X20" i="16"/>
  <c r="Y20" i="16" s="1"/>
  <c r="Y21" i="16"/>
  <c r="BO126" i="11"/>
  <c r="BO110" i="11"/>
  <c r="BP78" i="11"/>
  <c r="BP110" i="11"/>
  <c r="H13" i="12"/>
  <c r="BB158" i="11" s="1"/>
  <c r="BQ158" i="11" s="1"/>
  <c r="BP94" i="11"/>
  <c r="BL181" i="11"/>
  <c r="K26" i="10"/>
  <c r="J7" i="10"/>
  <c r="I10" i="18" s="1"/>
  <c r="I43" i="18" s="1"/>
  <c r="F127" i="30"/>
  <c r="F175" i="30" s="1"/>
  <c r="D15" i="29"/>
  <c r="G127" i="30"/>
  <c r="G175" i="30" s="1"/>
  <c r="E15" i="29"/>
  <c r="H54" i="16"/>
  <c r="E85" i="6"/>
  <c r="E83" i="6" s="1"/>
  <c r="H36" i="14"/>
  <c r="G37" i="14"/>
  <c r="G16" i="14" s="1"/>
  <c r="G15" i="14"/>
  <c r="K12" i="7"/>
  <c r="AH187" i="11"/>
  <c r="BL185" i="11"/>
  <c r="F15" i="29"/>
  <c r="H127" i="30"/>
  <c r="H175" i="30" s="1"/>
  <c r="L11" i="12"/>
  <c r="AP255" i="11"/>
  <c r="H33" i="10"/>
  <c r="BA45" i="16"/>
  <c r="AM45" i="16"/>
  <c r="J6" i="15"/>
  <c r="K11" i="28"/>
  <c r="K317" i="14"/>
  <c r="A317" i="14" s="1"/>
  <c r="J7" i="14"/>
  <c r="J53" i="14"/>
  <c r="J12" i="14" s="1"/>
  <c r="J56" i="14"/>
  <c r="J57" i="14" s="1"/>
  <c r="G184" i="3"/>
  <c r="BP205" i="11"/>
  <c r="G48" i="32"/>
  <c r="G56" i="32" s="1"/>
  <c r="G22" i="18"/>
  <c r="G159" i="3"/>
  <c r="G206" i="3" s="1"/>
  <c r="G219" i="3"/>
  <c r="G160" i="3"/>
  <c r="G207" i="3" s="1"/>
  <c r="G220" i="3"/>
  <c r="G234" i="14"/>
  <c r="G237" i="14"/>
  <c r="G222" i="14"/>
  <c r="G226" i="14"/>
  <c r="G292" i="14"/>
  <c r="G288" i="14"/>
  <c r="G300" i="14"/>
  <c r="G303" i="14"/>
  <c r="G161" i="3"/>
  <c r="G208" i="3" s="1"/>
  <c r="G221" i="3"/>
  <c r="G278" i="14"/>
  <c r="G270" i="14"/>
  <c r="G266" i="14"/>
  <c r="G281" i="14"/>
  <c r="G162" i="3"/>
  <c r="G209" i="3" s="1"/>
  <c r="G222" i="3"/>
  <c r="G160" i="14"/>
  <c r="G156" i="14"/>
  <c r="G168" i="14"/>
  <c r="G171" i="14"/>
  <c r="G156" i="3"/>
  <c r="G203" i="3" s="1"/>
  <c r="G216" i="3"/>
  <c r="G244" i="14"/>
  <c r="G248" i="14"/>
  <c r="G256" i="14"/>
  <c r="G259" i="14"/>
  <c r="G112" i="14"/>
  <c r="G124" i="14"/>
  <c r="G116" i="14"/>
  <c r="G127" i="14"/>
  <c r="G27" i="4"/>
  <c r="G67" i="32"/>
  <c r="BS48" i="11"/>
  <c r="BS35" i="11"/>
  <c r="K8" i="12"/>
  <c r="BE154" i="11" s="1"/>
  <c r="BT154" i="11" s="1"/>
  <c r="K9" i="28"/>
  <c r="J19" i="28"/>
  <c r="I8" i="15" s="1"/>
  <c r="BR249" i="11" s="1"/>
  <c r="L211" i="14"/>
  <c r="L214" i="14" s="1"/>
  <c r="M210" i="14"/>
  <c r="I10" i="16"/>
  <c r="Z10" i="16" s="1"/>
  <c r="I9" i="16"/>
  <c r="I22" i="16"/>
  <c r="I11" i="16"/>
  <c r="Z11" i="16" s="1"/>
  <c r="I8" i="16"/>
  <c r="Z8" i="16" s="1"/>
  <c r="I18" i="16"/>
  <c r="I17" i="16"/>
  <c r="I27" i="16"/>
  <c r="I23" i="16"/>
  <c r="I24" i="16"/>
  <c r="Z24" i="16" s="1"/>
  <c r="I26" i="16"/>
  <c r="I14" i="16"/>
  <c r="I20" i="16"/>
  <c r="I13" i="16"/>
  <c r="I16" i="16"/>
  <c r="I12" i="16"/>
  <c r="I25" i="16"/>
  <c r="Z25" i="16" s="1"/>
  <c r="I19" i="16"/>
  <c r="I7" i="16"/>
  <c r="I15" i="16"/>
  <c r="Z15" i="16" s="1"/>
  <c r="I21" i="16"/>
  <c r="L6" i="5"/>
  <c r="M4" i="5" s="1"/>
  <c r="I12" i="14"/>
  <c r="H15" i="18"/>
  <c r="H48" i="18" s="1"/>
  <c r="I17" i="10"/>
  <c r="M9" i="5"/>
  <c r="H256" i="14"/>
  <c r="H244" i="14"/>
  <c r="H259" i="14"/>
  <c r="H260" i="14" s="1"/>
  <c r="H248" i="14"/>
  <c r="H159" i="3"/>
  <c r="H206" i="3" s="1"/>
  <c r="H219" i="3"/>
  <c r="H190" i="14"/>
  <c r="H193" i="14"/>
  <c r="H194" i="14" s="1"/>
  <c r="H178" i="14"/>
  <c r="H182" i="14"/>
  <c r="H72" i="14"/>
  <c r="H68" i="14"/>
  <c r="H80" i="14"/>
  <c r="H83" i="14"/>
  <c r="H303" i="14"/>
  <c r="H292" i="14"/>
  <c r="H288" i="14"/>
  <c r="H138" i="14"/>
  <c r="H134" i="14"/>
  <c r="H146" i="14"/>
  <c r="H149" i="14"/>
  <c r="H150" i="14" s="1"/>
  <c r="H156" i="14"/>
  <c r="H160" i="14"/>
  <c r="H171" i="14"/>
  <c r="H94" i="14"/>
  <c r="H102" i="14"/>
  <c r="H105" i="14"/>
  <c r="H90" i="14"/>
  <c r="BM252" i="11"/>
  <c r="BM254" i="11" s="1"/>
  <c r="AI254" i="11" s="1"/>
  <c r="G54" i="16"/>
  <c r="G17" i="5" s="1"/>
  <c r="G16" i="6" s="1"/>
  <c r="G15" i="26" s="1"/>
  <c r="G17" i="26" s="1"/>
  <c r="J232" i="14"/>
  <c r="I233" i="14"/>
  <c r="I236" i="14" s="1"/>
  <c r="M6" i="28"/>
  <c r="L17" i="28"/>
  <c r="K273" i="14"/>
  <c r="A273" i="14" s="1"/>
  <c r="BA47" i="16"/>
  <c r="AM47" i="16"/>
  <c r="G310" i="14"/>
  <c r="G314" i="14"/>
  <c r="G322" i="14"/>
  <c r="G325" i="14"/>
  <c r="G102" i="14"/>
  <c r="G90" i="14"/>
  <c r="G105" i="14"/>
  <c r="G94" i="14"/>
  <c r="G80" i="14"/>
  <c r="G68" i="14"/>
  <c r="H82" i="14"/>
  <c r="G72" i="14"/>
  <c r="G83" i="14"/>
  <c r="G214" i="3"/>
  <c r="G32" i="18"/>
  <c r="G136" i="3"/>
  <c r="G178" i="14"/>
  <c r="G182" i="14"/>
  <c r="G190" i="14"/>
  <c r="G193" i="14"/>
  <c r="G134" i="14"/>
  <c r="G138" i="14"/>
  <c r="G146" i="14"/>
  <c r="G149" i="14"/>
  <c r="G217" i="3"/>
  <c r="G157" i="3"/>
  <c r="G204" i="3" s="1"/>
  <c r="G218" i="3"/>
  <c r="G158" i="3"/>
  <c r="G205" i="3" s="1"/>
  <c r="G200" i="14"/>
  <c r="G204" i="14"/>
  <c r="G212" i="14"/>
  <c r="G215" i="14"/>
  <c r="H3" i="9"/>
  <c r="I22" i="10"/>
  <c r="BA37" i="16"/>
  <c r="AM37" i="16"/>
  <c r="AM41" i="16"/>
  <c r="BA41" i="16"/>
  <c r="AN34" i="16"/>
  <c r="BB34" i="16"/>
  <c r="K25" i="30"/>
  <c r="I68" i="26"/>
  <c r="K132" i="30" s="1"/>
  <c r="K180" i="30" s="1"/>
  <c r="I9" i="29"/>
  <c r="I153" i="14"/>
  <c r="I66" i="14"/>
  <c r="I131" i="14"/>
  <c r="I219" i="14"/>
  <c r="I263" i="14"/>
  <c r="I109" i="14"/>
  <c r="I197" i="14"/>
  <c r="I87" i="14"/>
  <c r="I241" i="14"/>
  <c r="I127" i="3"/>
  <c r="I129" i="3"/>
  <c r="I307" i="14"/>
  <c r="I128" i="3"/>
  <c r="I175" i="14"/>
  <c r="I285" i="14"/>
  <c r="J15" i="15"/>
  <c r="I16" i="15"/>
  <c r="AA172" i="35" s="1"/>
  <c r="AN33" i="16"/>
  <c r="BB33" i="16"/>
  <c r="M7" i="14"/>
  <c r="M53" i="14"/>
  <c r="M12" i="14" s="1"/>
  <c r="J12" i="10"/>
  <c r="K31" i="10"/>
  <c r="H322" i="14"/>
  <c r="H310" i="14"/>
  <c r="H314" i="14"/>
  <c r="H325" i="14"/>
  <c r="H326" i="14" s="1"/>
  <c r="H278" i="14"/>
  <c r="H270" i="14"/>
  <c r="H281" i="14"/>
  <c r="H282" i="14" s="1"/>
  <c r="H266" i="14"/>
  <c r="H112" i="14"/>
  <c r="H124" i="14"/>
  <c r="H127" i="14"/>
  <c r="H128" i="14" s="1"/>
  <c r="H116" i="14"/>
  <c r="H162" i="3"/>
  <c r="H209" i="3" s="1"/>
  <c r="H222" i="3"/>
  <c r="H216" i="3"/>
  <c r="H156" i="3"/>
  <c r="H203" i="3" s="1"/>
  <c r="H221" i="3"/>
  <c r="H161" i="3"/>
  <c r="H208" i="3" s="1"/>
  <c r="H160" i="3"/>
  <c r="H207" i="3" s="1"/>
  <c r="H220" i="3"/>
  <c r="H158" i="3"/>
  <c r="H205" i="3" s="1"/>
  <c r="H218" i="3"/>
  <c r="H157" i="3"/>
  <c r="H204" i="3" s="1"/>
  <c r="H217" i="3"/>
  <c r="H234" i="14"/>
  <c r="H226" i="14"/>
  <c r="H237" i="14"/>
  <c r="H238" i="14" s="1"/>
  <c r="H222" i="14"/>
  <c r="H212" i="14"/>
  <c r="H204" i="14"/>
  <c r="H215" i="14"/>
  <c r="H216" i="14" s="1"/>
  <c r="H200" i="14"/>
  <c r="L14" i="14"/>
  <c r="M35" i="14"/>
  <c r="D46" i="14"/>
  <c r="H104" i="30"/>
  <c r="N104" i="30" s="1"/>
  <c r="K6" i="12"/>
  <c r="BE152" i="11" s="1"/>
  <c r="BT152" i="11" s="1"/>
  <c r="K48" i="9"/>
  <c r="D17" i="5"/>
  <c r="AJ251" i="11"/>
  <c r="AJ253" i="11" s="1"/>
  <c r="BO80" i="11"/>
  <c r="BP77" i="11"/>
  <c r="BN77" i="11"/>
  <c r="BN176" i="11" s="1"/>
  <c r="BQ71" i="11"/>
  <c r="BO79" i="11"/>
  <c r="BP71" i="11"/>
  <c r="BN71" i="11"/>
  <c r="BQ77" i="11"/>
  <c r="BM85" i="11"/>
  <c r="BM180" i="11" s="1"/>
  <c r="BO84" i="11"/>
  <c r="BM75" i="11"/>
  <c r="BM174" i="11" s="1"/>
  <c r="BO81" i="11"/>
  <c r="BN79" i="11"/>
  <c r="BN178" i="11" s="1"/>
  <c r="BO71" i="11"/>
  <c r="BN86" i="11"/>
  <c r="BN181" i="11" s="1"/>
  <c r="D228" i="3"/>
  <c r="D230" i="3"/>
  <c r="D231" i="3"/>
  <c r="D236" i="3"/>
  <c r="D235" i="3"/>
  <c r="D234" i="3"/>
  <c r="D229" i="3"/>
  <c r="D233" i="3"/>
  <c r="BL173" i="11"/>
  <c r="BL184" i="11"/>
  <c r="BL179" i="11"/>
  <c r="BL183" i="11"/>
  <c r="BQ109" i="11"/>
  <c r="BL178" i="11"/>
  <c r="BL170" i="11"/>
  <c r="C8" i="3"/>
  <c r="C5" i="1" s="1"/>
  <c r="J12" i="12"/>
  <c r="BD157" i="11" s="1"/>
  <c r="BS157" i="11" s="1"/>
  <c r="F92" i="9"/>
  <c r="F24" i="9"/>
  <c r="H22" i="22"/>
  <c r="F85" i="6"/>
  <c r="F83" i="6" s="1"/>
  <c r="K5" i="12"/>
  <c r="BE151" i="11" s="1"/>
  <c r="BT151" i="11" s="1"/>
  <c r="V7" i="16"/>
  <c r="U54" i="16"/>
  <c r="K13" i="9"/>
  <c r="K9" i="12"/>
  <c r="BE155" i="11" s="1"/>
  <c r="BT155" i="11" s="1"/>
  <c r="BN74" i="11"/>
  <c r="BN173" i="11" s="1"/>
  <c r="BN80" i="11"/>
  <c r="BN179" i="11" s="1"/>
  <c r="BO83" i="11"/>
  <c r="BQ74" i="11"/>
  <c r="BP72" i="11"/>
  <c r="BN72" i="11"/>
  <c r="BN171" i="11" s="1"/>
  <c r="BQ75" i="11"/>
  <c r="BN78" i="11"/>
  <c r="BN177" i="11" s="1"/>
  <c r="BO72" i="11"/>
  <c r="BP75" i="11"/>
  <c r="BQ72" i="11"/>
  <c r="BM78" i="11"/>
  <c r="BM177" i="11" s="1"/>
  <c r="BO78" i="11"/>
  <c r="BP74" i="11"/>
  <c r="BO74" i="11"/>
  <c r="BO82" i="11"/>
  <c r="BM86" i="11"/>
  <c r="BM181" i="11" s="1"/>
  <c r="BN85" i="11"/>
  <c r="BN180" i="11" s="1"/>
  <c r="D6" i="29"/>
  <c r="D26" i="29" s="1"/>
  <c r="D8" i="3"/>
  <c r="D10" i="3" s="1"/>
  <c r="F7" i="29"/>
  <c r="H109" i="30"/>
  <c r="N109" i="30" s="1"/>
  <c r="F58" i="26"/>
  <c r="H122" i="30" s="1"/>
  <c r="H170" i="30" s="1"/>
  <c r="F50" i="26"/>
  <c r="H22" i="30"/>
  <c r="D58" i="14"/>
  <c r="D17" i="14" s="1"/>
  <c r="F54" i="30" s="1"/>
  <c r="BL182" i="11"/>
  <c r="BL172" i="11"/>
  <c r="BQ93" i="11"/>
  <c r="BL171" i="11"/>
  <c r="BL177" i="11"/>
  <c r="BL180" i="11"/>
  <c r="BL176" i="11"/>
  <c r="BL175" i="11"/>
  <c r="BL174" i="11"/>
  <c r="D232" i="3"/>
  <c r="G195" i="3" l="1"/>
  <c r="I101" i="14"/>
  <c r="J100" i="14"/>
  <c r="Z14" i="16"/>
  <c r="AP52" i="16"/>
  <c r="BD52" i="16"/>
  <c r="I104" i="14"/>
  <c r="H106" i="14"/>
  <c r="AN53" i="16"/>
  <c r="BB53" i="16"/>
  <c r="K48" i="14"/>
  <c r="BB51" i="16"/>
  <c r="AN51" i="16"/>
  <c r="L188" i="14"/>
  <c r="K189" i="14"/>
  <c r="K192" i="14" s="1"/>
  <c r="Z27" i="16"/>
  <c r="Z28" i="16"/>
  <c r="I7" i="9"/>
  <c r="H27" i="9"/>
  <c r="H46" i="9"/>
  <c r="I321" i="14"/>
  <c r="I324" i="14" s="1"/>
  <c r="J320" i="14"/>
  <c r="H208" i="14"/>
  <c r="H230" i="14"/>
  <c r="H274" i="14"/>
  <c r="I298" i="14"/>
  <c r="H299" i="14"/>
  <c r="AN35" i="16"/>
  <c r="BB35" i="16"/>
  <c r="L51" i="15"/>
  <c r="M35" i="15"/>
  <c r="I165" i="14"/>
  <c r="H167" i="14"/>
  <c r="J144" i="14"/>
  <c r="I145" i="14"/>
  <c r="I148" i="14" s="1"/>
  <c r="H5" i="16"/>
  <c r="I2" i="5"/>
  <c r="W5" i="16"/>
  <c r="AL5" i="16" s="1"/>
  <c r="BA5" i="16" s="1"/>
  <c r="G56" i="16"/>
  <c r="BB49" i="16"/>
  <c r="AN49" i="16"/>
  <c r="AN48" i="16"/>
  <c r="BB48" i="16"/>
  <c r="G225" i="3"/>
  <c r="AB308" i="35"/>
  <c r="I119" i="3" s="1"/>
  <c r="I133" i="3" s="1"/>
  <c r="BW279" i="35"/>
  <c r="AR339" i="35"/>
  <c r="BW339" i="35" s="1"/>
  <c r="BV279" i="35"/>
  <c r="AO339" i="35"/>
  <c r="BV339" i="35" s="1"/>
  <c r="BO177" i="11"/>
  <c r="AN308" i="35"/>
  <c r="AN306" i="35"/>
  <c r="AQ307" i="35"/>
  <c r="I118" i="3"/>
  <c r="K117" i="3"/>
  <c r="AH309" i="35"/>
  <c r="J118" i="3"/>
  <c r="J117" i="3"/>
  <c r="L118" i="3"/>
  <c r="AN307" i="35"/>
  <c r="AQ306" i="35"/>
  <c r="AQ308" i="35"/>
  <c r="AH310" i="35"/>
  <c r="I117" i="3"/>
  <c r="I131" i="3" s="1"/>
  <c r="K118" i="3"/>
  <c r="L117" i="3"/>
  <c r="L119" i="3"/>
  <c r="J121" i="3"/>
  <c r="AE308" i="35"/>
  <c r="AH308" i="35"/>
  <c r="X174" i="35"/>
  <c r="J120" i="3"/>
  <c r="BO6" i="11"/>
  <c r="BO170" i="11" s="1"/>
  <c r="AK170" i="11"/>
  <c r="BO15" i="11"/>
  <c r="BO182" i="11" s="1"/>
  <c r="AK182" i="11"/>
  <c r="BO7" i="11"/>
  <c r="BO171" i="11" s="1"/>
  <c r="AK171" i="11"/>
  <c r="BO18" i="11"/>
  <c r="BO185" i="11" s="1"/>
  <c r="AK185" i="11"/>
  <c r="BO14" i="11"/>
  <c r="BO179" i="11" s="1"/>
  <c r="AK179" i="11"/>
  <c r="AK175" i="11"/>
  <c r="AK251" i="11" s="1"/>
  <c r="AK253" i="11" s="1"/>
  <c r="BO17" i="11"/>
  <c r="BO184" i="11" s="1"/>
  <c r="AK184" i="11"/>
  <c r="BO13" i="11"/>
  <c r="BO178" i="11" s="1"/>
  <c r="AK178" i="11"/>
  <c r="BO9" i="11"/>
  <c r="BO173" i="11" s="1"/>
  <c r="AK173" i="11"/>
  <c r="BO16" i="11"/>
  <c r="BO183" i="11" s="1"/>
  <c r="AK183" i="11"/>
  <c r="BN170" i="11"/>
  <c r="I132" i="3"/>
  <c r="I221" i="3" s="1"/>
  <c r="AE164" i="11"/>
  <c r="AT164" i="11" s="1"/>
  <c r="AE162" i="11"/>
  <c r="AT162" i="11" s="1"/>
  <c r="AE160" i="11"/>
  <c r="AT160" i="11" s="1"/>
  <c r="AE158" i="11"/>
  <c r="AT158" i="11" s="1"/>
  <c r="AE156" i="11"/>
  <c r="AT156" i="11" s="1"/>
  <c r="AE154" i="11"/>
  <c r="AT154" i="11" s="1"/>
  <c r="AE152" i="11"/>
  <c r="AT152" i="11" s="1"/>
  <c r="AE151" i="11"/>
  <c r="AT151" i="11" s="1"/>
  <c r="AE163" i="11"/>
  <c r="AT163" i="11" s="1"/>
  <c r="AE161" i="11"/>
  <c r="AT161" i="11" s="1"/>
  <c r="AE159" i="11"/>
  <c r="AT159" i="11" s="1"/>
  <c r="AE157" i="11"/>
  <c r="AT157" i="11" s="1"/>
  <c r="AE155" i="11"/>
  <c r="AT155" i="11" s="1"/>
  <c r="AE153" i="11"/>
  <c r="AT153" i="11" s="1"/>
  <c r="AE166" i="11"/>
  <c r="AT166" i="11" s="1"/>
  <c r="AE165" i="11"/>
  <c r="AT165" i="11" s="1"/>
  <c r="J190" i="3"/>
  <c r="J37" i="15" s="1"/>
  <c r="J191" i="3"/>
  <c r="Z103" i="11" s="1"/>
  <c r="AO103" i="11" s="1"/>
  <c r="BS103" i="11" s="1"/>
  <c r="J26" i="3"/>
  <c r="J14" i="3"/>
  <c r="J25" i="3" s="1"/>
  <c r="H237" i="3"/>
  <c r="J123" i="14"/>
  <c r="K122" i="14"/>
  <c r="I277" i="14"/>
  <c r="I280" i="14" s="1"/>
  <c r="J276" i="14"/>
  <c r="AO294" i="35"/>
  <c r="BV294" i="35" s="1"/>
  <c r="AO287" i="35"/>
  <c r="BV287" i="35" s="1"/>
  <c r="P193" i="3"/>
  <c r="BY213" i="11"/>
  <c r="AO293" i="35"/>
  <c r="BV293" i="35" s="1"/>
  <c r="AO286" i="35"/>
  <c r="BV286" i="35" s="1"/>
  <c r="O41" i="15"/>
  <c r="O57" i="15" s="1"/>
  <c r="R35" i="10"/>
  <c r="Q10" i="10"/>
  <c r="M69" i="9"/>
  <c r="L23" i="1"/>
  <c r="BR210" i="11"/>
  <c r="CC210" i="11" s="1"/>
  <c r="I190" i="3"/>
  <c r="AR293" i="35"/>
  <c r="BW293" i="35" s="1"/>
  <c r="AR286" i="35"/>
  <c r="BW286" i="35" s="1"/>
  <c r="P194" i="3"/>
  <c r="BY214" i="11"/>
  <c r="F10" i="5"/>
  <c r="F12" i="5"/>
  <c r="BR211" i="11"/>
  <c r="CC211" i="11" s="1"/>
  <c r="I191" i="3"/>
  <c r="Q149" i="3"/>
  <c r="O146" i="3"/>
  <c r="BX210" i="11" s="1"/>
  <c r="K79" i="14"/>
  <c r="L78" i="14"/>
  <c r="AR294" i="35"/>
  <c r="BW294" i="35" s="1"/>
  <c r="AR287" i="35"/>
  <c r="BW287" i="35" s="1"/>
  <c r="AL309" i="35"/>
  <c r="BU309" i="35" s="1"/>
  <c r="AL310" i="35"/>
  <c r="BU310" i="35" s="1"/>
  <c r="O40" i="15"/>
  <c r="O56" i="15" s="1"/>
  <c r="AE143" i="11"/>
  <c r="AT143" i="11" s="1"/>
  <c r="AE145" i="11"/>
  <c r="AT145" i="11" s="1"/>
  <c r="AE147" i="11"/>
  <c r="AT147" i="11" s="1"/>
  <c r="AE149" i="11"/>
  <c r="AT149" i="11" s="1"/>
  <c r="AE135" i="11"/>
  <c r="AT135" i="11" s="1"/>
  <c r="AE137" i="11"/>
  <c r="AT137" i="11" s="1"/>
  <c r="AE139" i="11"/>
  <c r="AT139" i="11" s="1"/>
  <c r="AE141" i="11"/>
  <c r="AT141" i="11" s="1"/>
  <c r="AE138" i="11"/>
  <c r="AT138" i="11" s="1"/>
  <c r="AE142" i="11"/>
  <c r="AT142" i="11" s="1"/>
  <c r="AE146" i="11"/>
  <c r="AT146" i="11" s="1"/>
  <c r="AE150" i="11"/>
  <c r="AT150" i="11" s="1"/>
  <c r="AE140" i="11"/>
  <c r="AT140" i="11" s="1"/>
  <c r="AE136" i="11"/>
  <c r="AT136" i="11" s="1"/>
  <c r="AE148" i="11"/>
  <c r="AT148" i="11" s="1"/>
  <c r="AE144" i="11"/>
  <c r="AT144" i="11" s="1"/>
  <c r="Q150" i="3"/>
  <c r="W19" i="11"/>
  <c r="AL19" i="11" s="1"/>
  <c r="BP19" i="11" s="1"/>
  <c r="W28" i="11"/>
  <c r="AL28" i="11" s="1"/>
  <c r="W31" i="11"/>
  <c r="AL31" i="11" s="1"/>
  <c r="W21" i="11"/>
  <c r="AL21" i="11" s="1"/>
  <c r="W24" i="11"/>
  <c r="AL24" i="11" s="1"/>
  <c r="BP24" i="11" s="1"/>
  <c r="W20" i="11"/>
  <c r="AL20" i="11" s="1"/>
  <c r="BP20" i="11" s="1"/>
  <c r="W29" i="11"/>
  <c r="AL29" i="11" s="1"/>
  <c r="W27" i="11"/>
  <c r="AL27" i="11" s="1"/>
  <c r="W23" i="11"/>
  <c r="AL23" i="11" s="1"/>
  <c r="W25" i="11"/>
  <c r="AL25" i="11" s="1"/>
  <c r="BP25" i="11" s="1"/>
  <c r="W30" i="11"/>
  <c r="AL30" i="11" s="1"/>
  <c r="W26" i="11"/>
  <c r="AL26" i="11" s="1"/>
  <c r="W22" i="11"/>
  <c r="AL22" i="11" s="1"/>
  <c r="BP22" i="11" s="1"/>
  <c r="O147" i="3"/>
  <c r="BX211" i="11" s="1"/>
  <c r="O148" i="3"/>
  <c r="BX212" i="11" s="1"/>
  <c r="BL202" i="11"/>
  <c r="D5" i="10" s="1"/>
  <c r="D15" i="10" s="1"/>
  <c r="D16" i="10" s="1"/>
  <c r="I177" i="3"/>
  <c r="H192" i="3"/>
  <c r="G39" i="15"/>
  <c r="G34" i="15" s="1"/>
  <c r="G41" i="32"/>
  <c r="W119" i="11"/>
  <c r="AL119" i="11" s="1"/>
  <c r="BP119" i="11" s="1"/>
  <c r="W120" i="11"/>
  <c r="AL120" i="11" s="1"/>
  <c r="BP120" i="11" s="1"/>
  <c r="W121" i="11"/>
  <c r="AL121" i="11" s="1"/>
  <c r="W122" i="11"/>
  <c r="AL122" i="11" s="1"/>
  <c r="BP122" i="11" s="1"/>
  <c r="W123" i="11"/>
  <c r="AL123" i="11" s="1"/>
  <c r="AL174" i="11" s="1"/>
  <c r="W124" i="11"/>
  <c r="AL124" i="11" s="1"/>
  <c r="W134" i="11"/>
  <c r="AL134" i="11" s="1"/>
  <c r="AL181" i="11" s="1"/>
  <c r="W133" i="11"/>
  <c r="AL133" i="11" s="1"/>
  <c r="AL180" i="11" s="1"/>
  <c r="W132" i="11"/>
  <c r="AL132" i="11" s="1"/>
  <c r="W131" i="11"/>
  <c r="AL131" i="11" s="1"/>
  <c r="W130" i="11"/>
  <c r="AL130" i="11" s="1"/>
  <c r="W129" i="11"/>
  <c r="AL129" i="11" s="1"/>
  <c r="W128" i="11"/>
  <c r="AL128" i="11" s="1"/>
  <c r="W127" i="11"/>
  <c r="AL127" i="11" s="1"/>
  <c r="W126" i="11"/>
  <c r="AL126" i="11" s="1"/>
  <c r="AL177" i="11" s="1"/>
  <c r="W125" i="11"/>
  <c r="AL125" i="11" s="1"/>
  <c r="BP125" i="11" s="1"/>
  <c r="L176" i="3"/>
  <c r="K191" i="3"/>
  <c r="J38" i="15"/>
  <c r="J54" i="15" s="1"/>
  <c r="L175" i="3"/>
  <c r="K190" i="3"/>
  <c r="Z87" i="11"/>
  <c r="AO87" i="11" s="1"/>
  <c r="BS87" i="11" s="1"/>
  <c r="Z91" i="11"/>
  <c r="AO91" i="11" s="1"/>
  <c r="BS91" i="11" s="1"/>
  <c r="Z95" i="11"/>
  <c r="AO95" i="11" s="1"/>
  <c r="Z99" i="11"/>
  <c r="AO99" i="11" s="1"/>
  <c r="BE139" i="11"/>
  <c r="BT139" i="11" s="1"/>
  <c r="BE135" i="11"/>
  <c r="BT135" i="11" s="1"/>
  <c r="BD141" i="11"/>
  <c r="BS141" i="11" s="1"/>
  <c r="BE138" i="11"/>
  <c r="BT138" i="11" s="1"/>
  <c r="I223" i="3"/>
  <c r="I163" i="3"/>
  <c r="I210" i="3" s="1"/>
  <c r="D239" i="3"/>
  <c r="G238" i="3"/>
  <c r="BE136" i="11"/>
  <c r="BT136" i="11" s="1"/>
  <c r="BB142" i="11"/>
  <c r="BQ142" i="11" s="1"/>
  <c r="I164" i="3"/>
  <c r="I211" i="3" s="1"/>
  <c r="I224" i="3"/>
  <c r="Z9" i="16"/>
  <c r="H238" i="3"/>
  <c r="G237" i="3"/>
  <c r="I103" i="16"/>
  <c r="I105" i="16" s="1"/>
  <c r="J110" i="9"/>
  <c r="K29" i="9"/>
  <c r="I105" i="14"/>
  <c r="I106" i="14" s="1"/>
  <c r="I126" i="14"/>
  <c r="G282" i="14"/>
  <c r="K254" i="14"/>
  <c r="K251" i="14"/>
  <c r="A251" i="14" s="1"/>
  <c r="Z21" i="16"/>
  <c r="Z26" i="16"/>
  <c r="Z23" i="16"/>
  <c r="BD244" i="11"/>
  <c r="BS244" i="11" s="1"/>
  <c r="BD24" i="11"/>
  <c r="BD50" i="11"/>
  <c r="BS50" i="11" s="1"/>
  <c r="BD93" i="11"/>
  <c r="BD125" i="11"/>
  <c r="BD11" i="11"/>
  <c r="BD37" i="11"/>
  <c r="BS37" i="11" s="1"/>
  <c r="BD63" i="11"/>
  <c r="BD77" i="11"/>
  <c r="BD109" i="11"/>
  <c r="BE20" i="11"/>
  <c r="BE46" i="11"/>
  <c r="BT46" i="11" s="1"/>
  <c r="BE72" i="11"/>
  <c r="BE104" i="11"/>
  <c r="BE7" i="11"/>
  <c r="BE33" i="11"/>
  <c r="BT33" i="11" s="1"/>
  <c r="BE59" i="11"/>
  <c r="BT59" i="11" s="1"/>
  <c r="BE88" i="11"/>
  <c r="BE120" i="11"/>
  <c r="BE9" i="11"/>
  <c r="BE35" i="11"/>
  <c r="BT35" i="11" s="1"/>
  <c r="BE61" i="11"/>
  <c r="BT61" i="11" s="1"/>
  <c r="BE90" i="11"/>
  <c r="BE122" i="11"/>
  <c r="BE22" i="11"/>
  <c r="BE48" i="11"/>
  <c r="BT48" i="11" s="1"/>
  <c r="BE74" i="11"/>
  <c r="BE106" i="11"/>
  <c r="BE75" i="11"/>
  <c r="BE107" i="11"/>
  <c r="BE91" i="11"/>
  <c r="BE123" i="11"/>
  <c r="BE32" i="11"/>
  <c r="BT32" i="11" s="1"/>
  <c r="BE58" i="11"/>
  <c r="BT58" i="11" s="1"/>
  <c r="BE87" i="11"/>
  <c r="BE119" i="11"/>
  <c r="BE6" i="11"/>
  <c r="BE19" i="11"/>
  <c r="BE45" i="11"/>
  <c r="BT45" i="11" s="1"/>
  <c r="BE71" i="11"/>
  <c r="BE103" i="11"/>
  <c r="W7" i="11"/>
  <c r="AL7" i="11" s="1"/>
  <c r="W9" i="11"/>
  <c r="AL9" i="11" s="1"/>
  <c r="W11" i="11"/>
  <c r="AL11" i="11" s="1"/>
  <c r="W13" i="11"/>
  <c r="AL13" i="11" s="1"/>
  <c r="W15" i="11"/>
  <c r="AL15" i="11" s="1"/>
  <c r="W17" i="11"/>
  <c r="AL17" i="11" s="1"/>
  <c r="W8" i="11"/>
  <c r="AL8" i="11" s="1"/>
  <c r="W10" i="11"/>
  <c r="AL10" i="11" s="1"/>
  <c r="W12" i="11"/>
  <c r="AL12" i="11" s="1"/>
  <c r="BP12" i="11" s="1"/>
  <c r="W14" i="11"/>
  <c r="AL14" i="11" s="1"/>
  <c r="W16" i="11"/>
  <c r="AL16" i="11" s="1"/>
  <c r="W18" i="11"/>
  <c r="AL18" i="11" s="1"/>
  <c r="W6" i="11"/>
  <c r="AL6" i="11" s="1"/>
  <c r="J2" i="16"/>
  <c r="J5" i="21"/>
  <c r="BB78" i="11"/>
  <c r="BQ78" i="11" s="1"/>
  <c r="BB110" i="11"/>
  <c r="BQ110" i="11" s="1"/>
  <c r="BB94" i="11"/>
  <c r="BQ94" i="11" s="1"/>
  <c r="BB126" i="11"/>
  <c r="G3" i="7"/>
  <c r="F39" i="7"/>
  <c r="Q14" i="7"/>
  <c r="F3" i="22"/>
  <c r="E20" i="22"/>
  <c r="P12" i="6"/>
  <c r="Q48" i="14"/>
  <c r="Q119" i="14"/>
  <c r="K166" i="14"/>
  <c r="K163" i="14"/>
  <c r="A163" i="14" s="1"/>
  <c r="P53" i="14"/>
  <c r="P12" i="14" s="1"/>
  <c r="P7" i="14"/>
  <c r="K229" i="14"/>
  <c r="A229" i="14" s="1"/>
  <c r="Q22" i="7"/>
  <c r="P39" i="6"/>
  <c r="P11" i="10"/>
  <c r="O14" i="18" s="1"/>
  <c r="O47" i="18" s="1"/>
  <c r="Q30" i="10"/>
  <c r="AI256" i="11"/>
  <c r="Z17" i="16"/>
  <c r="H82" i="3"/>
  <c r="H54" i="3"/>
  <c r="H68" i="3" s="1"/>
  <c r="I4" i="3"/>
  <c r="H13" i="3"/>
  <c r="H96" i="3"/>
  <c r="H40" i="3"/>
  <c r="H27" i="3"/>
  <c r="H139" i="3"/>
  <c r="H168" i="3" s="1"/>
  <c r="H183" i="3" s="1"/>
  <c r="H199" i="3" s="1"/>
  <c r="H153" i="3"/>
  <c r="H110" i="3"/>
  <c r="H124" i="3"/>
  <c r="Z12" i="16"/>
  <c r="BB36" i="16"/>
  <c r="AN36" i="16"/>
  <c r="H17" i="5"/>
  <c r="H16" i="6" s="1"/>
  <c r="E4" i="32"/>
  <c r="E6" i="32" s="1"/>
  <c r="E44" i="32"/>
  <c r="E16" i="32" s="1"/>
  <c r="F62" i="14"/>
  <c r="F21" i="14" s="1"/>
  <c r="F20" i="14"/>
  <c r="K81" i="9"/>
  <c r="J22" i="26"/>
  <c r="J7" i="22"/>
  <c r="J12" i="22"/>
  <c r="J14" i="22"/>
  <c r="L51" i="30" s="1"/>
  <c r="J16" i="26"/>
  <c r="J36" i="26"/>
  <c r="E5" i="14"/>
  <c r="E54" i="14"/>
  <c r="E13" i="14" s="1"/>
  <c r="J11" i="26"/>
  <c r="BB38" i="16"/>
  <c r="AN38" i="16"/>
  <c r="AO50" i="16"/>
  <c r="BC50" i="16"/>
  <c r="AO39" i="16"/>
  <c r="BC39" i="16"/>
  <c r="AO31" i="16"/>
  <c r="BC31" i="16"/>
  <c r="BC32" i="16"/>
  <c r="AO32" i="16"/>
  <c r="AN43" i="16"/>
  <c r="BB43" i="16"/>
  <c r="AN30" i="16"/>
  <c r="BB30" i="16"/>
  <c r="AQ44" i="16"/>
  <c r="BE44" i="16"/>
  <c r="BB29" i="16"/>
  <c r="AN29" i="16"/>
  <c r="AO40" i="16"/>
  <c r="BC40" i="16"/>
  <c r="AO46" i="16"/>
  <c r="BC46" i="16"/>
  <c r="AN42" i="16"/>
  <c r="BB42" i="16"/>
  <c r="Z22" i="16"/>
  <c r="Z16" i="16"/>
  <c r="Z13" i="16"/>
  <c r="Z18" i="16"/>
  <c r="Z19" i="16"/>
  <c r="Z20" i="16"/>
  <c r="G18" i="6"/>
  <c r="I13" i="12"/>
  <c r="BC158" i="11" s="1"/>
  <c r="BR158" i="11" s="1"/>
  <c r="H296" i="14"/>
  <c r="G252" i="14"/>
  <c r="G230" i="3"/>
  <c r="G274" i="14"/>
  <c r="C8" i="21"/>
  <c r="G236" i="3"/>
  <c r="G235" i="3"/>
  <c r="C11" i="34"/>
  <c r="C23" i="34" s="1"/>
  <c r="K7" i="10"/>
  <c r="J10" i="18" s="1"/>
  <c r="J43" i="18" s="1"/>
  <c r="L26" i="10"/>
  <c r="E69" i="26"/>
  <c r="E8" i="29"/>
  <c r="E11" i="29" s="1"/>
  <c r="G24" i="30"/>
  <c r="I36" i="14"/>
  <c r="H15" i="14"/>
  <c r="H37" i="14"/>
  <c r="H16" i="14" s="1"/>
  <c r="H235" i="3"/>
  <c r="H230" i="3"/>
  <c r="G208" i="14"/>
  <c r="G142" i="14"/>
  <c r="G186" i="14"/>
  <c r="G318" i="14"/>
  <c r="L12" i="7"/>
  <c r="K11" i="6"/>
  <c r="H111" i="30"/>
  <c r="N111" i="30" s="1"/>
  <c r="F74" i="6"/>
  <c r="G230" i="14"/>
  <c r="G234" i="3"/>
  <c r="G233" i="3"/>
  <c r="H98" i="14"/>
  <c r="H142" i="14"/>
  <c r="H186" i="14"/>
  <c r="H233" i="3"/>
  <c r="I15" i="18"/>
  <c r="I48" i="18" s="1"/>
  <c r="J17" i="10"/>
  <c r="AO33" i="16"/>
  <c r="BC33" i="16"/>
  <c r="I178" i="14"/>
  <c r="I182" i="14"/>
  <c r="I193" i="14"/>
  <c r="I194" i="14" s="1"/>
  <c r="I190" i="14"/>
  <c r="I310" i="14"/>
  <c r="I322" i="14"/>
  <c r="I314" i="14"/>
  <c r="I325" i="14"/>
  <c r="I326" i="14" s="1"/>
  <c r="I156" i="3"/>
  <c r="I203" i="3" s="1"/>
  <c r="I216" i="3"/>
  <c r="I212" i="14"/>
  <c r="I200" i="14"/>
  <c r="I215" i="14"/>
  <c r="I216" i="14" s="1"/>
  <c r="I204" i="14"/>
  <c r="I266" i="14"/>
  <c r="I278" i="14"/>
  <c r="I270" i="14"/>
  <c r="I281" i="14"/>
  <c r="I282" i="14" s="1"/>
  <c r="I237" i="14"/>
  <c r="I238" i="14" s="1"/>
  <c r="I222" i="14"/>
  <c r="I226" i="14"/>
  <c r="I234" i="14"/>
  <c r="I72" i="14"/>
  <c r="I68" i="14"/>
  <c r="I80" i="14"/>
  <c r="I83" i="14"/>
  <c r="BC34" i="16"/>
  <c r="AO34" i="16"/>
  <c r="AN41" i="16"/>
  <c r="BB41" i="16"/>
  <c r="G84" i="14"/>
  <c r="G61" i="14"/>
  <c r="G106" i="14"/>
  <c r="K53" i="14"/>
  <c r="K7" i="14"/>
  <c r="K56" i="14"/>
  <c r="M17" i="28"/>
  <c r="N6" i="28"/>
  <c r="K232" i="14"/>
  <c r="J233" i="14"/>
  <c r="J236" i="14" s="1"/>
  <c r="H11" i="9"/>
  <c r="G6" i="17"/>
  <c r="H61" i="14"/>
  <c r="H84" i="14"/>
  <c r="N9" i="5"/>
  <c r="O9" i="5" s="1"/>
  <c r="M6" i="5"/>
  <c r="N4" i="5" s="1"/>
  <c r="I54" i="16"/>
  <c r="I17" i="5" s="1"/>
  <c r="M211" i="14"/>
  <c r="M214" i="14" s="1"/>
  <c r="N210" i="14"/>
  <c r="F197" i="3"/>
  <c r="F49" i="32"/>
  <c r="F57" i="32" s="1"/>
  <c r="J22" i="10"/>
  <c r="I3" i="9"/>
  <c r="L8" i="12"/>
  <c r="BF154" i="11" s="1"/>
  <c r="BU154" i="11" s="1"/>
  <c r="G164" i="14"/>
  <c r="J122" i="3"/>
  <c r="J23" i="21"/>
  <c r="J18" i="21"/>
  <c r="J3" i="29"/>
  <c r="E1" i="33"/>
  <c r="H34" i="10"/>
  <c r="I33" i="10"/>
  <c r="M11" i="12"/>
  <c r="AQ255" i="11"/>
  <c r="H120" i="14"/>
  <c r="G58" i="14"/>
  <c r="G17" i="14" s="1"/>
  <c r="G28" i="7" s="1"/>
  <c r="H53" i="9"/>
  <c r="H54" i="9"/>
  <c r="I82" i="14"/>
  <c r="H50" i="14"/>
  <c r="H9" i="14" s="1"/>
  <c r="H22" i="6" s="1"/>
  <c r="H21" i="26" s="1"/>
  <c r="G120" i="14"/>
  <c r="L31" i="10"/>
  <c r="K12" i="10"/>
  <c r="K15" i="15"/>
  <c r="J16" i="15"/>
  <c r="AD172" i="35" s="1"/>
  <c r="I292" i="14"/>
  <c r="I303" i="14"/>
  <c r="I288" i="14"/>
  <c r="I157" i="3"/>
  <c r="I204" i="3" s="1"/>
  <c r="I217" i="3"/>
  <c r="I161" i="3"/>
  <c r="I208" i="3" s="1"/>
  <c r="I218" i="3"/>
  <c r="I158" i="3"/>
  <c r="I205" i="3" s="1"/>
  <c r="I248" i="14"/>
  <c r="I259" i="14"/>
  <c r="I260" i="14" s="1"/>
  <c r="I244" i="14"/>
  <c r="I256" i="14"/>
  <c r="I94" i="14"/>
  <c r="I102" i="14"/>
  <c r="I90" i="14"/>
  <c r="I112" i="14"/>
  <c r="I116" i="14"/>
  <c r="I124" i="14"/>
  <c r="I127" i="14"/>
  <c r="I128" i="14" s="1"/>
  <c r="I134" i="14"/>
  <c r="I146" i="14"/>
  <c r="I138" i="14"/>
  <c r="I149" i="14"/>
  <c r="I171" i="14"/>
  <c r="I156" i="14"/>
  <c r="I160" i="14"/>
  <c r="BB37" i="16"/>
  <c r="AN37" i="16"/>
  <c r="G216" i="14"/>
  <c r="G150" i="14"/>
  <c r="G194" i="14"/>
  <c r="G7" i="3"/>
  <c r="G5" i="29" s="1"/>
  <c r="D5" i="34"/>
  <c r="D28" i="34" s="1"/>
  <c r="G50" i="14"/>
  <c r="G76" i="14"/>
  <c r="G46" i="14"/>
  <c r="G326" i="14"/>
  <c r="AN47" i="16"/>
  <c r="BB47" i="16"/>
  <c r="K6" i="15"/>
  <c r="L11" i="28"/>
  <c r="G91" i="9"/>
  <c r="H38" i="9"/>
  <c r="G43" i="9"/>
  <c r="G13" i="8" s="1"/>
  <c r="G13" i="21" s="1"/>
  <c r="G5" i="17"/>
  <c r="G7" i="17"/>
  <c r="H49" i="9"/>
  <c r="G83" i="9"/>
  <c r="H76" i="14"/>
  <c r="H46" i="14"/>
  <c r="H67" i="32"/>
  <c r="H27" i="4"/>
  <c r="L9" i="28"/>
  <c r="K19" i="28"/>
  <c r="J8" i="15" s="1"/>
  <c r="G128" i="14"/>
  <c r="G260" i="14"/>
  <c r="G172" i="14"/>
  <c r="G304" i="14"/>
  <c r="G238" i="14"/>
  <c r="AN45" i="16"/>
  <c r="BB45" i="16"/>
  <c r="H28" i="10"/>
  <c r="H8" i="10"/>
  <c r="I27" i="10"/>
  <c r="AI187" i="11"/>
  <c r="H231" i="3"/>
  <c r="H232" i="3"/>
  <c r="H234" i="3"/>
  <c r="H236" i="3"/>
  <c r="H318" i="14"/>
  <c r="G232" i="3"/>
  <c r="G231" i="3"/>
  <c r="G98" i="14"/>
  <c r="H56" i="9"/>
  <c r="H164" i="14"/>
  <c r="H39" i="32"/>
  <c r="H252" i="14"/>
  <c r="G39" i="32"/>
  <c r="G296" i="14"/>
  <c r="F46" i="30"/>
  <c r="D27" i="29"/>
  <c r="L9" i="12"/>
  <c r="BF155" i="11" s="1"/>
  <c r="BU155" i="11" s="1"/>
  <c r="L13" i="9"/>
  <c r="W7" i="16"/>
  <c r="V54" i="16"/>
  <c r="L5" i="12"/>
  <c r="BF151" i="11" s="1"/>
  <c r="BU151" i="11" s="1"/>
  <c r="H18" i="9"/>
  <c r="G24" i="9"/>
  <c r="G92" i="9"/>
  <c r="D18" i="5"/>
  <c r="E16" i="5" s="1"/>
  <c r="L48" i="9"/>
  <c r="C4" i="21"/>
  <c r="C6" i="21" s="1"/>
  <c r="C10" i="3"/>
  <c r="AJ187" i="11"/>
  <c r="H24" i="30"/>
  <c r="H112" i="30"/>
  <c r="N112" i="30" s="1"/>
  <c r="F8" i="29"/>
  <c r="F11" i="29" s="1"/>
  <c r="F69" i="26"/>
  <c r="I22" i="22"/>
  <c r="E14" i="21"/>
  <c r="C29" i="29"/>
  <c r="BS63" i="11"/>
  <c r="K12" i="12"/>
  <c r="BE157" i="11" s="1"/>
  <c r="BT157" i="11" s="1"/>
  <c r="L6" i="12"/>
  <c r="BF152" i="11" s="1"/>
  <c r="BU152" i="11" s="1"/>
  <c r="D5" i="14"/>
  <c r="M14" i="14"/>
  <c r="N35" i="14"/>
  <c r="O35" i="14" s="1"/>
  <c r="BL187" i="11"/>
  <c r="AO53" i="16" l="1"/>
  <c r="BC53" i="16"/>
  <c r="AQ52" i="16"/>
  <c r="BE52" i="16"/>
  <c r="J101" i="14"/>
  <c r="K100" i="14"/>
  <c r="L189" i="14"/>
  <c r="L192" i="14" s="1"/>
  <c r="M188" i="14"/>
  <c r="BC51" i="16"/>
  <c r="AO51" i="16"/>
  <c r="I222" i="3"/>
  <c r="I162" i="3"/>
  <c r="I209" i="3" s="1"/>
  <c r="J165" i="14"/>
  <c r="I167" i="14"/>
  <c r="J321" i="14"/>
  <c r="J324" i="14" s="1"/>
  <c r="K320" i="14"/>
  <c r="I27" i="9"/>
  <c r="J7" i="9"/>
  <c r="I46" i="9"/>
  <c r="BC35" i="16"/>
  <c r="AO35" i="16"/>
  <c r="N35" i="15"/>
  <c r="M51" i="15"/>
  <c r="H302" i="14"/>
  <c r="H304" i="14" s="1"/>
  <c r="H300" i="14"/>
  <c r="H170" i="14"/>
  <c r="H168" i="14"/>
  <c r="H58" i="14" s="1"/>
  <c r="H17" i="14" s="1"/>
  <c r="H28" i="7" s="1"/>
  <c r="I299" i="14"/>
  <c r="J298" i="14"/>
  <c r="J145" i="14"/>
  <c r="J148" i="14" s="1"/>
  <c r="K144" i="14"/>
  <c r="J2" i="5"/>
  <c r="I5" i="16"/>
  <c r="X5" i="16"/>
  <c r="AM5" i="16" s="1"/>
  <c r="BB5" i="16" s="1"/>
  <c r="H56" i="16"/>
  <c r="AO49" i="16"/>
  <c r="BC49" i="16"/>
  <c r="AO48" i="16"/>
  <c r="BC48" i="16"/>
  <c r="I56" i="9"/>
  <c r="AL182" i="11"/>
  <c r="AL171" i="11"/>
  <c r="I160" i="3"/>
  <c r="I207" i="3" s="1"/>
  <c r="I220" i="3"/>
  <c r="BL204" i="11"/>
  <c r="AL178" i="11"/>
  <c r="Z101" i="11"/>
  <c r="AO101" i="11" s="1"/>
  <c r="Z97" i="11"/>
  <c r="AO97" i="11" s="1"/>
  <c r="Z93" i="11"/>
  <c r="AO93" i="11" s="1"/>
  <c r="Z89" i="11"/>
  <c r="AO89" i="11" s="1"/>
  <c r="AL185" i="11"/>
  <c r="AL179" i="11"/>
  <c r="AL175" i="11"/>
  <c r="AL251" i="11" s="1"/>
  <c r="AL253" i="11" s="1"/>
  <c r="AL184" i="11"/>
  <c r="AL173" i="11"/>
  <c r="Z118" i="11"/>
  <c r="AO118" i="11" s="1"/>
  <c r="AL170" i="11"/>
  <c r="AL183" i="11"/>
  <c r="AL172" i="11"/>
  <c r="AL176" i="11"/>
  <c r="Z110" i="11"/>
  <c r="AO110" i="11" s="1"/>
  <c r="AK309" i="35"/>
  <c r="X1" i="35"/>
  <c r="K119" i="3"/>
  <c r="J119" i="3"/>
  <c r="K121" i="3"/>
  <c r="N119" i="3"/>
  <c r="N117" i="3"/>
  <c r="M118" i="3"/>
  <c r="K120" i="3"/>
  <c r="N118" i="3"/>
  <c r="M117" i="3"/>
  <c r="M119" i="3"/>
  <c r="AK310" i="35"/>
  <c r="AF166" i="11"/>
  <c r="AU166" i="11" s="1"/>
  <c r="AF162" i="11"/>
  <c r="AU162" i="11" s="1"/>
  <c r="AF160" i="11"/>
  <c r="AU160" i="11" s="1"/>
  <c r="AF158" i="11"/>
  <c r="AU158" i="11" s="1"/>
  <c r="AF156" i="11"/>
  <c r="AU156" i="11" s="1"/>
  <c r="AF154" i="11"/>
  <c r="AU154" i="11" s="1"/>
  <c r="AF152" i="11"/>
  <c r="AU152" i="11" s="1"/>
  <c r="AF151" i="11"/>
  <c r="AU151" i="11" s="1"/>
  <c r="AF165" i="11"/>
  <c r="AU165" i="11" s="1"/>
  <c r="AF163" i="11"/>
  <c r="AU163" i="11" s="1"/>
  <c r="AF161" i="11"/>
  <c r="AU161" i="11" s="1"/>
  <c r="AF159" i="11"/>
  <c r="AU159" i="11" s="1"/>
  <c r="AF157" i="11"/>
  <c r="AU157" i="11" s="1"/>
  <c r="AF155" i="11"/>
  <c r="AU155" i="11" s="1"/>
  <c r="AF153" i="11"/>
  <c r="AU153" i="11" s="1"/>
  <c r="AF164" i="11"/>
  <c r="AU164" i="11" s="1"/>
  <c r="Z114" i="11"/>
  <c r="AO114" i="11" s="1"/>
  <c r="Z106" i="11"/>
  <c r="AO106" i="11" s="1"/>
  <c r="BS106" i="11" s="1"/>
  <c r="Z116" i="11"/>
  <c r="AO116" i="11" s="1"/>
  <c r="Z112" i="11"/>
  <c r="AO112" i="11" s="1"/>
  <c r="Z108" i="11"/>
  <c r="AO108" i="11" s="1"/>
  <c r="Z104" i="11"/>
  <c r="AO104" i="11" s="1"/>
  <c r="BS104" i="11" s="1"/>
  <c r="Z117" i="11"/>
  <c r="AO117" i="11" s="1"/>
  <c r="Z115" i="11"/>
  <c r="AO115" i="11" s="1"/>
  <c r="Z113" i="11"/>
  <c r="AO113" i="11" s="1"/>
  <c r="Z111" i="11"/>
  <c r="AO111" i="11" s="1"/>
  <c r="Z109" i="11"/>
  <c r="AO109" i="11" s="1"/>
  <c r="BS109" i="11" s="1"/>
  <c r="Z107" i="11"/>
  <c r="AO107" i="11" s="1"/>
  <c r="BS107" i="11" s="1"/>
  <c r="Z105" i="11"/>
  <c r="AO105" i="11" s="1"/>
  <c r="BS93" i="11"/>
  <c r="Z102" i="11"/>
  <c r="AO102" i="11" s="1"/>
  <c r="Z100" i="11"/>
  <c r="AO100" i="11" s="1"/>
  <c r="Z98" i="11"/>
  <c r="AO98" i="11" s="1"/>
  <c r="Z96" i="11"/>
  <c r="AO96" i="11" s="1"/>
  <c r="Z94" i="11"/>
  <c r="AO94" i="11" s="1"/>
  <c r="Z92" i="11"/>
  <c r="AO92" i="11" s="1"/>
  <c r="Z90" i="11"/>
  <c r="AO90" i="11" s="1"/>
  <c r="BS90" i="11" s="1"/>
  <c r="Z88" i="11"/>
  <c r="AO88" i="11" s="1"/>
  <c r="BS88" i="11" s="1"/>
  <c r="K26" i="3"/>
  <c r="K14" i="3"/>
  <c r="K25" i="3" s="1"/>
  <c r="P148" i="3"/>
  <c r="BY212" i="11" s="1"/>
  <c r="P147" i="3"/>
  <c r="BY211" i="11" s="1"/>
  <c r="Q194" i="3"/>
  <c r="BZ214" i="11"/>
  <c r="L79" i="14"/>
  <c r="M78" i="14"/>
  <c r="Q193" i="3"/>
  <c r="BZ213" i="11"/>
  <c r="G8" i="5"/>
  <c r="F13" i="5"/>
  <c r="P41" i="15"/>
  <c r="P57" i="15" s="1"/>
  <c r="N69" i="9"/>
  <c r="M23" i="1"/>
  <c r="R10" i="10"/>
  <c r="J277" i="14"/>
  <c r="J280" i="14" s="1"/>
  <c r="K276" i="14"/>
  <c r="L122" i="14"/>
  <c r="K123" i="14"/>
  <c r="P9" i="5"/>
  <c r="AR309" i="35"/>
  <c r="BW309" i="35" s="1"/>
  <c r="AR310" i="35"/>
  <c r="BW310" i="35" s="1"/>
  <c r="P146" i="3"/>
  <c r="BY210" i="11" s="1"/>
  <c r="I38" i="15"/>
  <c r="I54" i="15" s="1"/>
  <c r="Y103" i="11"/>
  <c r="AN103" i="11" s="1"/>
  <c r="BR103" i="11" s="1"/>
  <c r="Y104" i="11"/>
  <c r="AN104" i="11" s="1"/>
  <c r="BR104" i="11" s="1"/>
  <c r="Y105" i="11"/>
  <c r="AN105" i="11" s="1"/>
  <c r="Y106" i="11"/>
  <c r="AN106" i="11" s="1"/>
  <c r="BR106" i="11" s="1"/>
  <c r="Y107" i="11"/>
  <c r="AN107" i="11" s="1"/>
  <c r="BR107" i="11" s="1"/>
  <c r="Y108" i="11"/>
  <c r="AN108" i="11" s="1"/>
  <c r="Y109" i="11"/>
  <c r="AN109" i="11" s="1"/>
  <c r="BR109" i="11" s="1"/>
  <c r="Y110" i="11"/>
  <c r="AN110" i="11" s="1"/>
  <c r="Y111" i="11"/>
  <c r="AN111" i="11" s="1"/>
  <c r="Y112" i="11"/>
  <c r="AN112" i="11" s="1"/>
  <c r="Y113" i="11"/>
  <c r="AN113" i="11" s="1"/>
  <c r="Y114" i="11"/>
  <c r="AN114" i="11" s="1"/>
  <c r="Y115" i="11"/>
  <c r="AN115" i="11" s="1"/>
  <c r="Y116" i="11"/>
  <c r="AN116" i="11" s="1"/>
  <c r="Y117" i="11"/>
  <c r="AN117" i="11" s="1"/>
  <c r="Y118" i="11"/>
  <c r="AN118" i="11" s="1"/>
  <c r="Y87" i="11"/>
  <c r="AN87" i="11" s="1"/>
  <c r="BR87" i="11" s="1"/>
  <c r="Y88" i="11"/>
  <c r="AN88" i="11" s="1"/>
  <c r="BR88" i="11" s="1"/>
  <c r="Y89" i="11"/>
  <c r="AN89" i="11" s="1"/>
  <c r="Y90" i="11"/>
  <c r="AN90" i="11" s="1"/>
  <c r="BR90" i="11" s="1"/>
  <c r="Y91" i="11"/>
  <c r="AN91" i="11" s="1"/>
  <c r="BR91" i="11" s="1"/>
  <c r="Y92" i="11"/>
  <c r="AN92" i="11" s="1"/>
  <c r="Y93" i="11"/>
  <c r="AN93" i="11" s="1"/>
  <c r="BR93" i="11" s="1"/>
  <c r="Y94" i="11"/>
  <c r="AN94" i="11" s="1"/>
  <c r="Y95" i="11"/>
  <c r="AN95" i="11" s="1"/>
  <c r="Y96" i="11"/>
  <c r="AN96" i="11" s="1"/>
  <c r="Y97" i="11"/>
  <c r="AN97" i="11" s="1"/>
  <c r="Y98" i="11"/>
  <c r="AN98" i="11" s="1"/>
  <c r="Y99" i="11"/>
  <c r="AN99" i="11" s="1"/>
  <c r="Y100" i="11"/>
  <c r="AN100" i="11" s="1"/>
  <c r="Y101" i="11"/>
  <c r="AN101" i="11" s="1"/>
  <c r="Y102" i="11"/>
  <c r="AN102" i="11" s="1"/>
  <c r="I37" i="15"/>
  <c r="I53" i="15" s="1"/>
  <c r="P40" i="15"/>
  <c r="P56" i="15" s="1"/>
  <c r="AF144" i="11"/>
  <c r="AU144" i="11" s="1"/>
  <c r="AF146" i="11"/>
  <c r="AU146" i="11" s="1"/>
  <c r="AF148" i="11"/>
  <c r="AU148" i="11" s="1"/>
  <c r="AF150" i="11"/>
  <c r="AU150" i="11" s="1"/>
  <c r="AF136" i="11"/>
  <c r="AU136" i="11" s="1"/>
  <c r="AF138" i="11"/>
  <c r="AU138" i="11" s="1"/>
  <c r="AF140" i="11"/>
  <c r="AU140" i="11" s="1"/>
  <c r="AF142" i="11"/>
  <c r="AU142" i="11" s="1"/>
  <c r="AF139" i="11"/>
  <c r="AU139" i="11" s="1"/>
  <c r="AF135" i="11"/>
  <c r="AU135" i="11" s="1"/>
  <c r="AF147" i="11"/>
  <c r="AU147" i="11" s="1"/>
  <c r="AF143" i="11"/>
  <c r="AU143" i="11" s="1"/>
  <c r="AF141" i="11"/>
  <c r="AU141" i="11" s="1"/>
  <c r="AF137" i="11"/>
  <c r="AU137" i="11" s="1"/>
  <c r="AF149" i="11"/>
  <c r="AU149" i="11" s="1"/>
  <c r="AF145" i="11"/>
  <c r="AU145" i="11" s="1"/>
  <c r="AO310" i="35"/>
  <c r="BV310" i="35" s="1"/>
  <c r="AO309" i="35"/>
  <c r="BV309" i="35" s="1"/>
  <c r="J177" i="3"/>
  <c r="I192" i="3"/>
  <c r="BP126" i="11"/>
  <c r="BP177" i="11" s="1"/>
  <c r="BP123" i="11"/>
  <c r="BP174" i="11" s="1"/>
  <c r="G55" i="15"/>
  <c r="H39" i="15"/>
  <c r="H34" i="15" s="1"/>
  <c r="H41" i="32"/>
  <c r="X125" i="11"/>
  <c r="AM125" i="11" s="1"/>
  <c r="BQ125" i="11" s="1"/>
  <c r="X126" i="11"/>
  <c r="AM126" i="11" s="1"/>
  <c r="AM177" i="11" s="1"/>
  <c r="X127" i="11"/>
  <c r="AM127" i="11" s="1"/>
  <c r="X128" i="11"/>
  <c r="AM128" i="11" s="1"/>
  <c r="X119" i="11"/>
  <c r="AM119" i="11" s="1"/>
  <c r="BQ119" i="11" s="1"/>
  <c r="X120" i="11"/>
  <c r="AM120" i="11" s="1"/>
  <c r="BQ120" i="11" s="1"/>
  <c r="X121" i="11"/>
  <c r="AM121" i="11" s="1"/>
  <c r="X122" i="11"/>
  <c r="AM122" i="11" s="1"/>
  <c r="BQ122" i="11" s="1"/>
  <c r="X123" i="11"/>
  <c r="AM123" i="11" s="1"/>
  <c r="AM174" i="11" s="1"/>
  <c r="X124" i="11"/>
  <c r="AM124" i="11" s="1"/>
  <c r="X134" i="11"/>
  <c r="AM134" i="11" s="1"/>
  <c r="AM181" i="11" s="1"/>
  <c r="X133" i="11"/>
  <c r="AM133" i="11" s="1"/>
  <c r="AM180" i="11" s="1"/>
  <c r="X132" i="11"/>
  <c r="AM132" i="11" s="1"/>
  <c r="X131" i="11"/>
  <c r="AM131" i="11" s="1"/>
  <c r="X130" i="11"/>
  <c r="AM130" i="11" s="1"/>
  <c r="X129" i="11"/>
  <c r="AM129" i="11" s="1"/>
  <c r="M176" i="3"/>
  <c r="L191" i="3"/>
  <c r="K38" i="15"/>
  <c r="K54" i="15" s="1"/>
  <c r="AA103" i="11"/>
  <c r="AP103" i="11" s="1"/>
  <c r="BT103" i="11" s="1"/>
  <c r="AA104" i="11"/>
  <c r="AP104" i="11" s="1"/>
  <c r="AA105" i="11"/>
  <c r="AP105" i="11" s="1"/>
  <c r="AA106" i="11"/>
  <c r="AP106" i="11" s="1"/>
  <c r="BT106" i="11" s="1"/>
  <c r="AA107" i="11"/>
  <c r="AP107" i="11" s="1"/>
  <c r="AA108" i="11"/>
  <c r="AP108" i="11" s="1"/>
  <c r="AA109" i="11"/>
  <c r="AP109" i="11" s="1"/>
  <c r="AA110" i="11"/>
  <c r="AP110" i="11" s="1"/>
  <c r="AA111" i="11"/>
  <c r="AP111" i="11" s="1"/>
  <c r="AA112" i="11"/>
  <c r="AP112" i="11" s="1"/>
  <c r="AA113" i="11"/>
  <c r="AP113" i="11" s="1"/>
  <c r="AA114" i="11"/>
  <c r="AP114" i="11" s="1"/>
  <c r="AA115" i="11"/>
  <c r="AP115" i="11" s="1"/>
  <c r="AA116" i="11"/>
  <c r="AP116" i="11" s="1"/>
  <c r="AA117" i="11"/>
  <c r="AP117" i="11" s="1"/>
  <c r="AA118" i="11"/>
  <c r="AP118" i="11" s="1"/>
  <c r="BT107" i="11"/>
  <c r="BT104" i="11"/>
  <c r="M175" i="3"/>
  <c r="L190" i="3"/>
  <c r="I238" i="3"/>
  <c r="J53" i="15"/>
  <c r="K37" i="15"/>
  <c r="AA87" i="11"/>
  <c r="AP87" i="11" s="1"/>
  <c r="BT87" i="11" s="1"/>
  <c r="AA88" i="11"/>
  <c r="AP88" i="11" s="1"/>
  <c r="BT88" i="11" s="1"/>
  <c r="AA89" i="11"/>
  <c r="AP89" i="11" s="1"/>
  <c r="AA90" i="11"/>
  <c r="AP90" i="11" s="1"/>
  <c r="BT90" i="11" s="1"/>
  <c r="AA91" i="11"/>
  <c r="AP91" i="11" s="1"/>
  <c r="AA92" i="11"/>
  <c r="AP92" i="11" s="1"/>
  <c r="AA93" i="11"/>
  <c r="AP93" i="11" s="1"/>
  <c r="AA94" i="11"/>
  <c r="AP94" i="11" s="1"/>
  <c r="AA95" i="11"/>
  <c r="AP95" i="11" s="1"/>
  <c r="AA96" i="11"/>
  <c r="AP96" i="11" s="1"/>
  <c r="AA97" i="11"/>
  <c r="AP97" i="11" s="1"/>
  <c r="AA98" i="11"/>
  <c r="AP98" i="11" s="1"/>
  <c r="AA99" i="11"/>
  <c r="AP99" i="11" s="1"/>
  <c r="AA100" i="11"/>
  <c r="AP100" i="11" s="1"/>
  <c r="AA101" i="11"/>
  <c r="AP101" i="11" s="1"/>
  <c r="AA102" i="11"/>
  <c r="AP102" i="11" s="1"/>
  <c r="BE141" i="11"/>
  <c r="BT141" i="11" s="1"/>
  <c r="BF136" i="11"/>
  <c r="BU136" i="11" s="1"/>
  <c r="J135" i="3"/>
  <c r="J134" i="3"/>
  <c r="BF138" i="11"/>
  <c r="BU138" i="11" s="1"/>
  <c r="BC142" i="11"/>
  <c r="BR142" i="11" s="1"/>
  <c r="I237" i="3"/>
  <c r="BF135" i="11"/>
  <c r="BU135" i="11" s="1"/>
  <c r="BF139" i="11"/>
  <c r="BU139" i="11" s="1"/>
  <c r="J82" i="16"/>
  <c r="J84" i="16"/>
  <c r="J86" i="16"/>
  <c r="J88" i="16"/>
  <c r="J90" i="16"/>
  <c r="J92" i="16"/>
  <c r="J94" i="16"/>
  <c r="J96" i="16"/>
  <c r="J80" i="16"/>
  <c r="J81" i="16"/>
  <c r="J83" i="16"/>
  <c r="J85" i="16"/>
  <c r="J87" i="16"/>
  <c r="J89" i="16"/>
  <c r="J91" i="16"/>
  <c r="J93" i="16"/>
  <c r="J95" i="16"/>
  <c r="K110" i="9"/>
  <c r="L29" i="9"/>
  <c r="C10" i="4"/>
  <c r="C12" i="4" s="1"/>
  <c r="C16" i="4" s="1"/>
  <c r="I150" i="14"/>
  <c r="K255" i="14"/>
  <c r="K258" i="14" s="1"/>
  <c r="L254" i="14"/>
  <c r="I54" i="9"/>
  <c r="BF7" i="11"/>
  <c r="BF33" i="11"/>
  <c r="BU33" i="11" s="1"/>
  <c r="BF59" i="11"/>
  <c r="BU59" i="11" s="1"/>
  <c r="BF88" i="11"/>
  <c r="BF120" i="11"/>
  <c r="BF20" i="11"/>
  <c r="BF46" i="11"/>
  <c r="BU46" i="11" s="1"/>
  <c r="BF72" i="11"/>
  <c r="BF104" i="11"/>
  <c r="BF19" i="11"/>
  <c r="BF45" i="11"/>
  <c r="BU45" i="11" s="1"/>
  <c r="BF71" i="11"/>
  <c r="BF103" i="11"/>
  <c r="BF32" i="11"/>
  <c r="BU32" i="11" s="1"/>
  <c r="BF58" i="11"/>
  <c r="BU58" i="11" s="1"/>
  <c r="BF87" i="11"/>
  <c r="BF119" i="11"/>
  <c r="BF6" i="11"/>
  <c r="BF91" i="11"/>
  <c r="BF123" i="11"/>
  <c r="BF75" i="11"/>
  <c r="BF107" i="11"/>
  <c r="BF22" i="11"/>
  <c r="BF48" i="11"/>
  <c r="BU48" i="11" s="1"/>
  <c r="BF74" i="11"/>
  <c r="BF106" i="11"/>
  <c r="BF9" i="11"/>
  <c r="BF35" i="11"/>
  <c r="BU35" i="11" s="1"/>
  <c r="BF61" i="11"/>
  <c r="BU61" i="11" s="1"/>
  <c r="BF90" i="11"/>
  <c r="BF122" i="11"/>
  <c r="BC94" i="11"/>
  <c r="BC126" i="11"/>
  <c r="BC78" i="11"/>
  <c r="BC110" i="11"/>
  <c r="BE11" i="11"/>
  <c r="BE37" i="11"/>
  <c r="BT37" i="11" s="1"/>
  <c r="BE63" i="11"/>
  <c r="BT63" i="11" s="1"/>
  <c r="BE77" i="11"/>
  <c r="BE109" i="11"/>
  <c r="BE244" i="11"/>
  <c r="BT244" i="11" s="1"/>
  <c r="BE24" i="11"/>
  <c r="BE50" i="11"/>
  <c r="BT50" i="11" s="1"/>
  <c r="BE93" i="11"/>
  <c r="BE125" i="11"/>
  <c r="K2" i="16"/>
  <c r="K5" i="21"/>
  <c r="G20" i="7"/>
  <c r="G39" i="7"/>
  <c r="H3" i="7"/>
  <c r="G3" i="22"/>
  <c r="F20" i="22"/>
  <c r="Q12" i="6"/>
  <c r="N211" i="14"/>
  <c r="O210" i="14"/>
  <c r="L166" i="14"/>
  <c r="A48" i="14"/>
  <c r="A119" i="14"/>
  <c r="Q7" i="14"/>
  <c r="Q53" i="14"/>
  <c r="Q12" i="14" s="1"/>
  <c r="AX10" i="11"/>
  <c r="BM10" i="11" s="1"/>
  <c r="AX23" i="11"/>
  <c r="BM23" i="11" s="1"/>
  <c r="AX36" i="11"/>
  <c r="BM36" i="11" s="1"/>
  <c r="BM192" i="11" s="1"/>
  <c r="AX49" i="11"/>
  <c r="BM49" i="11" s="1"/>
  <c r="BM194" i="11" s="1"/>
  <c r="AX62" i="11"/>
  <c r="BM62" i="11" s="1"/>
  <c r="AX76" i="11"/>
  <c r="BM76" i="11" s="1"/>
  <c r="BM195" i="11" s="1"/>
  <c r="AX92" i="11"/>
  <c r="BM92" i="11" s="1"/>
  <c r="BM196" i="11" s="1"/>
  <c r="AX108" i="11"/>
  <c r="BM108" i="11" s="1"/>
  <c r="BM197" i="11" s="1"/>
  <c r="AX124" i="11"/>
  <c r="BM124" i="11" s="1"/>
  <c r="BM198" i="11" s="1"/>
  <c r="Q39" i="6"/>
  <c r="P35" i="14"/>
  <c r="O14" i="14"/>
  <c r="Q11" i="10"/>
  <c r="P14" i="18" s="1"/>
  <c r="P47" i="18" s="1"/>
  <c r="R30" i="10"/>
  <c r="G28" i="22"/>
  <c r="I54" i="30" s="1"/>
  <c r="I46" i="30" s="1"/>
  <c r="H28" i="22"/>
  <c r="J54" i="30" s="1"/>
  <c r="J46" i="30" s="1"/>
  <c r="I124" i="3"/>
  <c r="I82" i="3"/>
  <c r="I40" i="3"/>
  <c r="I96" i="3"/>
  <c r="I110" i="3"/>
  <c r="I139" i="3"/>
  <c r="I168" i="3" s="1"/>
  <c r="I183" i="3" s="1"/>
  <c r="I199" i="3" s="1"/>
  <c r="J4" i="3"/>
  <c r="I54" i="3"/>
  <c r="I68" i="3" s="1"/>
  <c r="I153" i="3"/>
  <c r="I13" i="3"/>
  <c r="I27" i="3"/>
  <c r="H79" i="6"/>
  <c r="BC36" i="16"/>
  <c r="AO36" i="16"/>
  <c r="H15" i="26"/>
  <c r="H17" i="26" s="1"/>
  <c r="H18" i="6"/>
  <c r="F7" i="32"/>
  <c r="E7" i="32"/>
  <c r="L81" i="9"/>
  <c r="K16" i="26"/>
  <c r="K22" i="26"/>
  <c r="K7" i="22"/>
  <c r="K12" i="22"/>
  <c r="K14" i="22"/>
  <c r="K36" i="26"/>
  <c r="K11" i="26"/>
  <c r="BC38" i="16"/>
  <c r="AO38" i="16"/>
  <c r="AO42" i="16"/>
  <c r="BC42" i="16"/>
  <c r="AP46" i="16"/>
  <c r="BD46" i="16"/>
  <c r="AP40" i="16"/>
  <c r="BD40" i="16"/>
  <c r="BF44" i="16"/>
  <c r="AR44" i="16"/>
  <c r="AO30" i="16"/>
  <c r="BC30" i="16"/>
  <c r="BC43" i="16"/>
  <c r="AO43" i="16"/>
  <c r="BD31" i="16"/>
  <c r="AP31" i="16"/>
  <c r="BD39" i="16"/>
  <c r="AP39" i="16"/>
  <c r="AP50" i="16"/>
  <c r="BD50" i="16"/>
  <c r="BC29" i="16"/>
  <c r="AO29" i="16"/>
  <c r="BD32" i="16"/>
  <c r="AP32" i="16"/>
  <c r="G53" i="6"/>
  <c r="G62" i="6"/>
  <c r="G74" i="6"/>
  <c r="G6" i="29"/>
  <c r="G26" i="29" s="1"/>
  <c r="G11" i="3"/>
  <c r="C21" i="4"/>
  <c r="I53" i="9"/>
  <c r="J13" i="12"/>
  <c r="BD158" i="11" s="1"/>
  <c r="BS158" i="11" s="1"/>
  <c r="AK187" i="11"/>
  <c r="H65" i="6"/>
  <c r="L7" i="10"/>
  <c r="K10" i="18" s="1"/>
  <c r="K43" i="18" s="1"/>
  <c r="M26" i="10"/>
  <c r="J36" i="14"/>
  <c r="I15" i="14"/>
  <c r="I37" i="14"/>
  <c r="I16" i="14" s="1"/>
  <c r="G133" i="30"/>
  <c r="G181" i="30" s="1"/>
  <c r="E67" i="26"/>
  <c r="G131" i="30" s="1"/>
  <c r="G179" i="30" s="1"/>
  <c r="H83" i="9"/>
  <c r="M12" i="7"/>
  <c r="L11" i="6"/>
  <c r="I232" i="3"/>
  <c r="I296" i="14"/>
  <c r="I230" i="14"/>
  <c r="G4" i="32"/>
  <c r="G6" i="32" s="1"/>
  <c r="G7" i="32" s="1"/>
  <c r="G44" i="32"/>
  <c r="G16" i="32" s="1"/>
  <c r="H4" i="32"/>
  <c r="H44" i="32"/>
  <c r="H16" i="32" s="1"/>
  <c r="C16" i="33" s="1"/>
  <c r="G11" i="18"/>
  <c r="G44" i="18" s="1"/>
  <c r="K22" i="10"/>
  <c r="J3" i="9"/>
  <c r="H7" i="17"/>
  <c r="I49" i="9"/>
  <c r="H39" i="9"/>
  <c r="H5" i="17" s="1"/>
  <c r="I38" i="9"/>
  <c r="G54" i="14"/>
  <c r="G5" i="14"/>
  <c r="I164" i="14"/>
  <c r="I98" i="14"/>
  <c r="L15" i="15"/>
  <c r="K16" i="15"/>
  <c r="AG172" i="35" s="1"/>
  <c r="L12" i="10"/>
  <c r="M31" i="10"/>
  <c r="J33" i="10"/>
  <c r="I34" i="10"/>
  <c r="J9" i="29"/>
  <c r="J68" i="26"/>
  <c r="L132" i="30" s="1"/>
  <c r="L180" i="30" s="1"/>
  <c r="L25" i="30"/>
  <c r="J16" i="16"/>
  <c r="AA16" i="16" s="1"/>
  <c r="J23" i="16"/>
  <c r="J10" i="16"/>
  <c r="AA10" i="16" s="1"/>
  <c r="J24" i="16"/>
  <c r="J13" i="16"/>
  <c r="AA13" i="16" s="1"/>
  <c r="J22" i="16"/>
  <c r="J27" i="16"/>
  <c r="J11" i="16"/>
  <c r="AA11" i="16" s="1"/>
  <c r="J20" i="16"/>
  <c r="AA20" i="16" s="1"/>
  <c r="J25" i="16"/>
  <c r="J9" i="16"/>
  <c r="AA9" i="16" s="1"/>
  <c r="J21" i="16"/>
  <c r="AA21" i="16" s="1"/>
  <c r="J7" i="16"/>
  <c r="J18" i="16"/>
  <c r="AA18" i="16" s="1"/>
  <c r="J26" i="16"/>
  <c r="J15" i="16"/>
  <c r="AA15" i="16" s="1"/>
  <c r="J8" i="16"/>
  <c r="AA8" i="16" s="1"/>
  <c r="J14" i="16"/>
  <c r="AA14" i="16" s="1"/>
  <c r="J19" i="16"/>
  <c r="AA19" i="16" s="1"/>
  <c r="J28" i="16"/>
  <c r="J12" i="16"/>
  <c r="J17" i="16"/>
  <c r="AA17" i="16" s="1"/>
  <c r="BP6" i="11"/>
  <c r="BP170" i="11" s="1"/>
  <c r="BP11" i="11"/>
  <c r="BP176" i="11" s="1"/>
  <c r="BP7" i="11"/>
  <c r="BP171" i="11" s="1"/>
  <c r="M8" i="12"/>
  <c r="BG154" i="11" s="1"/>
  <c r="BV154" i="11" s="1"/>
  <c r="I16" i="6"/>
  <c r="I15" i="26" s="1"/>
  <c r="I17" i="26" s="1"/>
  <c r="N6" i="5"/>
  <c r="O4" i="5" s="1"/>
  <c r="H20" i="14"/>
  <c r="H12" i="9"/>
  <c r="H24" i="9" s="1"/>
  <c r="I11" i="9"/>
  <c r="L232" i="14"/>
  <c r="K233" i="14"/>
  <c r="K236" i="14" s="1"/>
  <c r="L6" i="15"/>
  <c r="M11" i="28"/>
  <c r="AO41" i="16"/>
  <c r="BC41" i="16"/>
  <c r="I208" i="14"/>
  <c r="BD33" i="16"/>
  <c r="AP33" i="16"/>
  <c r="J56" i="9"/>
  <c r="I142" i="14"/>
  <c r="J54" i="9"/>
  <c r="J27" i="10"/>
  <c r="I28" i="10"/>
  <c r="I8" i="10"/>
  <c r="BC45" i="16"/>
  <c r="AO45" i="16"/>
  <c r="M9" i="28"/>
  <c r="L19" i="28"/>
  <c r="K8" i="15" s="1"/>
  <c r="H5" i="14"/>
  <c r="H21" i="6" s="1"/>
  <c r="H20" i="26" s="1"/>
  <c r="H54" i="14"/>
  <c r="H13" i="14" s="1"/>
  <c r="K18" i="21"/>
  <c r="K122" i="3"/>
  <c r="K23" i="21"/>
  <c r="M51" i="30"/>
  <c r="K3" i="29"/>
  <c r="F1" i="33"/>
  <c r="BC47" i="16"/>
  <c r="AO47" i="16"/>
  <c r="G9" i="14"/>
  <c r="BC37" i="16"/>
  <c r="AO37" i="16"/>
  <c r="J15" i="18"/>
  <c r="J48" i="18" s="1"/>
  <c r="K17" i="10"/>
  <c r="N11" i="12"/>
  <c r="AR255" i="11"/>
  <c r="J109" i="14"/>
  <c r="J307" i="14"/>
  <c r="J131" i="14"/>
  <c r="J129" i="3"/>
  <c r="J132" i="3"/>
  <c r="J153" i="14"/>
  <c r="J285" i="14"/>
  <c r="J219" i="14"/>
  <c r="J87" i="14"/>
  <c r="J127" i="3"/>
  <c r="J66" i="14"/>
  <c r="J197" i="14"/>
  <c r="J263" i="14"/>
  <c r="J131" i="3"/>
  <c r="J241" i="14"/>
  <c r="J128" i="3"/>
  <c r="J175" i="14"/>
  <c r="J133" i="3"/>
  <c r="G49" i="32"/>
  <c r="G57" i="32" s="1"/>
  <c r="BP9" i="11"/>
  <c r="BP173" i="11" s="1"/>
  <c r="N17" i="28"/>
  <c r="O6" i="28"/>
  <c r="P6" i="28" s="1"/>
  <c r="K57" i="14"/>
  <c r="L56" i="14"/>
  <c r="K12" i="14"/>
  <c r="G62" i="14"/>
  <c r="G20" i="14"/>
  <c r="BD34" i="16"/>
  <c r="AP34" i="16"/>
  <c r="I84" i="14"/>
  <c r="I61" i="14"/>
  <c r="I46" i="14"/>
  <c r="I76" i="14"/>
  <c r="I186" i="14"/>
  <c r="I67" i="32"/>
  <c r="I27" i="4"/>
  <c r="BS249" i="11"/>
  <c r="I120" i="14"/>
  <c r="I252" i="14"/>
  <c r="I235" i="3"/>
  <c r="I231" i="3"/>
  <c r="I234" i="3"/>
  <c r="J53" i="9"/>
  <c r="H9" i="10"/>
  <c r="G12" i="18" s="1"/>
  <c r="G45" i="18" s="1"/>
  <c r="I50" i="14"/>
  <c r="I9" i="14" s="1"/>
  <c r="I22" i="6" s="1"/>
  <c r="I21" i="26" s="1"/>
  <c r="I274" i="14"/>
  <c r="I230" i="3"/>
  <c r="I318" i="14"/>
  <c r="I236" i="3"/>
  <c r="N14" i="14"/>
  <c r="I22" i="30"/>
  <c r="G7" i="29"/>
  <c r="G58" i="26"/>
  <c r="I122" i="30" s="1"/>
  <c r="I170" i="30" s="1"/>
  <c r="G50" i="26"/>
  <c r="M6" i="12"/>
  <c r="BG152" i="11" s="1"/>
  <c r="BV152" i="11" s="1"/>
  <c r="H99" i="30"/>
  <c r="N99" i="30" s="1"/>
  <c r="F52" i="26"/>
  <c r="L12" i="12"/>
  <c r="BF157" i="11" s="1"/>
  <c r="BU157" i="11" s="1"/>
  <c r="E4" i="30"/>
  <c r="D23" i="28"/>
  <c r="C10" i="21"/>
  <c r="D7" i="21"/>
  <c r="M48" i="9"/>
  <c r="C41" i="7"/>
  <c r="E5" i="30"/>
  <c r="C9" i="21"/>
  <c r="H133" i="30"/>
  <c r="H181" i="30" s="1"/>
  <c r="F67" i="26"/>
  <c r="H131" i="30" s="1"/>
  <c r="H179" i="30" s="1"/>
  <c r="C40" i="7"/>
  <c r="C50" i="29"/>
  <c r="C5" i="29"/>
  <c r="J26" i="30"/>
  <c r="H63" i="26"/>
  <c r="E18" i="5"/>
  <c r="F16" i="5" s="1"/>
  <c r="I18" i="9"/>
  <c r="H92" i="9"/>
  <c r="F14" i="21"/>
  <c r="M5" i="12"/>
  <c r="BG151" i="11" s="1"/>
  <c r="BV151" i="11" s="1"/>
  <c r="X7" i="16"/>
  <c r="W54" i="16"/>
  <c r="M13" i="9"/>
  <c r="M9" i="12"/>
  <c r="BG155" i="11" s="1"/>
  <c r="BV155" i="11" s="1"/>
  <c r="J22" i="22"/>
  <c r="G14" i="8"/>
  <c r="D49" i="29"/>
  <c r="D51" i="29" s="1"/>
  <c r="BD51" i="16" l="1"/>
  <c r="AP51" i="16"/>
  <c r="H6" i="17"/>
  <c r="N188" i="14"/>
  <c r="M189" i="14"/>
  <c r="M192" i="14" s="1"/>
  <c r="K101" i="14"/>
  <c r="L100" i="14"/>
  <c r="AR52" i="16"/>
  <c r="BF52" i="16"/>
  <c r="AP53" i="16"/>
  <c r="BD53" i="16"/>
  <c r="I302" i="14"/>
  <c r="I304" i="14" s="1"/>
  <c r="I300" i="14"/>
  <c r="J46" i="9"/>
  <c r="J27" i="9"/>
  <c r="K7" i="9"/>
  <c r="I170" i="14"/>
  <c r="I168" i="14"/>
  <c r="I58" i="14" s="1"/>
  <c r="I17" i="14" s="1"/>
  <c r="I28" i="7" s="1"/>
  <c r="K165" i="14"/>
  <c r="J167" i="14"/>
  <c r="J170" i="14" s="1"/>
  <c r="H172" i="14"/>
  <c r="H60" i="14"/>
  <c r="O35" i="15"/>
  <c r="N51" i="15"/>
  <c r="L320" i="14"/>
  <c r="K321" i="14"/>
  <c r="K324" i="14" s="1"/>
  <c r="J299" i="14"/>
  <c r="J302" i="14" s="1"/>
  <c r="K298" i="14"/>
  <c r="AP35" i="16"/>
  <c r="BD35" i="16"/>
  <c r="H91" i="9"/>
  <c r="I9" i="10"/>
  <c r="H12" i="18" s="1"/>
  <c r="H45" i="18" s="1"/>
  <c r="L144" i="14"/>
  <c r="K145" i="14"/>
  <c r="K148" i="14" s="1"/>
  <c r="I56" i="16"/>
  <c r="Y5" i="16"/>
  <c r="AN5" i="16" s="1"/>
  <c r="BC5" i="16" s="1"/>
  <c r="J5" i="16"/>
  <c r="K2" i="5"/>
  <c r="BD48" i="16"/>
  <c r="AP48" i="16"/>
  <c r="AP49" i="16"/>
  <c r="BD49" i="16"/>
  <c r="BT93" i="11"/>
  <c r="AN309" i="35"/>
  <c r="AQ309" i="35"/>
  <c r="AN310" i="35"/>
  <c r="AQ310" i="35"/>
  <c r="L121" i="3"/>
  <c r="X72" i="35"/>
  <c r="X62" i="35"/>
  <c r="X54" i="35"/>
  <c r="X37" i="35"/>
  <c r="X14" i="35"/>
  <c r="X150" i="35"/>
  <c r="X96" i="35"/>
  <c r="X74" i="35"/>
  <c r="X47" i="35"/>
  <c r="X16" i="35"/>
  <c r="X82" i="35"/>
  <c r="X67" i="35"/>
  <c r="X57" i="35"/>
  <c r="X42" i="35"/>
  <c r="X34" i="35"/>
  <c r="X4" i="35"/>
  <c r="X118" i="35"/>
  <c r="X84" i="35"/>
  <c r="X52" i="35"/>
  <c r="X44" i="35"/>
  <c r="X11" i="35"/>
  <c r="L120" i="3"/>
  <c r="BM191" i="11"/>
  <c r="BM218" i="11" s="1"/>
  <c r="BM193" i="11"/>
  <c r="BM219" i="11" s="1"/>
  <c r="BM175" i="11"/>
  <c r="BM190" i="11"/>
  <c r="AG166" i="11"/>
  <c r="AV166" i="11" s="1"/>
  <c r="AG164" i="11"/>
  <c r="AV164" i="11" s="1"/>
  <c r="AG162" i="11"/>
  <c r="AV162" i="11" s="1"/>
  <c r="AG160" i="11"/>
  <c r="AV160" i="11" s="1"/>
  <c r="AG158" i="11"/>
  <c r="AV158" i="11" s="1"/>
  <c r="AG156" i="11"/>
  <c r="AV156" i="11" s="1"/>
  <c r="AG154" i="11"/>
  <c r="AV154" i="11" s="1"/>
  <c r="AG152" i="11"/>
  <c r="AV152" i="11" s="1"/>
  <c r="AG151" i="11"/>
  <c r="AV151" i="11" s="1"/>
  <c r="AG165" i="11"/>
  <c r="AV165" i="11" s="1"/>
  <c r="AG163" i="11"/>
  <c r="AV163" i="11" s="1"/>
  <c r="AG161" i="11"/>
  <c r="AV161" i="11" s="1"/>
  <c r="AG159" i="11"/>
  <c r="AV159" i="11" s="1"/>
  <c r="AG157" i="11"/>
  <c r="AV157" i="11" s="1"/>
  <c r="AG155" i="11"/>
  <c r="AV155" i="11" s="1"/>
  <c r="AG153" i="11"/>
  <c r="AV153" i="11" s="1"/>
  <c r="BR94" i="11"/>
  <c r="BR110" i="11"/>
  <c r="BT249" i="11"/>
  <c r="BT109" i="11"/>
  <c r="Q6" i="28"/>
  <c r="P17" i="28"/>
  <c r="O6" i="15" s="1"/>
  <c r="Q146" i="3"/>
  <c r="BZ210" i="11" s="1"/>
  <c r="Q9" i="5"/>
  <c r="K277" i="14"/>
  <c r="K280" i="14" s="1"/>
  <c r="L276" i="14"/>
  <c r="G10" i="5"/>
  <c r="G12" i="5"/>
  <c r="Q40" i="15"/>
  <c r="Q56" i="15" s="1"/>
  <c r="AG145" i="11"/>
  <c r="AV145" i="11" s="1"/>
  <c r="AG143" i="11"/>
  <c r="AV143" i="11" s="1"/>
  <c r="AG149" i="11"/>
  <c r="AV149" i="11" s="1"/>
  <c r="AG147" i="11"/>
  <c r="AV147" i="11" s="1"/>
  <c r="AG137" i="11"/>
  <c r="AV137" i="11" s="1"/>
  <c r="AG135" i="11"/>
  <c r="AV135" i="11" s="1"/>
  <c r="AG141" i="11"/>
  <c r="AV141" i="11" s="1"/>
  <c r="AG139" i="11"/>
  <c r="AV139" i="11" s="1"/>
  <c r="AG140" i="11"/>
  <c r="AV140" i="11" s="1"/>
  <c r="AG136" i="11"/>
  <c r="AV136" i="11" s="1"/>
  <c r="AG148" i="11"/>
  <c r="AV148" i="11" s="1"/>
  <c r="AG144" i="11"/>
  <c r="AV144" i="11" s="1"/>
  <c r="AG142" i="11"/>
  <c r="AV142" i="11" s="1"/>
  <c r="AG138" i="11"/>
  <c r="AV138" i="11" s="1"/>
  <c r="AG150" i="11"/>
  <c r="AV150" i="11" s="1"/>
  <c r="AG146" i="11"/>
  <c r="AV146" i="11" s="1"/>
  <c r="Q41" i="15"/>
  <c r="Q57" i="15" s="1"/>
  <c r="Q147" i="3"/>
  <c r="BZ211" i="11" s="1"/>
  <c r="Q148" i="3"/>
  <c r="BZ212" i="11" s="1"/>
  <c r="O6" i="5"/>
  <c r="P4" i="5" s="1"/>
  <c r="L26" i="3"/>
  <c r="L14" i="3"/>
  <c r="L25" i="3" s="1"/>
  <c r="L123" i="14"/>
  <c r="M122" i="14"/>
  <c r="N23" i="1"/>
  <c r="O69" i="9"/>
  <c r="M79" i="14"/>
  <c r="N78" i="14"/>
  <c r="BQ123" i="11"/>
  <c r="BQ174" i="11" s="1"/>
  <c r="H55" i="15"/>
  <c r="K177" i="3"/>
  <c r="J192" i="3"/>
  <c r="BQ126" i="11"/>
  <c r="BQ177" i="11" s="1"/>
  <c r="G42" i="15"/>
  <c r="G196" i="3" s="1"/>
  <c r="G197" i="3" s="1"/>
  <c r="G50" i="15"/>
  <c r="G58" i="15" s="1"/>
  <c r="I39" i="15"/>
  <c r="Y119" i="11"/>
  <c r="AN119" i="11" s="1"/>
  <c r="BR119" i="11" s="1"/>
  <c r="Y120" i="11"/>
  <c r="AN120" i="11" s="1"/>
  <c r="BR120" i="11" s="1"/>
  <c r="Y121" i="11"/>
  <c r="AN121" i="11" s="1"/>
  <c r="Y122" i="11"/>
  <c r="AN122" i="11" s="1"/>
  <c r="BR122" i="11" s="1"/>
  <c r="Y123" i="11"/>
  <c r="AN123" i="11" s="1"/>
  <c r="Y124" i="11"/>
  <c r="AN124" i="11" s="1"/>
  <c r="Y125" i="11"/>
  <c r="AN125" i="11" s="1"/>
  <c r="BR125" i="11" s="1"/>
  <c r="Y134" i="11"/>
  <c r="AN134" i="11" s="1"/>
  <c r="Y133" i="11"/>
  <c r="AN133" i="11" s="1"/>
  <c r="Y132" i="11"/>
  <c r="AN132" i="11" s="1"/>
  <c r="Y131" i="11"/>
  <c r="AN131" i="11" s="1"/>
  <c r="Y130" i="11"/>
  <c r="AN130" i="11" s="1"/>
  <c r="Y129" i="11"/>
  <c r="AN129" i="11" s="1"/>
  <c r="Y128" i="11"/>
  <c r="AN128" i="11" s="1"/>
  <c r="Y127" i="11"/>
  <c r="AN127" i="11" s="1"/>
  <c r="Y126" i="11"/>
  <c r="AN126" i="11" s="1"/>
  <c r="N176" i="3"/>
  <c r="M191" i="3"/>
  <c r="L38" i="15"/>
  <c r="L54" i="15" s="1"/>
  <c r="AB103" i="11"/>
  <c r="AQ103" i="11" s="1"/>
  <c r="AB104" i="11"/>
  <c r="AQ104" i="11" s="1"/>
  <c r="BU104" i="11" s="1"/>
  <c r="AB105" i="11"/>
  <c r="AQ105" i="11" s="1"/>
  <c r="AB106" i="11"/>
  <c r="AQ106" i="11" s="1"/>
  <c r="BU106" i="11" s="1"/>
  <c r="AB107" i="11"/>
  <c r="AQ107" i="11" s="1"/>
  <c r="BU107" i="11" s="1"/>
  <c r="AB108" i="11"/>
  <c r="AQ108" i="11" s="1"/>
  <c r="AB109" i="11"/>
  <c r="AQ109" i="11" s="1"/>
  <c r="AB110" i="11"/>
  <c r="AQ110" i="11" s="1"/>
  <c r="AB111" i="11"/>
  <c r="AQ111" i="11" s="1"/>
  <c r="AB112" i="11"/>
  <c r="AQ112" i="11" s="1"/>
  <c r="AB113" i="11"/>
  <c r="AQ113" i="11" s="1"/>
  <c r="AB114" i="11"/>
  <c r="AQ114" i="11" s="1"/>
  <c r="AB115" i="11"/>
  <c r="AQ115" i="11" s="1"/>
  <c r="AB116" i="11"/>
  <c r="AQ116" i="11" s="1"/>
  <c r="AB117" i="11"/>
  <c r="AQ117" i="11" s="1"/>
  <c r="AB118" i="11"/>
  <c r="AQ118" i="11" s="1"/>
  <c r="BU103" i="11"/>
  <c r="K53" i="15"/>
  <c r="N175" i="3"/>
  <c r="M190" i="3"/>
  <c r="L37" i="15"/>
  <c r="AB87" i="11"/>
  <c r="AQ87" i="11" s="1"/>
  <c r="BU87" i="11" s="1"/>
  <c r="AB88" i="11"/>
  <c r="AQ88" i="11" s="1"/>
  <c r="BU88" i="11" s="1"/>
  <c r="AB89" i="11"/>
  <c r="AQ89" i="11" s="1"/>
  <c r="AB90" i="11"/>
  <c r="AQ90" i="11" s="1"/>
  <c r="BU90" i="11" s="1"/>
  <c r="AB91" i="11"/>
  <c r="AQ91" i="11" s="1"/>
  <c r="AB92" i="11"/>
  <c r="AQ92" i="11" s="1"/>
  <c r="AB93" i="11"/>
  <c r="AQ93" i="11" s="1"/>
  <c r="AB94" i="11"/>
  <c r="AQ94" i="11" s="1"/>
  <c r="AB95" i="11"/>
  <c r="AQ95" i="11" s="1"/>
  <c r="AB96" i="11"/>
  <c r="AQ96" i="11" s="1"/>
  <c r="AB97" i="11"/>
  <c r="AQ97" i="11" s="1"/>
  <c r="AB98" i="11"/>
  <c r="AQ98" i="11" s="1"/>
  <c r="AB99" i="11"/>
  <c r="AQ99" i="11" s="1"/>
  <c r="AB100" i="11"/>
  <c r="AQ100" i="11" s="1"/>
  <c r="AB101" i="11"/>
  <c r="AQ101" i="11" s="1"/>
  <c r="AB102" i="11"/>
  <c r="AQ102" i="11" s="1"/>
  <c r="BU91" i="11"/>
  <c r="BT91" i="11"/>
  <c r="BF141" i="11"/>
  <c r="BU141" i="11" s="1"/>
  <c r="BG136" i="11"/>
  <c r="BV136" i="11" s="1"/>
  <c r="BG138" i="11"/>
  <c r="BV138" i="11" s="1"/>
  <c r="J224" i="3"/>
  <c r="J164" i="3"/>
  <c r="J211" i="3" s="1"/>
  <c r="BG139" i="11"/>
  <c r="BV139" i="11" s="1"/>
  <c r="BG135" i="11"/>
  <c r="BV135" i="11" s="1"/>
  <c r="K134" i="3"/>
  <c r="K135" i="3"/>
  <c r="BD142" i="11"/>
  <c r="BS142" i="11" s="1"/>
  <c r="J163" i="3"/>
  <c r="J210" i="3" s="1"/>
  <c r="J223" i="3"/>
  <c r="L110" i="9"/>
  <c r="M29" i="9"/>
  <c r="J103" i="16"/>
  <c r="K81" i="16"/>
  <c r="K83" i="16"/>
  <c r="K85" i="16"/>
  <c r="K87" i="16"/>
  <c r="K89" i="16"/>
  <c r="K91" i="16"/>
  <c r="K93" i="16"/>
  <c r="K95" i="16"/>
  <c r="K94" i="16"/>
  <c r="K96" i="16"/>
  <c r="K80" i="16"/>
  <c r="K28" i="16" s="1"/>
  <c r="K82" i="16"/>
  <c r="K84" i="16"/>
  <c r="K86" i="16"/>
  <c r="K88" i="16"/>
  <c r="K90" i="16"/>
  <c r="K92" i="16"/>
  <c r="C46" i="4"/>
  <c r="C47" i="4" s="1"/>
  <c r="C17" i="4"/>
  <c r="C18" i="4" s="1"/>
  <c r="C22" i="4"/>
  <c r="C23" i="4" s="1"/>
  <c r="C25" i="4" s="1"/>
  <c r="C35" i="4" s="1"/>
  <c r="J105" i="14"/>
  <c r="J104" i="14"/>
  <c r="J127" i="14"/>
  <c r="J126" i="14"/>
  <c r="G21" i="6"/>
  <c r="G20" i="26" s="1"/>
  <c r="L255" i="14"/>
  <c r="L258" i="14" s="1"/>
  <c r="M254" i="14"/>
  <c r="BF244" i="11"/>
  <c r="BU244" i="11" s="1"/>
  <c r="BF24" i="11"/>
  <c r="BF50" i="11"/>
  <c r="BU50" i="11" s="1"/>
  <c r="BF93" i="11"/>
  <c r="BF125" i="11"/>
  <c r="BF11" i="11"/>
  <c r="BF37" i="11"/>
  <c r="BU37" i="11" s="1"/>
  <c r="BF63" i="11"/>
  <c r="BU63" i="11" s="1"/>
  <c r="BF77" i="11"/>
  <c r="BF109" i="11"/>
  <c r="BG75" i="11"/>
  <c r="BG107" i="11"/>
  <c r="BG91" i="11"/>
  <c r="BG123" i="11"/>
  <c r="BG32" i="11"/>
  <c r="BV32" i="11" s="1"/>
  <c r="BG58" i="11"/>
  <c r="BV58" i="11" s="1"/>
  <c r="BG87" i="11"/>
  <c r="BG119" i="11"/>
  <c r="BG6" i="11"/>
  <c r="BG19" i="11"/>
  <c r="BG45" i="11"/>
  <c r="BV45" i="11" s="1"/>
  <c r="BG71" i="11"/>
  <c r="BG103" i="11"/>
  <c r="BG20" i="11"/>
  <c r="BG46" i="11"/>
  <c r="BV46" i="11" s="1"/>
  <c r="BG72" i="11"/>
  <c r="BG104" i="11"/>
  <c r="BG7" i="11"/>
  <c r="BG33" i="11"/>
  <c r="BV33" i="11" s="1"/>
  <c r="BG59" i="11"/>
  <c r="BV59" i="11" s="1"/>
  <c r="BG88" i="11"/>
  <c r="BG120" i="11"/>
  <c r="L2" i="16"/>
  <c r="L5" i="21"/>
  <c r="BG9" i="11"/>
  <c r="BG35" i="11"/>
  <c r="BV35" i="11" s="1"/>
  <c r="BG61" i="11"/>
  <c r="BV61" i="11" s="1"/>
  <c r="BG90" i="11"/>
  <c r="BG122" i="11"/>
  <c r="BG22" i="11"/>
  <c r="BG48" i="11"/>
  <c r="BV48" i="11" s="1"/>
  <c r="BG74" i="11"/>
  <c r="BG106" i="11"/>
  <c r="BD78" i="11"/>
  <c r="BD110" i="11"/>
  <c r="BS110" i="11" s="1"/>
  <c r="BD94" i="11"/>
  <c r="BS94" i="11" s="1"/>
  <c r="BD126" i="11"/>
  <c r="H39" i="7"/>
  <c r="H20" i="7"/>
  <c r="I3" i="7"/>
  <c r="H3" i="22"/>
  <c r="G20" i="22"/>
  <c r="BM217" i="11"/>
  <c r="A7" i="14"/>
  <c r="M166" i="14"/>
  <c r="P210" i="14"/>
  <c r="O211" i="14"/>
  <c r="BM202" i="11"/>
  <c r="E5" i="10" s="1"/>
  <c r="E6" i="10" s="1"/>
  <c r="BM187" i="11"/>
  <c r="R11" i="10"/>
  <c r="Q14" i="18" s="1"/>
  <c r="Q47" i="18" s="1"/>
  <c r="AS255" i="11"/>
  <c r="O11" i="12"/>
  <c r="Q35" i="14"/>
  <c r="P14" i="14"/>
  <c r="I28" i="22"/>
  <c r="K54" i="30" s="1"/>
  <c r="J82" i="3"/>
  <c r="K4" i="3"/>
  <c r="J110" i="3"/>
  <c r="J40" i="3"/>
  <c r="J153" i="3"/>
  <c r="J96" i="3"/>
  <c r="J27" i="3"/>
  <c r="J124" i="3"/>
  <c r="J54" i="3"/>
  <c r="J68" i="3" s="1"/>
  <c r="J139" i="3"/>
  <c r="J168" i="3" s="1"/>
  <c r="J183" i="3" s="1"/>
  <c r="J199" i="3" s="1"/>
  <c r="J13" i="3"/>
  <c r="C6" i="29"/>
  <c r="C26" i="29" s="1"/>
  <c r="C25" i="29"/>
  <c r="AP36" i="16"/>
  <c r="BD36" i="16"/>
  <c r="H50" i="26"/>
  <c r="J22" i="30"/>
  <c r="H58" i="26"/>
  <c r="J122" i="30" s="1"/>
  <c r="J170" i="30" s="1"/>
  <c r="H7" i="29"/>
  <c r="H53" i="6"/>
  <c r="H62" i="6"/>
  <c r="H74" i="6"/>
  <c r="M81" i="9"/>
  <c r="L22" i="26"/>
  <c r="L7" i="22"/>
  <c r="L12" i="22"/>
  <c r="L14" i="22"/>
  <c r="L16" i="26"/>
  <c r="L36" i="26"/>
  <c r="E32" i="30"/>
  <c r="L11" i="26"/>
  <c r="BD38" i="16"/>
  <c r="AP38" i="16"/>
  <c r="BE50" i="16"/>
  <c r="AQ50" i="16"/>
  <c r="BD30" i="16"/>
  <c r="AP30" i="16"/>
  <c r="AQ40" i="16"/>
  <c r="BE40" i="16"/>
  <c r="BE46" i="16"/>
  <c r="AQ46" i="16"/>
  <c r="AP42" i="16"/>
  <c r="BD42" i="16"/>
  <c r="AQ32" i="16"/>
  <c r="BE32" i="16"/>
  <c r="BD29" i="16"/>
  <c r="AP29" i="16"/>
  <c r="AQ39" i="16"/>
  <c r="BE39" i="16"/>
  <c r="BE31" i="16"/>
  <c r="AQ31" i="16"/>
  <c r="BD43" i="16"/>
  <c r="AP43" i="16"/>
  <c r="AS44" i="16"/>
  <c r="BG44" i="16"/>
  <c r="K13" i="12"/>
  <c r="BE158" i="11" s="1"/>
  <c r="BT158" i="11" s="1"/>
  <c r="M7" i="10"/>
  <c r="L10" i="18" s="1"/>
  <c r="L43" i="18" s="1"/>
  <c r="N26" i="10"/>
  <c r="K36" i="14"/>
  <c r="J37" i="14"/>
  <c r="J16" i="14" s="1"/>
  <c r="J15" i="14"/>
  <c r="N12" i="7"/>
  <c r="M11" i="6"/>
  <c r="I65" i="6"/>
  <c r="I79" i="6"/>
  <c r="I20" i="14"/>
  <c r="AQ34" i="16"/>
  <c r="BE34" i="16"/>
  <c r="G21" i="14"/>
  <c r="O17" i="28"/>
  <c r="P11" i="28" s="1"/>
  <c r="J162" i="3"/>
  <c r="J209" i="3" s="1"/>
  <c r="J222" i="3"/>
  <c r="J157" i="3"/>
  <c r="J204" i="3" s="1"/>
  <c r="J217" i="3"/>
  <c r="J244" i="14"/>
  <c r="J259" i="14"/>
  <c r="J248" i="14"/>
  <c r="J256" i="14"/>
  <c r="J278" i="14"/>
  <c r="J266" i="14"/>
  <c r="J281" i="14"/>
  <c r="J270" i="14"/>
  <c r="J72" i="14"/>
  <c r="J80" i="14"/>
  <c r="J83" i="14"/>
  <c r="J68" i="14"/>
  <c r="J82" i="14"/>
  <c r="J90" i="14"/>
  <c r="J102" i="14"/>
  <c r="J94" i="14"/>
  <c r="J160" i="14"/>
  <c r="J168" i="14"/>
  <c r="J171" i="14"/>
  <c r="J156" i="14"/>
  <c r="J158" i="3"/>
  <c r="J205" i="3" s="1"/>
  <c r="J218" i="3"/>
  <c r="J310" i="14"/>
  <c r="J322" i="14"/>
  <c r="J325" i="14"/>
  <c r="J314" i="14"/>
  <c r="BD37" i="16"/>
  <c r="AP37" i="16"/>
  <c r="AP47" i="16"/>
  <c r="BD47" i="16"/>
  <c r="M25" i="30"/>
  <c r="K9" i="29"/>
  <c r="K68" i="26"/>
  <c r="H85" i="6"/>
  <c r="H83" i="6" s="1"/>
  <c r="N9" i="28"/>
  <c r="M19" i="28"/>
  <c r="L8" i="15" s="1"/>
  <c r="BU249" i="11" s="1"/>
  <c r="AQ33" i="16"/>
  <c r="BE33" i="16"/>
  <c r="I12" i="9"/>
  <c r="I6" i="17" s="1"/>
  <c r="J11" i="9"/>
  <c r="AA28" i="16"/>
  <c r="AA25" i="16"/>
  <c r="AA22" i="16"/>
  <c r="AA24" i="16"/>
  <c r="AA23" i="16"/>
  <c r="M12" i="10"/>
  <c r="N31" i="10"/>
  <c r="M15" i="15"/>
  <c r="L16" i="15"/>
  <c r="AJ172" i="35" s="1"/>
  <c r="G13" i="14"/>
  <c r="I39" i="9"/>
  <c r="I5" i="17" s="1"/>
  <c r="J38" i="9"/>
  <c r="J49" i="9"/>
  <c r="I7" i="17"/>
  <c r="I83" i="9"/>
  <c r="H6" i="32"/>
  <c r="C4" i="33"/>
  <c r="AL187" i="11"/>
  <c r="G4" i="17"/>
  <c r="G8" i="17" s="1"/>
  <c r="I5" i="14"/>
  <c r="I54" i="14"/>
  <c r="I13" i="14" s="1"/>
  <c r="M56" i="14"/>
  <c r="L57" i="14"/>
  <c r="N11" i="28"/>
  <c r="M6" i="15"/>
  <c r="J182" i="14"/>
  <c r="J193" i="14"/>
  <c r="J178" i="14"/>
  <c r="J190" i="14"/>
  <c r="J220" i="3"/>
  <c r="J160" i="3"/>
  <c r="J207" i="3" s="1"/>
  <c r="J204" i="14"/>
  <c r="J215" i="14"/>
  <c r="J212" i="14"/>
  <c r="J200" i="14"/>
  <c r="J156" i="3"/>
  <c r="J203" i="3" s="1"/>
  <c r="J216" i="3"/>
  <c r="J234" i="14"/>
  <c r="J226" i="14"/>
  <c r="J222" i="14"/>
  <c r="J237" i="14"/>
  <c r="J288" i="14"/>
  <c r="J292" i="14"/>
  <c r="J300" i="14"/>
  <c r="J303" i="14"/>
  <c r="J221" i="3"/>
  <c r="J161" i="3"/>
  <c r="J208" i="3" s="1"/>
  <c r="J134" i="14"/>
  <c r="J138" i="14"/>
  <c r="J146" i="14"/>
  <c r="J149" i="14"/>
  <c r="J116" i="14"/>
  <c r="J112" i="14"/>
  <c r="J124" i="14"/>
  <c r="J67" i="32"/>
  <c r="J27" i="4"/>
  <c r="G22" i="6"/>
  <c r="G21" i="26" s="1"/>
  <c r="K10" i="16"/>
  <c r="AB10" i="16" s="1"/>
  <c r="K22" i="16"/>
  <c r="K19" i="16"/>
  <c r="AB19" i="16" s="1"/>
  <c r="K27" i="16"/>
  <c r="K13" i="16"/>
  <c r="AB13" i="16" s="1"/>
  <c r="K14" i="16"/>
  <c r="AB14" i="16" s="1"/>
  <c r="K12" i="16"/>
  <c r="K24" i="16"/>
  <c r="K16" i="16"/>
  <c r="AB16" i="16" s="1"/>
  <c r="K21" i="16"/>
  <c r="AB21" i="16" s="1"/>
  <c r="K7" i="16"/>
  <c r="K17" i="16"/>
  <c r="AB17" i="16" s="1"/>
  <c r="K8" i="16"/>
  <c r="AB8" i="16" s="1"/>
  <c r="K11" i="16"/>
  <c r="AB11" i="16" s="1"/>
  <c r="K20" i="16"/>
  <c r="AB20" i="16" s="1"/>
  <c r="K18" i="16"/>
  <c r="AB18" i="16" s="1"/>
  <c r="K9" i="16"/>
  <c r="AB9" i="16" s="1"/>
  <c r="K23" i="16"/>
  <c r="K25" i="16"/>
  <c r="K15" i="16"/>
  <c r="AB15" i="16" s="1"/>
  <c r="K26" i="16"/>
  <c r="K285" i="14"/>
  <c r="K307" i="14"/>
  <c r="K241" i="14"/>
  <c r="K129" i="3"/>
  <c r="K131" i="14"/>
  <c r="K263" i="14"/>
  <c r="K87" i="14"/>
  <c r="K128" i="3"/>
  <c r="K66" i="14"/>
  <c r="K219" i="14"/>
  <c r="K175" i="14"/>
  <c r="K131" i="3"/>
  <c r="K132" i="3"/>
  <c r="K153" i="14"/>
  <c r="K127" i="3"/>
  <c r="K109" i="14"/>
  <c r="K127" i="14" s="1"/>
  <c r="K197" i="14"/>
  <c r="K133" i="3"/>
  <c r="L22" i="10"/>
  <c r="K3" i="9"/>
  <c r="K53" i="9" s="1"/>
  <c r="AP45" i="16"/>
  <c r="BD45" i="16"/>
  <c r="H4" i="17"/>
  <c r="H8" i="17" s="1"/>
  <c r="H11" i="18"/>
  <c r="H44" i="18" s="1"/>
  <c r="I18" i="10"/>
  <c r="E15" i="34" s="1"/>
  <c r="K27" i="10"/>
  <c r="J8" i="10"/>
  <c r="J28" i="10"/>
  <c r="BD41" i="16"/>
  <c r="AP41" i="16"/>
  <c r="L18" i="21"/>
  <c r="L122" i="3"/>
  <c r="L23" i="21"/>
  <c r="N51" i="30"/>
  <c r="G1" i="33"/>
  <c r="L3" i="29"/>
  <c r="M232" i="14"/>
  <c r="L233" i="14"/>
  <c r="L236" i="14" s="1"/>
  <c r="I18" i="6"/>
  <c r="N8" i="12"/>
  <c r="BH154" i="11" s="1"/>
  <c r="BW154" i="11" s="1"/>
  <c r="AA12" i="16"/>
  <c r="AA26" i="16"/>
  <c r="J54" i="16"/>
  <c r="J17" i="5" s="1"/>
  <c r="AA27" i="16"/>
  <c r="J34" i="10"/>
  <c r="K33" i="10"/>
  <c r="K15" i="18"/>
  <c r="K48" i="18" s="1"/>
  <c r="L17" i="10"/>
  <c r="H18" i="10"/>
  <c r="D15" i="34" s="1"/>
  <c r="C16" i="21"/>
  <c r="N5" i="12"/>
  <c r="BH151" i="11" s="1"/>
  <c r="BW151" i="11" s="1"/>
  <c r="H14" i="8"/>
  <c r="I92" i="9"/>
  <c r="J18" i="9"/>
  <c r="J127" i="30"/>
  <c r="J175" i="30" s="1"/>
  <c r="H15" i="29"/>
  <c r="E13" i="30"/>
  <c r="D50" i="26"/>
  <c r="D7" i="29"/>
  <c r="D58" i="26"/>
  <c r="F122" i="30" s="1"/>
  <c r="F170" i="30" s="1"/>
  <c r="F22" i="30"/>
  <c r="N6" i="12"/>
  <c r="BH152" i="11" s="1"/>
  <c r="BW152" i="11" s="1"/>
  <c r="G14" i="21"/>
  <c r="K22" i="22"/>
  <c r="N9" i="12"/>
  <c r="BH155" i="11" s="1"/>
  <c r="BW155" i="11" s="1"/>
  <c r="N13" i="9"/>
  <c r="O13" i="9" s="1"/>
  <c r="P13" i="9" s="1"/>
  <c r="Q13" i="9" s="1"/>
  <c r="Y7" i="16"/>
  <c r="X54" i="16"/>
  <c r="H72" i="30"/>
  <c r="N72" i="30" s="1"/>
  <c r="F18" i="5"/>
  <c r="D74" i="6"/>
  <c r="N48" i="9"/>
  <c r="O48" i="9" s="1"/>
  <c r="M12" i="12"/>
  <c r="BG157" i="11" s="1"/>
  <c r="BV157" i="11" s="1"/>
  <c r="D85" i="6"/>
  <c r="D83" i="6" s="1"/>
  <c r="AQ53" i="16" l="1"/>
  <c r="BE53" i="16"/>
  <c r="AS52" i="16"/>
  <c r="BG52" i="16"/>
  <c r="L101" i="14"/>
  <c r="M100" i="14"/>
  <c r="N189" i="14"/>
  <c r="O188" i="14"/>
  <c r="AQ51" i="16"/>
  <c r="BE51" i="16"/>
  <c r="O51" i="15"/>
  <c r="P35" i="15"/>
  <c r="L165" i="14"/>
  <c r="K167" i="14"/>
  <c r="K170" i="14" s="1"/>
  <c r="H62" i="14"/>
  <c r="H21" i="14" s="1"/>
  <c r="H19" i="14"/>
  <c r="AQ35" i="16"/>
  <c r="BE35" i="16"/>
  <c r="M320" i="14"/>
  <c r="L321" i="14"/>
  <c r="L324" i="14" s="1"/>
  <c r="I172" i="14"/>
  <c r="I60" i="14"/>
  <c r="I24" i="9"/>
  <c r="L298" i="14"/>
  <c r="K299" i="14"/>
  <c r="K302" i="14" s="1"/>
  <c r="K46" i="9"/>
  <c r="L7" i="9"/>
  <c r="K27" i="9"/>
  <c r="M144" i="14"/>
  <c r="L145" i="14"/>
  <c r="L148" i="14" s="1"/>
  <c r="L2" i="5"/>
  <c r="K5" i="16"/>
  <c r="J56" i="16"/>
  <c r="Z5" i="16"/>
  <c r="AO5" i="16" s="1"/>
  <c r="BD5" i="16" s="1"/>
  <c r="AQ48" i="16"/>
  <c r="BE48" i="16"/>
  <c r="AQ49" i="16"/>
  <c r="BE49" i="16"/>
  <c r="CI44" i="35"/>
  <c r="Z44" i="35"/>
  <c r="X89" i="35"/>
  <c r="CI89" i="35" s="1"/>
  <c r="CI84" i="35"/>
  <c r="Z84" i="35"/>
  <c r="BQ84" i="35" s="1"/>
  <c r="CI4" i="35"/>
  <c r="X27" i="35"/>
  <c r="Z4" i="35"/>
  <c r="X8" i="35"/>
  <c r="CI42" i="35"/>
  <c r="Z42" i="35"/>
  <c r="X46" i="35"/>
  <c r="CI46" i="35" s="1"/>
  <c r="CI67" i="35"/>
  <c r="Z67" i="35"/>
  <c r="X71" i="35"/>
  <c r="CI71" i="35" s="1"/>
  <c r="CI16" i="35"/>
  <c r="Z16" i="35"/>
  <c r="BQ16" i="35" s="1"/>
  <c r="CI74" i="35"/>
  <c r="Z74" i="35"/>
  <c r="BQ74" i="35" s="1"/>
  <c r="CI150" i="35"/>
  <c r="X154" i="35"/>
  <c r="Z150" i="35"/>
  <c r="X155" i="35"/>
  <c r="CI155" i="35" s="1"/>
  <c r="CI37" i="35"/>
  <c r="X41" i="35"/>
  <c r="X87" i="35"/>
  <c r="CI87" i="35" s="1"/>
  <c r="Z37" i="35"/>
  <c r="CI62" i="35"/>
  <c r="X66" i="35"/>
  <c r="CI66" i="35" s="1"/>
  <c r="Z62" i="35"/>
  <c r="CI11" i="35"/>
  <c r="X29" i="35"/>
  <c r="Z11" i="35"/>
  <c r="X13" i="35"/>
  <c r="CI13" i="35" s="1"/>
  <c r="CI52" i="35"/>
  <c r="Z52" i="35"/>
  <c r="X56" i="35"/>
  <c r="CI56" i="35" s="1"/>
  <c r="CI118" i="35"/>
  <c r="X122" i="35"/>
  <c r="CI122" i="35" s="1"/>
  <c r="X121" i="35"/>
  <c r="Z118" i="35"/>
  <c r="CI34" i="35"/>
  <c r="Z34" i="35"/>
  <c r="X36" i="35"/>
  <c r="CI36" i="35" s="1"/>
  <c r="CI57" i="35"/>
  <c r="Z57" i="35"/>
  <c r="X61" i="35"/>
  <c r="CI61" i="35" s="1"/>
  <c r="CI82" i="35"/>
  <c r="Z82" i="35"/>
  <c r="X86" i="35"/>
  <c r="CI86" i="35" s="1"/>
  <c r="CI47" i="35"/>
  <c r="Z47" i="35"/>
  <c r="X51" i="35"/>
  <c r="CI51" i="35" s="1"/>
  <c r="CI96" i="35"/>
  <c r="X100" i="35"/>
  <c r="X105" i="35"/>
  <c r="CI105" i="35" s="1"/>
  <c r="Z96" i="35"/>
  <c r="CI14" i="35"/>
  <c r="Z14" i="35"/>
  <c r="X18" i="35"/>
  <c r="CI18" i="35" s="1"/>
  <c r="CI54" i="35"/>
  <c r="Z54" i="35"/>
  <c r="BQ54" i="35" s="1"/>
  <c r="CI72" i="35"/>
  <c r="X76" i="35"/>
  <c r="CI76" i="35" s="1"/>
  <c r="Z72" i="35"/>
  <c r="N121" i="3"/>
  <c r="M121" i="3"/>
  <c r="N120" i="3"/>
  <c r="M120" i="3"/>
  <c r="O78" i="14"/>
  <c r="N79" i="14"/>
  <c r="P69" i="9"/>
  <c r="O23" i="1"/>
  <c r="N122" i="14"/>
  <c r="M123" i="14"/>
  <c r="M276" i="14"/>
  <c r="L277" i="14"/>
  <c r="L280" i="14" s="1"/>
  <c r="O3" i="29"/>
  <c r="O22" i="26"/>
  <c r="O23" i="21"/>
  <c r="P81" i="9"/>
  <c r="O16" i="26"/>
  <c r="O2" i="16"/>
  <c r="O122" i="3"/>
  <c r="O7" i="22"/>
  <c r="O5" i="21"/>
  <c r="O18" i="21"/>
  <c r="O22" i="22"/>
  <c r="O14" i="22"/>
  <c r="O36" i="26"/>
  <c r="M26" i="3"/>
  <c r="M14" i="3"/>
  <c r="M25" i="3" s="1"/>
  <c r="BH44" i="16"/>
  <c r="AT44" i="16"/>
  <c r="P6" i="5"/>
  <c r="Q4" i="5" s="1"/>
  <c r="Q6" i="5" s="1"/>
  <c r="H8" i="5"/>
  <c r="G13" i="5"/>
  <c r="G5" i="7" s="1"/>
  <c r="R6" i="28"/>
  <c r="Q17" i="28"/>
  <c r="I55" i="15"/>
  <c r="L177" i="3"/>
  <c r="K192" i="3"/>
  <c r="BR123" i="11"/>
  <c r="J39" i="15"/>
  <c r="Z119" i="11"/>
  <c r="AO119" i="11" s="1"/>
  <c r="BS119" i="11" s="1"/>
  <c r="Z120" i="11"/>
  <c r="AO120" i="11" s="1"/>
  <c r="BS120" i="11" s="1"/>
  <c r="Z121" i="11"/>
  <c r="AO121" i="11" s="1"/>
  <c r="Z122" i="11"/>
  <c r="AO122" i="11" s="1"/>
  <c r="BS122" i="11" s="1"/>
  <c r="Z123" i="11"/>
  <c r="AO123" i="11" s="1"/>
  <c r="Z124" i="11"/>
  <c r="AO124" i="11" s="1"/>
  <c r="Z125" i="11"/>
  <c r="AO125" i="11" s="1"/>
  <c r="BS125" i="11" s="1"/>
  <c r="Z126" i="11"/>
  <c r="AO126" i="11" s="1"/>
  <c r="BS126" i="11" s="1"/>
  <c r="Z127" i="11"/>
  <c r="AO127" i="11" s="1"/>
  <c r="Z128" i="11"/>
  <c r="AO128" i="11" s="1"/>
  <c r="Z129" i="11"/>
  <c r="AO129" i="11" s="1"/>
  <c r="Z130" i="11"/>
  <c r="AO130" i="11" s="1"/>
  <c r="Z131" i="11"/>
  <c r="AO131" i="11" s="1"/>
  <c r="Z132" i="11"/>
  <c r="AO132" i="11" s="1"/>
  <c r="Z133" i="11"/>
  <c r="AO133" i="11" s="1"/>
  <c r="Z134" i="11"/>
  <c r="AO134" i="11" s="1"/>
  <c r="H42" i="15"/>
  <c r="H196" i="3" s="1"/>
  <c r="H50" i="15"/>
  <c r="H58" i="15" s="1"/>
  <c r="BU109" i="11"/>
  <c r="BU93" i="11"/>
  <c r="BR126" i="11"/>
  <c r="O176" i="3"/>
  <c r="N191" i="3"/>
  <c r="M38" i="15"/>
  <c r="M54" i="15" s="1"/>
  <c r="AC103" i="11"/>
  <c r="AR103" i="11" s="1"/>
  <c r="AC104" i="11"/>
  <c r="AR104" i="11" s="1"/>
  <c r="BV104" i="11" s="1"/>
  <c r="AC105" i="11"/>
  <c r="AR105" i="11" s="1"/>
  <c r="AC106" i="11"/>
  <c r="AR106" i="11" s="1"/>
  <c r="BV106" i="11" s="1"/>
  <c r="AC107" i="11"/>
  <c r="AR107" i="11" s="1"/>
  <c r="BV107" i="11" s="1"/>
  <c r="AC108" i="11"/>
  <c r="AR108" i="11" s="1"/>
  <c r="AC109" i="11"/>
  <c r="AR109" i="11" s="1"/>
  <c r="AC110" i="11"/>
  <c r="AR110" i="11" s="1"/>
  <c r="AC111" i="11"/>
  <c r="AR111" i="11" s="1"/>
  <c r="AC112" i="11"/>
  <c r="AR112" i="11" s="1"/>
  <c r="AC113" i="11"/>
  <c r="AR113" i="11" s="1"/>
  <c r="AC114" i="11"/>
  <c r="AR114" i="11" s="1"/>
  <c r="AC115" i="11"/>
  <c r="AR115" i="11" s="1"/>
  <c r="AC116" i="11"/>
  <c r="AR116" i="11" s="1"/>
  <c r="AC117" i="11"/>
  <c r="AR117" i="11" s="1"/>
  <c r="AC118" i="11"/>
  <c r="AR118" i="11" s="1"/>
  <c r="BV103" i="11"/>
  <c r="O175" i="3"/>
  <c r="N190" i="3"/>
  <c r="L53" i="15"/>
  <c r="M37" i="15"/>
  <c r="AC87" i="11"/>
  <c r="AR87" i="11" s="1"/>
  <c r="BV87" i="11" s="1"/>
  <c r="AC88" i="11"/>
  <c r="AR88" i="11" s="1"/>
  <c r="BV88" i="11" s="1"/>
  <c r="AC89" i="11"/>
  <c r="AR89" i="11" s="1"/>
  <c r="AC90" i="11"/>
  <c r="AR90" i="11" s="1"/>
  <c r="BV90" i="11" s="1"/>
  <c r="AC91" i="11"/>
  <c r="AR91" i="11" s="1"/>
  <c r="BV91" i="11" s="1"/>
  <c r="AC92" i="11"/>
  <c r="AR92" i="11" s="1"/>
  <c r="AC93" i="11"/>
  <c r="AR93" i="11" s="1"/>
  <c r="AC94" i="11"/>
  <c r="AR94" i="11" s="1"/>
  <c r="AC95" i="11"/>
  <c r="AR95" i="11" s="1"/>
  <c r="AC96" i="11"/>
  <c r="AR96" i="11" s="1"/>
  <c r="AC97" i="11"/>
  <c r="AR97" i="11" s="1"/>
  <c r="AC98" i="11"/>
  <c r="AR98" i="11" s="1"/>
  <c r="AC99" i="11"/>
  <c r="AR99" i="11" s="1"/>
  <c r="AC100" i="11"/>
  <c r="AR100" i="11" s="1"/>
  <c r="AC101" i="11"/>
  <c r="AR101" i="11" s="1"/>
  <c r="AC102" i="11"/>
  <c r="AR102" i="11" s="1"/>
  <c r="BH139" i="11"/>
  <c r="BW139" i="11" s="1"/>
  <c r="BH138" i="11"/>
  <c r="BW138" i="11" s="1"/>
  <c r="L135" i="3"/>
  <c r="L134" i="3"/>
  <c r="BH136" i="11"/>
  <c r="BW136" i="11" s="1"/>
  <c r="BH135" i="11"/>
  <c r="BW135" i="11" s="1"/>
  <c r="K163" i="3"/>
  <c r="K210" i="3" s="1"/>
  <c r="K223" i="3"/>
  <c r="J237" i="3"/>
  <c r="J238" i="3"/>
  <c r="BG141" i="11"/>
  <c r="BV141" i="11" s="1"/>
  <c r="BE142" i="11"/>
  <c r="BT142" i="11" s="1"/>
  <c r="K224" i="3"/>
  <c r="K164" i="3"/>
  <c r="K211" i="3" s="1"/>
  <c r="L82" i="16"/>
  <c r="L84" i="16"/>
  <c r="L86" i="16"/>
  <c r="L88" i="16"/>
  <c r="L90" i="16"/>
  <c r="L92" i="16"/>
  <c r="L94" i="16"/>
  <c r="L96" i="16"/>
  <c r="L80" i="16"/>
  <c r="L95" i="16"/>
  <c r="L81" i="16"/>
  <c r="L83" i="16"/>
  <c r="L85" i="16"/>
  <c r="L87" i="16"/>
  <c r="L89" i="16"/>
  <c r="L91" i="16"/>
  <c r="L93" i="16"/>
  <c r="J105" i="16"/>
  <c r="M110" i="9"/>
  <c r="N29" i="9"/>
  <c r="K103" i="16"/>
  <c r="K105" i="16" s="1"/>
  <c r="C11" i="29"/>
  <c r="C17" i="29" s="1"/>
  <c r="C27" i="29"/>
  <c r="C49" i="29" s="1"/>
  <c r="C51" i="29" s="1"/>
  <c r="J106" i="14"/>
  <c r="C34" i="4"/>
  <c r="C36" i="4" s="1"/>
  <c r="C49" i="4" s="1"/>
  <c r="K126" i="14"/>
  <c r="K128" i="14" s="1"/>
  <c r="J128" i="14"/>
  <c r="G85" i="6"/>
  <c r="G83" i="6" s="1"/>
  <c r="J282" i="14"/>
  <c r="A12" i="14"/>
  <c r="A53" i="14"/>
  <c r="N254" i="14"/>
  <c r="M255" i="14"/>
  <c r="M258" i="14" s="1"/>
  <c r="BG11" i="11"/>
  <c r="BG37" i="11"/>
  <c r="BV37" i="11" s="1"/>
  <c r="BG63" i="11"/>
  <c r="BV63" i="11" s="1"/>
  <c r="BG77" i="11"/>
  <c r="BG109" i="11"/>
  <c r="BG244" i="11"/>
  <c r="BV244" i="11" s="1"/>
  <c r="BG24" i="11"/>
  <c r="BG50" i="11"/>
  <c r="BV50" i="11" s="1"/>
  <c r="BG93" i="11"/>
  <c r="BG125" i="11"/>
  <c r="BE94" i="11"/>
  <c r="BT94" i="11" s="1"/>
  <c r="BE126" i="11"/>
  <c r="BE78" i="11"/>
  <c r="BE110" i="11"/>
  <c r="BT110" i="11" s="1"/>
  <c r="M2" i="16"/>
  <c r="M5" i="21"/>
  <c r="I63" i="30" s="1"/>
  <c r="I39" i="7"/>
  <c r="I20" i="7"/>
  <c r="J3" i="7"/>
  <c r="N11" i="6"/>
  <c r="O12" i="7"/>
  <c r="O11" i="6" s="1"/>
  <c r="O11" i="26" s="1"/>
  <c r="H20" i="22"/>
  <c r="I3" i="22"/>
  <c r="BM204" i="11"/>
  <c r="N166" i="14"/>
  <c r="Q210" i="14"/>
  <c r="P211" i="14"/>
  <c r="O9" i="12"/>
  <c r="BI155" i="11" s="1"/>
  <c r="BX155" i="11" s="1"/>
  <c r="BH91" i="11"/>
  <c r="BH123" i="11"/>
  <c r="BH75" i="11"/>
  <c r="BH107" i="11"/>
  <c r="O8" i="12"/>
  <c r="BI154" i="11" s="1"/>
  <c r="BX154" i="11" s="1"/>
  <c r="BH9" i="11"/>
  <c r="BH35" i="11"/>
  <c r="BW35" i="11" s="1"/>
  <c r="BH61" i="11"/>
  <c r="BW61" i="11" s="1"/>
  <c r="BH90" i="11"/>
  <c r="BH122" i="11"/>
  <c r="BH22" i="11"/>
  <c r="BH48" i="11"/>
  <c r="BW48" i="11" s="1"/>
  <c r="BH74" i="11"/>
  <c r="BH106" i="11"/>
  <c r="O6" i="12"/>
  <c r="BI152" i="11" s="1"/>
  <c r="BX152" i="11" s="1"/>
  <c r="BH7" i="11"/>
  <c r="BH33" i="11"/>
  <c r="BW33" i="11" s="1"/>
  <c r="BH59" i="11"/>
  <c r="BW59" i="11" s="1"/>
  <c r="BH88" i="11"/>
  <c r="BH120" i="11"/>
  <c r="BH20" i="11"/>
  <c r="BH46" i="11"/>
  <c r="BW46" i="11" s="1"/>
  <c r="BH72" i="11"/>
  <c r="BH104" i="11"/>
  <c r="O5" i="12"/>
  <c r="BI151" i="11" s="1"/>
  <c r="BX151" i="11" s="1"/>
  <c r="BH32" i="11"/>
  <c r="BW32" i="11" s="1"/>
  <c r="BH58" i="11"/>
  <c r="BH87" i="11"/>
  <c r="BH119" i="11"/>
  <c r="BH6" i="11"/>
  <c r="BH19" i="11"/>
  <c r="BH45" i="11"/>
  <c r="BW45" i="11" s="1"/>
  <c r="BH71" i="11"/>
  <c r="BH103" i="11"/>
  <c r="P48" i="9"/>
  <c r="Q14" i="14"/>
  <c r="P11" i="12"/>
  <c r="AT255" i="11"/>
  <c r="AB12" i="16"/>
  <c r="K82" i="3"/>
  <c r="K27" i="3"/>
  <c r="K96" i="3"/>
  <c r="K110" i="3"/>
  <c r="K54" i="3"/>
  <c r="K68" i="3" s="1"/>
  <c r="K13" i="3"/>
  <c r="K124" i="3"/>
  <c r="K153" i="3"/>
  <c r="K139" i="3"/>
  <c r="K168" i="3" s="1"/>
  <c r="K183" i="3" s="1"/>
  <c r="K199" i="3" s="1"/>
  <c r="L4" i="3"/>
  <c r="K40" i="3"/>
  <c r="K56" i="9"/>
  <c r="AQ36" i="16"/>
  <c r="BE36" i="16"/>
  <c r="M11" i="26"/>
  <c r="I103" i="30" s="1"/>
  <c r="O103" i="30" s="1"/>
  <c r="N81" i="9"/>
  <c r="M16" i="26"/>
  <c r="I108" i="30" s="1"/>
  <c r="O108" i="30" s="1"/>
  <c r="M22" i="26"/>
  <c r="I114" i="30" s="1"/>
  <c r="O114" i="30" s="1"/>
  <c r="M7" i="22"/>
  <c r="M12" i="22"/>
  <c r="M14" i="22"/>
  <c r="O51" i="30" s="1"/>
  <c r="M36" i="26"/>
  <c r="BE38" i="16"/>
  <c r="AQ38" i="16"/>
  <c r="AR39" i="16"/>
  <c r="BF39" i="16"/>
  <c r="AR32" i="16"/>
  <c r="BF32" i="16"/>
  <c r="BE42" i="16"/>
  <c r="AQ42" i="16"/>
  <c r="BF40" i="16"/>
  <c r="AR40" i="16"/>
  <c r="AQ43" i="16"/>
  <c r="BE43" i="16"/>
  <c r="AR31" i="16"/>
  <c r="BF31" i="16"/>
  <c r="BE29" i="16"/>
  <c r="AQ29" i="16"/>
  <c r="BF46" i="16"/>
  <c r="AR46" i="16"/>
  <c r="AQ30" i="16"/>
  <c r="BE30" i="16"/>
  <c r="AR50" i="16"/>
  <c r="BF50" i="16"/>
  <c r="K54" i="9"/>
  <c r="AB27" i="16"/>
  <c r="E16" i="10"/>
  <c r="E15" i="10"/>
  <c r="L13" i="12"/>
  <c r="BF158" i="11" s="1"/>
  <c r="BU158" i="11" s="1"/>
  <c r="O26" i="10"/>
  <c r="N7" i="10"/>
  <c r="M10" i="18" s="1"/>
  <c r="M43" i="18" s="1"/>
  <c r="L36" i="14"/>
  <c r="K37" i="14"/>
  <c r="K16" i="14" s="1"/>
  <c r="K15" i="14"/>
  <c r="AB26" i="16"/>
  <c r="J235" i="3"/>
  <c r="E26" i="34"/>
  <c r="E16" i="34"/>
  <c r="D26" i="34"/>
  <c r="D16" i="34"/>
  <c r="I24" i="30"/>
  <c r="G8" i="29"/>
  <c r="G11" i="29" s="1"/>
  <c r="G69" i="26"/>
  <c r="J16" i="6"/>
  <c r="J15" i="26" s="1"/>
  <c r="J17" i="26" s="1"/>
  <c r="M233" i="14"/>
  <c r="M236" i="14" s="1"/>
  <c r="N232" i="14"/>
  <c r="L14" i="16"/>
  <c r="AC14" i="16" s="1"/>
  <c r="L7" i="16"/>
  <c r="L13" i="16"/>
  <c r="AC13" i="16" s="1"/>
  <c r="L22" i="16"/>
  <c r="L15" i="16"/>
  <c r="AC15" i="16" s="1"/>
  <c r="L8" i="16"/>
  <c r="AC8" i="16" s="1"/>
  <c r="L23" i="16"/>
  <c r="L25" i="16"/>
  <c r="L19" i="16"/>
  <c r="AC19" i="16" s="1"/>
  <c r="L17" i="16"/>
  <c r="AC17" i="16" s="1"/>
  <c r="L28" i="16"/>
  <c r="L20" i="16"/>
  <c r="AC20" i="16" s="1"/>
  <c r="L18" i="16"/>
  <c r="AC18" i="16" s="1"/>
  <c r="L11" i="16"/>
  <c r="AC11" i="16" s="1"/>
  <c r="L21" i="16"/>
  <c r="AC21" i="16" s="1"/>
  <c r="L26" i="16"/>
  <c r="L9" i="16"/>
  <c r="AC9" i="16" s="1"/>
  <c r="L24" i="16"/>
  <c r="L10" i="16"/>
  <c r="AC10" i="16" s="1"/>
  <c r="L16" i="16"/>
  <c r="AC16" i="16" s="1"/>
  <c r="L27" i="16"/>
  <c r="L12" i="16"/>
  <c r="L68" i="26"/>
  <c r="L9" i="29"/>
  <c r="N25" i="30"/>
  <c r="BE41" i="16"/>
  <c r="AQ41" i="16"/>
  <c r="I11" i="18"/>
  <c r="I44" i="18" s="1"/>
  <c r="H38" i="4"/>
  <c r="H41" i="4" s="1"/>
  <c r="H30" i="7" s="1"/>
  <c r="H30" i="22" s="1"/>
  <c r="AQ45" i="16"/>
  <c r="BE45" i="16"/>
  <c r="K162" i="3"/>
  <c r="K209" i="3" s="1"/>
  <c r="K222" i="3"/>
  <c r="K216" i="3"/>
  <c r="K156" i="3"/>
  <c r="K203" i="3" s="1"/>
  <c r="K161" i="3"/>
  <c r="K208" i="3" s="1"/>
  <c r="K221" i="3"/>
  <c r="K190" i="14"/>
  <c r="K182" i="14"/>
  <c r="K178" i="14"/>
  <c r="K193" i="14"/>
  <c r="K194" i="14" s="1"/>
  <c r="K68" i="14"/>
  <c r="K72" i="14"/>
  <c r="K80" i="14"/>
  <c r="K83" i="14"/>
  <c r="K266" i="14"/>
  <c r="K278" i="14"/>
  <c r="K281" i="14"/>
  <c r="K282" i="14" s="1"/>
  <c r="K270" i="14"/>
  <c r="K158" i="3"/>
  <c r="K205" i="3" s="1"/>
  <c r="K218" i="3"/>
  <c r="K310" i="14"/>
  <c r="K322" i="14"/>
  <c r="K314" i="14"/>
  <c r="K325" i="14"/>
  <c r="K326" i="14" s="1"/>
  <c r="J120" i="14"/>
  <c r="J150" i="14"/>
  <c r="J304" i="14"/>
  <c r="J238" i="14"/>
  <c r="J186" i="14"/>
  <c r="M23" i="21"/>
  <c r="I81" i="30" s="1"/>
  <c r="O81" i="30" s="1"/>
  <c r="M122" i="3"/>
  <c r="M3" i="29"/>
  <c r="H1" i="33"/>
  <c r="M18" i="21"/>
  <c r="I76" i="30" s="1"/>
  <c r="O76" i="30" s="1"/>
  <c r="I21" i="6"/>
  <c r="I20" i="26" s="1"/>
  <c r="K49" i="9"/>
  <c r="J7" i="17"/>
  <c r="J83" i="9"/>
  <c r="N12" i="10"/>
  <c r="O31" i="10"/>
  <c r="AR33" i="16"/>
  <c r="BF33" i="16"/>
  <c r="N19" i="28"/>
  <c r="M8" i="15" s="1"/>
  <c r="BV249" i="11" s="1"/>
  <c r="O9" i="28"/>
  <c r="AQ37" i="16"/>
  <c r="BE37" i="16"/>
  <c r="J164" i="14"/>
  <c r="J60" i="14"/>
  <c r="J274" i="14"/>
  <c r="J260" i="14"/>
  <c r="N6" i="15"/>
  <c r="F12" i="28"/>
  <c r="O11" i="28"/>
  <c r="K26" i="30"/>
  <c r="I63" i="26"/>
  <c r="K54" i="16"/>
  <c r="AB23" i="16"/>
  <c r="AB25" i="16"/>
  <c r="AB28" i="16"/>
  <c r="I91" i="9"/>
  <c r="K82" i="14"/>
  <c r="J58" i="14"/>
  <c r="J17" i="14" s="1"/>
  <c r="J28" i="7" s="1"/>
  <c r="K67" i="32"/>
  <c r="K27" i="4"/>
  <c r="L33" i="10"/>
  <c r="K34" i="10"/>
  <c r="I74" i="6"/>
  <c r="I62" i="6"/>
  <c r="I53" i="6"/>
  <c r="L285" i="14"/>
  <c r="L109" i="14"/>
  <c r="L126" i="14" s="1"/>
  <c r="L66" i="14"/>
  <c r="L82" i="14" s="1"/>
  <c r="L219" i="14"/>
  <c r="L87" i="14"/>
  <c r="L104" i="14" s="1"/>
  <c r="L131" i="14"/>
  <c r="L263" i="14"/>
  <c r="L241" i="14"/>
  <c r="L175" i="14"/>
  <c r="L129" i="3"/>
  <c r="L132" i="3"/>
  <c r="L197" i="14"/>
  <c r="L127" i="3"/>
  <c r="L153" i="14"/>
  <c r="L131" i="3"/>
  <c r="L128" i="3"/>
  <c r="L307" i="14"/>
  <c r="L133" i="3"/>
  <c r="L27" i="10"/>
  <c r="K8" i="10"/>
  <c r="K28" i="10"/>
  <c r="K200" i="14"/>
  <c r="K212" i="14"/>
  <c r="K215" i="14"/>
  <c r="K216" i="14" s="1"/>
  <c r="K204" i="14"/>
  <c r="K124" i="14"/>
  <c r="K116" i="14"/>
  <c r="K112" i="14"/>
  <c r="K160" i="14"/>
  <c r="K156" i="14"/>
  <c r="K168" i="14"/>
  <c r="K171" i="14"/>
  <c r="K172" i="14" s="1"/>
  <c r="K160" i="3"/>
  <c r="K207" i="3" s="1"/>
  <c r="K220" i="3"/>
  <c r="K222" i="14"/>
  <c r="K234" i="14"/>
  <c r="K237" i="14"/>
  <c r="K238" i="14" s="1"/>
  <c r="K226" i="14"/>
  <c r="K217" i="3"/>
  <c r="K157" i="3"/>
  <c r="K204" i="3" s="1"/>
  <c r="K94" i="14"/>
  <c r="K105" i="14"/>
  <c r="K90" i="14"/>
  <c r="K102" i="14"/>
  <c r="K149" i="14"/>
  <c r="K150" i="14" s="1"/>
  <c r="K134" i="14"/>
  <c r="K146" i="14"/>
  <c r="K138" i="14"/>
  <c r="K256" i="14"/>
  <c r="K259" i="14"/>
  <c r="K260" i="14" s="1"/>
  <c r="K248" i="14"/>
  <c r="K244" i="14"/>
  <c r="K300" i="14"/>
  <c r="K292" i="14"/>
  <c r="K288" i="14"/>
  <c r="K303" i="14"/>
  <c r="K304" i="14" s="1"/>
  <c r="G79" i="6"/>
  <c r="G65" i="6"/>
  <c r="J142" i="14"/>
  <c r="J296" i="14"/>
  <c r="J230" i="14"/>
  <c r="J208" i="14"/>
  <c r="J216" i="14"/>
  <c r="J194" i="14"/>
  <c r="N56" i="14"/>
  <c r="M57" i="14"/>
  <c r="G38" i="4"/>
  <c r="G41" i="4" s="1"/>
  <c r="G30" i="7" s="1"/>
  <c r="H7" i="32"/>
  <c r="C6" i="33"/>
  <c r="K38" i="9"/>
  <c r="J39" i="9"/>
  <c r="J5" i="17" s="1"/>
  <c r="N15" i="15"/>
  <c r="M16" i="15"/>
  <c r="AM172" i="35" s="1"/>
  <c r="L15" i="18"/>
  <c r="L48" i="18" s="1"/>
  <c r="M17" i="10"/>
  <c r="J12" i="9"/>
  <c r="J6" i="17" s="1"/>
  <c r="K11" i="9"/>
  <c r="M22" i="10"/>
  <c r="L3" i="9"/>
  <c r="J24" i="30"/>
  <c r="H8" i="29"/>
  <c r="H69" i="26"/>
  <c r="M132" i="30"/>
  <c r="M180" i="30" s="1"/>
  <c r="BE47" i="16"/>
  <c r="AQ47" i="16"/>
  <c r="J326" i="14"/>
  <c r="J318" i="14"/>
  <c r="J172" i="14"/>
  <c r="J98" i="14"/>
  <c r="J46" i="14"/>
  <c r="J76" i="14"/>
  <c r="J61" i="14"/>
  <c r="J84" i="14"/>
  <c r="J50" i="14"/>
  <c r="J252" i="14"/>
  <c r="G56" i="6"/>
  <c r="G7" i="6"/>
  <c r="G7" i="26" s="1"/>
  <c r="BF34" i="16"/>
  <c r="AR34" i="16"/>
  <c r="J9" i="10"/>
  <c r="I12" i="18" s="1"/>
  <c r="I45" i="18" s="1"/>
  <c r="J230" i="3"/>
  <c r="J234" i="3"/>
  <c r="AB24" i="16"/>
  <c r="AB22" i="16"/>
  <c r="AC22" i="16" s="1"/>
  <c r="J232" i="3"/>
  <c r="K104" i="14"/>
  <c r="J231" i="3"/>
  <c r="J236" i="3"/>
  <c r="D69" i="26"/>
  <c r="F24" i="30"/>
  <c r="D8" i="29"/>
  <c r="D11" i="29" s="1"/>
  <c r="Z7" i="16"/>
  <c r="Y54" i="16"/>
  <c r="L22" i="22"/>
  <c r="J92" i="9"/>
  <c r="K18" i="9"/>
  <c r="N12" i="12"/>
  <c r="BH157" i="11" s="1"/>
  <c r="BW157" i="11" s="1"/>
  <c r="BV109" i="11"/>
  <c r="G18" i="5"/>
  <c r="H16" i="5" s="1"/>
  <c r="I14" i="8"/>
  <c r="H14" i="21"/>
  <c r="BW58" i="11"/>
  <c r="C15" i="21"/>
  <c r="C17" i="21" s="1"/>
  <c r="C20" i="29" l="1"/>
  <c r="C21" i="29"/>
  <c r="BF51" i="16"/>
  <c r="AR51" i="16"/>
  <c r="P188" i="14"/>
  <c r="O189" i="14"/>
  <c r="L54" i="9"/>
  <c r="N100" i="14"/>
  <c r="M101" i="14"/>
  <c r="AT52" i="16"/>
  <c r="BH52" i="16"/>
  <c r="AC25" i="16"/>
  <c r="AR53" i="16"/>
  <c r="BF53" i="16"/>
  <c r="I19" i="14"/>
  <c r="I62" i="14"/>
  <c r="I21" i="14" s="1"/>
  <c r="AR35" i="16"/>
  <c r="BF35" i="16"/>
  <c r="M165" i="14"/>
  <c r="L167" i="14"/>
  <c r="L170" i="14" s="1"/>
  <c r="L299" i="14"/>
  <c r="L302" i="14" s="1"/>
  <c r="M298" i="14"/>
  <c r="P51" i="15"/>
  <c r="Q35" i="15"/>
  <c r="Q51" i="15" s="1"/>
  <c r="K98" i="14"/>
  <c r="L27" i="9"/>
  <c r="L46" i="9"/>
  <c r="M7" i="9"/>
  <c r="M321" i="14"/>
  <c r="M324" i="14" s="1"/>
  <c r="N320" i="14"/>
  <c r="H56" i="6"/>
  <c r="H7" i="6"/>
  <c r="H7" i="26" s="1"/>
  <c r="H52" i="26" s="1"/>
  <c r="M145" i="14"/>
  <c r="M148" i="14" s="1"/>
  <c r="N144" i="14"/>
  <c r="AA5" i="16"/>
  <c r="AP5" i="16" s="1"/>
  <c r="BE5" i="16" s="1"/>
  <c r="K56" i="16"/>
  <c r="L5" i="16"/>
  <c r="M2" i="5"/>
  <c r="AC24" i="16"/>
  <c r="AR49" i="16"/>
  <c r="BF49" i="16"/>
  <c r="AR48" i="16"/>
  <c r="BF48" i="16"/>
  <c r="BV93" i="11"/>
  <c r="BQ47" i="35"/>
  <c r="Z51" i="35"/>
  <c r="BQ51" i="35" s="1"/>
  <c r="BQ57" i="35"/>
  <c r="Z61" i="35"/>
  <c r="BQ61" i="35" s="1"/>
  <c r="CI121" i="35"/>
  <c r="X125" i="35"/>
  <c r="CI125" i="35" s="1"/>
  <c r="BQ52" i="35"/>
  <c r="Z56" i="35"/>
  <c r="BQ56" i="35" s="1"/>
  <c r="CI29" i="35"/>
  <c r="X165" i="35"/>
  <c r="BQ62" i="35"/>
  <c r="Z66" i="35"/>
  <c r="BQ66" i="35" s="1"/>
  <c r="BQ150" i="35"/>
  <c r="Z154" i="35"/>
  <c r="Z155" i="35"/>
  <c r="BQ155" i="35" s="1"/>
  <c r="BQ67" i="35"/>
  <c r="Z71" i="35"/>
  <c r="BQ71" i="35" s="1"/>
  <c r="BQ4" i="35"/>
  <c r="Z27" i="35"/>
  <c r="Z8" i="35"/>
  <c r="BQ44" i="35"/>
  <c r="Z89" i="35"/>
  <c r="BQ72" i="35"/>
  <c r="Z76" i="35"/>
  <c r="BQ76" i="35" s="1"/>
  <c r="BQ14" i="35"/>
  <c r="Z18" i="35"/>
  <c r="BQ18" i="35" s="1"/>
  <c r="BQ96" i="35"/>
  <c r="Z105" i="35"/>
  <c r="BQ105" i="35" s="1"/>
  <c r="Z100" i="35"/>
  <c r="CI100" i="35"/>
  <c r="X109" i="35"/>
  <c r="CI109" i="35" s="1"/>
  <c r="BQ82" i="35"/>
  <c r="Z86" i="35"/>
  <c r="BQ86" i="35" s="1"/>
  <c r="BQ34" i="35"/>
  <c r="Z36" i="35"/>
  <c r="BQ36" i="35" s="1"/>
  <c r="BQ118" i="35"/>
  <c r="Z122" i="35"/>
  <c r="Z121" i="35"/>
  <c r="BQ11" i="35"/>
  <c r="Z29" i="35"/>
  <c r="Z13" i="35"/>
  <c r="BQ13" i="35" s="1"/>
  <c r="BQ37" i="35"/>
  <c r="Z41" i="35"/>
  <c r="Z87" i="35"/>
  <c r="CI41" i="35"/>
  <c r="X91" i="35"/>
  <c r="CI91" i="35" s="1"/>
  <c r="CI154" i="35"/>
  <c r="X160" i="35"/>
  <c r="CI160" i="35" s="1"/>
  <c r="BQ42" i="35"/>
  <c r="Z46" i="35"/>
  <c r="BQ46" i="35" s="1"/>
  <c r="CI8" i="35"/>
  <c r="X31" i="35"/>
  <c r="CI31" i="35" s="1"/>
  <c r="CI27" i="35"/>
  <c r="X163" i="35"/>
  <c r="O19" i="28"/>
  <c r="N8" i="15" s="1"/>
  <c r="P9" i="28"/>
  <c r="S6" i="28"/>
  <c r="S17" i="28" s="1"/>
  <c r="R17" i="28"/>
  <c r="AU44" i="16"/>
  <c r="BI44" i="16"/>
  <c r="O109" i="14"/>
  <c r="O66" i="14"/>
  <c r="O219" i="14"/>
  <c r="O87" i="14"/>
  <c r="O285" i="14"/>
  <c r="O131" i="14"/>
  <c r="O307" i="14"/>
  <c r="O197" i="14"/>
  <c r="O241" i="14"/>
  <c r="O129" i="3"/>
  <c r="O175" i="14"/>
  <c r="O153" i="14"/>
  <c r="O263" i="14"/>
  <c r="O128" i="3"/>
  <c r="O127" i="3"/>
  <c r="O133" i="3"/>
  <c r="O131" i="3"/>
  <c r="O132" i="3"/>
  <c r="O134" i="3"/>
  <c r="O135" i="3"/>
  <c r="N276" i="14"/>
  <c r="M277" i="14"/>
  <c r="M280" i="14" s="1"/>
  <c r="N26" i="3"/>
  <c r="O15" i="15"/>
  <c r="N14" i="3"/>
  <c r="N25" i="3" s="1"/>
  <c r="P6" i="15"/>
  <c r="Q11" i="28"/>
  <c r="H10" i="5"/>
  <c r="H12" i="5"/>
  <c r="O7" i="16"/>
  <c r="O8" i="16"/>
  <c r="O12" i="16"/>
  <c r="O16" i="16"/>
  <c r="O20" i="16"/>
  <c r="O24" i="16"/>
  <c r="O10" i="16"/>
  <c r="O14" i="16"/>
  <c r="O18" i="16"/>
  <c r="O22" i="16"/>
  <c r="O26" i="16"/>
  <c r="O25" i="16"/>
  <c r="O21" i="16"/>
  <c r="O17" i="16"/>
  <c r="O13" i="16"/>
  <c r="O9" i="16"/>
  <c r="O81" i="16"/>
  <c r="O85" i="16"/>
  <c r="O89" i="16"/>
  <c r="O93" i="16"/>
  <c r="O80" i="16"/>
  <c r="O96" i="16"/>
  <c r="O84" i="16"/>
  <c r="O88" i="16"/>
  <c r="O92" i="16"/>
  <c r="O27" i="16"/>
  <c r="O23" i="16"/>
  <c r="O19" i="16"/>
  <c r="O15" i="16"/>
  <c r="O11" i="16"/>
  <c r="O83" i="16"/>
  <c r="O91" i="16"/>
  <c r="O95" i="16"/>
  <c r="O94" i="16"/>
  <c r="O82" i="16"/>
  <c r="O86" i="16"/>
  <c r="O90" i="16"/>
  <c r="O87" i="16"/>
  <c r="O9" i="29"/>
  <c r="O68" i="26"/>
  <c r="O122" i="14"/>
  <c r="N123" i="14"/>
  <c r="Q69" i="9"/>
  <c r="P23" i="1"/>
  <c r="P78" i="14"/>
  <c r="O79" i="14"/>
  <c r="J55" i="15"/>
  <c r="M177" i="3"/>
  <c r="L192" i="3"/>
  <c r="BS123" i="11"/>
  <c r="K39" i="15"/>
  <c r="AA123" i="11"/>
  <c r="AP123" i="11" s="1"/>
  <c r="AA134" i="11"/>
  <c r="AP134" i="11" s="1"/>
  <c r="AA133" i="11"/>
  <c r="AP133" i="11" s="1"/>
  <c r="AA132" i="11"/>
  <c r="AP132" i="11" s="1"/>
  <c r="AA131" i="11"/>
  <c r="AP131" i="11" s="1"/>
  <c r="AA130" i="11"/>
  <c r="AP130" i="11" s="1"/>
  <c r="AA129" i="11"/>
  <c r="AP129" i="11" s="1"/>
  <c r="AA128" i="11"/>
  <c r="AP128" i="11" s="1"/>
  <c r="AA127" i="11"/>
  <c r="AP127" i="11" s="1"/>
  <c r="AA126" i="11"/>
  <c r="AP126" i="11" s="1"/>
  <c r="AA125" i="11"/>
  <c r="AP125" i="11" s="1"/>
  <c r="BT125" i="11" s="1"/>
  <c r="AA124" i="11"/>
  <c r="AP124" i="11" s="1"/>
  <c r="AA119" i="11"/>
  <c r="AP119" i="11" s="1"/>
  <c r="BT119" i="11" s="1"/>
  <c r="AA120" i="11"/>
  <c r="AP120" i="11" s="1"/>
  <c r="BT120" i="11" s="1"/>
  <c r="AA121" i="11"/>
  <c r="AP121" i="11" s="1"/>
  <c r="AA122" i="11"/>
  <c r="AP122" i="11" s="1"/>
  <c r="BT122" i="11" s="1"/>
  <c r="P176" i="3"/>
  <c r="O191" i="3"/>
  <c r="R191" i="3"/>
  <c r="N38" i="15"/>
  <c r="N54" i="15" s="1"/>
  <c r="AD103" i="11"/>
  <c r="AS103" i="11" s="1"/>
  <c r="AD104" i="11"/>
  <c r="AS104" i="11" s="1"/>
  <c r="BW104" i="11" s="1"/>
  <c r="AD105" i="11"/>
  <c r="AS105" i="11" s="1"/>
  <c r="AD106" i="11"/>
  <c r="AS106" i="11" s="1"/>
  <c r="BW106" i="11" s="1"/>
  <c r="AD107" i="11"/>
  <c r="AS107" i="11" s="1"/>
  <c r="BW107" i="11" s="1"/>
  <c r="AD108" i="11"/>
  <c r="AS108" i="11" s="1"/>
  <c r="AD109" i="11"/>
  <c r="AS109" i="11" s="1"/>
  <c r="AD110" i="11"/>
  <c r="AS110" i="11" s="1"/>
  <c r="AD111" i="11"/>
  <c r="AS111" i="11" s="1"/>
  <c r="AD112" i="11"/>
  <c r="AS112" i="11" s="1"/>
  <c r="AD113" i="11"/>
  <c r="AS113" i="11" s="1"/>
  <c r="AD114" i="11"/>
  <c r="AS114" i="11" s="1"/>
  <c r="AD115" i="11"/>
  <c r="AS115" i="11" s="1"/>
  <c r="AD116" i="11"/>
  <c r="AS116" i="11" s="1"/>
  <c r="AD117" i="11"/>
  <c r="AS117" i="11" s="1"/>
  <c r="AD118" i="11"/>
  <c r="AS118" i="11" s="1"/>
  <c r="BW103" i="11"/>
  <c r="P175" i="3"/>
  <c r="O190" i="3"/>
  <c r="M53" i="15"/>
  <c r="N37" i="15"/>
  <c r="R190" i="3"/>
  <c r="AD87" i="11"/>
  <c r="AS87" i="11" s="1"/>
  <c r="BW87" i="11" s="1"/>
  <c r="AD88" i="11"/>
  <c r="AS88" i="11" s="1"/>
  <c r="BW88" i="11" s="1"/>
  <c r="AD89" i="11"/>
  <c r="AS89" i="11" s="1"/>
  <c r="AD90" i="11"/>
  <c r="AS90" i="11" s="1"/>
  <c r="BW90" i="11" s="1"/>
  <c r="AD91" i="11"/>
  <c r="AS91" i="11" s="1"/>
  <c r="BW91" i="11" s="1"/>
  <c r="AD92" i="11"/>
  <c r="AS92" i="11" s="1"/>
  <c r="AD93" i="11"/>
  <c r="AS93" i="11" s="1"/>
  <c r="AD94" i="11"/>
  <c r="AS94" i="11" s="1"/>
  <c r="AD95" i="11"/>
  <c r="AS95" i="11" s="1"/>
  <c r="AD96" i="11"/>
  <c r="AS96" i="11" s="1"/>
  <c r="AD97" i="11"/>
  <c r="AS97" i="11" s="1"/>
  <c r="AD98" i="11"/>
  <c r="AS98" i="11" s="1"/>
  <c r="AD99" i="11"/>
  <c r="AS99" i="11" s="1"/>
  <c r="AD100" i="11"/>
  <c r="AS100" i="11" s="1"/>
  <c r="AD101" i="11"/>
  <c r="AS101" i="11" s="1"/>
  <c r="AD102" i="11"/>
  <c r="AS102" i="11" s="1"/>
  <c r="BF142" i="11"/>
  <c r="BU142" i="11" s="1"/>
  <c r="BI135" i="11"/>
  <c r="BX135" i="11" s="1"/>
  <c r="BI136" i="11"/>
  <c r="BX136" i="11" s="1"/>
  <c r="BI138" i="11"/>
  <c r="BX138" i="11" s="1"/>
  <c r="L164" i="3"/>
  <c r="L211" i="3" s="1"/>
  <c r="L224" i="3"/>
  <c r="K238" i="3"/>
  <c r="K237" i="3"/>
  <c r="BH141" i="11"/>
  <c r="BW141" i="11" s="1"/>
  <c r="N5" i="21"/>
  <c r="M134" i="3"/>
  <c r="M135" i="3"/>
  <c r="BI139" i="11"/>
  <c r="BX139" i="11" s="1"/>
  <c r="L163" i="3"/>
  <c r="L210" i="3" s="1"/>
  <c r="L223" i="3"/>
  <c r="M81" i="16"/>
  <c r="M83" i="16"/>
  <c r="M85" i="16"/>
  <c r="M87" i="16"/>
  <c r="M89" i="16"/>
  <c r="M91" i="16"/>
  <c r="M93" i="16"/>
  <c r="M95" i="16"/>
  <c r="M80" i="16"/>
  <c r="M82" i="16"/>
  <c r="M84" i="16"/>
  <c r="M86" i="16"/>
  <c r="M88" i="16"/>
  <c r="M90" i="16"/>
  <c r="M92" i="16"/>
  <c r="M94" i="16"/>
  <c r="M96" i="16"/>
  <c r="O29" i="9"/>
  <c r="N110" i="9"/>
  <c r="L103" i="16"/>
  <c r="L105" i="16" s="1"/>
  <c r="D21" i="4"/>
  <c r="D25" i="4" s="1"/>
  <c r="D35" i="4" s="1"/>
  <c r="D10" i="4"/>
  <c r="D12" i="4" s="1"/>
  <c r="D16" i="4" s="1"/>
  <c r="N255" i="14"/>
  <c r="O254" i="14"/>
  <c r="AC12" i="16"/>
  <c r="C48" i="4"/>
  <c r="C51" i="4"/>
  <c r="C53" i="4" s="1"/>
  <c r="C50" i="4"/>
  <c r="BF78" i="11"/>
  <c r="BF110" i="11"/>
  <c r="BU110" i="11" s="1"/>
  <c r="BF94" i="11"/>
  <c r="BU94" i="11" s="1"/>
  <c r="BF126" i="11"/>
  <c r="K3" i="7"/>
  <c r="J39" i="7"/>
  <c r="J20" i="7"/>
  <c r="J3" i="22"/>
  <c r="I20" i="22"/>
  <c r="P12" i="7"/>
  <c r="P11" i="6" s="1"/>
  <c r="P11" i="26" s="1"/>
  <c r="O12" i="22"/>
  <c r="Q211" i="14"/>
  <c r="N233" i="14"/>
  <c r="O232" i="14"/>
  <c r="O166" i="14"/>
  <c r="P9" i="12"/>
  <c r="BJ155" i="11" s="1"/>
  <c r="BY155" i="11" s="1"/>
  <c r="BI75" i="11"/>
  <c r="BI107" i="11"/>
  <c r="BI91" i="11"/>
  <c r="BI123" i="11"/>
  <c r="O12" i="12"/>
  <c r="BI157" i="11" s="1"/>
  <c r="BX157" i="11" s="1"/>
  <c r="BH24" i="11"/>
  <c r="BH50" i="11"/>
  <c r="BW50" i="11" s="1"/>
  <c r="BH77" i="11"/>
  <c r="BH109" i="11"/>
  <c r="BH244" i="11"/>
  <c r="BW244" i="11" s="1"/>
  <c r="BH11" i="11"/>
  <c r="BH37" i="11"/>
  <c r="BW37" i="11" s="1"/>
  <c r="BH63" i="11"/>
  <c r="BW63" i="11" s="1"/>
  <c r="BH93" i="11"/>
  <c r="BH125" i="11"/>
  <c r="P5" i="12"/>
  <c r="BJ151" i="11" s="1"/>
  <c r="BY151" i="11" s="1"/>
  <c r="BI19" i="11"/>
  <c r="BI45" i="11"/>
  <c r="BX45" i="11" s="1"/>
  <c r="BI71" i="11"/>
  <c r="BI103" i="11"/>
  <c r="BI32" i="11"/>
  <c r="BX32" i="11" s="1"/>
  <c r="BI58" i="11"/>
  <c r="BX58" i="11" s="1"/>
  <c r="BI87" i="11"/>
  <c r="BI119" i="11"/>
  <c r="BI6" i="11"/>
  <c r="P6" i="12"/>
  <c r="BJ152" i="11" s="1"/>
  <c r="BY152" i="11" s="1"/>
  <c r="BI20" i="11"/>
  <c r="BI46" i="11"/>
  <c r="BX46" i="11" s="1"/>
  <c r="BI72" i="11"/>
  <c r="BI104" i="11"/>
  <c r="BI7" i="11"/>
  <c r="BI33" i="11"/>
  <c r="BX33" i="11" s="1"/>
  <c r="BI59" i="11"/>
  <c r="BX59" i="11" s="1"/>
  <c r="BI88" i="11"/>
  <c r="BI120" i="11"/>
  <c r="P8" i="12"/>
  <c r="BJ154" i="11" s="1"/>
  <c r="BY154" i="11" s="1"/>
  <c r="BI22" i="11"/>
  <c r="BI48" i="11"/>
  <c r="BX48" i="11" s="1"/>
  <c r="BI74" i="11"/>
  <c r="BI106" i="11"/>
  <c r="BI9" i="11"/>
  <c r="BI35" i="11"/>
  <c r="BX35" i="11" s="1"/>
  <c r="BI61" i="11"/>
  <c r="BX61" i="11" s="1"/>
  <c r="BI90" i="11"/>
  <c r="BI122" i="11"/>
  <c r="N57" i="14"/>
  <c r="O56" i="14"/>
  <c r="AU255" i="11"/>
  <c r="Q11" i="12"/>
  <c r="N2" i="16"/>
  <c r="O81" i="9"/>
  <c r="O12" i="10"/>
  <c r="O17" i="10" s="1"/>
  <c r="P31" i="10"/>
  <c r="O7" i="10"/>
  <c r="N10" i="18" s="1"/>
  <c r="N43" i="18" s="1"/>
  <c r="P26" i="10"/>
  <c r="Q48" i="9"/>
  <c r="G30" i="22"/>
  <c r="G13" i="6"/>
  <c r="G12" i="26" s="1"/>
  <c r="J28" i="22"/>
  <c r="L54" i="30" s="1"/>
  <c r="M4" i="3"/>
  <c r="L139" i="3"/>
  <c r="L168" i="3" s="1"/>
  <c r="L183" i="3" s="1"/>
  <c r="L199" i="3" s="1"/>
  <c r="L124" i="3"/>
  <c r="L27" i="3"/>
  <c r="L96" i="3"/>
  <c r="L40" i="3"/>
  <c r="L82" i="3"/>
  <c r="L13" i="3"/>
  <c r="L54" i="3"/>
  <c r="L68" i="3" s="1"/>
  <c r="L110" i="3"/>
  <c r="L153" i="3"/>
  <c r="AC27" i="16"/>
  <c r="BF36" i="16"/>
  <c r="AR36" i="16"/>
  <c r="K17" i="5"/>
  <c r="K16" i="6" s="1"/>
  <c r="N22" i="26"/>
  <c r="N7" i="22"/>
  <c r="N12" i="22"/>
  <c r="N14" i="22"/>
  <c r="N16" i="26"/>
  <c r="N36" i="26"/>
  <c r="N11" i="26"/>
  <c r="BF38" i="16"/>
  <c r="AR38" i="16"/>
  <c r="BG50" i="16"/>
  <c r="AS50" i="16"/>
  <c r="AR30" i="16"/>
  <c r="BF30" i="16"/>
  <c r="BG31" i="16"/>
  <c r="AS31" i="16"/>
  <c r="BF43" i="16"/>
  <c r="AR43" i="16"/>
  <c r="AS32" i="16"/>
  <c r="BG32" i="16"/>
  <c r="AS39" i="16"/>
  <c r="BG39" i="16"/>
  <c r="BG46" i="16"/>
  <c r="AS46" i="16"/>
  <c r="AR29" i="16"/>
  <c r="BF29" i="16"/>
  <c r="AS40" i="16"/>
  <c r="BG40" i="16"/>
  <c r="BF42" i="16"/>
  <c r="AR42" i="16"/>
  <c r="AC26" i="16"/>
  <c r="AC28" i="16"/>
  <c r="AC23" i="16"/>
  <c r="M13" i="12"/>
  <c r="BG158" i="11" s="1"/>
  <c r="BV158" i="11" s="1"/>
  <c r="J24" i="9"/>
  <c r="K230" i="3"/>
  <c r="K9" i="10"/>
  <c r="J12" i="18" s="1"/>
  <c r="J45" i="18" s="1"/>
  <c r="M36" i="14"/>
  <c r="L15" i="14"/>
  <c r="L37" i="14"/>
  <c r="L16" i="14" s="1"/>
  <c r="K252" i="14"/>
  <c r="K230" i="14"/>
  <c r="K234" i="3"/>
  <c r="J91" i="9"/>
  <c r="L60" i="14"/>
  <c r="L19" i="14" s="1"/>
  <c r="AS34" i="16"/>
  <c r="BG34" i="16"/>
  <c r="J62" i="14"/>
  <c r="J20" i="14"/>
  <c r="BF47" i="16"/>
  <c r="AR47" i="16"/>
  <c r="J133" i="30"/>
  <c r="J181" i="30" s="1"/>
  <c r="H67" i="26"/>
  <c r="J131" i="30" s="1"/>
  <c r="J179" i="30" s="1"/>
  <c r="L11" i="9"/>
  <c r="K12" i="9"/>
  <c r="K6" i="17" s="1"/>
  <c r="N16" i="15"/>
  <c r="AP172" i="35" s="1"/>
  <c r="G63" i="26"/>
  <c r="I26" i="30"/>
  <c r="J11" i="18"/>
  <c r="J44" i="18" s="1"/>
  <c r="L222" i="3"/>
  <c r="L162" i="3"/>
  <c r="L209" i="3" s="1"/>
  <c r="L157" i="3"/>
  <c r="L204" i="3" s="1"/>
  <c r="L217" i="3"/>
  <c r="L160" i="14"/>
  <c r="L171" i="14"/>
  <c r="L156" i="14"/>
  <c r="L164" i="14" s="1"/>
  <c r="L168" i="14"/>
  <c r="L221" i="3"/>
  <c r="L161" i="3"/>
  <c r="L208" i="3" s="1"/>
  <c r="L178" i="14"/>
  <c r="L182" i="14"/>
  <c r="L193" i="14"/>
  <c r="L190" i="14"/>
  <c r="L266" i="14"/>
  <c r="L278" i="14"/>
  <c r="L281" i="14"/>
  <c r="L282" i="14" s="1"/>
  <c r="L270" i="14"/>
  <c r="L102" i="14"/>
  <c r="L90" i="14"/>
  <c r="L94" i="14"/>
  <c r="L105" i="14"/>
  <c r="L106" i="14" s="1"/>
  <c r="L237" i="14"/>
  <c r="L238" i="14" s="1"/>
  <c r="L226" i="14"/>
  <c r="L234" i="14"/>
  <c r="L222" i="14"/>
  <c r="L230" i="14" s="1"/>
  <c r="L116" i="14"/>
  <c r="L112" i="14"/>
  <c r="L127" i="14"/>
  <c r="L128" i="14" s="1"/>
  <c r="L124" i="14"/>
  <c r="M33" i="10"/>
  <c r="L34" i="10"/>
  <c r="N3" i="29"/>
  <c r="I1" i="33"/>
  <c r="N23" i="21"/>
  <c r="N122" i="3"/>
  <c r="N18" i="21"/>
  <c r="J19" i="14"/>
  <c r="BF37" i="16"/>
  <c r="AR37" i="16"/>
  <c r="M3" i="9"/>
  <c r="M54" i="9" s="1"/>
  <c r="N22" i="10"/>
  <c r="BG33" i="16"/>
  <c r="AS33" i="16"/>
  <c r="M15" i="18"/>
  <c r="M48" i="18" s="1"/>
  <c r="N17" i="10"/>
  <c r="M18" i="16"/>
  <c r="AD18" i="16" s="1"/>
  <c r="AE18" i="16" s="1"/>
  <c r="AF18" i="16" s="1"/>
  <c r="AG18" i="16" s="1"/>
  <c r="M11" i="16"/>
  <c r="AD11" i="16" s="1"/>
  <c r="M20" i="16"/>
  <c r="AD20" i="16" s="1"/>
  <c r="AE20" i="16" s="1"/>
  <c r="AF20" i="16" s="1"/>
  <c r="AG20" i="16" s="1"/>
  <c r="M26" i="16"/>
  <c r="M27" i="16"/>
  <c r="M15" i="16"/>
  <c r="AD15" i="16" s="1"/>
  <c r="AE15" i="16" s="1"/>
  <c r="AF15" i="16" s="1"/>
  <c r="AG15" i="16" s="1"/>
  <c r="M17" i="16"/>
  <c r="AD17" i="16" s="1"/>
  <c r="AE17" i="16" s="1"/>
  <c r="AF17" i="16" s="1"/>
  <c r="AG17" i="16" s="1"/>
  <c r="M16" i="16"/>
  <c r="AD16" i="16" s="1"/>
  <c r="M13" i="16"/>
  <c r="AD13" i="16" s="1"/>
  <c r="M8" i="16"/>
  <c r="AD8" i="16" s="1"/>
  <c r="M14" i="16"/>
  <c r="AD14" i="16" s="1"/>
  <c r="M12" i="16"/>
  <c r="M22" i="16"/>
  <c r="AD22" i="16" s="1"/>
  <c r="M19" i="16"/>
  <c r="AD19" i="16" s="1"/>
  <c r="AE19" i="16" s="1"/>
  <c r="AF19" i="16" s="1"/>
  <c r="AG19" i="16" s="1"/>
  <c r="M28" i="16"/>
  <c r="M9" i="16"/>
  <c r="AD9" i="16" s="1"/>
  <c r="M23" i="16"/>
  <c r="M10" i="16"/>
  <c r="AD10" i="16" s="1"/>
  <c r="M25" i="16"/>
  <c r="AD25" i="16" s="1"/>
  <c r="M7" i="16"/>
  <c r="M21" i="16"/>
  <c r="AD21" i="16" s="1"/>
  <c r="M24" i="16"/>
  <c r="AD24" i="16" s="1"/>
  <c r="O25" i="30"/>
  <c r="M68" i="26"/>
  <c r="M9" i="29"/>
  <c r="M153" i="14"/>
  <c r="M307" i="14"/>
  <c r="M325" i="14" s="1"/>
  <c r="M326" i="14" s="1"/>
  <c r="M131" i="14"/>
  <c r="M241" i="14"/>
  <c r="M132" i="3"/>
  <c r="M197" i="14"/>
  <c r="M285" i="14"/>
  <c r="M128" i="3"/>
  <c r="M127" i="3"/>
  <c r="M131" i="3"/>
  <c r="M87" i="14"/>
  <c r="M263" i="14"/>
  <c r="M129" i="3"/>
  <c r="M219" i="14"/>
  <c r="M175" i="14"/>
  <c r="M66" i="14"/>
  <c r="M82" i="14" s="1"/>
  <c r="M109" i="14"/>
  <c r="M133" i="3"/>
  <c r="K76" i="14"/>
  <c r="K46" i="14"/>
  <c r="BF45" i="16"/>
  <c r="AR45" i="16"/>
  <c r="AR41" i="16"/>
  <c r="BF41" i="16"/>
  <c r="N132" i="30"/>
  <c r="N180" i="30" s="1"/>
  <c r="I58" i="26"/>
  <c r="K122" i="30" s="1"/>
  <c r="K170" i="30" s="1"/>
  <c r="K22" i="30"/>
  <c r="I50" i="26"/>
  <c r="I7" i="29"/>
  <c r="J18" i="6"/>
  <c r="I133" i="30"/>
  <c r="I181" i="30" s="1"/>
  <c r="G67" i="26"/>
  <c r="I131" i="30" s="1"/>
  <c r="I179" i="30" s="1"/>
  <c r="K296" i="14"/>
  <c r="K58" i="14"/>
  <c r="K17" i="14" s="1"/>
  <c r="K28" i="7" s="1"/>
  <c r="K106" i="14"/>
  <c r="K231" i="3"/>
  <c r="K164" i="14"/>
  <c r="K120" i="14"/>
  <c r="K208" i="14"/>
  <c r="K60" i="14"/>
  <c r="K19" i="14" s="1"/>
  <c r="BW249" i="11"/>
  <c r="L56" i="9"/>
  <c r="K318" i="14"/>
  <c r="K232" i="3"/>
  <c r="K274" i="14"/>
  <c r="K186" i="14"/>
  <c r="K235" i="3"/>
  <c r="K236" i="3"/>
  <c r="J18" i="10"/>
  <c r="F15" i="34" s="1"/>
  <c r="L53" i="9"/>
  <c r="M53" i="9" s="1"/>
  <c r="G52" i="26"/>
  <c r="J9" i="14"/>
  <c r="J5" i="14"/>
  <c r="J54" i="14"/>
  <c r="L67" i="32"/>
  <c r="L27" i="4"/>
  <c r="K39" i="9"/>
  <c r="K5" i="17" s="1"/>
  <c r="L38" i="9"/>
  <c r="M27" i="10"/>
  <c r="L28" i="10"/>
  <c r="L8" i="10"/>
  <c r="L314" i="14"/>
  <c r="L322" i="14"/>
  <c r="L325" i="14"/>
  <c r="L310" i="14"/>
  <c r="L220" i="3"/>
  <c r="L160" i="3"/>
  <c r="L207" i="3" s="1"/>
  <c r="L156" i="3"/>
  <c r="L203" i="3" s="1"/>
  <c r="L216" i="3"/>
  <c r="L200" i="14"/>
  <c r="L204" i="14"/>
  <c r="L215" i="14"/>
  <c r="L212" i="14"/>
  <c r="L218" i="3"/>
  <c r="L158" i="3"/>
  <c r="L205" i="3" s="1"/>
  <c r="L248" i="14"/>
  <c r="L256" i="14"/>
  <c r="L259" i="14"/>
  <c r="L260" i="14" s="1"/>
  <c r="L244" i="14"/>
  <c r="L134" i="14"/>
  <c r="L138" i="14"/>
  <c r="L149" i="14"/>
  <c r="L150" i="14" s="1"/>
  <c r="L146" i="14"/>
  <c r="L80" i="14"/>
  <c r="L68" i="14"/>
  <c r="L83" i="14"/>
  <c r="L72" i="14"/>
  <c r="L300" i="14"/>
  <c r="L292" i="14"/>
  <c r="L303" i="14"/>
  <c r="L304" i="14" s="1"/>
  <c r="L288" i="14"/>
  <c r="I15" i="29"/>
  <c r="K127" i="30"/>
  <c r="K175" i="30" s="1"/>
  <c r="O22" i="10"/>
  <c r="N3" i="9"/>
  <c r="L49" i="9"/>
  <c r="K7" i="17"/>
  <c r="K83" i="9"/>
  <c r="I85" i="6"/>
  <c r="I83" i="6" s="1"/>
  <c r="K84" i="14"/>
  <c r="K61" i="14"/>
  <c r="K50" i="14"/>
  <c r="K9" i="14" s="1"/>
  <c r="K22" i="6" s="1"/>
  <c r="K21" i="26" s="1"/>
  <c r="H13" i="6"/>
  <c r="H12" i="26" s="1"/>
  <c r="K142" i="14"/>
  <c r="I4" i="17"/>
  <c r="I8" i="17" s="1"/>
  <c r="L54" i="16"/>
  <c r="I14" i="21"/>
  <c r="J14" i="8"/>
  <c r="M22" i="22"/>
  <c r="AA7" i="16"/>
  <c r="Z54" i="16"/>
  <c r="F133" i="30"/>
  <c r="F181" i="30" s="1"/>
  <c r="D67" i="26"/>
  <c r="F131" i="30" s="1"/>
  <c r="F179" i="30" s="1"/>
  <c r="C42" i="7"/>
  <c r="C43" i="7"/>
  <c r="C44" i="7" s="1"/>
  <c r="C30" i="29"/>
  <c r="E6" i="30"/>
  <c r="E33" i="30" s="1"/>
  <c r="C20" i="21"/>
  <c r="H18" i="5"/>
  <c r="I16" i="5" s="1"/>
  <c r="D47" i="26"/>
  <c r="K92" i="9"/>
  <c r="L18" i="9"/>
  <c r="AS53" i="16" l="1"/>
  <c r="BG53" i="16"/>
  <c r="AU52" i="16"/>
  <c r="BI52" i="16"/>
  <c r="N101" i="14"/>
  <c r="O100" i="14"/>
  <c r="N15" i="18"/>
  <c r="N48" i="18" s="1"/>
  <c r="AD12" i="16"/>
  <c r="Q188" i="14"/>
  <c r="Q189" i="14" s="1"/>
  <c r="P189" i="14"/>
  <c r="BG51" i="16"/>
  <c r="AS51" i="16"/>
  <c r="N321" i="14"/>
  <c r="O320" i="14"/>
  <c r="O80" i="14"/>
  <c r="AS35" i="16"/>
  <c r="BG35" i="16"/>
  <c r="M299" i="14"/>
  <c r="M302" i="14" s="1"/>
  <c r="N298" i="14"/>
  <c r="M46" i="9"/>
  <c r="N7" i="9"/>
  <c r="M27" i="9"/>
  <c r="I7" i="6"/>
  <c r="I7" i="26" s="1"/>
  <c r="I52" i="26" s="1"/>
  <c r="I56" i="6"/>
  <c r="N165" i="14"/>
  <c r="M167" i="14"/>
  <c r="M170" i="14" s="1"/>
  <c r="N145" i="14"/>
  <c r="O144" i="14"/>
  <c r="M5" i="16"/>
  <c r="N2" i="5"/>
  <c r="AB5" i="16"/>
  <c r="AQ5" i="16" s="1"/>
  <c r="BF5" i="16" s="1"/>
  <c r="L56" i="16"/>
  <c r="AD26" i="16"/>
  <c r="AS48" i="16"/>
  <c r="BG48" i="16"/>
  <c r="BG49" i="16"/>
  <c r="AS49" i="16"/>
  <c r="H97" i="3"/>
  <c r="CI163" i="35"/>
  <c r="X170" i="35"/>
  <c r="X169" i="35"/>
  <c r="X168" i="35"/>
  <c r="CI168" i="35" s="1"/>
  <c r="BQ87" i="35"/>
  <c r="Y87" i="35"/>
  <c r="BQ29" i="35"/>
  <c r="Z165" i="35"/>
  <c r="BQ121" i="35"/>
  <c r="Z125" i="35"/>
  <c r="BQ125" i="35" s="1"/>
  <c r="BQ89" i="35"/>
  <c r="Y89" i="35"/>
  <c r="BQ8" i="35"/>
  <c r="Z31" i="35"/>
  <c r="BQ31" i="35" s="1"/>
  <c r="BQ154" i="35"/>
  <c r="Z160" i="35"/>
  <c r="BQ160" i="35" s="1"/>
  <c r="H98" i="3"/>
  <c r="CI165" i="35"/>
  <c r="BQ41" i="35"/>
  <c r="Z91" i="35"/>
  <c r="BQ91" i="35" s="1"/>
  <c r="BQ122" i="35"/>
  <c r="Y122" i="35"/>
  <c r="BQ100" i="35"/>
  <c r="Z109" i="35"/>
  <c r="BQ109" i="35" s="1"/>
  <c r="BQ27" i="35"/>
  <c r="Z163" i="35"/>
  <c r="Y27" i="35"/>
  <c r="BW109" i="11"/>
  <c r="BH34" i="16"/>
  <c r="AT34" i="16"/>
  <c r="BH40" i="16"/>
  <c r="AT40" i="16"/>
  <c r="BH39" i="16"/>
  <c r="AT39" i="16"/>
  <c r="P5" i="21"/>
  <c r="P2" i="16"/>
  <c r="P23" i="21"/>
  <c r="P22" i="26"/>
  <c r="Q81" i="9"/>
  <c r="P122" i="3"/>
  <c r="P16" i="26"/>
  <c r="P3" i="29"/>
  <c r="P7" i="22"/>
  <c r="P18" i="21"/>
  <c r="P14" i="22"/>
  <c r="P22" i="22"/>
  <c r="P36" i="26"/>
  <c r="O26" i="3"/>
  <c r="P15" i="15"/>
  <c r="O16" i="15"/>
  <c r="AS172" i="35" s="1"/>
  <c r="AS173" i="35" s="1"/>
  <c r="O14" i="3"/>
  <c r="O25" i="3" s="1"/>
  <c r="O164" i="3"/>
  <c r="O211" i="3" s="1"/>
  <c r="O224" i="3"/>
  <c r="O221" i="3"/>
  <c r="O161" i="3"/>
  <c r="O208" i="3" s="1"/>
  <c r="O222" i="3"/>
  <c r="O162" i="3"/>
  <c r="O209" i="3" s="1"/>
  <c r="O217" i="3"/>
  <c r="O157" i="3"/>
  <c r="O204" i="3" s="1"/>
  <c r="O156" i="14"/>
  <c r="O160" i="14"/>
  <c r="O218" i="3"/>
  <c r="O158" i="3"/>
  <c r="O205" i="3" s="1"/>
  <c r="O204" i="14"/>
  <c r="O200" i="14"/>
  <c r="O212" i="14"/>
  <c r="O134" i="14"/>
  <c r="O138" i="14"/>
  <c r="O90" i="14"/>
  <c r="O94" i="14"/>
  <c r="O68" i="14"/>
  <c r="O72" i="14"/>
  <c r="Q6" i="15"/>
  <c r="R11" i="28"/>
  <c r="Q9" i="28"/>
  <c r="P19" i="28"/>
  <c r="O8" i="15" s="1"/>
  <c r="BX249" i="11"/>
  <c r="BH33" i="16"/>
  <c r="AT33" i="16"/>
  <c r="BH46" i="16"/>
  <c r="AT46" i="16"/>
  <c r="BH50" i="16"/>
  <c r="AT50" i="16"/>
  <c r="Q78" i="14"/>
  <c r="P79" i="14"/>
  <c r="Q23" i="1"/>
  <c r="P122" i="14"/>
  <c r="O123" i="14"/>
  <c r="O124" i="14" s="1"/>
  <c r="O28" i="16"/>
  <c r="O54" i="16" s="1"/>
  <c r="O17" i="5" s="1"/>
  <c r="O16" i="6" s="1"/>
  <c r="O103" i="16"/>
  <c r="O105" i="16" s="1"/>
  <c r="H13" i="5"/>
  <c r="H5" i="7" s="1"/>
  <c r="I8" i="5"/>
  <c r="O276" i="14"/>
  <c r="N277" i="14"/>
  <c r="O223" i="3"/>
  <c r="O163" i="3"/>
  <c r="O210" i="3" s="1"/>
  <c r="O220" i="3"/>
  <c r="O160" i="3"/>
  <c r="O207" i="3" s="1"/>
  <c r="O156" i="3"/>
  <c r="O203" i="3" s="1"/>
  <c r="O216" i="3"/>
  <c r="O266" i="14"/>
  <c r="O270" i="14"/>
  <c r="O178" i="14"/>
  <c r="O182" i="14"/>
  <c r="O190" i="14"/>
  <c r="O244" i="14"/>
  <c r="O248" i="14"/>
  <c r="O310" i="14"/>
  <c r="O314" i="14"/>
  <c r="O292" i="14"/>
  <c r="O288" i="14"/>
  <c r="O222" i="14"/>
  <c r="O226" i="14"/>
  <c r="O112" i="14"/>
  <c r="O116" i="14"/>
  <c r="AV44" i="16"/>
  <c r="BJ44" i="16"/>
  <c r="S11" i="28"/>
  <c r="BW93" i="11"/>
  <c r="L237" i="3"/>
  <c r="BT123" i="11"/>
  <c r="N177" i="3"/>
  <c r="M192" i="3"/>
  <c r="K55" i="15"/>
  <c r="L39" i="15"/>
  <c r="AB119" i="11"/>
  <c r="AQ119" i="11" s="1"/>
  <c r="BU119" i="11" s="1"/>
  <c r="AB120" i="11"/>
  <c r="AQ120" i="11" s="1"/>
  <c r="BU120" i="11" s="1"/>
  <c r="AB121" i="11"/>
  <c r="AQ121" i="11" s="1"/>
  <c r="AB122" i="11"/>
  <c r="AQ122" i="11" s="1"/>
  <c r="BU122" i="11" s="1"/>
  <c r="AB123" i="11"/>
  <c r="AQ123" i="11" s="1"/>
  <c r="AB124" i="11"/>
  <c r="AQ124" i="11" s="1"/>
  <c r="AB125" i="11"/>
  <c r="AQ125" i="11" s="1"/>
  <c r="BU125" i="11" s="1"/>
  <c r="AB126" i="11"/>
  <c r="AQ126" i="11" s="1"/>
  <c r="AB127" i="11"/>
  <c r="AQ127" i="11" s="1"/>
  <c r="AB128" i="11"/>
  <c r="AQ128" i="11" s="1"/>
  <c r="AB134" i="11"/>
  <c r="AQ134" i="11" s="1"/>
  <c r="AB133" i="11"/>
  <c r="AQ133" i="11" s="1"/>
  <c r="AB132" i="11"/>
  <c r="AQ132" i="11" s="1"/>
  <c r="AB131" i="11"/>
  <c r="AQ131" i="11" s="1"/>
  <c r="AB130" i="11"/>
  <c r="AQ130" i="11" s="1"/>
  <c r="AB129" i="11"/>
  <c r="AQ129" i="11" s="1"/>
  <c r="BT126" i="11"/>
  <c r="Q176" i="3"/>
  <c r="P191" i="3"/>
  <c r="O38" i="15"/>
  <c r="O54" i="15" s="1"/>
  <c r="AE103" i="11"/>
  <c r="AT103" i="11" s="1"/>
  <c r="BX103" i="11" s="1"/>
  <c r="AE104" i="11"/>
  <c r="AT104" i="11" s="1"/>
  <c r="BX104" i="11" s="1"/>
  <c r="AE105" i="11"/>
  <c r="AT105" i="11" s="1"/>
  <c r="AE106" i="11"/>
  <c r="AT106" i="11" s="1"/>
  <c r="BX106" i="11" s="1"/>
  <c r="AE107" i="11"/>
  <c r="AT107" i="11" s="1"/>
  <c r="BX107" i="11" s="1"/>
  <c r="AE108" i="11"/>
  <c r="AT108" i="11" s="1"/>
  <c r="AE109" i="11"/>
  <c r="AT109" i="11" s="1"/>
  <c r="AE110" i="11"/>
  <c r="AT110" i="11" s="1"/>
  <c r="AE111" i="11"/>
  <c r="AT111" i="11" s="1"/>
  <c r="AE112" i="11"/>
  <c r="AT112" i="11" s="1"/>
  <c r="AE113" i="11"/>
  <c r="AT113" i="11" s="1"/>
  <c r="AE114" i="11"/>
  <c r="AT114" i="11" s="1"/>
  <c r="AE115" i="11"/>
  <c r="AT115" i="11" s="1"/>
  <c r="AE116" i="11"/>
  <c r="AT116" i="11" s="1"/>
  <c r="AE117" i="11"/>
  <c r="AT117" i="11" s="1"/>
  <c r="AE118" i="11"/>
  <c r="AT118" i="11" s="1"/>
  <c r="N53" i="15"/>
  <c r="Q175" i="3"/>
  <c r="P190" i="3"/>
  <c r="O37" i="15"/>
  <c r="AE87" i="11"/>
  <c r="AT87" i="11" s="1"/>
  <c r="BX87" i="11" s="1"/>
  <c r="AE88" i="11"/>
  <c r="AT88" i="11" s="1"/>
  <c r="BX88" i="11" s="1"/>
  <c r="AE89" i="11"/>
  <c r="AT89" i="11" s="1"/>
  <c r="AE90" i="11"/>
  <c r="AT90" i="11" s="1"/>
  <c r="BX90" i="11" s="1"/>
  <c r="AE91" i="11"/>
  <c r="AT91" i="11" s="1"/>
  <c r="AE92" i="11"/>
  <c r="AT92" i="11" s="1"/>
  <c r="AE93" i="11"/>
  <c r="AT93" i="11" s="1"/>
  <c r="AE94" i="11"/>
  <c r="AT94" i="11" s="1"/>
  <c r="AE95" i="11"/>
  <c r="AT95" i="11" s="1"/>
  <c r="AE96" i="11"/>
  <c r="AT96" i="11" s="1"/>
  <c r="AE97" i="11"/>
  <c r="AT97" i="11" s="1"/>
  <c r="AE98" i="11"/>
  <c r="AT98" i="11" s="1"/>
  <c r="AE99" i="11"/>
  <c r="AT99" i="11" s="1"/>
  <c r="AE100" i="11"/>
  <c r="AT100" i="11" s="1"/>
  <c r="AE101" i="11"/>
  <c r="AT101" i="11" s="1"/>
  <c r="AE102" i="11"/>
  <c r="AT102" i="11" s="1"/>
  <c r="BG142" i="11"/>
  <c r="BV142" i="11" s="1"/>
  <c r="BI141" i="11"/>
  <c r="BX141" i="11" s="1"/>
  <c r="M224" i="3"/>
  <c r="M164" i="3"/>
  <c r="M211" i="3" s="1"/>
  <c r="L238" i="3"/>
  <c r="N134" i="3"/>
  <c r="N135" i="3"/>
  <c r="BJ138" i="11"/>
  <c r="BY138" i="11" s="1"/>
  <c r="BJ136" i="11"/>
  <c r="BY136" i="11" s="1"/>
  <c r="BJ135" i="11"/>
  <c r="BY135" i="11" s="1"/>
  <c r="BJ139" i="11"/>
  <c r="BY139" i="11" s="1"/>
  <c r="M163" i="3"/>
  <c r="M210" i="3" s="1"/>
  <c r="M223" i="3"/>
  <c r="BH32" i="16"/>
  <c r="AT32" i="16"/>
  <c r="BH31" i="16"/>
  <c r="AT31" i="16"/>
  <c r="D34" i="4"/>
  <c r="D36" i="4" s="1"/>
  <c r="M103" i="16"/>
  <c r="M105" i="16" s="1"/>
  <c r="N82" i="16"/>
  <c r="N84" i="16"/>
  <c r="N86" i="16"/>
  <c r="N88" i="16"/>
  <c r="N90" i="16"/>
  <c r="N92" i="16"/>
  <c r="N94" i="16"/>
  <c r="N96" i="16"/>
  <c r="N80" i="16"/>
  <c r="N95" i="16"/>
  <c r="N81" i="16"/>
  <c r="N83" i="16"/>
  <c r="N85" i="16"/>
  <c r="N87" i="16"/>
  <c r="N89" i="16"/>
  <c r="N91" i="16"/>
  <c r="N93" i="16"/>
  <c r="P29" i="9"/>
  <c r="O110" i="9"/>
  <c r="L9" i="10"/>
  <c r="K12" i="18" s="1"/>
  <c r="K45" i="18" s="1"/>
  <c r="O255" i="14"/>
  <c r="O256" i="14" s="1"/>
  <c r="P254" i="14"/>
  <c r="D17" i="4"/>
  <c r="D18" i="4" s="1"/>
  <c r="D46" i="4"/>
  <c r="D47" i="4" s="1"/>
  <c r="BG94" i="11"/>
  <c r="BV94" i="11" s="1"/>
  <c r="BG126" i="11"/>
  <c r="BG78" i="11"/>
  <c r="BG110" i="11"/>
  <c r="BV110" i="11" s="1"/>
  <c r="L3" i="7"/>
  <c r="K20" i="7"/>
  <c r="K39" i="7"/>
  <c r="Q12" i="7"/>
  <c r="Q11" i="6" s="1"/>
  <c r="Q11" i="26" s="1"/>
  <c r="P12" i="22"/>
  <c r="K3" i="22"/>
  <c r="J20" i="22"/>
  <c r="P232" i="14"/>
  <c r="O233" i="14"/>
  <c r="O234" i="14" s="1"/>
  <c r="P166" i="14"/>
  <c r="Q8" i="12"/>
  <c r="BK154" i="11" s="1"/>
  <c r="BZ154" i="11" s="1"/>
  <c r="BJ9" i="11"/>
  <c r="BJ35" i="11"/>
  <c r="BY35" i="11" s="1"/>
  <c r="BJ61" i="11"/>
  <c r="BY61" i="11" s="1"/>
  <c r="BJ90" i="11"/>
  <c r="BJ122" i="11"/>
  <c r="BJ22" i="11"/>
  <c r="BJ48" i="11"/>
  <c r="BY48" i="11" s="1"/>
  <c r="BJ74" i="11"/>
  <c r="BJ106" i="11"/>
  <c r="Q6" i="12"/>
  <c r="BK152" i="11" s="1"/>
  <c r="BZ152" i="11" s="1"/>
  <c r="BJ7" i="11"/>
  <c r="BJ33" i="11"/>
  <c r="BY33" i="11" s="1"/>
  <c r="BJ59" i="11"/>
  <c r="BY59" i="11" s="1"/>
  <c r="BJ88" i="11"/>
  <c r="BJ120" i="11"/>
  <c r="BJ20" i="11"/>
  <c r="BJ46" i="11"/>
  <c r="BY46" i="11" s="1"/>
  <c r="BJ72" i="11"/>
  <c r="BJ104" i="11"/>
  <c r="Q5" i="12"/>
  <c r="BK151" i="11" s="1"/>
  <c r="BZ151" i="11" s="1"/>
  <c r="BJ32" i="11"/>
  <c r="BY32" i="11" s="1"/>
  <c r="BJ58" i="11"/>
  <c r="BY58" i="11" s="1"/>
  <c r="BJ87" i="11"/>
  <c r="BJ119" i="11"/>
  <c r="BJ6" i="11"/>
  <c r="BJ19" i="11"/>
  <c r="BJ45" i="11"/>
  <c r="BY45" i="11" s="1"/>
  <c r="BJ71" i="11"/>
  <c r="BJ103" i="11"/>
  <c r="Q9" i="12"/>
  <c r="BK155" i="11" s="1"/>
  <c r="BZ155" i="11" s="1"/>
  <c r="BJ91" i="11"/>
  <c r="BJ123" i="11"/>
  <c r="BJ75" i="11"/>
  <c r="BJ107" i="11"/>
  <c r="P12" i="12"/>
  <c r="BJ157" i="11" s="1"/>
  <c r="BY157" i="11" s="1"/>
  <c r="BI244" i="11"/>
  <c r="BX244" i="11" s="1"/>
  <c r="BI11" i="11"/>
  <c r="BI37" i="11"/>
  <c r="BX37" i="11" s="1"/>
  <c r="BI63" i="11"/>
  <c r="BX63" i="11" s="1"/>
  <c r="BI93" i="11"/>
  <c r="BI125" i="11"/>
  <c r="BI24" i="11"/>
  <c r="BI50" i="11"/>
  <c r="BX50" i="11" s="1"/>
  <c r="BI77" i="11"/>
  <c r="BI109" i="11"/>
  <c r="BX109" i="11" s="1"/>
  <c r="P7" i="10"/>
  <c r="Q26" i="10"/>
  <c r="P12" i="10"/>
  <c r="O15" i="18" s="1"/>
  <c r="O48" i="18" s="1"/>
  <c r="Q31" i="10"/>
  <c r="AV255" i="11"/>
  <c r="P56" i="14"/>
  <c r="O57" i="14"/>
  <c r="AD23" i="16"/>
  <c r="AD27" i="16"/>
  <c r="K28" i="22"/>
  <c r="M54" i="30" s="1"/>
  <c r="M40" i="3"/>
  <c r="M153" i="3"/>
  <c r="M54" i="3"/>
  <c r="M68" i="3" s="1"/>
  <c r="N4" i="3"/>
  <c r="O4" i="3" s="1"/>
  <c r="M139" i="3"/>
  <c r="M168" i="3" s="1"/>
  <c r="M183" i="3" s="1"/>
  <c r="M199" i="3" s="1"/>
  <c r="M96" i="3"/>
  <c r="M13" i="3"/>
  <c r="M124" i="3"/>
  <c r="M110" i="3"/>
  <c r="M27" i="3"/>
  <c r="M82" i="3"/>
  <c r="AS36" i="16"/>
  <c r="BG36" i="16"/>
  <c r="K15" i="26"/>
  <c r="K17" i="26" s="1"/>
  <c r="M22" i="30" s="1"/>
  <c r="K18" i="6"/>
  <c r="L17" i="5"/>
  <c r="L16" i="6" s="1"/>
  <c r="N9" i="29"/>
  <c r="N68" i="26"/>
  <c r="BG38" i="16"/>
  <c r="AS38" i="16"/>
  <c r="AD28" i="16"/>
  <c r="AS29" i="16"/>
  <c r="BG29" i="16"/>
  <c r="AS30" i="16"/>
  <c r="BG30" i="16"/>
  <c r="AS42" i="16"/>
  <c r="BG42" i="16"/>
  <c r="AS43" i="16"/>
  <c r="BG43" i="16"/>
  <c r="D29" i="29"/>
  <c r="D32" i="29" s="1"/>
  <c r="D22" i="4"/>
  <c r="D23" i="4" s="1"/>
  <c r="D8" i="21"/>
  <c r="D9" i="21" s="1"/>
  <c r="N13" i="12"/>
  <c r="BH158" i="11" s="1"/>
  <c r="BW158" i="11" s="1"/>
  <c r="J4" i="17"/>
  <c r="J8" i="17" s="1"/>
  <c r="J38" i="4" s="1"/>
  <c r="J41" i="4" s="1"/>
  <c r="J30" i="7" s="1"/>
  <c r="J30" i="22" s="1"/>
  <c r="K18" i="10"/>
  <c r="G15" i="34" s="1"/>
  <c r="M15" i="14"/>
  <c r="N36" i="14"/>
  <c r="O36" i="14" s="1"/>
  <c r="M37" i="14"/>
  <c r="M16" i="14" s="1"/>
  <c r="L230" i="3"/>
  <c r="L235" i="3"/>
  <c r="L236" i="3"/>
  <c r="M56" i="9"/>
  <c r="N56" i="9" s="1"/>
  <c r="N54" i="9"/>
  <c r="K24" i="9"/>
  <c r="K14" i="8" s="1"/>
  <c r="F26" i="34"/>
  <c r="F16" i="34"/>
  <c r="I38" i="4"/>
  <c r="I41" i="4" s="1"/>
  <c r="I30" i="7" s="1"/>
  <c r="I30" i="22" s="1"/>
  <c r="K20" i="14"/>
  <c r="K62" i="14"/>
  <c r="K21" i="14" s="1"/>
  <c r="I8" i="29"/>
  <c r="K24" i="30"/>
  <c r="I69" i="26"/>
  <c r="L50" i="14"/>
  <c r="L9" i="14" s="1"/>
  <c r="L22" i="6" s="1"/>
  <c r="L21" i="26" s="1"/>
  <c r="L76" i="14"/>
  <c r="L46" i="14"/>
  <c r="L216" i="14"/>
  <c r="L208" i="14"/>
  <c r="L326" i="14"/>
  <c r="K11" i="18"/>
  <c r="K44" i="18" s="1"/>
  <c r="M8" i="10"/>
  <c r="N27" i="10"/>
  <c r="M28" i="10"/>
  <c r="J21" i="6"/>
  <c r="J20" i="26" s="1"/>
  <c r="J22" i="6"/>
  <c r="J21" i="26" s="1"/>
  <c r="AS45" i="16"/>
  <c r="BG45" i="16"/>
  <c r="K54" i="14"/>
  <c r="K13" i="14" s="1"/>
  <c r="K5" i="14"/>
  <c r="K21" i="6" s="1"/>
  <c r="K20" i="26" s="1"/>
  <c r="M124" i="14"/>
  <c r="M116" i="14"/>
  <c r="M112" i="14"/>
  <c r="M127" i="14"/>
  <c r="M190" i="14"/>
  <c r="M182" i="14"/>
  <c r="M193" i="14"/>
  <c r="M194" i="14" s="1"/>
  <c r="M178" i="14"/>
  <c r="M218" i="3"/>
  <c r="M158" i="3"/>
  <c r="M205" i="3" s="1"/>
  <c r="M156" i="3"/>
  <c r="M203" i="3" s="1"/>
  <c r="M216" i="3"/>
  <c r="M288" i="14"/>
  <c r="M303" i="14"/>
  <c r="M300" i="14"/>
  <c r="M292" i="14"/>
  <c r="M221" i="3"/>
  <c r="M161" i="3"/>
  <c r="M208" i="3" s="1"/>
  <c r="M138" i="14"/>
  <c r="M134" i="14"/>
  <c r="M146" i="14"/>
  <c r="M149" i="14"/>
  <c r="M160" i="14"/>
  <c r="M156" i="14"/>
  <c r="M168" i="14"/>
  <c r="M171" i="14"/>
  <c r="M172" i="14" s="1"/>
  <c r="O132" i="30"/>
  <c r="O180" i="30" s="1"/>
  <c r="M54" i="16"/>
  <c r="M17" i="5" s="1"/>
  <c r="M67" i="32"/>
  <c r="M27" i="4"/>
  <c r="BG37" i="16"/>
  <c r="AS37" i="16"/>
  <c r="N153" i="14"/>
  <c r="N129" i="3"/>
  <c r="N131" i="3"/>
  <c r="N197" i="14"/>
  <c r="N132" i="3"/>
  <c r="N66" i="14"/>
  <c r="N263" i="14"/>
  <c r="N87" i="14"/>
  <c r="N104" i="14" s="1"/>
  <c r="N175" i="14"/>
  <c r="N128" i="3"/>
  <c r="N127" i="3"/>
  <c r="N219" i="14"/>
  <c r="N241" i="14"/>
  <c r="N131" i="14"/>
  <c r="N307" i="14"/>
  <c r="N109" i="14"/>
  <c r="N285" i="14"/>
  <c r="N133" i="3"/>
  <c r="K53" i="6"/>
  <c r="L98" i="14"/>
  <c r="L172" i="14"/>
  <c r="AS47" i="16"/>
  <c r="BG47" i="16"/>
  <c r="J21" i="14"/>
  <c r="N53" i="9"/>
  <c r="L58" i="14"/>
  <c r="L17" i="14" s="1"/>
  <c r="L28" i="7" s="1"/>
  <c r="K91" i="9"/>
  <c r="K79" i="6"/>
  <c r="K65" i="6"/>
  <c r="M49" i="9"/>
  <c r="L7" i="17"/>
  <c r="L83" i="9"/>
  <c r="N67" i="32"/>
  <c r="N27" i="4"/>
  <c r="L296" i="14"/>
  <c r="L61" i="14"/>
  <c r="L84" i="14"/>
  <c r="L252" i="14"/>
  <c r="L318" i="14"/>
  <c r="L39" i="9"/>
  <c r="L5" i="17" s="1"/>
  <c r="M38" i="9"/>
  <c r="J13" i="14"/>
  <c r="J62" i="6"/>
  <c r="J53" i="6"/>
  <c r="J74" i="6"/>
  <c r="AS41" i="16"/>
  <c r="BG41" i="16"/>
  <c r="M222" i="3"/>
  <c r="M162" i="3"/>
  <c r="M209" i="3" s="1"/>
  <c r="M68" i="14"/>
  <c r="M80" i="14"/>
  <c r="M72" i="14"/>
  <c r="M83" i="14"/>
  <c r="M222" i="14"/>
  <c r="M237" i="14"/>
  <c r="M234" i="14"/>
  <c r="M226" i="14"/>
  <c r="M270" i="14"/>
  <c r="M281" i="14"/>
  <c r="M282" i="14" s="1"/>
  <c r="M278" i="14"/>
  <c r="M266" i="14"/>
  <c r="M105" i="14"/>
  <c r="M94" i="14"/>
  <c r="M90" i="14"/>
  <c r="M102" i="14"/>
  <c r="M220" i="3"/>
  <c r="M160" i="3"/>
  <c r="M207" i="3" s="1"/>
  <c r="M157" i="3"/>
  <c r="M204" i="3" s="1"/>
  <c r="M217" i="3"/>
  <c r="M204" i="14"/>
  <c r="M212" i="14"/>
  <c r="M200" i="14"/>
  <c r="M215" i="14"/>
  <c r="M216" i="14" s="1"/>
  <c r="M244" i="14"/>
  <c r="M248" i="14"/>
  <c r="M256" i="14"/>
  <c r="M259" i="14"/>
  <c r="M322" i="14"/>
  <c r="M310" i="14"/>
  <c r="M314" i="14"/>
  <c r="N7" i="16"/>
  <c r="N17" i="16"/>
  <c r="R17" i="16" s="1"/>
  <c r="AI17" i="16" s="1"/>
  <c r="N24" i="16"/>
  <c r="R24" i="16" s="1"/>
  <c r="AI24" i="16" s="1"/>
  <c r="N28" i="16"/>
  <c r="R28" i="16" s="1"/>
  <c r="AI28" i="16" s="1"/>
  <c r="N8" i="16"/>
  <c r="R8" i="16" s="1"/>
  <c r="AI8" i="16" s="1"/>
  <c r="N12" i="16"/>
  <c r="R12" i="16" s="1"/>
  <c r="AI12" i="16" s="1"/>
  <c r="N22" i="16"/>
  <c r="R22" i="16" s="1"/>
  <c r="AI22" i="16" s="1"/>
  <c r="N11" i="16"/>
  <c r="R11" i="16" s="1"/>
  <c r="AI11" i="16" s="1"/>
  <c r="N27" i="16"/>
  <c r="R27" i="16" s="1"/>
  <c r="AI27" i="16" s="1"/>
  <c r="N26" i="16"/>
  <c r="R26" i="16" s="1"/>
  <c r="AI26" i="16" s="1"/>
  <c r="N10" i="16"/>
  <c r="R10" i="16" s="1"/>
  <c r="AI10" i="16" s="1"/>
  <c r="N16" i="16"/>
  <c r="R16" i="16" s="1"/>
  <c r="AI16" i="16" s="1"/>
  <c r="N23" i="16"/>
  <c r="R23" i="16" s="1"/>
  <c r="AI23" i="16" s="1"/>
  <c r="N15" i="16"/>
  <c r="R15" i="16" s="1"/>
  <c r="AI15" i="16" s="1"/>
  <c r="N21" i="16"/>
  <c r="R21" i="16" s="1"/>
  <c r="AI21" i="16" s="1"/>
  <c r="N13" i="16"/>
  <c r="R13" i="16" s="1"/>
  <c r="AI13" i="16" s="1"/>
  <c r="N18" i="16"/>
  <c r="R18" i="16" s="1"/>
  <c r="AI18" i="16" s="1"/>
  <c r="N9" i="16"/>
  <c r="R9" i="16" s="1"/>
  <c r="AI9" i="16" s="1"/>
  <c r="N19" i="16"/>
  <c r="R19" i="16" s="1"/>
  <c r="AI19" i="16" s="1"/>
  <c r="N25" i="16"/>
  <c r="R25" i="16" s="1"/>
  <c r="AI25" i="16" s="1"/>
  <c r="N14" i="16"/>
  <c r="R14" i="16" s="1"/>
  <c r="AI14" i="16" s="1"/>
  <c r="N20" i="16"/>
  <c r="R20" i="16" s="1"/>
  <c r="AI20" i="16" s="1"/>
  <c r="N33" i="10"/>
  <c r="M34" i="10"/>
  <c r="L274" i="14"/>
  <c r="L194" i="14"/>
  <c r="L186" i="14"/>
  <c r="I127" i="30"/>
  <c r="I175" i="30" s="1"/>
  <c r="G15" i="29"/>
  <c r="L12" i="9"/>
  <c r="M11" i="9"/>
  <c r="L142" i="14"/>
  <c r="L232" i="3"/>
  <c r="L234" i="3"/>
  <c r="M126" i="14"/>
  <c r="L120" i="14"/>
  <c r="M104" i="14"/>
  <c r="L231" i="3"/>
  <c r="M18" i="9"/>
  <c r="L92" i="9"/>
  <c r="I18" i="5"/>
  <c r="J16" i="5" s="1"/>
  <c r="AB7" i="16"/>
  <c r="AA54" i="16"/>
  <c r="D41" i="7"/>
  <c r="J14" i="21"/>
  <c r="F5" i="30"/>
  <c r="F32" i="30" s="1"/>
  <c r="C26" i="21"/>
  <c r="C34" i="21" s="1"/>
  <c r="D24" i="28"/>
  <c r="C34" i="29"/>
  <c r="N22" i="22"/>
  <c r="G41" i="6"/>
  <c r="E47" i="26"/>
  <c r="AT51" i="16" l="1"/>
  <c r="BH51" i="16"/>
  <c r="P100" i="14"/>
  <c r="O101" i="14"/>
  <c r="O102" i="14" s="1"/>
  <c r="AV52" i="16"/>
  <c r="BK52" i="16" s="1"/>
  <c r="BJ52" i="16"/>
  <c r="BH53" i="16"/>
  <c r="AT53" i="16"/>
  <c r="AT35" i="16"/>
  <c r="BH35" i="16"/>
  <c r="O298" i="14"/>
  <c r="N299" i="14"/>
  <c r="N302" i="14" s="1"/>
  <c r="P320" i="14"/>
  <c r="O321" i="14"/>
  <c r="O322" i="14" s="1"/>
  <c r="O165" i="14"/>
  <c r="N167" i="14"/>
  <c r="N170" i="14" s="1"/>
  <c r="O7" i="9"/>
  <c r="N46" i="9"/>
  <c r="N27" i="9"/>
  <c r="O145" i="14"/>
  <c r="O146" i="14" s="1"/>
  <c r="P144" i="14"/>
  <c r="N5" i="16"/>
  <c r="O2" i="5"/>
  <c r="M56" i="16"/>
  <c r="AC5" i="16"/>
  <c r="AR5" i="16" s="1"/>
  <c r="BG5" i="16" s="1"/>
  <c r="AT48" i="16"/>
  <c r="BH48" i="16"/>
  <c r="BH49" i="16"/>
  <c r="AT49" i="16"/>
  <c r="O120" i="14"/>
  <c r="O230" i="14"/>
  <c r="O296" i="14"/>
  <c r="O186" i="14"/>
  <c r="O274" i="14"/>
  <c r="O142" i="14"/>
  <c r="O208" i="14"/>
  <c r="O232" i="3"/>
  <c r="H141" i="3"/>
  <c r="R98" i="3"/>
  <c r="X312" i="35"/>
  <c r="CI169" i="35"/>
  <c r="BQ163" i="35"/>
  <c r="Y163" i="35"/>
  <c r="Z168" i="35"/>
  <c r="BQ168" i="35" s="1"/>
  <c r="BQ165" i="35"/>
  <c r="Y165" i="35"/>
  <c r="H108" i="3"/>
  <c r="H102" i="9" s="1"/>
  <c r="H106" i="9" s="1"/>
  <c r="H140" i="3"/>
  <c r="K4" i="17"/>
  <c r="K8" i="17" s="1"/>
  <c r="L18" i="10"/>
  <c r="O230" i="3"/>
  <c r="O231" i="3"/>
  <c r="O236" i="3"/>
  <c r="O235" i="3"/>
  <c r="BH47" i="16"/>
  <c r="AT47" i="16"/>
  <c r="BH37" i="16"/>
  <c r="AT37" i="16"/>
  <c r="BH43" i="16"/>
  <c r="AT43" i="16"/>
  <c r="BH42" i="16"/>
  <c r="AT42" i="16"/>
  <c r="BH38" i="16"/>
  <c r="AT38" i="16"/>
  <c r="BH36" i="16"/>
  <c r="AT36" i="16"/>
  <c r="O318" i="14"/>
  <c r="O252" i="14"/>
  <c r="O234" i="3"/>
  <c r="O237" i="3"/>
  <c r="O277" i="14"/>
  <c r="O278" i="14" s="1"/>
  <c r="P276" i="14"/>
  <c r="O15" i="26"/>
  <c r="O17" i="26" s="1"/>
  <c r="O18" i="6"/>
  <c r="Q122" i="14"/>
  <c r="P123" i="14"/>
  <c r="Q79" i="14"/>
  <c r="P22" i="10"/>
  <c r="O3" i="9"/>
  <c r="O56" i="9" s="1"/>
  <c r="O50" i="14"/>
  <c r="O9" i="14" s="1"/>
  <c r="O22" i="6" s="1"/>
  <c r="O98" i="14"/>
  <c r="O164" i="14"/>
  <c r="O238" i="3"/>
  <c r="P197" i="14"/>
  <c r="P109" i="14"/>
  <c r="P263" i="14"/>
  <c r="P153" i="14"/>
  <c r="P66" i="14"/>
  <c r="P219" i="14"/>
  <c r="P87" i="14"/>
  <c r="P285" i="14"/>
  <c r="P175" i="14"/>
  <c r="P129" i="3"/>
  <c r="P241" i="14"/>
  <c r="P131" i="14"/>
  <c r="P307" i="14"/>
  <c r="P128" i="3"/>
  <c r="P127" i="3"/>
  <c r="P132" i="3"/>
  <c r="P131" i="3"/>
  <c r="P133" i="3"/>
  <c r="P134" i="3"/>
  <c r="P135" i="3"/>
  <c r="P68" i="26"/>
  <c r="P9" i="29"/>
  <c r="P82" i="16"/>
  <c r="P86" i="16"/>
  <c r="P90" i="16"/>
  <c r="P94" i="16"/>
  <c r="P80" i="16"/>
  <c r="P83" i="16"/>
  <c r="P87" i="16"/>
  <c r="P91" i="16"/>
  <c r="P95" i="16"/>
  <c r="P9" i="16"/>
  <c r="P13" i="16"/>
  <c r="P17" i="16"/>
  <c r="P21" i="16"/>
  <c r="P25" i="16"/>
  <c r="P8" i="16"/>
  <c r="P12" i="16"/>
  <c r="P16" i="16"/>
  <c r="P20" i="16"/>
  <c r="P24" i="16"/>
  <c r="P84" i="16"/>
  <c r="P92" i="16"/>
  <c r="P96" i="16"/>
  <c r="P81" i="16"/>
  <c r="P85" i="16"/>
  <c r="P89" i="16"/>
  <c r="P93" i="16"/>
  <c r="P7" i="16"/>
  <c r="P11" i="16"/>
  <c r="P15" i="16"/>
  <c r="P19" i="16"/>
  <c r="P23" i="16"/>
  <c r="P27" i="16"/>
  <c r="P10" i="16"/>
  <c r="P14" i="16"/>
  <c r="P18" i="16"/>
  <c r="P22" i="16"/>
  <c r="P26" i="16"/>
  <c r="P88" i="16"/>
  <c r="AU39" i="16"/>
  <c r="BI39" i="16"/>
  <c r="AU40" i="16"/>
  <c r="BI40" i="16"/>
  <c r="AU34" i="16"/>
  <c r="BI34" i="16"/>
  <c r="BH41" i="16"/>
  <c r="AT41" i="16"/>
  <c r="BH45" i="16"/>
  <c r="AT45" i="16"/>
  <c r="BK44" i="16"/>
  <c r="I12" i="5"/>
  <c r="I10" i="5"/>
  <c r="AU50" i="16"/>
  <c r="BI50" i="16"/>
  <c r="AU46" i="16"/>
  <c r="BI46" i="16"/>
  <c r="AU33" i="16"/>
  <c r="BI33" i="16"/>
  <c r="R9" i="28"/>
  <c r="Q19" i="28"/>
  <c r="P8" i="15" s="1"/>
  <c r="Q2" i="16"/>
  <c r="Q22" i="26"/>
  <c r="Q122" i="3"/>
  <c r="Q16" i="26"/>
  <c r="Q23" i="21"/>
  <c r="Q3" i="29"/>
  <c r="Q7" i="22"/>
  <c r="Q5" i="21"/>
  <c r="Q18" i="21"/>
  <c r="Q14" i="22"/>
  <c r="Q22" i="22"/>
  <c r="Q36" i="26"/>
  <c r="O76" i="14"/>
  <c r="O46" i="14"/>
  <c r="Q15" i="15"/>
  <c r="P26" i="3"/>
  <c r="P16" i="15"/>
  <c r="AV172" i="35" s="1"/>
  <c r="AV173" i="35" s="1"/>
  <c r="AV174" i="35" s="1"/>
  <c r="AV1" i="35" s="1"/>
  <c r="P14" i="3"/>
  <c r="P25" i="3" s="1"/>
  <c r="BX93" i="11"/>
  <c r="BU126" i="11"/>
  <c r="L55" i="15"/>
  <c r="M39" i="15"/>
  <c r="AC134" i="11"/>
  <c r="AR134" i="11" s="1"/>
  <c r="AC133" i="11"/>
  <c r="AR133" i="11" s="1"/>
  <c r="AC132" i="11"/>
  <c r="AR132" i="11" s="1"/>
  <c r="AC131" i="11"/>
  <c r="AR131" i="11" s="1"/>
  <c r="AC130" i="11"/>
  <c r="AR130" i="11" s="1"/>
  <c r="AC129" i="11"/>
  <c r="AR129" i="11" s="1"/>
  <c r="AC128" i="11"/>
  <c r="AR128" i="11" s="1"/>
  <c r="AC127" i="11"/>
  <c r="AR127" i="11" s="1"/>
  <c r="AC126" i="11"/>
  <c r="AR126" i="11" s="1"/>
  <c r="AC125" i="11"/>
  <c r="AR125" i="11" s="1"/>
  <c r="BV125" i="11" s="1"/>
  <c r="AC119" i="11"/>
  <c r="AR119" i="11" s="1"/>
  <c r="BV119" i="11" s="1"/>
  <c r="AC120" i="11"/>
  <c r="AR120" i="11" s="1"/>
  <c r="BV120" i="11" s="1"/>
  <c r="AC121" i="11"/>
  <c r="AR121" i="11" s="1"/>
  <c r="AC122" i="11"/>
  <c r="AR122" i="11" s="1"/>
  <c r="BV122" i="11" s="1"/>
  <c r="AC124" i="11"/>
  <c r="AR124" i="11" s="1"/>
  <c r="AC123" i="11"/>
  <c r="AR123" i="11" s="1"/>
  <c r="BU123" i="11"/>
  <c r="O177" i="3"/>
  <c r="N192" i="3"/>
  <c r="Q191" i="3"/>
  <c r="P38" i="15"/>
  <c r="P54" i="15" s="1"/>
  <c r="AF103" i="11"/>
  <c r="AU103" i="11" s="1"/>
  <c r="BY103" i="11" s="1"/>
  <c r="AF104" i="11"/>
  <c r="AU104" i="11" s="1"/>
  <c r="BY104" i="11" s="1"/>
  <c r="AF105" i="11"/>
  <c r="AU105" i="11" s="1"/>
  <c r="AF106" i="11"/>
  <c r="AU106" i="11" s="1"/>
  <c r="BY106" i="11" s="1"/>
  <c r="AF107" i="11"/>
  <c r="AU107" i="11" s="1"/>
  <c r="AF108" i="11"/>
  <c r="AU108" i="11" s="1"/>
  <c r="AF109" i="11"/>
  <c r="AU109" i="11" s="1"/>
  <c r="AF110" i="11"/>
  <c r="AU110" i="11" s="1"/>
  <c r="AF111" i="11"/>
  <c r="AU111" i="11" s="1"/>
  <c r="AF112" i="11"/>
  <c r="AU112" i="11" s="1"/>
  <c r="AF113" i="11"/>
  <c r="AU113" i="11" s="1"/>
  <c r="AF114" i="11"/>
  <c r="AU114" i="11" s="1"/>
  <c r="AF115" i="11"/>
  <c r="AU115" i="11" s="1"/>
  <c r="AF116" i="11"/>
  <c r="AU116" i="11" s="1"/>
  <c r="AF117" i="11"/>
  <c r="AU117" i="11" s="1"/>
  <c r="AF118" i="11"/>
  <c r="AU118" i="11" s="1"/>
  <c r="BY107" i="11"/>
  <c r="O53" i="15"/>
  <c r="Q190" i="3"/>
  <c r="M237" i="3"/>
  <c r="M238" i="3"/>
  <c r="P37" i="15"/>
  <c r="AF87" i="11"/>
  <c r="AU87" i="11" s="1"/>
  <c r="BY87" i="11" s="1"/>
  <c r="AF88" i="11"/>
  <c r="AU88" i="11" s="1"/>
  <c r="BY88" i="11" s="1"/>
  <c r="AF89" i="11"/>
  <c r="AU89" i="11" s="1"/>
  <c r="AF90" i="11"/>
  <c r="AU90" i="11" s="1"/>
  <c r="BY90" i="11" s="1"/>
  <c r="AF91" i="11"/>
  <c r="AU91" i="11" s="1"/>
  <c r="BY91" i="11" s="1"/>
  <c r="AF92" i="11"/>
  <c r="AU92" i="11" s="1"/>
  <c r="AF93" i="11"/>
  <c r="AU93" i="11" s="1"/>
  <c r="AF94" i="11"/>
  <c r="AU94" i="11" s="1"/>
  <c r="AF95" i="11"/>
  <c r="AU95" i="11" s="1"/>
  <c r="AF96" i="11"/>
  <c r="AU96" i="11" s="1"/>
  <c r="AF97" i="11"/>
  <c r="AU97" i="11" s="1"/>
  <c r="AF98" i="11"/>
  <c r="AU98" i="11" s="1"/>
  <c r="AF99" i="11"/>
  <c r="AU99" i="11" s="1"/>
  <c r="AF100" i="11"/>
  <c r="AU100" i="11" s="1"/>
  <c r="AF101" i="11"/>
  <c r="AU101" i="11" s="1"/>
  <c r="AF102" i="11"/>
  <c r="AU102" i="11" s="1"/>
  <c r="BX91" i="11"/>
  <c r="BJ141" i="11"/>
  <c r="BY141" i="11" s="1"/>
  <c r="N164" i="3"/>
  <c r="N211" i="3" s="1"/>
  <c r="N224" i="3"/>
  <c r="AE9" i="16"/>
  <c r="AF9" i="16" s="1"/>
  <c r="AG9" i="16" s="1"/>
  <c r="BH142" i="11"/>
  <c r="BW142" i="11" s="1"/>
  <c r="BK139" i="11"/>
  <c r="BZ139" i="11" s="1"/>
  <c r="BK135" i="11"/>
  <c r="BZ135" i="11" s="1"/>
  <c r="BK136" i="11"/>
  <c r="BZ136" i="11" s="1"/>
  <c r="BK138" i="11"/>
  <c r="BZ138" i="11" s="1"/>
  <c r="N223" i="3"/>
  <c r="N163" i="3"/>
  <c r="N210" i="3" s="1"/>
  <c r="AE8" i="16"/>
  <c r="AF8" i="16" s="1"/>
  <c r="AG8" i="16" s="1"/>
  <c r="AU32" i="16"/>
  <c r="BI32" i="16"/>
  <c r="AU31" i="16"/>
  <c r="BI31" i="16"/>
  <c r="BH30" i="16"/>
  <c r="AT30" i="16"/>
  <c r="BH29" i="16"/>
  <c r="AT29" i="16"/>
  <c r="N103" i="16"/>
  <c r="Q29" i="9"/>
  <c r="P110" i="9"/>
  <c r="M208" i="14"/>
  <c r="P255" i="14"/>
  <c r="Q254" i="14"/>
  <c r="L91" i="9"/>
  <c r="H15" i="34"/>
  <c r="H16" i="34" s="1"/>
  <c r="M186" i="14"/>
  <c r="D43" i="7"/>
  <c r="D44" i="7" s="1"/>
  <c r="D49" i="4"/>
  <c r="L20" i="7"/>
  <c r="M3" i="7"/>
  <c r="L39" i="7"/>
  <c r="Q12" i="22"/>
  <c r="L3" i="22"/>
  <c r="K20" i="22"/>
  <c r="Q232" i="14"/>
  <c r="P233" i="14"/>
  <c r="Q166" i="14"/>
  <c r="O13" i="12"/>
  <c r="BI158" i="11" s="1"/>
  <c r="BX158" i="11" s="1"/>
  <c r="BH78" i="11"/>
  <c r="BH110" i="11"/>
  <c r="BW110" i="11" s="1"/>
  <c r="BH94" i="11"/>
  <c r="BW94" i="11" s="1"/>
  <c r="BH126" i="11"/>
  <c r="BK75" i="11"/>
  <c r="BK107" i="11"/>
  <c r="BK91" i="11"/>
  <c r="BK123" i="11"/>
  <c r="BK19" i="11"/>
  <c r="BK45" i="11"/>
  <c r="BZ45" i="11" s="1"/>
  <c r="BK71" i="11"/>
  <c r="BK103" i="11"/>
  <c r="BK32" i="11"/>
  <c r="BZ32" i="11" s="1"/>
  <c r="BK58" i="11"/>
  <c r="BZ58" i="11" s="1"/>
  <c r="BK87" i="11"/>
  <c r="BK119" i="11"/>
  <c r="BK6" i="11"/>
  <c r="BK20" i="11"/>
  <c r="BK46" i="11"/>
  <c r="BZ46" i="11" s="1"/>
  <c r="BK72" i="11"/>
  <c r="BK104" i="11"/>
  <c r="BK7" i="11"/>
  <c r="BK33" i="11"/>
  <c r="BZ33" i="11" s="1"/>
  <c r="BK59" i="11"/>
  <c r="BZ59" i="11" s="1"/>
  <c r="BK88" i="11"/>
  <c r="BK120" i="11"/>
  <c r="BK22" i="11"/>
  <c r="BK48" i="11"/>
  <c r="BZ48" i="11" s="1"/>
  <c r="BK74" i="11"/>
  <c r="BK106" i="11"/>
  <c r="BK9" i="11"/>
  <c r="BK35" i="11"/>
  <c r="BZ35" i="11" s="1"/>
  <c r="BK61" i="11"/>
  <c r="BZ61" i="11" s="1"/>
  <c r="BK90" i="11"/>
  <c r="BK122" i="11"/>
  <c r="Q12" i="12"/>
  <c r="BK157" i="11" s="1"/>
  <c r="BZ157" i="11" s="1"/>
  <c r="BJ24" i="11"/>
  <c r="BJ50" i="11"/>
  <c r="BY50" i="11" s="1"/>
  <c r="BJ77" i="11"/>
  <c r="BJ109" i="11"/>
  <c r="BJ244" i="11"/>
  <c r="BY244" i="11" s="1"/>
  <c r="BJ11" i="11"/>
  <c r="BJ37" i="11"/>
  <c r="BY37" i="11" s="1"/>
  <c r="BJ63" i="11"/>
  <c r="BY63" i="11" s="1"/>
  <c r="BJ93" i="11"/>
  <c r="BJ125" i="11"/>
  <c r="N126" i="14"/>
  <c r="O126" i="14"/>
  <c r="O127" i="14"/>
  <c r="N148" i="14"/>
  <c r="O149" i="14"/>
  <c r="N258" i="14"/>
  <c r="O258" i="14"/>
  <c r="O259" i="14"/>
  <c r="O192" i="14"/>
  <c r="O193" i="14"/>
  <c r="N280" i="14"/>
  <c r="O280" i="14"/>
  <c r="O281" i="14"/>
  <c r="P36" i="14"/>
  <c r="O37" i="14"/>
  <c r="O16" i="14" s="1"/>
  <c r="O15" i="14"/>
  <c r="P4" i="3"/>
  <c r="O13" i="3"/>
  <c r="O40" i="3"/>
  <c r="O96" i="3"/>
  <c r="O124" i="3"/>
  <c r="O153" i="3"/>
  <c r="O27" i="3"/>
  <c r="O54" i="3"/>
  <c r="O68" i="3" s="1"/>
  <c r="O82" i="3"/>
  <c r="O110" i="3"/>
  <c r="O139" i="3"/>
  <c r="O168" i="3" s="1"/>
  <c r="O183" i="3" s="1"/>
  <c r="O199" i="3" s="1"/>
  <c r="Q56" i="14"/>
  <c r="P57" i="14"/>
  <c r="Q12" i="10"/>
  <c r="P15" i="18" s="1"/>
  <c r="P48" i="18" s="1"/>
  <c r="R31" i="10"/>
  <c r="Q7" i="10"/>
  <c r="R26" i="10"/>
  <c r="AE28" i="16"/>
  <c r="AF28" i="16" s="1"/>
  <c r="AE23" i="16"/>
  <c r="AF23" i="16" s="1"/>
  <c r="AG23" i="16" s="1"/>
  <c r="AE26" i="16"/>
  <c r="AF26" i="16" s="1"/>
  <c r="AG26" i="16" s="1"/>
  <c r="AE12" i="16"/>
  <c r="AF12" i="16" s="1"/>
  <c r="AG12" i="16" s="1"/>
  <c r="AE24" i="16"/>
  <c r="AF24" i="16" s="1"/>
  <c r="AG24" i="16" s="1"/>
  <c r="AE13" i="16"/>
  <c r="AF13" i="16" s="1"/>
  <c r="AG13" i="16" s="1"/>
  <c r="AE22" i="16"/>
  <c r="AF22" i="16" s="1"/>
  <c r="AE21" i="16"/>
  <c r="AF21" i="16" s="1"/>
  <c r="AG21" i="16" s="1"/>
  <c r="O303" i="14"/>
  <c r="N324" i="14"/>
  <c r="O324" i="14"/>
  <c r="O325" i="14"/>
  <c r="O236" i="14"/>
  <c r="O237" i="14"/>
  <c r="O104" i="14"/>
  <c r="O105" i="14"/>
  <c r="N82" i="14"/>
  <c r="O82" i="14"/>
  <c r="O83" i="14"/>
  <c r="N214" i="14"/>
  <c r="O214" i="14"/>
  <c r="O215" i="14"/>
  <c r="O171" i="14"/>
  <c r="O10" i="18"/>
  <c r="P17" i="10"/>
  <c r="O27" i="4" s="1"/>
  <c r="AE27" i="16"/>
  <c r="AF27" i="16" s="1"/>
  <c r="AG27" i="16" s="1"/>
  <c r="AE11" i="16"/>
  <c r="AF11" i="16" s="1"/>
  <c r="AG11" i="16" s="1"/>
  <c r="AE16" i="16"/>
  <c r="AF16" i="16" s="1"/>
  <c r="AG16" i="16" s="1"/>
  <c r="AE10" i="16"/>
  <c r="AF10" i="16" s="1"/>
  <c r="AE14" i="16"/>
  <c r="AF14" i="16" s="1"/>
  <c r="AE25" i="16"/>
  <c r="AF25" i="16" s="1"/>
  <c r="AG25" i="16" s="1"/>
  <c r="L28" i="22"/>
  <c r="N54" i="30" s="1"/>
  <c r="N153" i="3"/>
  <c r="N96" i="3"/>
  <c r="N13" i="3"/>
  <c r="N139" i="3"/>
  <c r="N168" i="3" s="1"/>
  <c r="N183" i="3" s="1"/>
  <c r="N199" i="3" s="1"/>
  <c r="N82" i="3"/>
  <c r="N27" i="3"/>
  <c r="N54" i="3"/>
  <c r="N68" i="3" s="1"/>
  <c r="N124" i="3"/>
  <c r="N110" i="3"/>
  <c r="N40" i="3"/>
  <c r="K58" i="26"/>
  <c r="M122" i="30" s="1"/>
  <c r="M170" i="30" s="1"/>
  <c r="K50" i="26"/>
  <c r="K7" i="29"/>
  <c r="L15" i="26"/>
  <c r="L17" i="26" s="1"/>
  <c r="L50" i="26" s="1"/>
  <c r="L18" i="6"/>
  <c r="L62" i="6" s="1"/>
  <c r="K62" i="6"/>
  <c r="K74" i="6"/>
  <c r="G50" i="6"/>
  <c r="G66" i="6" s="1"/>
  <c r="G68" i="6" s="1"/>
  <c r="G38" i="26"/>
  <c r="G47" i="26" s="1"/>
  <c r="M274" i="14"/>
  <c r="D10" i="21"/>
  <c r="D12" i="21" s="1"/>
  <c r="M234" i="3"/>
  <c r="G26" i="34"/>
  <c r="G16" i="34"/>
  <c r="N37" i="14"/>
  <c r="N16" i="14" s="1"/>
  <c r="N15" i="14"/>
  <c r="M120" i="14"/>
  <c r="M231" i="3"/>
  <c r="M236" i="3"/>
  <c r="L24" i="9"/>
  <c r="L14" i="8" s="1"/>
  <c r="L6" i="17"/>
  <c r="AX20" i="16"/>
  <c r="AJ20" i="16"/>
  <c r="AX25" i="16"/>
  <c r="AJ25" i="16"/>
  <c r="AJ9" i="16"/>
  <c r="AX9" i="16"/>
  <c r="AJ13" i="16"/>
  <c r="AX13" i="16"/>
  <c r="AX15" i="16"/>
  <c r="AJ15" i="16"/>
  <c r="AJ16" i="16"/>
  <c r="AX16" i="16"/>
  <c r="AX26" i="16"/>
  <c r="AJ26" i="16"/>
  <c r="AJ11" i="16"/>
  <c r="AX11" i="16"/>
  <c r="AX12" i="16"/>
  <c r="AJ12" i="16"/>
  <c r="AJ28" i="16"/>
  <c r="AX28" i="16"/>
  <c r="AX17" i="16"/>
  <c r="AJ17" i="16"/>
  <c r="M106" i="14"/>
  <c r="M238" i="14"/>
  <c r="M50" i="14"/>
  <c r="M46" i="14"/>
  <c r="M76" i="14"/>
  <c r="M26" i="30"/>
  <c r="K63" i="26"/>
  <c r="K38" i="4"/>
  <c r="K41" i="4" s="1"/>
  <c r="K30" i="7" s="1"/>
  <c r="K30" i="22" s="1"/>
  <c r="J13" i="6"/>
  <c r="J12" i="26" s="1"/>
  <c r="N303" i="14"/>
  <c r="N292" i="14"/>
  <c r="N288" i="14"/>
  <c r="N314" i="14"/>
  <c r="N325" i="14"/>
  <c r="N310" i="14"/>
  <c r="N322" i="14"/>
  <c r="N234" i="14"/>
  <c r="N222" i="14"/>
  <c r="N226" i="14"/>
  <c r="N237" i="14"/>
  <c r="N236" i="14"/>
  <c r="N157" i="3"/>
  <c r="N204" i="3" s="1"/>
  <c r="N217" i="3"/>
  <c r="N90" i="14"/>
  <c r="N94" i="14"/>
  <c r="N102" i="14"/>
  <c r="N105" i="14"/>
  <c r="N106" i="14" s="1"/>
  <c r="N68" i="14"/>
  <c r="N80" i="14"/>
  <c r="N72" i="14"/>
  <c r="N83" i="14"/>
  <c r="N204" i="14"/>
  <c r="N212" i="14"/>
  <c r="N200" i="14"/>
  <c r="N215" i="14"/>
  <c r="N158" i="3"/>
  <c r="N205" i="3" s="1"/>
  <c r="N218" i="3"/>
  <c r="N156" i="14"/>
  <c r="N160" i="14"/>
  <c r="N168" i="14"/>
  <c r="N171" i="14"/>
  <c r="M16" i="6"/>
  <c r="M15" i="26" s="1"/>
  <c r="M17" i="26" s="1"/>
  <c r="M164" i="14"/>
  <c r="M304" i="14"/>
  <c r="M128" i="14"/>
  <c r="L22" i="30"/>
  <c r="J58" i="26"/>
  <c r="L122" i="30" s="1"/>
  <c r="L170" i="30" s="1"/>
  <c r="J7" i="29"/>
  <c r="J50" i="26"/>
  <c r="J79" i="6"/>
  <c r="J65" i="6"/>
  <c r="J85" i="6"/>
  <c r="J83" i="6" s="1"/>
  <c r="L11" i="18"/>
  <c r="L44" i="18" s="1"/>
  <c r="L5" i="14"/>
  <c r="L21" i="6" s="1"/>
  <c r="L20" i="26" s="1"/>
  <c r="L54" i="14"/>
  <c r="L79" i="6"/>
  <c r="L65" i="6"/>
  <c r="I67" i="26"/>
  <c r="K131" i="30" s="1"/>
  <c r="K179" i="30" s="1"/>
  <c r="K133" i="30"/>
  <c r="K181" i="30" s="1"/>
  <c r="I13" i="6"/>
  <c r="I12" i="26" s="1"/>
  <c r="M318" i="14"/>
  <c r="M252" i="14"/>
  <c r="M98" i="14"/>
  <c r="M9" i="10"/>
  <c r="L12" i="18" s="1"/>
  <c r="L45" i="18" s="1"/>
  <c r="M12" i="9"/>
  <c r="M24" i="9" s="1"/>
  <c r="N11" i="9"/>
  <c r="N34" i="10"/>
  <c r="O33" i="10"/>
  <c r="AX14" i="16"/>
  <c r="AJ14" i="16"/>
  <c r="AX19" i="16"/>
  <c r="AJ19" i="16"/>
  <c r="AJ18" i="16"/>
  <c r="AX18" i="16"/>
  <c r="AX21" i="16"/>
  <c r="AJ21" i="16"/>
  <c r="AJ23" i="16"/>
  <c r="AX23" i="16"/>
  <c r="AJ10" i="16"/>
  <c r="AX10" i="16"/>
  <c r="AX27" i="16"/>
  <c r="AJ27" i="16"/>
  <c r="AJ22" i="16"/>
  <c r="AX22" i="16"/>
  <c r="AX8" i="16"/>
  <c r="AJ8" i="16"/>
  <c r="AX24" i="16"/>
  <c r="AJ24" i="16"/>
  <c r="M260" i="14"/>
  <c r="M230" i="14"/>
  <c r="M84" i="14"/>
  <c r="M61" i="14"/>
  <c r="M39" i="9"/>
  <c r="N38" i="9"/>
  <c r="M5" i="17"/>
  <c r="L62" i="14"/>
  <c r="L20" i="14"/>
  <c r="N49" i="9"/>
  <c r="M7" i="17"/>
  <c r="M83" i="9"/>
  <c r="J56" i="6"/>
  <c r="J7" i="6"/>
  <c r="J7" i="26" s="1"/>
  <c r="N162" i="3"/>
  <c r="N209" i="3" s="1"/>
  <c r="N222" i="3"/>
  <c r="N124" i="14"/>
  <c r="N116" i="14"/>
  <c r="N112" i="14"/>
  <c r="N127" i="14"/>
  <c r="N138" i="14"/>
  <c r="N149" i="14"/>
  <c r="N146" i="14"/>
  <c r="N134" i="14"/>
  <c r="N256" i="14"/>
  <c r="N248" i="14"/>
  <c r="N244" i="14"/>
  <c r="N259" i="14"/>
  <c r="N216" i="3"/>
  <c r="N156" i="3"/>
  <c r="N203" i="3" s="1"/>
  <c r="N178" i="14"/>
  <c r="N182" i="14"/>
  <c r="N190" i="14"/>
  <c r="N193" i="14"/>
  <c r="N266" i="14"/>
  <c r="N270" i="14"/>
  <c r="N278" i="14"/>
  <c r="N281" i="14"/>
  <c r="N161" i="3"/>
  <c r="N208" i="3" s="1"/>
  <c r="N221" i="3"/>
  <c r="N160" i="3"/>
  <c r="N207" i="3" s="1"/>
  <c r="N220" i="3"/>
  <c r="M150" i="14"/>
  <c r="K85" i="6"/>
  <c r="K83" i="6" s="1"/>
  <c r="N28" i="10"/>
  <c r="O27" i="10"/>
  <c r="P27" i="10" s="1"/>
  <c r="N8" i="10"/>
  <c r="K56" i="6"/>
  <c r="K7" i="6"/>
  <c r="M60" i="14"/>
  <c r="N54" i="16"/>
  <c r="M58" i="14"/>
  <c r="M17" i="14" s="1"/>
  <c r="M28" i="7" s="1"/>
  <c r="R7" i="16"/>
  <c r="AI7" i="16" s="1"/>
  <c r="M142" i="14"/>
  <c r="M235" i="3"/>
  <c r="M296" i="14"/>
  <c r="M230" i="3"/>
  <c r="M232" i="3"/>
  <c r="N192" i="14"/>
  <c r="F29" i="29"/>
  <c r="F8" i="21"/>
  <c r="AC7" i="16"/>
  <c r="AB54" i="16"/>
  <c r="D42" i="7"/>
  <c r="H41" i="6"/>
  <c r="K14" i="21"/>
  <c r="J18" i="5"/>
  <c r="K16" i="5" s="1"/>
  <c r="N18" i="9"/>
  <c r="O18" i="9" s="1"/>
  <c r="M92" i="9"/>
  <c r="E29" i="29"/>
  <c r="E8" i="21"/>
  <c r="F47" i="26"/>
  <c r="BI53" i="16" l="1"/>
  <c r="AU53" i="16"/>
  <c r="AG22" i="16"/>
  <c r="Q100" i="14"/>
  <c r="Q101" i="14" s="1"/>
  <c r="P101" i="14"/>
  <c r="AG10" i="16"/>
  <c r="AU51" i="16"/>
  <c r="BI51" i="16"/>
  <c r="O49" i="9"/>
  <c r="O7" i="17" s="1"/>
  <c r="O38" i="9"/>
  <c r="M6" i="17"/>
  <c r="N216" i="14"/>
  <c r="N300" i="14"/>
  <c r="AG14" i="16"/>
  <c r="O54" i="9"/>
  <c r="P165" i="14"/>
  <c r="O167" i="14"/>
  <c r="P298" i="14"/>
  <c r="O299" i="14"/>
  <c r="H26" i="34"/>
  <c r="O148" i="14"/>
  <c r="O150" i="14" s="1"/>
  <c r="O46" i="9"/>
  <c r="P7" i="9"/>
  <c r="O27" i="9"/>
  <c r="Q320" i="14"/>
  <c r="Q321" i="14" s="1"/>
  <c r="P321" i="14"/>
  <c r="BI35" i="16"/>
  <c r="AU35" i="16"/>
  <c r="O11" i="9"/>
  <c r="O53" i="9"/>
  <c r="Q144" i="14"/>
  <c r="Q145" i="14" s="1"/>
  <c r="P145" i="14"/>
  <c r="P148" i="14" s="1"/>
  <c r="O5" i="16"/>
  <c r="P2" i="5"/>
  <c r="N56" i="16"/>
  <c r="AD5" i="16"/>
  <c r="AS5" i="16" s="1"/>
  <c r="BH5" i="16" s="1"/>
  <c r="BI49" i="16"/>
  <c r="AU49" i="16"/>
  <c r="AU48" i="16"/>
  <c r="BI48" i="16"/>
  <c r="BY109" i="11"/>
  <c r="BY93" i="11"/>
  <c r="H111" i="3"/>
  <c r="H125" i="3" s="1"/>
  <c r="H22" i="18"/>
  <c r="H184" i="3"/>
  <c r="H151" i="3"/>
  <c r="H48" i="32" s="1"/>
  <c r="H56" i="32" s="1"/>
  <c r="BQ205" i="11"/>
  <c r="H112" i="3"/>
  <c r="H126" i="3" s="1"/>
  <c r="H215" i="3" s="1"/>
  <c r="BQ206" i="11"/>
  <c r="H185" i="3"/>
  <c r="H55" i="18"/>
  <c r="Q26" i="3"/>
  <c r="Q16" i="15"/>
  <c r="AY172" i="35" s="1"/>
  <c r="AY173" i="35" s="1"/>
  <c r="AY174" i="35" s="1"/>
  <c r="AY1" i="35" s="1"/>
  <c r="Q14" i="3"/>
  <c r="Q25" i="3" s="1"/>
  <c r="Q66" i="14"/>
  <c r="Q82" i="14" s="1"/>
  <c r="Q131" i="14"/>
  <c r="Q307" i="14"/>
  <c r="Q322" i="14" s="1"/>
  <c r="Q197" i="14"/>
  <c r="Q219" i="14"/>
  <c r="Q87" i="14"/>
  <c r="Q285" i="14"/>
  <c r="Q153" i="14"/>
  <c r="Q263" i="14"/>
  <c r="Q109" i="14"/>
  <c r="Q241" i="14"/>
  <c r="Q129" i="3"/>
  <c r="Q175" i="14"/>
  <c r="Q128" i="3"/>
  <c r="Q127" i="3"/>
  <c r="Q132" i="3"/>
  <c r="Q131" i="3"/>
  <c r="Q133" i="3"/>
  <c r="Q135" i="3"/>
  <c r="Q134" i="3"/>
  <c r="Q9" i="29"/>
  <c r="Q68" i="26"/>
  <c r="P3" i="9"/>
  <c r="P56" i="9" s="1"/>
  <c r="Q22" i="10"/>
  <c r="BY249" i="11"/>
  <c r="AV33" i="16"/>
  <c r="BJ33" i="16"/>
  <c r="AV46" i="16"/>
  <c r="BJ46" i="16"/>
  <c r="AV50" i="16"/>
  <c r="BJ50" i="16"/>
  <c r="AU45" i="16"/>
  <c r="BI45" i="16"/>
  <c r="AV34" i="16"/>
  <c r="BJ34" i="16"/>
  <c r="AV40" i="16"/>
  <c r="BJ40" i="16"/>
  <c r="AV39" i="16"/>
  <c r="BJ39" i="16"/>
  <c r="P28" i="16"/>
  <c r="P54" i="16" s="1"/>
  <c r="P17" i="5" s="1"/>
  <c r="P16" i="6" s="1"/>
  <c r="P103" i="16"/>
  <c r="P105" i="16" s="1"/>
  <c r="P223" i="3"/>
  <c r="P163" i="3"/>
  <c r="P210" i="3" s="1"/>
  <c r="P160" i="3"/>
  <c r="P207" i="3" s="1"/>
  <c r="P220" i="3"/>
  <c r="P216" i="3"/>
  <c r="P156" i="3"/>
  <c r="P203" i="3" s="1"/>
  <c r="P310" i="14"/>
  <c r="P314" i="14"/>
  <c r="P325" i="14"/>
  <c r="P248" i="14"/>
  <c r="P259" i="14"/>
  <c r="P244" i="14"/>
  <c r="P252" i="14" s="1"/>
  <c r="P193" i="14"/>
  <c r="P182" i="14"/>
  <c r="P178" i="14"/>
  <c r="P190" i="14"/>
  <c r="P192" i="14"/>
  <c r="Q192" i="14"/>
  <c r="P94" i="14"/>
  <c r="P105" i="14"/>
  <c r="P90" i="14"/>
  <c r="P102" i="14"/>
  <c r="Q104" i="14"/>
  <c r="P104" i="14"/>
  <c r="P106" i="14" s="1"/>
  <c r="P72" i="14"/>
  <c r="P68" i="14"/>
  <c r="P83" i="14"/>
  <c r="P80" i="14"/>
  <c r="P281" i="14"/>
  <c r="P266" i="14"/>
  <c r="P270" i="14"/>
  <c r="P215" i="14"/>
  <c r="P204" i="14"/>
  <c r="P200" i="14"/>
  <c r="P214" i="14"/>
  <c r="P212" i="14"/>
  <c r="Q214" i="14"/>
  <c r="O21" i="26"/>
  <c r="O63" i="26" s="1"/>
  <c r="O15" i="29" s="1"/>
  <c r="O79" i="6"/>
  <c r="O65" i="6"/>
  <c r="Q123" i="14"/>
  <c r="Q126" i="14" s="1"/>
  <c r="O58" i="26"/>
  <c r="O7" i="29"/>
  <c r="O50" i="26"/>
  <c r="AG28" i="16"/>
  <c r="O5" i="14"/>
  <c r="O21" i="6" s="1"/>
  <c r="O54" i="14"/>
  <c r="O13" i="14" s="1"/>
  <c r="Q7" i="16"/>
  <c r="Q9" i="16"/>
  <c r="Q11" i="16"/>
  <c r="Q13" i="16"/>
  <c r="Q15" i="16"/>
  <c r="Q17" i="16"/>
  <c r="Q19" i="16"/>
  <c r="Q21" i="16"/>
  <c r="Q23" i="16"/>
  <c r="Q25" i="16"/>
  <c r="Q27" i="16"/>
  <c r="Q8" i="16"/>
  <c r="Q10" i="16"/>
  <c r="Q12" i="16"/>
  <c r="Q14" i="16"/>
  <c r="Q16" i="16"/>
  <c r="Q18" i="16"/>
  <c r="Q20" i="16"/>
  <c r="Q22" i="16"/>
  <c r="Q24" i="16"/>
  <c r="Q26" i="16"/>
  <c r="Q83" i="16"/>
  <c r="Q87" i="16"/>
  <c r="Q91" i="16"/>
  <c r="Q95" i="16"/>
  <c r="Q82" i="16"/>
  <c r="Q86" i="16"/>
  <c r="Q90" i="16"/>
  <c r="Q94" i="16"/>
  <c r="Q81" i="16"/>
  <c r="Q85" i="16"/>
  <c r="Q93" i="16"/>
  <c r="Q80" i="16"/>
  <c r="Q84" i="16"/>
  <c r="Q88" i="16"/>
  <c r="Q92" i="16"/>
  <c r="Q96" i="16"/>
  <c r="Q89" i="16"/>
  <c r="S9" i="28"/>
  <c r="S19" i="28" s="1"/>
  <c r="R19" i="28"/>
  <c r="Q8" i="15" s="1"/>
  <c r="P82" i="14"/>
  <c r="J8" i="5"/>
  <c r="I13" i="5"/>
  <c r="I5" i="7" s="1"/>
  <c r="P54" i="9"/>
  <c r="AU41" i="16"/>
  <c r="BI41" i="16"/>
  <c r="P224" i="3"/>
  <c r="P164" i="3"/>
  <c r="P211" i="3" s="1"/>
  <c r="P162" i="3"/>
  <c r="P209" i="3" s="1"/>
  <c r="P222" i="3"/>
  <c r="P221" i="3"/>
  <c r="P161" i="3"/>
  <c r="P208" i="3" s="1"/>
  <c r="P157" i="3"/>
  <c r="P204" i="3" s="1"/>
  <c r="P217" i="3"/>
  <c r="P134" i="14"/>
  <c r="P138" i="14"/>
  <c r="P149" i="14"/>
  <c r="P146" i="14"/>
  <c r="P218" i="3"/>
  <c r="P158" i="3"/>
  <c r="P205" i="3" s="1"/>
  <c r="P292" i="14"/>
  <c r="P303" i="14"/>
  <c r="P288" i="14"/>
  <c r="P226" i="14"/>
  <c r="P222" i="14"/>
  <c r="P237" i="14"/>
  <c r="P160" i="14"/>
  <c r="P156" i="14"/>
  <c r="P171" i="14"/>
  <c r="P112" i="14"/>
  <c r="P127" i="14"/>
  <c r="P116" i="14"/>
  <c r="P124" i="14"/>
  <c r="P126" i="14"/>
  <c r="O53" i="6"/>
  <c r="O74" i="6"/>
  <c r="O62" i="6"/>
  <c r="Q148" i="14"/>
  <c r="P277" i="14"/>
  <c r="Q276" i="14"/>
  <c r="AU36" i="16"/>
  <c r="BI36" i="16"/>
  <c r="AU38" i="16"/>
  <c r="BI38" i="16"/>
  <c r="AU42" i="16"/>
  <c r="BI42" i="16"/>
  <c r="AU43" i="16"/>
  <c r="BI43" i="16"/>
  <c r="AU37" i="16"/>
  <c r="BI37" i="16"/>
  <c r="AU47" i="16"/>
  <c r="BI47" i="16"/>
  <c r="BV126" i="11"/>
  <c r="P177" i="3"/>
  <c r="O192" i="3"/>
  <c r="BV123" i="11"/>
  <c r="M55" i="15"/>
  <c r="R192" i="3"/>
  <c r="N39" i="15"/>
  <c r="AD119" i="11"/>
  <c r="AS119" i="11" s="1"/>
  <c r="BW119" i="11" s="1"/>
  <c r="AD120" i="11"/>
  <c r="AS120" i="11" s="1"/>
  <c r="BW120" i="11" s="1"/>
  <c r="AD121" i="11"/>
  <c r="AS121" i="11" s="1"/>
  <c r="AD122" i="11"/>
  <c r="AS122" i="11" s="1"/>
  <c r="BW122" i="11" s="1"/>
  <c r="AD123" i="11"/>
  <c r="AS123" i="11" s="1"/>
  <c r="AD124" i="11"/>
  <c r="AS124" i="11" s="1"/>
  <c r="AD125" i="11"/>
  <c r="AS125" i="11" s="1"/>
  <c r="BW125" i="11" s="1"/>
  <c r="AD126" i="11"/>
  <c r="AS126" i="11" s="1"/>
  <c r="AD127" i="11"/>
  <c r="AS127" i="11" s="1"/>
  <c r="AD128" i="11"/>
  <c r="AS128" i="11" s="1"/>
  <c r="AD129" i="11"/>
  <c r="AS129" i="11" s="1"/>
  <c r="AD130" i="11"/>
  <c r="AS130" i="11" s="1"/>
  <c r="AD131" i="11"/>
  <c r="AS131" i="11" s="1"/>
  <c r="AD132" i="11"/>
  <c r="AS132" i="11" s="1"/>
  <c r="AD133" i="11"/>
  <c r="AS133" i="11" s="1"/>
  <c r="AD134" i="11"/>
  <c r="AS134" i="11" s="1"/>
  <c r="Q38" i="15"/>
  <c r="Q54" i="15" s="1"/>
  <c r="AG103" i="11"/>
  <c r="AV103" i="11" s="1"/>
  <c r="BZ103" i="11" s="1"/>
  <c r="AG104" i="11"/>
  <c r="AV104" i="11" s="1"/>
  <c r="BZ104" i="11" s="1"/>
  <c r="AG105" i="11"/>
  <c r="AV105" i="11" s="1"/>
  <c r="AG106" i="11"/>
  <c r="AV106" i="11" s="1"/>
  <c r="BZ106" i="11" s="1"/>
  <c r="AG107" i="11"/>
  <c r="AV107" i="11" s="1"/>
  <c r="AG108" i="11"/>
  <c r="AV108" i="11" s="1"/>
  <c r="AG109" i="11"/>
  <c r="AV109" i="11" s="1"/>
  <c r="AG110" i="11"/>
  <c r="AV110" i="11" s="1"/>
  <c r="AG111" i="11"/>
  <c r="AV111" i="11" s="1"/>
  <c r="AG112" i="11"/>
  <c r="AV112" i="11" s="1"/>
  <c r="AG113" i="11"/>
  <c r="AV113" i="11" s="1"/>
  <c r="AG114" i="11"/>
  <c r="AV114" i="11" s="1"/>
  <c r="AG115" i="11"/>
  <c r="AV115" i="11" s="1"/>
  <c r="AG116" i="11"/>
  <c r="AV116" i="11" s="1"/>
  <c r="AG117" i="11"/>
  <c r="AV117" i="11" s="1"/>
  <c r="AG118" i="11"/>
  <c r="AV118" i="11" s="1"/>
  <c r="BZ107" i="11"/>
  <c r="P53" i="15"/>
  <c r="N237" i="3"/>
  <c r="Q37" i="15"/>
  <c r="AG87" i="11"/>
  <c r="AV87" i="11" s="1"/>
  <c r="BZ87" i="11" s="1"/>
  <c r="AG88" i="11"/>
  <c r="AV88" i="11" s="1"/>
  <c r="BZ88" i="11" s="1"/>
  <c r="AG89" i="11"/>
  <c r="AV89" i="11" s="1"/>
  <c r="AG90" i="11"/>
  <c r="AV90" i="11" s="1"/>
  <c r="BZ90" i="11" s="1"/>
  <c r="AG91" i="11"/>
  <c r="AV91" i="11" s="1"/>
  <c r="BZ91" i="11" s="1"/>
  <c r="AG92" i="11"/>
  <c r="AV92" i="11" s="1"/>
  <c r="AG93" i="11"/>
  <c r="AV93" i="11" s="1"/>
  <c r="AG94" i="11"/>
  <c r="AV94" i="11" s="1"/>
  <c r="AG95" i="11"/>
  <c r="AV95" i="11" s="1"/>
  <c r="AG96" i="11"/>
  <c r="AV96" i="11" s="1"/>
  <c r="AG97" i="11"/>
  <c r="AV97" i="11" s="1"/>
  <c r="AG98" i="11"/>
  <c r="AV98" i="11" s="1"/>
  <c r="AG99" i="11"/>
  <c r="AV99" i="11" s="1"/>
  <c r="AG100" i="11"/>
  <c r="AV100" i="11" s="1"/>
  <c r="AG101" i="11"/>
  <c r="AV101" i="11" s="1"/>
  <c r="AG102" i="11"/>
  <c r="AV102" i="11" s="1"/>
  <c r="N238" i="3"/>
  <c r="BK141" i="11"/>
  <c r="BZ141" i="11" s="1"/>
  <c r="BI142" i="11"/>
  <c r="BX142" i="11" s="1"/>
  <c r="AV32" i="16"/>
  <c r="BJ32" i="16"/>
  <c r="AV31" i="16"/>
  <c r="BJ31" i="16"/>
  <c r="AU30" i="16"/>
  <c r="BI30" i="16"/>
  <c r="AU29" i="16"/>
  <c r="BI29" i="16"/>
  <c r="N105" i="16"/>
  <c r="C105" i="16" s="1"/>
  <c r="C103" i="16"/>
  <c r="Q110" i="9"/>
  <c r="N260" i="14"/>
  <c r="N128" i="14"/>
  <c r="N318" i="14"/>
  <c r="N208" i="14"/>
  <c r="Q255" i="14"/>
  <c r="P258" i="14"/>
  <c r="P260" i="14" s="1"/>
  <c r="P256" i="14"/>
  <c r="N150" i="14"/>
  <c r="L74" i="6"/>
  <c r="L58" i="26"/>
  <c r="N122" i="30" s="1"/>
  <c r="N170" i="30" s="1"/>
  <c r="D50" i="4"/>
  <c r="D48" i="4"/>
  <c r="D51" i="4"/>
  <c r="D53" i="4" s="1"/>
  <c r="O194" i="14"/>
  <c r="O260" i="14"/>
  <c r="M39" i="7"/>
  <c r="M20" i="7"/>
  <c r="N3" i="7"/>
  <c r="M3" i="22"/>
  <c r="L20" i="22"/>
  <c r="O128" i="14"/>
  <c r="Q324" i="14"/>
  <c r="Q233" i="14"/>
  <c r="P234" i="14"/>
  <c r="P236" i="14"/>
  <c r="P238" i="14" s="1"/>
  <c r="BK244" i="11"/>
  <c r="BZ244" i="11" s="1"/>
  <c r="BK11" i="11"/>
  <c r="BK37" i="11"/>
  <c r="BZ37" i="11" s="1"/>
  <c r="BK63" i="11"/>
  <c r="BZ63" i="11" s="1"/>
  <c r="BK93" i="11"/>
  <c r="BK125" i="11"/>
  <c r="BK24" i="11"/>
  <c r="BK50" i="11"/>
  <c r="BZ50" i="11" s="1"/>
  <c r="BK77" i="11"/>
  <c r="BK109" i="11"/>
  <c r="P13" i="12"/>
  <c r="BJ158" i="11" s="1"/>
  <c r="BY158" i="11" s="1"/>
  <c r="BI94" i="11"/>
  <c r="BX94" i="11" s="1"/>
  <c r="BI126" i="11"/>
  <c r="BI78" i="11"/>
  <c r="BI110" i="11"/>
  <c r="BX110" i="11" s="1"/>
  <c r="P38" i="9"/>
  <c r="O39" i="9"/>
  <c r="O12" i="9"/>
  <c r="O24" i="9" s="1"/>
  <c r="O14" i="8" s="1"/>
  <c r="O14" i="21" s="1"/>
  <c r="P11" i="9"/>
  <c r="O84" i="14"/>
  <c r="O61" i="14"/>
  <c r="P10" i="18"/>
  <c r="Q17" i="10"/>
  <c r="P27" i="4" s="1"/>
  <c r="Q57" i="14"/>
  <c r="Q36" i="14"/>
  <c r="P37" i="14"/>
  <c r="P15" i="14"/>
  <c r="Q27" i="10"/>
  <c r="P28" i="10"/>
  <c r="O34" i="10"/>
  <c r="P33" i="10"/>
  <c r="O92" i="9"/>
  <c r="P18" i="9"/>
  <c r="O43" i="18"/>
  <c r="R7" i="10"/>
  <c r="R12" i="10"/>
  <c r="Q15" i="18" s="1"/>
  <c r="Q48" i="18" s="1"/>
  <c r="P13" i="3"/>
  <c r="P40" i="3"/>
  <c r="P82" i="3"/>
  <c r="P110" i="3"/>
  <c r="P139" i="3"/>
  <c r="P168" i="3" s="1"/>
  <c r="P183" i="3" s="1"/>
  <c r="P199" i="3" s="1"/>
  <c r="Q4" i="3"/>
  <c r="P27" i="3"/>
  <c r="P54" i="3"/>
  <c r="P68" i="3" s="1"/>
  <c r="P96" i="3"/>
  <c r="P124" i="3"/>
  <c r="P153" i="3"/>
  <c r="O216" i="14"/>
  <c r="O106" i="14"/>
  <c r="O238" i="14"/>
  <c r="O326" i="14"/>
  <c r="P16" i="14"/>
  <c r="O282" i="14"/>
  <c r="L53" i="6"/>
  <c r="M28" i="22"/>
  <c r="O54" i="30" s="1"/>
  <c r="D11" i="21"/>
  <c r="L7" i="29"/>
  <c r="N22" i="30"/>
  <c r="N17" i="5"/>
  <c r="N16" i="6" s="1"/>
  <c r="H50" i="6"/>
  <c r="H66" i="6" s="1"/>
  <c r="H68" i="6" s="1"/>
  <c r="H38" i="26"/>
  <c r="K7" i="26"/>
  <c r="K52" i="26" s="1"/>
  <c r="D20" i="21"/>
  <c r="E24" i="28" s="1"/>
  <c r="N234" i="3"/>
  <c r="N235" i="3"/>
  <c r="N236" i="3"/>
  <c r="M18" i="10"/>
  <c r="I15" i="34" s="1"/>
  <c r="I26" i="34" s="1"/>
  <c r="N164" i="14"/>
  <c r="N232" i="3"/>
  <c r="N231" i="3"/>
  <c r="N238" i="14"/>
  <c r="N230" i="14"/>
  <c r="M91" i="9"/>
  <c r="O8" i="10"/>
  <c r="O28" i="10"/>
  <c r="K69" i="26"/>
  <c r="M24" i="30"/>
  <c r="K8" i="29"/>
  <c r="AI54" i="16"/>
  <c r="AX7" i="16"/>
  <c r="AX54" i="16" s="1"/>
  <c r="D23" i="5" s="1"/>
  <c r="AJ7" i="16"/>
  <c r="M19" i="14"/>
  <c r="M11" i="18"/>
  <c r="M44" i="18" s="1"/>
  <c r="N282" i="14"/>
  <c r="N194" i="14"/>
  <c r="N142" i="14"/>
  <c r="M20" i="14"/>
  <c r="M62" i="14"/>
  <c r="M21" i="14" s="1"/>
  <c r="AK24" i="16"/>
  <c r="AY24" i="16"/>
  <c r="AY8" i="16"/>
  <c r="AK8" i="16"/>
  <c r="AK27" i="16"/>
  <c r="AY27" i="16"/>
  <c r="AY21" i="16"/>
  <c r="AK21" i="16"/>
  <c r="AY19" i="16"/>
  <c r="AK19" i="16"/>
  <c r="AK14" i="16"/>
  <c r="AY14" i="16"/>
  <c r="N12" i="9"/>
  <c r="N6" i="17" s="1"/>
  <c r="L13" i="14"/>
  <c r="J69" i="26"/>
  <c r="J8" i="29"/>
  <c r="L24" i="30"/>
  <c r="N172" i="14"/>
  <c r="N61" i="14"/>
  <c r="N84" i="14"/>
  <c r="N98" i="14"/>
  <c r="K13" i="6"/>
  <c r="K12" i="26" s="1"/>
  <c r="M5" i="14"/>
  <c r="M54" i="14"/>
  <c r="M13" i="14" s="1"/>
  <c r="M9" i="14"/>
  <c r="AY28" i="16"/>
  <c r="AK28" i="16"/>
  <c r="AY11" i="16"/>
  <c r="AK11" i="16"/>
  <c r="AY16" i="16"/>
  <c r="AK16" i="16"/>
  <c r="AY13" i="16"/>
  <c r="AK13" i="16"/>
  <c r="AY9" i="16"/>
  <c r="AK9" i="16"/>
  <c r="N9" i="10"/>
  <c r="M12" i="18" s="1"/>
  <c r="M45" i="18" s="1"/>
  <c r="N230" i="3"/>
  <c r="L4" i="17"/>
  <c r="L8" i="17" s="1"/>
  <c r="R54" i="16"/>
  <c r="N58" i="14"/>
  <c r="N17" i="14" s="1"/>
  <c r="N28" i="7" s="1"/>
  <c r="N304" i="14"/>
  <c r="N274" i="14"/>
  <c r="N186" i="14"/>
  <c r="N252" i="14"/>
  <c r="N120" i="14"/>
  <c r="J52" i="26"/>
  <c r="N7" i="17"/>
  <c r="N83" i="9"/>
  <c r="L21" i="14"/>
  <c r="N39" i="9"/>
  <c r="AK22" i="16"/>
  <c r="AY22" i="16"/>
  <c r="AY10" i="16"/>
  <c r="AK10" i="16"/>
  <c r="AY23" i="16"/>
  <c r="AK23" i="16"/>
  <c r="AK18" i="16"/>
  <c r="AY18" i="16"/>
  <c r="L63" i="26"/>
  <c r="N26" i="30"/>
  <c r="L85" i="6"/>
  <c r="L83" i="6" s="1"/>
  <c r="L26" i="30"/>
  <c r="J63" i="26"/>
  <c r="M18" i="6"/>
  <c r="N76" i="14"/>
  <c r="N326" i="14"/>
  <c r="N296" i="14"/>
  <c r="N50" i="14"/>
  <c r="M127" i="30"/>
  <c r="M175" i="30" s="1"/>
  <c r="K15" i="29"/>
  <c r="AK17" i="16"/>
  <c r="AY17" i="16"/>
  <c r="AK12" i="16"/>
  <c r="AY12" i="16"/>
  <c r="AY26" i="16"/>
  <c r="AK26" i="16"/>
  <c r="AY15" i="16"/>
  <c r="AK15" i="16"/>
  <c r="AY25" i="16"/>
  <c r="AK25" i="16"/>
  <c r="AY20" i="16"/>
  <c r="AK20" i="16"/>
  <c r="N60" i="14"/>
  <c r="N19" i="14" s="1"/>
  <c r="N46" i="14"/>
  <c r="M14" i="8"/>
  <c r="N92" i="9"/>
  <c r="C31" i="29"/>
  <c r="C32" i="29" s="1"/>
  <c r="C35" i="21"/>
  <c r="C36" i="21" s="1"/>
  <c r="G5" i="30"/>
  <c r="G32" i="30" s="1"/>
  <c r="E10" i="21"/>
  <c r="E9" i="21"/>
  <c r="L14" i="21"/>
  <c r="K18" i="5"/>
  <c r="L16" i="5" s="1"/>
  <c r="I41" i="6"/>
  <c r="I38" i="26" s="1"/>
  <c r="D34" i="29"/>
  <c r="D36" i="29" s="1"/>
  <c r="D40" i="29" s="1"/>
  <c r="AD7" i="16"/>
  <c r="AC54" i="16"/>
  <c r="H66" i="30"/>
  <c r="N66" i="30" s="1"/>
  <c r="F9" i="21"/>
  <c r="H5" i="30"/>
  <c r="P98" i="14" l="1"/>
  <c r="AV51" i="16"/>
  <c r="BK51" i="16" s="1"/>
  <c r="BJ51" i="16"/>
  <c r="O83" i="9"/>
  <c r="P49" i="9"/>
  <c r="P194" i="14"/>
  <c r="P128" i="14"/>
  <c r="P296" i="14"/>
  <c r="AV53" i="16"/>
  <c r="BK53" i="16" s="1"/>
  <c r="BJ53" i="16"/>
  <c r="Q7" i="9"/>
  <c r="P27" i="9"/>
  <c r="P46" i="9"/>
  <c r="O300" i="14"/>
  <c r="O302" i="14"/>
  <c r="O304" i="14" s="1"/>
  <c r="P322" i="14"/>
  <c r="P324" i="14"/>
  <c r="Q298" i="14"/>
  <c r="Q299" i="14" s="1"/>
  <c r="Q302" i="14" s="1"/>
  <c r="P299" i="14"/>
  <c r="O168" i="14"/>
  <c r="O170" i="14"/>
  <c r="P326" i="14"/>
  <c r="BJ35" i="16"/>
  <c r="AV35" i="16"/>
  <c r="BK35" i="16" s="1"/>
  <c r="Q165" i="14"/>
  <c r="Q167" i="14" s="1"/>
  <c r="P167" i="14"/>
  <c r="P230" i="14"/>
  <c r="P232" i="3"/>
  <c r="Q2" i="5"/>
  <c r="Q5" i="16" s="1"/>
  <c r="P5" i="16"/>
  <c r="AE5" i="16"/>
  <c r="AT5" i="16" s="1"/>
  <c r="BI5" i="16" s="1"/>
  <c r="O56" i="16"/>
  <c r="AV49" i="16"/>
  <c r="BJ49" i="16"/>
  <c r="BJ48" i="16"/>
  <c r="AV48" i="16"/>
  <c r="A148" i="14"/>
  <c r="P216" i="14"/>
  <c r="X19" i="11"/>
  <c r="AM19" i="11" s="1"/>
  <c r="BQ19" i="11" s="1"/>
  <c r="X23" i="11"/>
  <c r="AM23" i="11" s="1"/>
  <c r="X27" i="11"/>
  <c r="AM27" i="11" s="1"/>
  <c r="X20" i="11"/>
  <c r="AM20" i="11" s="1"/>
  <c r="BQ20" i="11" s="1"/>
  <c r="X24" i="11"/>
  <c r="AM24" i="11" s="1"/>
  <c r="BQ24" i="11" s="1"/>
  <c r="X28" i="11"/>
  <c r="AM28" i="11" s="1"/>
  <c r="X31" i="11"/>
  <c r="AM31" i="11" s="1"/>
  <c r="X22" i="11"/>
  <c r="AM22" i="11" s="1"/>
  <c r="BQ22" i="11" s="1"/>
  <c r="X26" i="11"/>
  <c r="AM26" i="11" s="1"/>
  <c r="X30" i="11"/>
  <c r="AM30" i="11" s="1"/>
  <c r="X21" i="11"/>
  <c r="AM21" i="11" s="1"/>
  <c r="X25" i="11"/>
  <c r="AM25" i="11" s="1"/>
  <c r="BQ25" i="11" s="1"/>
  <c r="X29" i="11"/>
  <c r="AM29" i="11" s="1"/>
  <c r="X8" i="11"/>
  <c r="AM8" i="11" s="1"/>
  <c r="X16" i="11"/>
  <c r="AM16" i="11" s="1"/>
  <c r="AM183" i="11" s="1"/>
  <c r="X9" i="11"/>
  <c r="AM9" i="11" s="1"/>
  <c r="X17" i="11"/>
  <c r="AM17" i="11" s="1"/>
  <c r="X14" i="11"/>
  <c r="AM14" i="11" s="1"/>
  <c r="X7" i="11"/>
  <c r="AM7" i="11" s="1"/>
  <c r="X15" i="11"/>
  <c r="AM15" i="11" s="1"/>
  <c r="AM182" i="11" s="1"/>
  <c r="H195" i="3"/>
  <c r="X12" i="11"/>
  <c r="AM12" i="11" s="1"/>
  <c r="BQ12" i="11" s="1"/>
  <c r="X6" i="11"/>
  <c r="AM6" i="11" s="1"/>
  <c r="X13" i="11"/>
  <c r="AM13" i="11" s="1"/>
  <c r="X10" i="11"/>
  <c r="AM10" i="11" s="1"/>
  <c r="AM175" i="11" s="1"/>
  <c r="AM251" i="11" s="1"/>
  <c r="AM253" i="11" s="1"/>
  <c r="X18" i="11"/>
  <c r="AM18" i="11" s="1"/>
  <c r="X11" i="11"/>
  <c r="AM11" i="11" s="1"/>
  <c r="H136" i="3"/>
  <c r="H214" i="3"/>
  <c r="H225" i="3" s="1"/>
  <c r="H32" i="18"/>
  <c r="P53" i="9"/>
  <c r="BZ93" i="11"/>
  <c r="P231" i="3"/>
  <c r="P235" i="3"/>
  <c r="P238" i="3"/>
  <c r="P230" i="3"/>
  <c r="P237" i="3"/>
  <c r="Q277" i="14"/>
  <c r="J10" i="5"/>
  <c r="J12" i="5"/>
  <c r="R22" i="10"/>
  <c r="Q3" i="9"/>
  <c r="Q56" i="9" s="1"/>
  <c r="A126" i="14"/>
  <c r="A82" i="14"/>
  <c r="P61" i="14"/>
  <c r="P20" i="14" s="1"/>
  <c r="P84" i="14"/>
  <c r="P50" i="14"/>
  <c r="P9" i="14" s="1"/>
  <c r="P22" i="6" s="1"/>
  <c r="P186" i="14"/>
  <c r="P318" i="14"/>
  <c r="P234" i="3"/>
  <c r="AV45" i="16"/>
  <c r="BJ45" i="16"/>
  <c r="BZ249" i="11"/>
  <c r="Q224" i="3"/>
  <c r="Q164" i="3"/>
  <c r="Q211" i="3" s="1"/>
  <c r="Q220" i="3"/>
  <c r="Q160" i="3"/>
  <c r="Q207" i="3" s="1"/>
  <c r="Q156" i="3"/>
  <c r="Q203" i="3" s="1"/>
  <c r="Q216" i="3"/>
  <c r="Q178" i="14"/>
  <c r="Q182" i="14"/>
  <c r="Q193" i="14"/>
  <c r="A193" i="14" s="1"/>
  <c r="A192" i="14"/>
  <c r="Q190" i="14"/>
  <c r="Q244" i="14"/>
  <c r="Q248" i="14"/>
  <c r="A248" i="14" s="1"/>
  <c r="Q259" i="14"/>
  <c r="A259" i="14" s="1"/>
  <c r="Q266" i="14"/>
  <c r="Q270" i="14"/>
  <c r="Q281" i="14"/>
  <c r="Q292" i="14"/>
  <c r="A292" i="14" s="1"/>
  <c r="Q288" i="14"/>
  <c r="A288" i="14" s="1"/>
  <c r="A289" i="14" s="1"/>
  <c r="Q303" i="14"/>
  <c r="A303" i="14" s="1"/>
  <c r="Q300" i="14"/>
  <c r="Q226" i="14"/>
  <c r="A226" i="14" s="1"/>
  <c r="Q222" i="14"/>
  <c r="Q237" i="14"/>
  <c r="Q314" i="14"/>
  <c r="Q310" i="14"/>
  <c r="Q325" i="14"/>
  <c r="Q72" i="14"/>
  <c r="Q68" i="14"/>
  <c r="Q83" i="14"/>
  <c r="Q80" i="14"/>
  <c r="AV47" i="16"/>
  <c r="BJ47" i="16"/>
  <c r="AV37" i="16"/>
  <c r="BJ37" i="16"/>
  <c r="AV43" i="16"/>
  <c r="BJ43" i="16"/>
  <c r="AV42" i="16"/>
  <c r="BJ42" i="16"/>
  <c r="AV38" i="16"/>
  <c r="BJ38" i="16"/>
  <c r="AV36" i="16"/>
  <c r="BJ36" i="16"/>
  <c r="P278" i="14"/>
  <c r="P280" i="14"/>
  <c r="P282" i="14" s="1"/>
  <c r="P120" i="14"/>
  <c r="P164" i="14"/>
  <c r="P142" i="14"/>
  <c r="P236" i="3"/>
  <c r="AV41" i="16"/>
  <c r="BJ41" i="16"/>
  <c r="Q28" i="16"/>
  <c r="Q54" i="16" s="1"/>
  <c r="Q17" i="5" s="1"/>
  <c r="Q16" i="6" s="1"/>
  <c r="Q103" i="16"/>
  <c r="Q105" i="16" s="1"/>
  <c r="O20" i="26"/>
  <c r="O85" i="6"/>
  <c r="O83" i="6" s="1"/>
  <c r="P208" i="14"/>
  <c r="P274" i="14"/>
  <c r="P76" i="14"/>
  <c r="P46" i="14"/>
  <c r="Q194" i="14"/>
  <c r="P15" i="26"/>
  <c r="P17" i="26" s="1"/>
  <c r="P18" i="6"/>
  <c r="BK39" i="16"/>
  <c r="BK40" i="16"/>
  <c r="BK34" i="16"/>
  <c r="P150" i="14"/>
  <c r="BK50" i="16"/>
  <c r="BK46" i="16"/>
  <c r="BK33" i="16"/>
  <c r="Q163" i="3"/>
  <c r="Q210" i="3" s="1"/>
  <c r="Q223" i="3"/>
  <c r="Q162" i="3"/>
  <c r="Q209" i="3" s="1"/>
  <c r="Q222" i="3"/>
  <c r="Q161" i="3"/>
  <c r="Q208" i="3" s="1"/>
  <c r="Q221" i="3"/>
  <c r="Q157" i="3"/>
  <c r="Q204" i="3" s="1"/>
  <c r="Q217" i="3"/>
  <c r="Q218" i="3"/>
  <c r="Q158" i="3"/>
  <c r="Q205" i="3" s="1"/>
  <c r="Q112" i="14"/>
  <c r="Q116" i="14"/>
  <c r="A116" i="14" s="1"/>
  <c r="Q127" i="14"/>
  <c r="A127" i="14" s="1"/>
  <c r="Q124" i="14"/>
  <c r="Q156" i="14"/>
  <c r="Q160" i="14"/>
  <c r="A160" i="14" s="1"/>
  <c r="Q171" i="14"/>
  <c r="A171" i="14" s="1"/>
  <c r="Q94" i="14"/>
  <c r="A94" i="14" s="1"/>
  <c r="Q90" i="14"/>
  <c r="Q105" i="14"/>
  <c r="Q102" i="14"/>
  <c r="Q204" i="14"/>
  <c r="A204" i="14" s="1"/>
  <c r="Q200" i="14"/>
  <c r="Q215" i="14"/>
  <c r="A215" i="14" s="1"/>
  <c r="A214" i="14"/>
  <c r="Q212" i="14"/>
  <c r="Q138" i="14"/>
  <c r="A138" i="14" s="1"/>
  <c r="Q134" i="14"/>
  <c r="Q149" i="14"/>
  <c r="A149" i="14" s="1"/>
  <c r="Q146" i="14"/>
  <c r="A104" i="14"/>
  <c r="BZ109" i="11"/>
  <c r="BW126" i="11"/>
  <c r="BW123" i="11"/>
  <c r="Q177" i="3"/>
  <c r="P192" i="3"/>
  <c r="N55" i="15"/>
  <c r="O39" i="15"/>
  <c r="AE124" i="11"/>
  <c r="AT124" i="11" s="1"/>
  <c r="AE119" i="11"/>
  <c r="AT119" i="11" s="1"/>
  <c r="BX119" i="11" s="1"/>
  <c r="AE120" i="11"/>
  <c r="AT120" i="11" s="1"/>
  <c r="BX120" i="11" s="1"/>
  <c r="AE121" i="11"/>
  <c r="AT121" i="11" s="1"/>
  <c r="AE122" i="11"/>
  <c r="AT122" i="11" s="1"/>
  <c r="BX122" i="11" s="1"/>
  <c r="AE123" i="11"/>
  <c r="AT123" i="11" s="1"/>
  <c r="AE134" i="11"/>
  <c r="AT134" i="11" s="1"/>
  <c r="AE133" i="11"/>
  <c r="AT133" i="11" s="1"/>
  <c r="AE132" i="11"/>
  <c r="AT132" i="11" s="1"/>
  <c r="AE131" i="11"/>
  <c r="AT131" i="11" s="1"/>
  <c r="AE130" i="11"/>
  <c r="AT130" i="11" s="1"/>
  <c r="AE129" i="11"/>
  <c r="AT129" i="11" s="1"/>
  <c r="AE128" i="11"/>
  <c r="AT128" i="11" s="1"/>
  <c r="AE127" i="11"/>
  <c r="AT127" i="11" s="1"/>
  <c r="AE126" i="11"/>
  <c r="AT126" i="11" s="1"/>
  <c r="BX126" i="11" s="1"/>
  <c r="AE125" i="11"/>
  <c r="AT125" i="11" s="1"/>
  <c r="BX125" i="11" s="1"/>
  <c r="Q53" i="15"/>
  <c r="BJ142" i="11"/>
  <c r="BY142" i="11" s="1"/>
  <c r="BK32" i="16"/>
  <c r="BK31" i="16"/>
  <c r="AV30" i="16"/>
  <c r="BJ30" i="16"/>
  <c r="AV29" i="16"/>
  <c r="BJ29" i="16"/>
  <c r="O9" i="10"/>
  <c r="N12" i="18" s="1"/>
  <c r="N45" i="18" s="1"/>
  <c r="N91" i="9"/>
  <c r="Q256" i="14"/>
  <c r="Q258" i="14"/>
  <c r="N9" i="14"/>
  <c r="A324" i="14"/>
  <c r="O3" i="7"/>
  <c r="N39" i="7"/>
  <c r="N20" i="7"/>
  <c r="M20" i="22"/>
  <c r="N3" i="22"/>
  <c r="Q234" i="14"/>
  <c r="Q236" i="14"/>
  <c r="Q238" i="14" s="1"/>
  <c r="Q168" i="14"/>
  <c r="Q170" i="14"/>
  <c r="Q13" i="12"/>
  <c r="BK158" i="11" s="1"/>
  <c r="BZ158" i="11" s="1"/>
  <c r="BJ78" i="11"/>
  <c r="BJ110" i="11"/>
  <c r="BY110" i="11" s="1"/>
  <c r="BJ94" i="11"/>
  <c r="BY94" i="11" s="1"/>
  <c r="BJ126" i="11"/>
  <c r="Q13" i="3"/>
  <c r="Q40" i="3"/>
  <c r="Q82" i="3"/>
  <c r="Q110" i="3"/>
  <c r="Q139" i="3"/>
  <c r="Q168" i="3" s="1"/>
  <c r="Q183" i="3" s="1"/>
  <c r="Q199" i="3" s="1"/>
  <c r="Q27" i="3"/>
  <c r="Q54" i="3"/>
  <c r="Q68" i="3" s="1"/>
  <c r="Q96" i="3"/>
  <c r="Q124" i="3"/>
  <c r="Q153" i="3"/>
  <c r="Q10" i="18"/>
  <c r="R17" i="10"/>
  <c r="Q27" i="4" s="1"/>
  <c r="Q18" i="9"/>
  <c r="P92" i="9"/>
  <c r="Q33" i="10"/>
  <c r="Q8" i="10" s="1"/>
  <c r="P34" i="10"/>
  <c r="P9" i="10" s="1"/>
  <c r="O12" i="18" s="1"/>
  <c r="O45" i="18" s="1"/>
  <c r="P43" i="18"/>
  <c r="P12" i="9"/>
  <c r="P8" i="10"/>
  <c r="AD54" i="16"/>
  <c r="AE7" i="16"/>
  <c r="Q28" i="10"/>
  <c r="R27" i="10"/>
  <c r="Q37" i="14"/>
  <c r="Q16" i="14" s="1"/>
  <c r="Q15" i="14"/>
  <c r="O20" i="14"/>
  <c r="P39" i="9"/>
  <c r="P5" i="17" s="1"/>
  <c r="Q49" i="9"/>
  <c r="P7" i="17"/>
  <c r="P83" i="9"/>
  <c r="O91" i="9"/>
  <c r="O6" i="17"/>
  <c r="O5" i="17"/>
  <c r="N28" i="22"/>
  <c r="N24" i="9"/>
  <c r="N14" i="8" s="1"/>
  <c r="N15" i="26"/>
  <c r="N17" i="26" s="1"/>
  <c r="N7" i="29" s="1"/>
  <c r="N18" i="6"/>
  <c r="N62" i="6" s="1"/>
  <c r="I16" i="34"/>
  <c r="N5" i="14"/>
  <c r="N54" i="14"/>
  <c r="AZ12" i="16"/>
  <c r="AL12" i="16"/>
  <c r="AL17" i="16"/>
  <c r="AZ17" i="16"/>
  <c r="M74" i="6"/>
  <c r="M62" i="6"/>
  <c r="M53" i="6"/>
  <c r="L127" i="30"/>
  <c r="L175" i="30" s="1"/>
  <c r="J15" i="29"/>
  <c r="L8" i="29"/>
  <c r="N24" i="30"/>
  <c r="L69" i="26"/>
  <c r="AZ23" i="16"/>
  <c r="AL23" i="16"/>
  <c r="AZ10" i="16"/>
  <c r="AL10" i="16"/>
  <c r="AZ9" i="16"/>
  <c r="AL9" i="16"/>
  <c r="AL13" i="16"/>
  <c r="AZ13" i="16"/>
  <c r="AZ16" i="16"/>
  <c r="AL16" i="16"/>
  <c r="AZ11" i="16"/>
  <c r="AL11" i="16"/>
  <c r="AL28" i="16"/>
  <c r="AZ28" i="16"/>
  <c r="AL14" i="16"/>
  <c r="AZ14" i="16"/>
  <c r="AL27" i="16"/>
  <c r="AZ27" i="16"/>
  <c r="AL24" i="16"/>
  <c r="AZ24" i="16"/>
  <c r="AY7" i="16"/>
  <c r="AY54" i="16" s="1"/>
  <c r="E23" i="5" s="1"/>
  <c r="AJ54" i="16"/>
  <c r="AK7" i="16"/>
  <c r="N5" i="17"/>
  <c r="N18" i="10"/>
  <c r="J15" i="34" s="1"/>
  <c r="AL20" i="16"/>
  <c r="AZ20" i="16"/>
  <c r="AZ25" i="16"/>
  <c r="AL25" i="16"/>
  <c r="AZ15" i="16"/>
  <c r="AL15" i="16"/>
  <c r="AL26" i="16"/>
  <c r="AZ26" i="16"/>
  <c r="I111" i="30"/>
  <c r="O111" i="30" s="1"/>
  <c r="I107" i="30"/>
  <c r="O107" i="30" s="1"/>
  <c r="L15" i="29"/>
  <c r="N127" i="30"/>
  <c r="N175" i="30" s="1"/>
  <c r="AL18" i="16"/>
  <c r="AZ18" i="16"/>
  <c r="AZ22" i="16"/>
  <c r="AL22" i="16"/>
  <c r="L56" i="6"/>
  <c r="L7" i="6"/>
  <c r="L7" i="26" s="1"/>
  <c r="L38" i="4"/>
  <c r="L41" i="4" s="1"/>
  <c r="L30" i="7" s="1"/>
  <c r="L30" i="22" s="1"/>
  <c r="M22" i="6"/>
  <c r="M21" i="26" s="1"/>
  <c r="M21" i="6"/>
  <c r="M20" i="26" s="1"/>
  <c r="N62" i="14"/>
  <c r="N20" i="14"/>
  <c r="L133" i="30"/>
  <c r="L181" i="30" s="1"/>
  <c r="J67" i="26"/>
  <c r="L131" i="30" s="1"/>
  <c r="L179" i="30" s="1"/>
  <c r="AL19" i="16"/>
  <c r="AZ19" i="16"/>
  <c r="AZ21" i="16"/>
  <c r="AL21" i="16"/>
  <c r="AZ8" i="16"/>
  <c r="AL8" i="16"/>
  <c r="M56" i="6"/>
  <c r="M7" i="6"/>
  <c r="D24" i="5"/>
  <c r="D30" i="5"/>
  <c r="M133" i="30"/>
  <c r="M181" i="30" s="1"/>
  <c r="K67" i="26"/>
  <c r="M131" i="30" s="1"/>
  <c r="M179" i="30" s="1"/>
  <c r="O18" i="10"/>
  <c r="N11" i="18"/>
  <c r="N44" i="18" s="1"/>
  <c r="N4" i="17"/>
  <c r="M4" i="17"/>
  <c r="M8" i="17" s="1"/>
  <c r="J41" i="6"/>
  <c r="I47" i="26"/>
  <c r="C36" i="29"/>
  <c r="C40" i="29" s="1"/>
  <c r="C58" i="29"/>
  <c r="H67" i="30"/>
  <c r="E41" i="7"/>
  <c r="F41" i="7"/>
  <c r="L18" i="5"/>
  <c r="M16" i="5" s="1"/>
  <c r="E11" i="21"/>
  <c r="E12" i="21"/>
  <c r="D25" i="28"/>
  <c r="E7" i="30"/>
  <c r="M14" i="21"/>
  <c r="I50" i="6"/>
  <c r="H47" i="26"/>
  <c r="AM184" i="11" l="1"/>
  <c r="P168" i="14"/>
  <c r="P170" i="14"/>
  <c r="O60" i="14"/>
  <c r="O172" i="14"/>
  <c r="O58" i="14"/>
  <c r="O17" i="14" s="1"/>
  <c r="O28" i="7" s="1"/>
  <c r="O28" i="22" s="1"/>
  <c r="P302" i="14"/>
  <c r="P300" i="14"/>
  <c r="Q27" i="9"/>
  <c r="Q46" i="9"/>
  <c r="K15" i="34"/>
  <c r="K26" i="34" s="1"/>
  <c r="Q38" i="9"/>
  <c r="Q11" i="9"/>
  <c r="Q260" i="14"/>
  <c r="Q142" i="14"/>
  <c r="Q164" i="14"/>
  <c r="Q120" i="14"/>
  <c r="P56" i="16"/>
  <c r="AF5" i="16"/>
  <c r="AU5" i="16" s="1"/>
  <c r="BJ5" i="16" s="1"/>
  <c r="AG5" i="16"/>
  <c r="AV5" i="16" s="1"/>
  <c r="BK5" i="16" s="1"/>
  <c r="Q56" i="16"/>
  <c r="BK48" i="16"/>
  <c r="BK49" i="16"/>
  <c r="A325" i="14"/>
  <c r="A314" i="14"/>
  <c r="A270" i="14"/>
  <c r="A182" i="14"/>
  <c r="A120" i="14"/>
  <c r="A281" i="14"/>
  <c r="Q53" i="9"/>
  <c r="AM185" i="11"/>
  <c r="AM178" i="11"/>
  <c r="AM179" i="11"/>
  <c r="AM172" i="11"/>
  <c r="AM173" i="11"/>
  <c r="BQ9" i="11"/>
  <c r="BQ173" i="11" s="1"/>
  <c r="H40" i="9"/>
  <c r="H43" i="9" s="1"/>
  <c r="H13" i="8" s="1"/>
  <c r="H13" i="21" s="1"/>
  <c r="H7" i="3"/>
  <c r="E5" i="34"/>
  <c r="E28" i="34" s="1"/>
  <c r="AM176" i="11"/>
  <c r="BQ11" i="11"/>
  <c r="BQ176" i="11" s="1"/>
  <c r="AM170" i="11"/>
  <c r="BQ6" i="11"/>
  <c r="BQ170" i="11" s="1"/>
  <c r="H49" i="32"/>
  <c r="H57" i="32" s="1"/>
  <c r="H197" i="3"/>
  <c r="BQ7" i="11"/>
  <c r="BQ171" i="11" s="1"/>
  <c r="AM171" i="11"/>
  <c r="Q231" i="3"/>
  <c r="Q235" i="3"/>
  <c r="Q236" i="3"/>
  <c r="Q237" i="3"/>
  <c r="Q234" i="3"/>
  <c r="Q238" i="3"/>
  <c r="Q208" i="14"/>
  <c r="A200" i="14"/>
  <c r="A201" i="14" s="1"/>
  <c r="A105" i="14"/>
  <c r="Q232" i="3"/>
  <c r="P58" i="26"/>
  <c r="P50" i="26"/>
  <c r="P7" i="29"/>
  <c r="P5" i="14"/>
  <c r="P21" i="6" s="1"/>
  <c r="P54" i="14"/>
  <c r="P13" i="14" s="1"/>
  <c r="Q128" i="14"/>
  <c r="A128" i="14" s="1"/>
  <c r="A142" i="14"/>
  <c r="A164" i="14"/>
  <c r="BK36" i="16"/>
  <c r="BK38" i="16"/>
  <c r="BK42" i="16"/>
  <c r="BK43" i="16"/>
  <c r="BK37" i="16"/>
  <c r="BK47" i="16"/>
  <c r="Q61" i="14"/>
  <c r="Q84" i="14"/>
  <c r="A83" i="14"/>
  <c r="Q50" i="14"/>
  <c r="A72" i="14"/>
  <c r="Q318" i="14"/>
  <c r="A310" i="14"/>
  <c r="A311" i="14" s="1"/>
  <c r="A237" i="14"/>
  <c r="Q296" i="14"/>
  <c r="A296" i="14" s="1"/>
  <c r="Q274" i="14"/>
  <c r="A274" i="14" s="1"/>
  <c r="A266" i="14"/>
  <c r="A267" i="14" s="1"/>
  <c r="Q186" i="14"/>
  <c r="A178" i="14"/>
  <c r="A179" i="14" s="1"/>
  <c r="Q230" i="3"/>
  <c r="Q106" i="14"/>
  <c r="A106" i="14" s="1"/>
  <c r="Q216" i="14"/>
  <c r="Q54" i="9"/>
  <c r="Q150" i="14"/>
  <c r="A150" i="14" s="1"/>
  <c r="A194" i="14"/>
  <c r="Q326" i="14"/>
  <c r="A326" i="14" s="1"/>
  <c r="A134" i="14"/>
  <c r="A135" i="14" s="1"/>
  <c r="A156" i="14"/>
  <c r="A157" i="14" s="1"/>
  <c r="Q98" i="14"/>
  <c r="A98" i="14" s="1"/>
  <c r="A90" i="14"/>
  <c r="A91" i="14" s="1"/>
  <c r="P62" i="6"/>
  <c r="P74" i="6"/>
  <c r="P53" i="6"/>
  <c r="A112" i="14"/>
  <c r="A113" i="14" s="1"/>
  <c r="O69" i="26"/>
  <c r="O67" i="26" s="1"/>
  <c r="O8" i="29"/>
  <c r="Q15" i="26"/>
  <c r="Q17" i="26" s="1"/>
  <c r="Q18" i="6"/>
  <c r="BK41" i="16"/>
  <c r="Q76" i="14"/>
  <c r="A76" i="14" s="1"/>
  <c r="Q46" i="14"/>
  <c r="A46" i="14" s="1"/>
  <c r="A47" i="14" s="1"/>
  <c r="A68" i="14"/>
  <c r="A69" i="14" s="1"/>
  <c r="Q230" i="14"/>
  <c r="A230" i="14" s="1"/>
  <c r="A222" i="14"/>
  <c r="A223" i="14" s="1"/>
  <c r="Q252" i="14"/>
  <c r="A252" i="14" s="1"/>
  <c r="A244" i="14"/>
  <c r="A245" i="14" s="1"/>
  <c r="BK45" i="16"/>
  <c r="P21" i="26"/>
  <c r="P63" i="26" s="1"/>
  <c r="P15" i="29" s="1"/>
  <c r="P65" i="6"/>
  <c r="P79" i="6"/>
  <c r="K8" i="5"/>
  <c r="J13" i="5"/>
  <c r="J5" i="7" s="1"/>
  <c r="Q304" i="14"/>
  <c r="Q278" i="14"/>
  <c r="Q58" i="14" s="1"/>
  <c r="Q17" i="14" s="1"/>
  <c r="Q28" i="7" s="1"/>
  <c r="Q28" i="22" s="1"/>
  <c r="Q280" i="14"/>
  <c r="Q60" i="14" s="1"/>
  <c r="P39" i="15"/>
  <c r="AF124" i="11"/>
  <c r="AU124" i="11" s="1"/>
  <c r="AF125" i="11"/>
  <c r="AU125" i="11" s="1"/>
  <c r="BY125" i="11" s="1"/>
  <c r="AF126" i="11"/>
  <c r="AU126" i="11" s="1"/>
  <c r="BY126" i="11" s="1"/>
  <c r="AF127" i="11"/>
  <c r="AU127" i="11" s="1"/>
  <c r="AF134" i="11"/>
  <c r="AU134" i="11" s="1"/>
  <c r="AF133" i="11"/>
  <c r="AU133" i="11" s="1"/>
  <c r="AF132" i="11"/>
  <c r="AU132" i="11" s="1"/>
  <c r="AF131" i="11"/>
  <c r="AU131" i="11" s="1"/>
  <c r="AF130" i="11"/>
  <c r="AU130" i="11" s="1"/>
  <c r="AF129" i="11"/>
  <c r="AU129" i="11" s="1"/>
  <c r="AF128" i="11"/>
  <c r="AU128" i="11" s="1"/>
  <c r="AF119" i="11"/>
  <c r="AU119" i="11" s="1"/>
  <c r="BY119" i="11" s="1"/>
  <c r="AF120" i="11"/>
  <c r="AU120" i="11" s="1"/>
  <c r="BY120" i="11" s="1"/>
  <c r="AF121" i="11"/>
  <c r="AU121" i="11" s="1"/>
  <c r="AF122" i="11"/>
  <c r="AU122" i="11" s="1"/>
  <c r="BY122" i="11" s="1"/>
  <c r="AF123" i="11"/>
  <c r="AU123" i="11" s="1"/>
  <c r="BX123" i="11"/>
  <c r="O55" i="15"/>
  <c r="Q192" i="3"/>
  <c r="BK142" i="11"/>
  <c r="BZ142" i="11" s="1"/>
  <c r="BK30" i="16"/>
  <c r="BK29" i="16"/>
  <c r="N53" i="6"/>
  <c r="N21" i="6"/>
  <c r="N20" i="26" s="1"/>
  <c r="A260" i="14"/>
  <c r="A258" i="14"/>
  <c r="N22" i="6"/>
  <c r="N13" i="14"/>
  <c r="A238" i="14"/>
  <c r="A236" i="14"/>
  <c r="A170" i="14"/>
  <c r="O20" i="7"/>
  <c r="P3" i="7"/>
  <c r="O39" i="7"/>
  <c r="N20" i="22"/>
  <c r="O3" i="22"/>
  <c r="Q172" i="14"/>
  <c r="BK94" i="11"/>
  <c r="BZ94" i="11" s="1"/>
  <c r="BK126" i="11"/>
  <c r="BK78" i="11"/>
  <c r="BK110" i="11"/>
  <c r="BZ110" i="11" s="1"/>
  <c r="Q7" i="17"/>
  <c r="Q39" i="9"/>
  <c r="O11" i="18"/>
  <c r="O4" i="17"/>
  <c r="O8" i="17" s="1"/>
  <c r="P18" i="10"/>
  <c r="L15" i="34" s="1"/>
  <c r="R33" i="10"/>
  <c r="R8" i="10" s="1"/>
  <c r="Q34" i="10"/>
  <c r="Q9" i="10" s="1"/>
  <c r="Q92" i="9"/>
  <c r="P91" i="9"/>
  <c r="P24" i="9"/>
  <c r="P14" i="8" s="1"/>
  <c r="P14" i="21" s="1"/>
  <c r="R28" i="10"/>
  <c r="P11" i="18"/>
  <c r="AF7" i="16"/>
  <c r="AE54" i="16"/>
  <c r="Q12" i="9"/>
  <c r="Q43" i="18"/>
  <c r="P6" i="17"/>
  <c r="N74" i="6"/>
  <c r="N58" i="26"/>
  <c r="N8" i="17"/>
  <c r="N38" i="4" s="1"/>
  <c r="N41" i="4" s="1"/>
  <c r="N30" i="7" s="1"/>
  <c r="N30" i="22" s="1"/>
  <c r="N50" i="26"/>
  <c r="M7" i="26"/>
  <c r="M52" i="26" s="1"/>
  <c r="J50" i="6"/>
  <c r="J66" i="6" s="1"/>
  <c r="J68" i="6" s="1"/>
  <c r="J38" i="26"/>
  <c r="J47" i="26" s="1"/>
  <c r="D25" i="5"/>
  <c r="BA8" i="16"/>
  <c r="AM8" i="16"/>
  <c r="BA21" i="16"/>
  <c r="AM21" i="16"/>
  <c r="N21" i="14"/>
  <c r="M85" i="6"/>
  <c r="M83" i="6" s="1"/>
  <c r="M65" i="6"/>
  <c r="M79" i="6"/>
  <c r="L13" i="6"/>
  <c r="L12" i="26" s="1"/>
  <c r="L52" i="26"/>
  <c r="AM22" i="16"/>
  <c r="BA22" i="16"/>
  <c r="AM15" i="16"/>
  <c r="BA15" i="16"/>
  <c r="AM25" i="16"/>
  <c r="BA25" i="16"/>
  <c r="BA24" i="16"/>
  <c r="AM24" i="16"/>
  <c r="AM27" i="16"/>
  <c r="BA27" i="16"/>
  <c r="AM14" i="16"/>
  <c r="BA14" i="16"/>
  <c r="AM28" i="16"/>
  <c r="BA28" i="16"/>
  <c r="BA13" i="16"/>
  <c r="AM13" i="16"/>
  <c r="BA10" i="16"/>
  <c r="AM10" i="16"/>
  <c r="BA23" i="16"/>
  <c r="AM23" i="16"/>
  <c r="N133" i="30"/>
  <c r="N181" i="30" s="1"/>
  <c r="L67" i="26"/>
  <c r="N131" i="30" s="1"/>
  <c r="N179" i="30" s="1"/>
  <c r="AM12" i="16"/>
  <c r="BA12" i="16"/>
  <c r="M38" i="4"/>
  <c r="M41" i="4" s="1"/>
  <c r="M30" i="7" s="1"/>
  <c r="M30" i="22" s="1"/>
  <c r="D26" i="18"/>
  <c r="D33" i="18"/>
  <c r="D34" i="18" s="1"/>
  <c r="D35" i="18" s="1"/>
  <c r="BA19" i="16"/>
  <c r="AM19" i="16"/>
  <c r="AM18" i="16"/>
  <c r="BA18" i="16"/>
  <c r="M7" i="29"/>
  <c r="M58" i="26"/>
  <c r="O122" i="30" s="1"/>
  <c r="O170" i="30" s="1"/>
  <c r="O22" i="30"/>
  <c r="M50" i="26"/>
  <c r="I109" i="30"/>
  <c r="O109" i="30" s="1"/>
  <c r="BA26" i="16"/>
  <c r="AM26" i="16"/>
  <c r="AM20" i="16"/>
  <c r="BA20" i="16"/>
  <c r="J26" i="34"/>
  <c r="J16" i="34"/>
  <c r="AK54" i="16"/>
  <c r="AZ7" i="16"/>
  <c r="AZ54" i="16" s="1"/>
  <c r="F23" i="5" s="1"/>
  <c r="AL7" i="16"/>
  <c r="E30" i="5"/>
  <c r="E24" i="5"/>
  <c r="AM11" i="16"/>
  <c r="BA11" i="16"/>
  <c r="BA16" i="16"/>
  <c r="AM16" i="16"/>
  <c r="BA9" i="16"/>
  <c r="AM9" i="16"/>
  <c r="BA17" i="16"/>
  <c r="AM17" i="16"/>
  <c r="N14" i="21"/>
  <c r="C53" i="29"/>
  <c r="C43" i="29"/>
  <c r="C47" i="29" s="1"/>
  <c r="E14" i="30"/>
  <c r="E34" i="30" s="1"/>
  <c r="D9" i="15"/>
  <c r="D36" i="28"/>
  <c r="I66" i="6"/>
  <c r="I68" i="6" s="1"/>
  <c r="M18" i="5"/>
  <c r="N16" i="5" s="1"/>
  <c r="H102" i="30"/>
  <c r="N102" i="30" s="1"/>
  <c r="K41" i="6"/>
  <c r="I72" i="30"/>
  <c r="O72" i="30" s="1"/>
  <c r="K16" i="34" l="1"/>
  <c r="P58" i="14"/>
  <c r="P17" i="14" s="1"/>
  <c r="P28" i="7" s="1"/>
  <c r="P28" i="22" s="1"/>
  <c r="O19" i="14"/>
  <c r="O62" i="14"/>
  <c r="O21" i="14" s="1"/>
  <c r="P304" i="14"/>
  <c r="A302" i="14"/>
  <c r="P172" i="14"/>
  <c r="A172" i="14" s="1"/>
  <c r="P60" i="14"/>
  <c r="A304" i="14"/>
  <c r="Q83" i="9"/>
  <c r="Q91" i="9"/>
  <c r="A208" i="14"/>
  <c r="A186" i="14"/>
  <c r="AM187" i="11"/>
  <c r="H5" i="29"/>
  <c r="H6" i="29" s="1"/>
  <c r="H11" i="3"/>
  <c r="H101" i="9"/>
  <c r="Q5" i="14"/>
  <c r="Q54" i="14"/>
  <c r="Q74" i="6"/>
  <c r="Q53" i="6"/>
  <c r="Q62" i="6"/>
  <c r="P95" i="14"/>
  <c r="P103" i="14" s="1"/>
  <c r="N95" i="14"/>
  <c r="N103" i="14" s="1"/>
  <c r="I95" i="14"/>
  <c r="I103" i="14" s="1"/>
  <c r="L95" i="14"/>
  <c r="L103" i="14" s="1"/>
  <c r="K95" i="14"/>
  <c r="K103" i="14" s="1"/>
  <c r="O95" i="14"/>
  <c r="O103" i="14" s="1"/>
  <c r="J95" i="14"/>
  <c r="J103" i="14" s="1"/>
  <c r="M95" i="14"/>
  <c r="M103" i="14" s="1"/>
  <c r="Q95" i="14"/>
  <c r="Q103" i="14" s="1"/>
  <c r="H95" i="14"/>
  <c r="H103" i="14" s="1"/>
  <c r="G95" i="14"/>
  <c r="A318" i="14"/>
  <c r="Q9" i="14"/>
  <c r="A50" i="14"/>
  <c r="A84" i="14"/>
  <c r="P85" i="6"/>
  <c r="P83" i="6" s="1"/>
  <c r="P20" i="26"/>
  <c r="Q282" i="14"/>
  <c r="A282" i="14" s="1"/>
  <c r="A280" i="14"/>
  <c r="K12" i="5"/>
  <c r="K10" i="5"/>
  <c r="O117" i="14"/>
  <c r="O125" i="14" s="1"/>
  <c r="O161" i="14"/>
  <c r="O169" i="14" s="1"/>
  <c r="O249" i="14"/>
  <c r="O257" i="14" s="1"/>
  <c r="Q117" i="14"/>
  <c r="Q125" i="14" s="1"/>
  <c r="H183" i="14"/>
  <c r="H191" i="14" s="1"/>
  <c r="N139" i="14"/>
  <c r="N147" i="14" s="1"/>
  <c r="K271" i="14"/>
  <c r="K279" i="14" s="1"/>
  <c r="J227" i="14"/>
  <c r="J235" i="14" s="1"/>
  <c r="H249" i="14"/>
  <c r="H257" i="14" s="1"/>
  <c r="J205" i="14"/>
  <c r="J213" i="14" s="1"/>
  <c r="J271" i="14"/>
  <c r="J279" i="14" s="1"/>
  <c r="H293" i="14"/>
  <c r="H301" i="14" s="1"/>
  <c r="L161" i="14"/>
  <c r="L169" i="14" s="1"/>
  <c r="K227" i="14"/>
  <c r="K235" i="14" s="1"/>
  <c r="J73" i="14"/>
  <c r="Q139" i="14"/>
  <c r="Q147" i="14" s="1"/>
  <c r="Q271" i="14"/>
  <c r="Q279" i="14" s="1"/>
  <c r="P139" i="14"/>
  <c r="P147" i="14" s="1"/>
  <c r="P271" i="14"/>
  <c r="P279" i="14" s="1"/>
  <c r="Q183" i="14"/>
  <c r="Q191" i="14" s="1"/>
  <c r="K183" i="14"/>
  <c r="K191" i="14" s="1"/>
  <c r="H227" i="14"/>
  <c r="H235" i="14" s="1"/>
  <c r="G205" i="14"/>
  <c r="J249" i="14"/>
  <c r="J257" i="14" s="1"/>
  <c r="M205" i="14"/>
  <c r="M213" i="14" s="1"/>
  <c r="G227" i="14"/>
  <c r="I227" i="14"/>
  <c r="I235" i="14" s="1"/>
  <c r="N117" i="14"/>
  <c r="N125" i="14" s="1"/>
  <c r="L205" i="14"/>
  <c r="L213" i="14" s="1"/>
  <c r="M73" i="14"/>
  <c r="K161" i="14"/>
  <c r="K169" i="14" s="1"/>
  <c r="K293" i="14"/>
  <c r="K301" i="14" s="1"/>
  <c r="H161" i="14"/>
  <c r="H169" i="14" s="1"/>
  <c r="M139" i="14"/>
  <c r="M147" i="14" s="1"/>
  <c r="J293" i="14"/>
  <c r="J301" i="14" s="1"/>
  <c r="I293" i="14"/>
  <c r="I301" i="14" s="1"/>
  <c r="G271" i="14"/>
  <c r="N183" i="14"/>
  <c r="N191" i="14" s="1"/>
  <c r="M183" i="14"/>
  <c r="M191" i="14" s="1"/>
  <c r="L73" i="14"/>
  <c r="H117" i="14"/>
  <c r="H125" i="14" s="1"/>
  <c r="G139" i="14"/>
  <c r="G315" i="14"/>
  <c r="G183" i="14"/>
  <c r="M117" i="14"/>
  <c r="M125" i="14" s="1"/>
  <c r="N227" i="14"/>
  <c r="N235" i="14" s="1"/>
  <c r="M315" i="14"/>
  <c r="M323" i="14" s="1"/>
  <c r="K73" i="14"/>
  <c r="J315" i="14"/>
  <c r="J323" i="14" s="1"/>
  <c r="M271" i="14"/>
  <c r="M279" i="14" s="1"/>
  <c r="I249" i="14"/>
  <c r="I257" i="14" s="1"/>
  <c r="N249" i="14"/>
  <c r="N257" i="14" s="1"/>
  <c r="G293" i="14"/>
  <c r="Q293" i="14"/>
  <c r="Q301" i="14" s="1"/>
  <c r="Q249" i="14"/>
  <c r="Q257" i="14" s="1"/>
  <c r="Q205" i="14"/>
  <c r="Q213" i="14" s="1"/>
  <c r="Q161" i="14"/>
  <c r="Q169" i="14" s="1"/>
  <c r="P117" i="14"/>
  <c r="P125" i="14" s="1"/>
  <c r="O315" i="14"/>
  <c r="O323" i="14" s="1"/>
  <c r="O271" i="14"/>
  <c r="O279" i="14" s="1"/>
  <c r="O227" i="14"/>
  <c r="O235" i="14" s="1"/>
  <c r="O183" i="14"/>
  <c r="O191" i="14" s="1"/>
  <c r="O139" i="14"/>
  <c r="O147" i="14" s="1"/>
  <c r="Q73" i="14"/>
  <c r="O205" i="14"/>
  <c r="O213" i="14" s="1"/>
  <c r="O293" i="14"/>
  <c r="O301" i="14" s="1"/>
  <c r="K205" i="14"/>
  <c r="K213" i="14" s="1"/>
  <c r="N293" i="14"/>
  <c r="N301" i="14" s="1"/>
  <c r="L117" i="14"/>
  <c r="L125" i="14" s="1"/>
  <c r="L227" i="14"/>
  <c r="L235" i="14" s="1"/>
  <c r="L139" i="14"/>
  <c r="L147" i="14" s="1"/>
  <c r="N271" i="14"/>
  <c r="N279" i="14" s="1"/>
  <c r="H315" i="14"/>
  <c r="H323" i="14" s="1"/>
  <c r="I205" i="14"/>
  <c r="I213" i="14" s="1"/>
  <c r="M227" i="14"/>
  <c r="M235" i="14" s="1"/>
  <c r="N73" i="14"/>
  <c r="I73" i="14"/>
  <c r="O73" i="14"/>
  <c r="Q227" i="14"/>
  <c r="Q235" i="14" s="1"/>
  <c r="Q315" i="14"/>
  <c r="Q323" i="14" s="1"/>
  <c r="P227" i="14"/>
  <c r="P235" i="14" s="1"/>
  <c r="P315" i="14"/>
  <c r="P323" i="14" s="1"/>
  <c r="P183" i="14"/>
  <c r="P191" i="14" s="1"/>
  <c r="J117" i="14"/>
  <c r="J125" i="14" s="1"/>
  <c r="I117" i="14"/>
  <c r="I125" i="14" s="1"/>
  <c r="I139" i="14"/>
  <c r="I147" i="14" s="1"/>
  <c r="L293" i="14"/>
  <c r="L301" i="14" s="1"/>
  <c r="I183" i="14"/>
  <c r="I191" i="14" s="1"/>
  <c r="K249" i="14"/>
  <c r="K257" i="14" s="1"/>
  <c r="H205" i="14"/>
  <c r="H213" i="14" s="1"/>
  <c r="N205" i="14"/>
  <c r="N213" i="14" s="1"/>
  <c r="H271" i="14"/>
  <c r="H279" i="14" s="1"/>
  <c r="K315" i="14"/>
  <c r="K323" i="14" s="1"/>
  <c r="K117" i="14"/>
  <c r="K125" i="14" s="1"/>
  <c r="L249" i="14"/>
  <c r="L257" i="14" s="1"/>
  <c r="N161" i="14"/>
  <c r="N169" i="14" s="1"/>
  <c r="H139" i="14"/>
  <c r="H147" i="14" s="1"/>
  <c r="G249" i="14"/>
  <c r="L315" i="14"/>
  <c r="L323" i="14" s="1"/>
  <c r="I161" i="14"/>
  <c r="I169" i="14" s="1"/>
  <c r="N315" i="14"/>
  <c r="N323" i="14" s="1"/>
  <c r="J161" i="14"/>
  <c r="J169" i="14" s="1"/>
  <c r="K139" i="14"/>
  <c r="K147" i="14" s="1"/>
  <c r="L271" i="14"/>
  <c r="L279" i="14" s="1"/>
  <c r="M249" i="14"/>
  <c r="M257" i="14" s="1"/>
  <c r="J139" i="14"/>
  <c r="J147" i="14" s="1"/>
  <c r="G161" i="14"/>
  <c r="I271" i="14"/>
  <c r="I279" i="14" s="1"/>
  <c r="M161" i="14"/>
  <c r="M169" i="14" s="1"/>
  <c r="G117" i="14"/>
  <c r="G73" i="14"/>
  <c r="L183" i="14"/>
  <c r="L191" i="14" s="1"/>
  <c r="J183" i="14"/>
  <c r="J191" i="14" s="1"/>
  <c r="I315" i="14"/>
  <c r="I323" i="14" s="1"/>
  <c r="H73" i="14"/>
  <c r="M293" i="14"/>
  <c r="M301" i="14" s="1"/>
  <c r="P73" i="14"/>
  <c r="P293" i="14"/>
  <c r="P301" i="14" s="1"/>
  <c r="P249" i="14"/>
  <c r="P257" i="14" s="1"/>
  <c r="P205" i="14"/>
  <c r="P213" i="14" s="1"/>
  <c r="P161" i="14"/>
  <c r="P169" i="14" s="1"/>
  <c r="Q7" i="29"/>
  <c r="Q58" i="26"/>
  <c r="Q50" i="26"/>
  <c r="A216" i="14"/>
  <c r="Q20" i="14"/>
  <c r="A20" i="14" s="1"/>
  <c r="A61" i="14"/>
  <c r="Q39" i="15"/>
  <c r="AG123" i="11"/>
  <c r="AV123" i="11" s="1"/>
  <c r="AG119" i="11"/>
  <c r="AV119" i="11" s="1"/>
  <c r="BZ119" i="11" s="1"/>
  <c r="AG120" i="11"/>
  <c r="AV120" i="11" s="1"/>
  <c r="BZ120" i="11" s="1"/>
  <c r="AG121" i="11"/>
  <c r="AV121" i="11" s="1"/>
  <c r="AG122" i="11"/>
  <c r="AV122" i="11" s="1"/>
  <c r="BZ122" i="11" s="1"/>
  <c r="AG124" i="11"/>
  <c r="AV124" i="11" s="1"/>
  <c r="AG134" i="11"/>
  <c r="AV134" i="11" s="1"/>
  <c r="AG133" i="11"/>
  <c r="AV133" i="11" s="1"/>
  <c r="AG132" i="11"/>
  <c r="AV132" i="11" s="1"/>
  <c r="AG131" i="11"/>
  <c r="AV131" i="11" s="1"/>
  <c r="AG130" i="11"/>
  <c r="AV130" i="11" s="1"/>
  <c r="AG129" i="11"/>
  <c r="AV129" i="11" s="1"/>
  <c r="AG128" i="11"/>
  <c r="AV128" i="11" s="1"/>
  <c r="AG127" i="11"/>
  <c r="AV127" i="11" s="1"/>
  <c r="AG126" i="11"/>
  <c r="AV126" i="11" s="1"/>
  <c r="BZ126" i="11" s="1"/>
  <c r="AG125" i="11"/>
  <c r="AV125" i="11" s="1"/>
  <c r="BZ125" i="11" s="1"/>
  <c r="BY123" i="11"/>
  <c r="P55" i="15"/>
  <c r="A60" i="14"/>
  <c r="N21" i="26"/>
  <c r="N63" i="26" s="1"/>
  <c r="N15" i="29" s="1"/>
  <c r="N65" i="6"/>
  <c r="N79" i="6"/>
  <c r="N85" i="6"/>
  <c r="N83" i="6" s="1"/>
  <c r="Q3" i="7"/>
  <c r="P39" i="7"/>
  <c r="P20" i="7"/>
  <c r="O20" i="22"/>
  <c r="P3" i="22"/>
  <c r="I99" i="30"/>
  <c r="O99" i="30" s="1"/>
  <c r="Q19" i="14"/>
  <c r="Q62" i="14"/>
  <c r="Q21" i="14" s="1"/>
  <c r="P12" i="18"/>
  <c r="P45" i="18" s="1"/>
  <c r="Q18" i="10"/>
  <c r="M15" i="34" s="1"/>
  <c r="Q24" i="9"/>
  <c r="Q14" i="8" s="1"/>
  <c r="Q14" i="21" s="1"/>
  <c r="Q6" i="17"/>
  <c r="P4" i="17"/>
  <c r="P8" i="17" s="1"/>
  <c r="L16" i="34"/>
  <c r="L26" i="34"/>
  <c r="AF54" i="16"/>
  <c r="AG7" i="16"/>
  <c r="P44" i="18"/>
  <c r="R34" i="10"/>
  <c r="R9" i="10" s="1"/>
  <c r="Q12" i="18" s="1"/>
  <c r="Q45" i="18" s="1"/>
  <c r="O44" i="18"/>
  <c r="Q11" i="18"/>
  <c r="O38" i="4"/>
  <c r="O41" i="4" s="1"/>
  <c r="O30" i="7" s="1"/>
  <c r="Q5" i="17"/>
  <c r="K50" i="6"/>
  <c r="K66" i="6" s="1"/>
  <c r="K68" i="6" s="1"/>
  <c r="K38" i="26"/>
  <c r="K47" i="26" s="1"/>
  <c r="N69" i="26"/>
  <c r="N67" i="26" s="1"/>
  <c r="N8" i="29"/>
  <c r="BB11" i="16"/>
  <c r="AN11" i="16"/>
  <c r="F30" i="5"/>
  <c r="F24" i="5"/>
  <c r="BB26" i="16"/>
  <c r="AN26" i="16"/>
  <c r="AN18" i="16"/>
  <c r="BB18" i="16"/>
  <c r="BB19" i="16"/>
  <c r="AN19" i="16"/>
  <c r="M13" i="6"/>
  <c r="AN23" i="16"/>
  <c r="BB23" i="16"/>
  <c r="BB10" i="16"/>
  <c r="AN10" i="16"/>
  <c r="AN13" i="16"/>
  <c r="BB13" i="16"/>
  <c r="BB24" i="16"/>
  <c r="AN24" i="16"/>
  <c r="O26" i="30"/>
  <c r="M63" i="26"/>
  <c r="I113" i="30"/>
  <c r="O113" i="30" s="1"/>
  <c r="BB21" i="16"/>
  <c r="AN21" i="16"/>
  <c r="AN8" i="16"/>
  <c r="BB8" i="16"/>
  <c r="N13" i="6"/>
  <c r="N12" i="26" s="1"/>
  <c r="BB17" i="16"/>
  <c r="AN17" i="16"/>
  <c r="AN9" i="16"/>
  <c r="BB9" i="16"/>
  <c r="AN16" i="16"/>
  <c r="BB16" i="16"/>
  <c r="BA7" i="16"/>
  <c r="BA54" i="16" s="1"/>
  <c r="G23" i="5" s="1"/>
  <c r="AL54" i="16"/>
  <c r="AM7" i="16"/>
  <c r="AN20" i="16"/>
  <c r="BB20" i="16"/>
  <c r="AN12" i="16"/>
  <c r="BB12" i="16"/>
  <c r="AN28" i="16"/>
  <c r="BB28" i="16"/>
  <c r="BB14" i="16"/>
  <c r="AN14" i="16"/>
  <c r="BB27" i="16"/>
  <c r="AN27" i="16"/>
  <c r="BB25" i="16"/>
  <c r="AN25" i="16"/>
  <c r="BB15" i="16"/>
  <c r="AN15" i="16"/>
  <c r="AN22" i="16"/>
  <c r="BB22" i="16"/>
  <c r="M8" i="29"/>
  <c r="M69" i="26"/>
  <c r="O24" i="30"/>
  <c r="I112" i="30"/>
  <c r="O112" i="30" s="1"/>
  <c r="N7" i="6"/>
  <c r="N56" i="6"/>
  <c r="D22" i="21"/>
  <c r="D24" i="21" s="1"/>
  <c r="D26" i="21" s="1"/>
  <c r="D34" i="21" s="1"/>
  <c r="D36" i="21" s="1"/>
  <c r="E20" i="5"/>
  <c r="E27" i="5" s="1"/>
  <c r="D28" i="5"/>
  <c r="N18" i="5"/>
  <c r="O16" i="5" s="1"/>
  <c r="F27" i="30"/>
  <c r="D71" i="26"/>
  <c r="F135" i="30" s="1"/>
  <c r="F183" i="30" s="1"/>
  <c r="L41" i="6"/>
  <c r="P19" i="14" l="1"/>
  <c r="P62" i="14"/>
  <c r="P21" i="14" s="1"/>
  <c r="O7" i="6"/>
  <c r="O7" i="26" s="1"/>
  <c r="O52" i="26" s="1"/>
  <c r="O56" i="6"/>
  <c r="H108" i="9"/>
  <c r="H105" i="9"/>
  <c r="H104" i="9"/>
  <c r="H107" i="9"/>
  <c r="H11" i="29"/>
  <c r="H26" i="29"/>
  <c r="H81" i="14"/>
  <c r="H59" i="14" s="1"/>
  <c r="H18" i="14" s="1"/>
  <c r="H51" i="14"/>
  <c r="H10" i="14" s="1"/>
  <c r="G81" i="14"/>
  <c r="G51" i="14"/>
  <c r="A73" i="14"/>
  <c r="A74" i="14" s="1"/>
  <c r="G169" i="14"/>
  <c r="A169" i="14" s="1"/>
  <c r="A161" i="14"/>
  <c r="I81" i="14"/>
  <c r="I59" i="14" s="1"/>
  <c r="I18" i="14" s="1"/>
  <c r="I51" i="14"/>
  <c r="I10" i="14" s="1"/>
  <c r="Q81" i="14"/>
  <c r="Q59" i="14" s="1"/>
  <c r="Q18" i="14" s="1"/>
  <c r="Q51" i="14"/>
  <c r="Q10" i="14" s="1"/>
  <c r="G301" i="14"/>
  <c r="A301" i="14" s="1"/>
  <c r="A293" i="14"/>
  <c r="G323" i="14"/>
  <c r="A323" i="14" s="1"/>
  <c r="A315" i="14"/>
  <c r="A271" i="14"/>
  <c r="G279" i="14"/>
  <c r="A279" i="14" s="1"/>
  <c r="G213" i="14"/>
  <c r="A213" i="14" s="1"/>
  <c r="A205" i="14"/>
  <c r="J81" i="14"/>
  <c r="J59" i="14" s="1"/>
  <c r="J18" i="14" s="1"/>
  <c r="J51" i="14"/>
  <c r="J10" i="14" s="1"/>
  <c r="Q13" i="14"/>
  <c r="A13" i="14" s="1"/>
  <c r="A54" i="14"/>
  <c r="P81" i="14"/>
  <c r="P59" i="14" s="1"/>
  <c r="P18" i="14" s="1"/>
  <c r="P51" i="14"/>
  <c r="P10" i="14" s="1"/>
  <c r="G125" i="14"/>
  <c r="A125" i="14" s="1"/>
  <c r="A117" i="14"/>
  <c r="A118" i="14" s="1"/>
  <c r="G257" i="14"/>
  <c r="A257" i="14" s="1"/>
  <c r="A249" i="14"/>
  <c r="O51" i="14"/>
  <c r="O10" i="14" s="1"/>
  <c r="O81" i="14"/>
  <c r="O59" i="14" s="1"/>
  <c r="O18" i="14" s="1"/>
  <c r="N81" i="14"/>
  <c r="N59" i="14" s="1"/>
  <c r="N18" i="14" s="1"/>
  <c r="N51" i="14"/>
  <c r="N10" i="14" s="1"/>
  <c r="K51" i="14"/>
  <c r="K10" i="14" s="1"/>
  <c r="K81" i="14"/>
  <c r="K59" i="14" s="1"/>
  <c r="K18" i="14" s="1"/>
  <c r="G191" i="14"/>
  <c r="A191" i="14" s="1"/>
  <c r="A183" i="14"/>
  <c r="G147" i="14"/>
  <c r="A147" i="14" s="1"/>
  <c r="A139" i="14"/>
  <c r="A140" i="14" s="1"/>
  <c r="L81" i="14"/>
  <c r="L59" i="14" s="1"/>
  <c r="L18" i="14" s="1"/>
  <c r="L51" i="14"/>
  <c r="L10" i="14" s="1"/>
  <c r="M81" i="14"/>
  <c r="M59" i="14" s="1"/>
  <c r="M18" i="14" s="1"/>
  <c r="M51" i="14"/>
  <c r="M10" i="14" s="1"/>
  <c r="G235" i="14"/>
  <c r="A235" i="14" s="1"/>
  <c r="A227" i="14"/>
  <c r="K13" i="5"/>
  <c r="K5" i="7" s="1"/>
  <c r="L8" i="5"/>
  <c r="P69" i="26"/>
  <c r="P67" i="26" s="1"/>
  <c r="P8" i="29"/>
  <c r="Q22" i="6"/>
  <c r="A9" i="14"/>
  <c r="G103" i="14"/>
  <c r="A103" i="14" s="1"/>
  <c r="A95" i="14"/>
  <c r="A96" i="14" s="1"/>
  <c r="Q21" i="6"/>
  <c r="A5" i="14"/>
  <c r="A6" i="14" s="1"/>
  <c r="Q55" i="15"/>
  <c r="BZ123" i="11"/>
  <c r="A19" i="14"/>
  <c r="A21" i="14"/>
  <c r="A62" i="14"/>
  <c r="Q20" i="7"/>
  <c r="Q39" i="7"/>
  <c r="Q3" i="22"/>
  <c r="P20" i="22"/>
  <c r="Q4" i="17"/>
  <c r="Q8" i="17" s="1"/>
  <c r="Q7" i="6"/>
  <c r="Q7" i="26" s="1"/>
  <c r="Q52" i="26" s="1"/>
  <c r="Q56" i="6"/>
  <c r="O18" i="5"/>
  <c r="P16" i="5" s="1"/>
  <c r="M16" i="34"/>
  <c r="M26" i="34"/>
  <c r="O13" i="6"/>
  <c r="O12" i="26" s="1"/>
  <c r="O30" i="22"/>
  <c r="P38" i="4"/>
  <c r="P41" i="4" s="1"/>
  <c r="P30" i="7" s="1"/>
  <c r="AG54" i="16"/>
  <c r="R18" i="10"/>
  <c r="N15" i="34" s="1"/>
  <c r="Q44" i="18"/>
  <c r="M12" i="26"/>
  <c r="I104" i="30" s="1"/>
  <c r="O104" i="30" s="1"/>
  <c r="L50" i="6"/>
  <c r="L66" i="6" s="1"/>
  <c r="L68" i="6" s="1"/>
  <c r="L38" i="26"/>
  <c r="L47" i="26" s="1"/>
  <c r="N7" i="26"/>
  <c r="N52" i="26" s="1"/>
  <c r="O133" i="30"/>
  <c r="O181" i="30" s="1"/>
  <c r="M67" i="26"/>
  <c r="O131" i="30" s="1"/>
  <c r="O179" i="30" s="1"/>
  <c r="AO15" i="16"/>
  <c r="BC15" i="16"/>
  <c r="AO25" i="16"/>
  <c r="BC25" i="16"/>
  <c r="AO27" i="16"/>
  <c r="BC27" i="16"/>
  <c r="AO14" i="16"/>
  <c r="BC14" i="16"/>
  <c r="BC20" i="16"/>
  <c r="AO20" i="16"/>
  <c r="E22" i="21"/>
  <c r="E24" i="21" s="1"/>
  <c r="AO16" i="16"/>
  <c r="BC16" i="16"/>
  <c r="BC9" i="16"/>
  <c r="AO9" i="16"/>
  <c r="BC17" i="16"/>
  <c r="AO17" i="16"/>
  <c r="BC8" i="16"/>
  <c r="AO8" i="16"/>
  <c r="O127" i="30"/>
  <c r="O175" i="30" s="1"/>
  <c r="M15" i="29"/>
  <c r="AO13" i="16"/>
  <c r="BC13" i="16"/>
  <c r="BC23" i="16"/>
  <c r="AO23" i="16"/>
  <c r="BC18" i="16"/>
  <c r="AO18" i="16"/>
  <c r="F12" i="30"/>
  <c r="F7" i="30"/>
  <c r="E25" i="28"/>
  <c r="BC22" i="16"/>
  <c r="AO22" i="16"/>
  <c r="AO28" i="16"/>
  <c r="BC28" i="16"/>
  <c r="BC12" i="16"/>
  <c r="AO12" i="16"/>
  <c r="AN7" i="16"/>
  <c r="AM54" i="16"/>
  <c r="BB7" i="16"/>
  <c r="BB54" i="16" s="1"/>
  <c r="H23" i="5" s="1"/>
  <c r="G30" i="5"/>
  <c r="G13" i="18" s="1"/>
  <c r="G24" i="5"/>
  <c r="BC21" i="16"/>
  <c r="AO21" i="16"/>
  <c r="BC24" i="16"/>
  <c r="AO24" i="16"/>
  <c r="AO10" i="16"/>
  <c r="BC10" i="16"/>
  <c r="AO19" i="16"/>
  <c r="BC19" i="16"/>
  <c r="BC26" i="16"/>
  <c r="AO26" i="16"/>
  <c r="BC11" i="16"/>
  <c r="AO11" i="16"/>
  <c r="E25" i="5"/>
  <c r="F20" i="5" s="1"/>
  <c r="M41" i="6"/>
  <c r="F23" i="30"/>
  <c r="C72" i="6"/>
  <c r="C59" i="29"/>
  <c r="P7" i="6" l="1"/>
  <c r="P7" i="26" s="1"/>
  <c r="P52" i="26" s="1"/>
  <c r="P56" i="6"/>
  <c r="H109" i="9"/>
  <c r="H111" i="9" s="1"/>
  <c r="Q20" i="26"/>
  <c r="Q85" i="6"/>
  <c r="Q83" i="6" s="1"/>
  <c r="Q65" i="6"/>
  <c r="Q21" i="26"/>
  <c r="Q63" i="26" s="1"/>
  <c r="Q15" i="29" s="1"/>
  <c r="Q79" i="6"/>
  <c r="G10" i="14"/>
  <c r="A10" i="14" s="1"/>
  <c r="A11" i="14" s="1"/>
  <c r="A51" i="14"/>
  <c r="A52" i="14" s="1"/>
  <c r="L12" i="5"/>
  <c r="L10" i="5"/>
  <c r="A81" i="14"/>
  <c r="G59" i="14"/>
  <c r="Q20" i="22"/>
  <c r="N16" i="34"/>
  <c r="N26" i="34"/>
  <c r="P30" i="22"/>
  <c r="P13" i="6"/>
  <c r="P12" i="26" s="1"/>
  <c r="Q38" i="4"/>
  <c r="Q41" i="4" s="1"/>
  <c r="Q30" i="7" s="1"/>
  <c r="P18" i="5"/>
  <c r="Q16" i="5" s="1"/>
  <c r="Q18" i="5" s="1"/>
  <c r="M50" i="6"/>
  <c r="M66" i="6" s="1"/>
  <c r="M68" i="6" s="1"/>
  <c r="M38" i="26"/>
  <c r="M47" i="26" s="1"/>
  <c r="G17" i="18"/>
  <c r="G46" i="18"/>
  <c r="G50" i="18" s="1"/>
  <c r="AP26" i="16"/>
  <c r="BD26" i="16"/>
  <c r="BD19" i="16"/>
  <c r="AP19" i="16"/>
  <c r="AP10" i="16"/>
  <c r="BD10" i="16"/>
  <c r="BD28" i="16"/>
  <c r="AP28" i="16"/>
  <c r="AP13" i="16"/>
  <c r="BD13" i="16"/>
  <c r="BD16" i="16"/>
  <c r="AP16" i="16"/>
  <c r="AP14" i="16"/>
  <c r="BD14" i="16"/>
  <c r="AP27" i="16"/>
  <c r="BD27" i="16"/>
  <c r="AP25" i="16"/>
  <c r="BD25" i="16"/>
  <c r="AP15" i="16"/>
  <c r="BD15" i="16"/>
  <c r="E28" i="5"/>
  <c r="AP11" i="16"/>
  <c r="BD11" i="16"/>
  <c r="F22" i="21"/>
  <c r="H97" i="30"/>
  <c r="N97" i="30" s="1"/>
  <c r="BD24" i="16"/>
  <c r="AP24" i="16"/>
  <c r="BD21" i="16"/>
  <c r="AP21" i="16"/>
  <c r="G22" i="8"/>
  <c r="H24" i="5"/>
  <c r="H30" i="5"/>
  <c r="H13" i="18" s="1"/>
  <c r="AN54" i="16"/>
  <c r="AO7" i="16"/>
  <c r="BC7" i="16"/>
  <c r="BC54" i="16" s="1"/>
  <c r="I23" i="5" s="1"/>
  <c r="AP12" i="16"/>
  <c r="BD12" i="16"/>
  <c r="BD22" i="16"/>
  <c r="AP22" i="16"/>
  <c r="AP18" i="16"/>
  <c r="BD18" i="16"/>
  <c r="BD23" i="16"/>
  <c r="AP23" i="16"/>
  <c r="BD8" i="16"/>
  <c r="AP8" i="16"/>
  <c r="BD17" i="16"/>
  <c r="AP17" i="16"/>
  <c r="BD9" i="16"/>
  <c r="AP9" i="16"/>
  <c r="AP20" i="16"/>
  <c r="BD20" i="16"/>
  <c r="D10" i="17"/>
  <c r="C56" i="26"/>
  <c r="E21" i="30"/>
  <c r="C26" i="26"/>
  <c r="N41" i="6"/>
  <c r="A59" i="14" l="1"/>
  <c r="G18" i="14"/>
  <c r="A18" i="14" s="1"/>
  <c r="L13" i="5"/>
  <c r="L5" i="7" s="1"/>
  <c r="M8" i="5"/>
  <c r="Q69" i="26"/>
  <c r="Q67" i="26" s="1"/>
  <c r="Q8" i="29"/>
  <c r="N38" i="26"/>
  <c r="O41" i="6"/>
  <c r="O50" i="6" s="1"/>
  <c r="O66" i="6" s="1"/>
  <c r="O68" i="6" s="1"/>
  <c r="Q30" i="22"/>
  <c r="Q13" i="6"/>
  <c r="Q12" i="26" s="1"/>
  <c r="N50" i="6"/>
  <c r="N66" i="6" s="1"/>
  <c r="N68" i="6" s="1"/>
  <c r="H17" i="18"/>
  <c r="H46" i="18"/>
  <c r="H50" i="18" s="1"/>
  <c r="BE9" i="16"/>
  <c r="AQ9" i="16"/>
  <c r="BE18" i="16"/>
  <c r="AQ18" i="16"/>
  <c r="AQ12" i="16"/>
  <c r="BE12" i="16"/>
  <c r="BD7" i="16"/>
  <c r="BD54" i="16" s="1"/>
  <c r="J23" i="5" s="1"/>
  <c r="AO54" i="16"/>
  <c r="AP7" i="16"/>
  <c r="F24" i="21"/>
  <c r="H82" i="30" s="1"/>
  <c r="N82" i="30" s="1"/>
  <c r="H80" i="30"/>
  <c r="N80" i="30" s="1"/>
  <c r="AQ11" i="16"/>
  <c r="BE11" i="16"/>
  <c r="F27" i="5"/>
  <c r="F25" i="5"/>
  <c r="BE16" i="16"/>
  <c r="AQ16" i="16"/>
  <c r="BE28" i="16"/>
  <c r="AQ28" i="16"/>
  <c r="AQ10" i="16"/>
  <c r="BE10" i="16"/>
  <c r="AQ26" i="16"/>
  <c r="BE26" i="16"/>
  <c r="BE20" i="16"/>
  <c r="AQ20" i="16"/>
  <c r="BE17" i="16"/>
  <c r="AQ17" i="16"/>
  <c r="AQ8" i="16"/>
  <c r="BE8" i="16"/>
  <c r="AQ23" i="16"/>
  <c r="BE23" i="16"/>
  <c r="AQ22" i="16"/>
  <c r="BE22" i="16"/>
  <c r="I24" i="5"/>
  <c r="I30" i="5"/>
  <c r="I13" i="18" s="1"/>
  <c r="H22" i="8"/>
  <c r="G24" i="8"/>
  <c r="G5" i="6" s="1"/>
  <c r="G5" i="26" s="1"/>
  <c r="G22" i="21"/>
  <c r="G24" i="21" s="1"/>
  <c r="AQ21" i="16"/>
  <c r="BE21" i="16"/>
  <c r="BE24" i="16"/>
  <c r="AQ24" i="16"/>
  <c r="G12" i="30"/>
  <c r="AQ15" i="16"/>
  <c r="BE15" i="16"/>
  <c r="AQ25" i="16"/>
  <c r="BE25" i="16"/>
  <c r="BE27" i="16"/>
  <c r="AQ27" i="16"/>
  <c r="AQ14" i="16"/>
  <c r="BE14" i="16"/>
  <c r="AQ13" i="16"/>
  <c r="BE13" i="16"/>
  <c r="AQ19" i="16"/>
  <c r="BE19" i="16"/>
  <c r="E28" i="30"/>
  <c r="D28" i="28"/>
  <c r="E120" i="30"/>
  <c r="E168" i="30" s="1"/>
  <c r="C59" i="26"/>
  <c r="E43" i="30"/>
  <c r="M12" i="5" l="1"/>
  <c r="M10" i="5"/>
  <c r="P41" i="6"/>
  <c r="P50" i="6" s="1"/>
  <c r="P66" i="6" s="1"/>
  <c r="P68" i="6" s="1"/>
  <c r="O38" i="26"/>
  <c r="O47" i="26" s="1"/>
  <c r="N47" i="26"/>
  <c r="F28" i="5"/>
  <c r="I17" i="18"/>
  <c r="I46" i="18"/>
  <c r="I50" i="18" s="1"/>
  <c r="BF19" i="16"/>
  <c r="AR19" i="16"/>
  <c r="BF27" i="16"/>
  <c r="AR27" i="16"/>
  <c r="BF21" i="16"/>
  <c r="AR21" i="16"/>
  <c r="BF17" i="16"/>
  <c r="AR17" i="16"/>
  <c r="BF20" i="16"/>
  <c r="AR20" i="16"/>
  <c r="AR28" i="16"/>
  <c r="BF28" i="16"/>
  <c r="AR16" i="16"/>
  <c r="BF16" i="16"/>
  <c r="BE7" i="16"/>
  <c r="BE54" i="16" s="1"/>
  <c r="K23" i="5" s="1"/>
  <c r="AP54" i="16"/>
  <c r="AQ7" i="16"/>
  <c r="J30" i="5"/>
  <c r="J13" i="18" s="1"/>
  <c r="J24" i="5"/>
  <c r="BF12" i="16"/>
  <c r="AR12" i="16"/>
  <c r="AR13" i="16"/>
  <c r="BF13" i="16"/>
  <c r="BF14" i="16"/>
  <c r="AR14" i="16"/>
  <c r="AR25" i="16"/>
  <c r="BF25" i="16"/>
  <c r="AR15" i="16"/>
  <c r="BF15" i="16"/>
  <c r="BF24" i="16"/>
  <c r="AR24" i="16"/>
  <c r="H24" i="8"/>
  <c r="H5" i="6" s="1"/>
  <c r="H5" i="26" s="1"/>
  <c r="H22" i="21"/>
  <c r="I22" i="8"/>
  <c r="AR22" i="16"/>
  <c r="BF22" i="16"/>
  <c r="AR23" i="16"/>
  <c r="BF23" i="16"/>
  <c r="AR8" i="16"/>
  <c r="BF8" i="16"/>
  <c r="BF26" i="16"/>
  <c r="AR26" i="16"/>
  <c r="BF10" i="16"/>
  <c r="AR10" i="16"/>
  <c r="AR11" i="16"/>
  <c r="BF11" i="16"/>
  <c r="AR18" i="16"/>
  <c r="BF18" i="16"/>
  <c r="AR9" i="16"/>
  <c r="BF9" i="16"/>
  <c r="D26" i="28"/>
  <c r="E123" i="30"/>
  <c r="E171" i="30" s="1"/>
  <c r="C77" i="26"/>
  <c r="E141" i="30" s="1"/>
  <c r="E189" i="30" s="1"/>
  <c r="C76" i="26"/>
  <c r="E140" i="30" s="1"/>
  <c r="E188" i="30" s="1"/>
  <c r="C65" i="26"/>
  <c r="N8" i="5" l="1"/>
  <c r="M13" i="5"/>
  <c r="M5" i="7" s="1"/>
  <c r="Q41" i="6"/>
  <c r="P38" i="26"/>
  <c r="P47" i="26" s="1"/>
  <c r="J17" i="18"/>
  <c r="J46" i="18"/>
  <c r="J50" i="18" s="1"/>
  <c r="F14" i="30"/>
  <c r="F34" i="30" s="1"/>
  <c r="E36" i="28"/>
  <c r="AS9" i="16"/>
  <c r="BG9" i="16"/>
  <c r="BG18" i="16"/>
  <c r="AS18" i="16"/>
  <c r="BG10" i="16"/>
  <c r="AS10" i="16"/>
  <c r="BG26" i="16"/>
  <c r="AS26" i="16"/>
  <c r="BG15" i="16"/>
  <c r="AS15" i="16"/>
  <c r="AS25" i="16"/>
  <c r="BG25" i="16"/>
  <c r="BG13" i="16"/>
  <c r="AS13" i="16"/>
  <c r="H12" i="30"/>
  <c r="BG20" i="16"/>
  <c r="AS20" i="16"/>
  <c r="BG11" i="16"/>
  <c r="AS11" i="16"/>
  <c r="AS8" i="16"/>
  <c r="BG8" i="16"/>
  <c r="BG23" i="16"/>
  <c r="AS23" i="16"/>
  <c r="BG22" i="16"/>
  <c r="AS22" i="16"/>
  <c r="I24" i="8"/>
  <c r="I5" i="6" s="1"/>
  <c r="I5" i="26" s="1"/>
  <c r="I22" i="21"/>
  <c r="I24" i="21" s="1"/>
  <c r="H24" i="21"/>
  <c r="BG24" i="16"/>
  <c r="AS24" i="16"/>
  <c r="BG14" i="16"/>
  <c r="AS14" i="16"/>
  <c r="AS12" i="16"/>
  <c r="BG12" i="16"/>
  <c r="J22" i="8"/>
  <c r="AQ54" i="16"/>
  <c r="AR7" i="16"/>
  <c r="BF7" i="16"/>
  <c r="BF54" i="16" s="1"/>
  <c r="L23" i="5" s="1"/>
  <c r="K30" i="5"/>
  <c r="K13" i="18" s="1"/>
  <c r="K24" i="5"/>
  <c r="G27" i="5"/>
  <c r="G25" i="5"/>
  <c r="BG16" i="16"/>
  <c r="AS16" i="16"/>
  <c r="AS28" i="16"/>
  <c r="BG28" i="16"/>
  <c r="AS17" i="16"/>
  <c r="BG17" i="16"/>
  <c r="AS21" i="16"/>
  <c r="BG21" i="16"/>
  <c r="BG27" i="16"/>
  <c r="AS27" i="16"/>
  <c r="BG19" i="16"/>
  <c r="AS19" i="16"/>
  <c r="E129" i="30"/>
  <c r="E177" i="30" s="1"/>
  <c r="C73" i="26"/>
  <c r="C73" i="6"/>
  <c r="N12" i="5" l="1"/>
  <c r="N10" i="5"/>
  <c r="BH21" i="16"/>
  <c r="AT21" i="16"/>
  <c r="BH17" i="16"/>
  <c r="AT17" i="16"/>
  <c r="BH28" i="16"/>
  <c r="AT28" i="16"/>
  <c r="BH12" i="16"/>
  <c r="AT12" i="16"/>
  <c r="BH22" i="16"/>
  <c r="AT22" i="16"/>
  <c r="BH23" i="16"/>
  <c r="AT23" i="16"/>
  <c r="BH11" i="16"/>
  <c r="AT11" i="16"/>
  <c r="BH20" i="16"/>
  <c r="AT20" i="16"/>
  <c r="BH25" i="16"/>
  <c r="AT25" i="16"/>
  <c r="BH9" i="16"/>
  <c r="AT9" i="16"/>
  <c r="Q38" i="26"/>
  <c r="BH19" i="16"/>
  <c r="AT19" i="16"/>
  <c r="BH27" i="16"/>
  <c r="AT27" i="16"/>
  <c r="BH16" i="16"/>
  <c r="AT16" i="16"/>
  <c r="BH14" i="16"/>
  <c r="AT14" i="16"/>
  <c r="BH24" i="16"/>
  <c r="AT24" i="16"/>
  <c r="BH8" i="16"/>
  <c r="AT8" i="16"/>
  <c r="BH13" i="16"/>
  <c r="AT13" i="16"/>
  <c r="BH15" i="16"/>
  <c r="AT15" i="16"/>
  <c r="BH26" i="16"/>
  <c r="AT26" i="16"/>
  <c r="BH10" i="16"/>
  <c r="AT10" i="16"/>
  <c r="BH18" i="16"/>
  <c r="AT18" i="16"/>
  <c r="Q50" i="6"/>
  <c r="Q66" i="6" s="1"/>
  <c r="Q68" i="6" s="1"/>
  <c r="K17" i="18"/>
  <c r="K46" i="18"/>
  <c r="K50" i="18" s="1"/>
  <c r="AR54" i="16"/>
  <c r="AS7" i="16"/>
  <c r="AT7" i="16" s="1"/>
  <c r="BG7" i="16"/>
  <c r="BG54" i="16" s="1"/>
  <c r="M23" i="5" s="1"/>
  <c r="J22" i="21"/>
  <c r="J24" i="8"/>
  <c r="J5" i="6" s="1"/>
  <c r="J5" i="26" s="1"/>
  <c r="F5" i="1"/>
  <c r="F4" i="21"/>
  <c r="E87" i="6"/>
  <c r="E38" i="29"/>
  <c r="E40" i="7"/>
  <c r="H20" i="5"/>
  <c r="G28" i="5"/>
  <c r="K22" i="8"/>
  <c r="L30" i="5"/>
  <c r="L13" i="18" s="1"/>
  <c r="L24" i="5"/>
  <c r="C78" i="6"/>
  <c r="C77" i="6" s="1"/>
  <c r="C75" i="6"/>
  <c r="E137" i="30"/>
  <c r="E185" i="30" s="1"/>
  <c r="C54" i="29"/>
  <c r="C55" i="29" s="1"/>
  <c r="C56" i="29" s="1"/>
  <c r="C48" i="26"/>
  <c r="C51" i="26" s="1"/>
  <c r="C39" i="26"/>
  <c r="C40" i="26" s="1"/>
  <c r="D29" i="28"/>
  <c r="C37" i="7"/>
  <c r="N13" i="5" l="1"/>
  <c r="N5" i="7" s="1"/>
  <c r="O8" i="5"/>
  <c r="AU18" i="16"/>
  <c r="BI18" i="16"/>
  <c r="AU10" i="16"/>
  <c r="BI10" i="16"/>
  <c r="AU26" i="16"/>
  <c r="BI26" i="16"/>
  <c r="AU15" i="16"/>
  <c r="BI15" i="16"/>
  <c r="AU13" i="16"/>
  <c r="BI13" i="16"/>
  <c r="AU8" i="16"/>
  <c r="BI8" i="16"/>
  <c r="AU24" i="16"/>
  <c r="BI24" i="16"/>
  <c r="AU14" i="16"/>
  <c r="BI14" i="16"/>
  <c r="AU16" i="16"/>
  <c r="BI16" i="16"/>
  <c r="AU27" i="16"/>
  <c r="BI27" i="16"/>
  <c r="AU19" i="16"/>
  <c r="BI19" i="16"/>
  <c r="Q47" i="26"/>
  <c r="AU7" i="16"/>
  <c r="BI7" i="16"/>
  <c r="AT54" i="16"/>
  <c r="AU9" i="16"/>
  <c r="BI9" i="16"/>
  <c r="AU25" i="16"/>
  <c r="BI25" i="16"/>
  <c r="AU20" i="16"/>
  <c r="BI20" i="16"/>
  <c r="AU11" i="16"/>
  <c r="BI11" i="16"/>
  <c r="AU23" i="16"/>
  <c r="BI23" i="16"/>
  <c r="AU22" i="16"/>
  <c r="BI22" i="16"/>
  <c r="AU12" i="16"/>
  <c r="BI12" i="16"/>
  <c r="AU28" i="16"/>
  <c r="BI28" i="16"/>
  <c r="AU17" i="16"/>
  <c r="BI17" i="16"/>
  <c r="AU21" i="16"/>
  <c r="BI21" i="16"/>
  <c r="G6" i="7"/>
  <c r="G8" i="7" s="1"/>
  <c r="L17" i="18"/>
  <c r="L46" i="18"/>
  <c r="L50" i="18" s="1"/>
  <c r="F21" i="30"/>
  <c r="D56" i="26"/>
  <c r="F120" i="30" s="1"/>
  <c r="F168" i="30" s="1"/>
  <c r="L22" i="8"/>
  <c r="K22" i="21"/>
  <c r="K24" i="21" s="1"/>
  <c r="K24" i="8"/>
  <c r="K5" i="6" s="1"/>
  <c r="K5" i="26" s="1"/>
  <c r="H27" i="5"/>
  <c r="H25" i="5"/>
  <c r="F6" i="21"/>
  <c r="H62" i="30"/>
  <c r="N62" i="30" s="1"/>
  <c r="F40" i="7"/>
  <c r="M24" i="5"/>
  <c r="M30" i="5"/>
  <c r="M13" i="18" s="1"/>
  <c r="D72" i="6"/>
  <c r="G27" i="30"/>
  <c r="G23" i="30"/>
  <c r="E71" i="26"/>
  <c r="G135" i="30" s="1"/>
  <c r="G183" i="30" s="1"/>
  <c r="F9" i="17"/>
  <c r="F50" i="29"/>
  <c r="J24" i="21"/>
  <c r="BH7" i="16"/>
  <c r="BH54" i="16" s="1"/>
  <c r="N23" i="5" s="1"/>
  <c r="AS54" i="16"/>
  <c r="E55" i="30"/>
  <c r="E57" i="30" s="1"/>
  <c r="D35" i="28"/>
  <c r="C81" i="6"/>
  <c r="C89" i="6" s="1"/>
  <c r="C93" i="6"/>
  <c r="C92" i="6"/>
  <c r="O10" i="5" l="1"/>
  <c r="O12" i="5"/>
  <c r="BJ7" i="16"/>
  <c r="AV7" i="16"/>
  <c r="AU54" i="16"/>
  <c r="AV19" i="16"/>
  <c r="BJ19" i="16"/>
  <c r="AV27" i="16"/>
  <c r="BJ27" i="16"/>
  <c r="AV16" i="16"/>
  <c r="BJ16" i="16"/>
  <c r="AV14" i="16"/>
  <c r="BJ14" i="16"/>
  <c r="AV24" i="16"/>
  <c r="BJ24" i="16"/>
  <c r="AV8" i="16"/>
  <c r="BJ8" i="16"/>
  <c r="AV13" i="16"/>
  <c r="BJ13" i="16"/>
  <c r="AV15" i="16"/>
  <c r="BJ15" i="16"/>
  <c r="AV26" i="16"/>
  <c r="BJ26" i="16"/>
  <c r="AV10" i="16"/>
  <c r="BJ10" i="16"/>
  <c r="AV18" i="16"/>
  <c r="BJ18" i="16"/>
  <c r="AV21" i="16"/>
  <c r="BJ21" i="16"/>
  <c r="AV17" i="16"/>
  <c r="BJ17" i="16"/>
  <c r="AV28" i="16"/>
  <c r="BJ28" i="16"/>
  <c r="AV12" i="16"/>
  <c r="BJ12" i="16"/>
  <c r="AV22" i="16"/>
  <c r="BJ22" i="16"/>
  <c r="AV23" i="16"/>
  <c r="BJ23" i="16"/>
  <c r="AV11" i="16"/>
  <c r="BJ11" i="16"/>
  <c r="AV20" i="16"/>
  <c r="BJ20" i="16"/>
  <c r="AV25" i="16"/>
  <c r="BJ25" i="16"/>
  <c r="AV9" i="16"/>
  <c r="BJ9" i="16"/>
  <c r="BI54" i="16"/>
  <c r="O23" i="5" s="1"/>
  <c r="G6" i="22"/>
  <c r="G8" i="22" s="1"/>
  <c r="I12" i="30" s="1"/>
  <c r="M17" i="18"/>
  <c r="M46" i="18"/>
  <c r="M50" i="18" s="1"/>
  <c r="E16" i="21"/>
  <c r="F84" i="9"/>
  <c r="M22" i="8"/>
  <c r="H28" i="5"/>
  <c r="I20" i="5"/>
  <c r="N30" i="5"/>
  <c r="N13" i="18" s="1"/>
  <c r="N24" i="5"/>
  <c r="G23" i="28"/>
  <c r="H4" i="30"/>
  <c r="H32" i="30" s="1"/>
  <c r="H64" i="30"/>
  <c r="N64" i="30" s="1"/>
  <c r="F7" i="21"/>
  <c r="H65" i="30" s="1"/>
  <c r="F10" i="21"/>
  <c r="L24" i="8"/>
  <c r="L5" i="6" s="1"/>
  <c r="L5" i="26" s="1"/>
  <c r="L22" i="21"/>
  <c r="F28" i="30"/>
  <c r="E28" i="28"/>
  <c r="E15" i="30"/>
  <c r="D34" i="28"/>
  <c r="P8" i="5" l="1"/>
  <c r="O13" i="5"/>
  <c r="O5" i="7" s="1"/>
  <c r="O24" i="5"/>
  <c r="O30" i="5"/>
  <c r="O13" i="18" s="1"/>
  <c r="BK9" i="16"/>
  <c r="BK25" i="16"/>
  <c r="BK20" i="16"/>
  <c r="BK11" i="16"/>
  <c r="BK23" i="16"/>
  <c r="BK22" i="16"/>
  <c r="BK12" i="16"/>
  <c r="BK28" i="16"/>
  <c r="BK17" i="16"/>
  <c r="BK21" i="16"/>
  <c r="BK18" i="16"/>
  <c r="BK10" i="16"/>
  <c r="BK26" i="16"/>
  <c r="BK15" i="16"/>
  <c r="BK13" i="16"/>
  <c r="BK8" i="16"/>
  <c r="BK24" i="16"/>
  <c r="BK14" i="16"/>
  <c r="BK16" i="16"/>
  <c r="BK27" i="16"/>
  <c r="BK19" i="16"/>
  <c r="BK7" i="16"/>
  <c r="AV54" i="16"/>
  <c r="BJ54" i="16"/>
  <c r="P23" i="5" s="1"/>
  <c r="H6" i="7"/>
  <c r="N17" i="18"/>
  <c r="N46" i="18"/>
  <c r="N50" i="18" s="1"/>
  <c r="C13" i="34"/>
  <c r="F43" i="30"/>
  <c r="I27" i="5"/>
  <c r="I25" i="5"/>
  <c r="M24" i="8"/>
  <c r="M5" i="6" s="1"/>
  <c r="M22" i="21"/>
  <c r="M24" i="21" s="1"/>
  <c r="L24" i="21"/>
  <c r="H68" i="30"/>
  <c r="N68" i="30" s="1"/>
  <c r="F11" i="21"/>
  <c r="H69" i="30" s="1"/>
  <c r="N69" i="30" s="1"/>
  <c r="F12" i="21"/>
  <c r="H70" i="30" s="1"/>
  <c r="N70" i="30" s="1"/>
  <c r="N22" i="8"/>
  <c r="F87" i="9"/>
  <c r="C37" i="22"/>
  <c r="D37" i="28"/>
  <c r="E36" i="30"/>
  <c r="E16" i="30"/>
  <c r="E35" i="30" s="1"/>
  <c r="BK54" i="16" l="1"/>
  <c r="Q23" i="5" s="1"/>
  <c r="Q30" i="5" s="1"/>
  <c r="Q13" i="18" s="1"/>
  <c r="P10" i="5"/>
  <c r="P12" i="5"/>
  <c r="H8" i="7"/>
  <c r="H14" i="1"/>
  <c r="H19" i="1" s="1"/>
  <c r="O22" i="8"/>
  <c r="P24" i="5"/>
  <c r="P30" i="5"/>
  <c r="P13" i="18" s="1"/>
  <c r="O46" i="18"/>
  <c r="O50" i="18" s="1"/>
  <c r="O17" i="18"/>
  <c r="H6" i="22"/>
  <c r="H8" i="22" s="1"/>
  <c r="J12" i="30" s="1"/>
  <c r="M5" i="26"/>
  <c r="I97" i="30" s="1"/>
  <c r="O97" i="30" s="1"/>
  <c r="I80" i="30"/>
  <c r="O80" i="30" s="1"/>
  <c r="F16" i="21"/>
  <c r="H74" i="30" s="1"/>
  <c r="N74" i="30" s="1"/>
  <c r="F93" i="9"/>
  <c r="E15" i="21"/>
  <c r="E17" i="21" s="1"/>
  <c r="I82" i="30"/>
  <c r="O82" i="30" s="1"/>
  <c r="N24" i="8"/>
  <c r="N5" i="6" s="1"/>
  <c r="N5" i="26" s="1"/>
  <c r="N22" i="21"/>
  <c r="N24" i="21" s="1"/>
  <c r="J20" i="5"/>
  <c r="I28" i="5"/>
  <c r="Q24" i="5" l="1"/>
  <c r="Q22" i="8" s="1"/>
  <c r="Q8" i="5"/>
  <c r="P13" i="5"/>
  <c r="P5" i="7" s="1"/>
  <c r="P22" i="8"/>
  <c r="Q46" i="18"/>
  <c r="Q50" i="18" s="1"/>
  <c r="Q17" i="18"/>
  <c r="P46" i="18"/>
  <c r="P50" i="18" s="1"/>
  <c r="P17" i="18"/>
  <c r="O24" i="8"/>
  <c r="O5" i="6" s="1"/>
  <c r="O5" i="26" s="1"/>
  <c r="O22" i="21"/>
  <c r="O24" i="21" s="1"/>
  <c r="I6" i="7"/>
  <c r="J27" i="5"/>
  <c r="J25" i="5"/>
  <c r="E20" i="21"/>
  <c r="G6" i="30"/>
  <c r="G33" i="30" s="1"/>
  <c r="F15" i="21"/>
  <c r="E30" i="29"/>
  <c r="F94" i="9"/>
  <c r="F28" i="4"/>
  <c r="F29" i="4" s="1"/>
  <c r="F31" i="4" s="1"/>
  <c r="C12" i="34"/>
  <c r="C25" i="34" s="1"/>
  <c r="Q12" i="5" l="1"/>
  <c r="Q10" i="5"/>
  <c r="I8" i="7"/>
  <c r="I14" i="1"/>
  <c r="I19" i="1" s="1"/>
  <c r="P22" i="21"/>
  <c r="P24" i="21" s="1"/>
  <c r="P24" i="8"/>
  <c r="P5" i="6" s="1"/>
  <c r="P5" i="26" s="1"/>
  <c r="Q24" i="8"/>
  <c r="Q5" i="6" s="1"/>
  <c r="Q5" i="26" s="1"/>
  <c r="Q22" i="21"/>
  <c r="Q24" i="21" s="1"/>
  <c r="I6" i="22"/>
  <c r="I8" i="22" s="1"/>
  <c r="K12" i="30" s="1"/>
  <c r="F30" i="29"/>
  <c r="E26" i="21"/>
  <c r="E34" i="21" s="1"/>
  <c r="F24" i="28"/>
  <c r="H73" i="30"/>
  <c r="N73" i="30" s="1"/>
  <c r="F17" i="21"/>
  <c r="K20" i="5"/>
  <c r="J28" i="5"/>
  <c r="Q13" i="5" l="1"/>
  <c r="Q5" i="7" s="1"/>
  <c r="J6" i="7"/>
  <c r="H6" i="30"/>
  <c r="H33" i="30" s="1"/>
  <c r="H75" i="30"/>
  <c r="N75" i="30" s="1"/>
  <c r="F20" i="21"/>
  <c r="E10" i="17"/>
  <c r="K27" i="5"/>
  <c r="K25" i="5"/>
  <c r="E43" i="7"/>
  <c r="E44" i="7" s="1"/>
  <c r="E42" i="7"/>
  <c r="J8" i="7" l="1"/>
  <c r="J14" i="1"/>
  <c r="J19" i="1" s="1"/>
  <c r="J6" i="22"/>
  <c r="J8" i="22" s="1"/>
  <c r="L12" i="30" s="1"/>
  <c r="F10" i="17"/>
  <c r="H101" i="30"/>
  <c r="N101" i="30" s="1"/>
  <c r="F43" i="7"/>
  <c r="F44" i="7" s="1"/>
  <c r="L20" i="5"/>
  <c r="K28" i="5"/>
  <c r="E35" i="32"/>
  <c r="E34" i="29"/>
  <c r="H78" i="30"/>
  <c r="N78" i="30" s="1"/>
  <c r="F26" i="21"/>
  <c r="H84" i="30" s="1"/>
  <c r="N84" i="30" s="1"/>
  <c r="G24" i="28"/>
  <c r="K6" i="7" l="1"/>
  <c r="F34" i="29"/>
  <c r="E31" i="29"/>
  <c r="E35" i="21"/>
  <c r="E36" i="21" s="1"/>
  <c r="L27" i="5"/>
  <c r="L25" i="5"/>
  <c r="K8" i="7" l="1"/>
  <c r="K14" i="1"/>
  <c r="K19" i="1" s="1"/>
  <c r="K6" i="22"/>
  <c r="K8" i="22" s="1"/>
  <c r="M12" i="30" s="1"/>
  <c r="M20" i="5"/>
  <c r="L28" i="5"/>
  <c r="G7" i="30"/>
  <c r="F25" i="28"/>
  <c r="L6" i="7" l="1"/>
  <c r="F9" i="15"/>
  <c r="M27" i="5"/>
  <c r="M25" i="5"/>
  <c r="G14" i="30"/>
  <c r="G34" i="30" s="1"/>
  <c r="F36" i="28"/>
  <c r="L8" i="7" l="1"/>
  <c r="L14" i="1"/>
  <c r="L19" i="1" s="1"/>
  <c r="L6" i="22"/>
  <c r="L8" i="22" s="1"/>
  <c r="N12" i="30" s="1"/>
  <c r="N20" i="5"/>
  <c r="M28" i="5"/>
  <c r="F87" i="6"/>
  <c r="F38" i="29"/>
  <c r="M6" i="7" l="1"/>
  <c r="H27" i="30"/>
  <c r="F71" i="26"/>
  <c r="H135" i="30" s="1"/>
  <c r="H183" i="30" s="1"/>
  <c r="H115" i="30"/>
  <c r="N115" i="30" s="1"/>
  <c r="E72" i="6"/>
  <c r="E56" i="26"/>
  <c r="G21" i="30"/>
  <c r="N27" i="5"/>
  <c r="N25" i="5"/>
  <c r="M8" i="7" l="1"/>
  <c r="M14" i="1"/>
  <c r="M19" i="1" s="1"/>
  <c r="N28" i="5"/>
  <c r="N6" i="7" s="1"/>
  <c r="O20" i="5"/>
  <c r="M6" i="22"/>
  <c r="M8" i="22" s="1"/>
  <c r="O12" i="30" s="1"/>
  <c r="P12" i="30" s="1"/>
  <c r="G28" i="30"/>
  <c r="F28" i="28"/>
  <c r="G120" i="30"/>
  <c r="G168" i="30" s="1"/>
  <c r="H23" i="30"/>
  <c r="H116" i="30"/>
  <c r="N116" i="30" s="1"/>
  <c r="N8" i="7" l="1"/>
  <c r="N14" i="1"/>
  <c r="N19" i="1" s="1"/>
  <c r="O27" i="5"/>
  <c r="O25" i="5"/>
  <c r="N6" i="22"/>
  <c r="N8" i="22" s="1"/>
  <c r="G43" i="30"/>
  <c r="P20" i="5" l="1"/>
  <c r="O28" i="5"/>
  <c r="O6" i="7" s="1"/>
  <c r="O14" i="1" s="1"/>
  <c r="O19" i="1" s="1"/>
  <c r="V163" i="35"/>
  <c r="P27" i="5" l="1"/>
  <c r="P25" i="5"/>
  <c r="O6" i="22"/>
  <c r="O8" i="22" s="1"/>
  <c r="O8" i="7"/>
  <c r="W168" i="35"/>
  <c r="BP168" i="35" s="1"/>
  <c r="F72" i="6"/>
  <c r="F28" i="21"/>
  <c r="F34" i="21" s="1"/>
  <c r="F35" i="21"/>
  <c r="C14" i="34"/>
  <c r="H14" i="30"/>
  <c r="H96" i="30"/>
  <c r="N96" i="30" s="1"/>
  <c r="H98" i="30"/>
  <c r="N98" i="30" s="1"/>
  <c r="F31" i="29"/>
  <c r="H86" i="30" l="1"/>
  <c r="N86" i="30" s="1"/>
  <c r="Q20" i="5"/>
  <c r="P28" i="5"/>
  <c r="P6" i="7" s="1"/>
  <c r="P14" i="1" s="1"/>
  <c r="P19" i="1" s="1"/>
  <c r="G26" i="6"/>
  <c r="G6" i="36"/>
  <c r="G18" i="36" s="1"/>
  <c r="G38" i="29"/>
  <c r="F36" i="21"/>
  <c r="G36" i="28" s="1"/>
  <c r="G23" i="26"/>
  <c r="G24" i="26" s="1"/>
  <c r="I23" i="30" s="1"/>
  <c r="H93" i="30"/>
  <c r="N93" i="30" s="1"/>
  <c r="H21" i="30"/>
  <c r="H105" i="30"/>
  <c r="N105" i="30" s="1"/>
  <c r="F56" i="26"/>
  <c r="H120" i="30" s="1"/>
  <c r="H168" i="30" s="1"/>
  <c r="H92" i="30"/>
  <c r="N92" i="30" s="1"/>
  <c r="F35" i="32"/>
  <c r="H106" i="30"/>
  <c r="N106" i="30" s="1"/>
  <c r="G87" i="6"/>
  <c r="C24" i="34"/>
  <c r="C27" i="34" s="1"/>
  <c r="C30" i="34" s="1"/>
  <c r="G23" i="22"/>
  <c r="G25" i="28" l="1"/>
  <c r="H94" i="30"/>
  <c r="N94" i="30" s="1"/>
  <c r="H7" i="30"/>
  <c r="H34" i="30" s="1"/>
  <c r="Q27" i="5"/>
  <c r="Q25" i="5"/>
  <c r="P6" i="22"/>
  <c r="P8" i="22" s="1"/>
  <c r="P8" i="7"/>
  <c r="I27" i="30"/>
  <c r="G71" i="26"/>
  <c r="I135" i="30" s="1"/>
  <c r="I183" i="30" s="1"/>
  <c r="H28" i="30"/>
  <c r="G28" i="28"/>
  <c r="H43" i="30"/>
  <c r="D37" i="7"/>
  <c r="E37" i="7"/>
  <c r="F37" i="7"/>
  <c r="H13" i="30"/>
  <c r="D40" i="26"/>
  <c r="E40" i="26"/>
  <c r="E45" i="26"/>
  <c r="E29" i="28"/>
  <c r="F29" i="28"/>
  <c r="E34" i="28"/>
  <c r="F34" i="28"/>
  <c r="G34" i="28"/>
  <c r="E35" i="28"/>
  <c r="F35" i="28"/>
  <c r="G35" i="28"/>
  <c r="E37" i="28"/>
  <c r="F37" i="28"/>
  <c r="G37" i="28"/>
  <c r="F13" i="30"/>
  <c r="G13" i="30"/>
  <c r="F15" i="30"/>
  <c r="F16" i="30" s="1"/>
  <c r="F35" i="30" s="1"/>
  <c r="G15" i="30"/>
  <c r="G36" i="30" s="1"/>
  <c r="H15" i="30"/>
  <c r="H16" i="30" s="1"/>
  <c r="H35" i="30" s="1"/>
  <c r="F52" i="30"/>
  <c r="G52" i="30"/>
  <c r="H52" i="30"/>
  <c r="F55" i="30"/>
  <c r="G55" i="30"/>
  <c r="H55" i="30"/>
  <c r="F36" i="30" l="1"/>
  <c r="G16" i="30"/>
  <c r="G35" i="30" s="1"/>
  <c r="Q28" i="5"/>
  <c r="Q6" i="7" s="1"/>
  <c r="Q14" i="1" s="1"/>
  <c r="Q19" i="1" s="1"/>
  <c r="G57" i="30"/>
  <c r="F37" i="22"/>
  <c r="H36" i="30"/>
  <c r="H57" i="30"/>
  <c r="F57" i="30"/>
  <c r="E37" i="22"/>
  <c r="D37" i="22"/>
  <c r="G33" i="6"/>
  <c r="G29" i="26" s="1"/>
  <c r="G30" i="26" s="1"/>
  <c r="E48" i="26"/>
  <c r="D45" i="26"/>
  <c r="D48" i="26" s="1"/>
  <c r="Q6" i="22" l="1"/>
  <c r="Q8" i="22" s="1"/>
  <c r="Q8" i="7"/>
  <c r="D73" i="6"/>
  <c r="E51" i="26"/>
  <c r="E53" i="26" s="1"/>
  <c r="E57" i="26"/>
  <c r="E73" i="6"/>
  <c r="D51" i="26"/>
  <c r="D53" i="26" s="1"/>
  <c r="D57" i="26"/>
  <c r="F73" i="6" l="1"/>
  <c r="D59" i="26"/>
  <c r="D62" i="26"/>
  <c r="F121" i="30"/>
  <c r="F169" i="30" s="1"/>
  <c r="E75" i="6"/>
  <c r="E78" i="6"/>
  <c r="E77" i="6" s="1"/>
  <c r="F40" i="26"/>
  <c r="F45" i="26"/>
  <c r="F48" i="26" s="1"/>
  <c r="G29" i="28"/>
  <c r="E59" i="26"/>
  <c r="E62" i="26"/>
  <c r="G121" i="30"/>
  <c r="G169" i="30" s="1"/>
  <c r="D75" i="6"/>
  <c r="D78" i="6"/>
  <c r="D77" i="6" s="1"/>
  <c r="F51" i="26" l="1"/>
  <c r="F57" i="26"/>
  <c r="E77" i="26"/>
  <c r="G141" i="30" s="1"/>
  <c r="G189" i="30" s="1"/>
  <c r="F26" i="28"/>
  <c r="G123" i="30"/>
  <c r="G171" i="30" s="1"/>
  <c r="E26" i="28"/>
  <c r="D77" i="26"/>
  <c r="F141" i="30" s="1"/>
  <c r="F189" i="30" s="1"/>
  <c r="F123" i="30"/>
  <c r="F171" i="30" s="1"/>
  <c r="D92" i="6"/>
  <c r="D81" i="6"/>
  <c r="D89" i="6" s="1"/>
  <c r="D93" i="6"/>
  <c r="E61" i="26"/>
  <c r="E65" i="26" s="1"/>
  <c r="G126" i="30"/>
  <c r="G174" i="30" s="1"/>
  <c r="E14" i="29"/>
  <c r="E81" i="6"/>
  <c r="E89" i="6" s="1"/>
  <c r="E93" i="6"/>
  <c r="E92" i="6"/>
  <c r="D61" i="26"/>
  <c r="F126" i="30"/>
  <c r="F174" i="30" s="1"/>
  <c r="D14" i="29"/>
  <c r="F75" i="6"/>
  <c r="F78" i="6"/>
  <c r="F77" i="6" s="1"/>
  <c r="E73" i="26" l="1"/>
  <c r="G129" i="30"/>
  <c r="G177" i="30" s="1"/>
  <c r="F92" i="6"/>
  <c r="F81" i="6"/>
  <c r="F89" i="6" s="1"/>
  <c r="F93" i="6"/>
  <c r="F53" i="26"/>
  <c r="H87" i="30"/>
  <c r="E76" i="26"/>
  <c r="G140" i="30" s="1"/>
  <c r="G188" i="30" s="1"/>
  <c r="D13" i="29"/>
  <c r="D21" i="29"/>
  <c r="E27" i="28"/>
  <c r="F125" i="30"/>
  <c r="F173" i="30" s="1"/>
  <c r="E13" i="29"/>
  <c r="E21" i="29"/>
  <c r="F27" i="28"/>
  <c r="G125" i="30"/>
  <c r="G173" i="30" s="1"/>
  <c r="F59" i="26"/>
  <c r="F62" i="26"/>
  <c r="H121" i="30"/>
  <c r="H169" i="30" s="1"/>
  <c r="D65" i="26"/>
  <c r="D76" i="26"/>
  <c r="F140" i="30" s="1"/>
  <c r="F188" i="30" s="1"/>
  <c r="D73" i="26" l="1"/>
  <c r="F129" i="30"/>
  <c r="F177" i="30" s="1"/>
  <c r="F61" i="26"/>
  <c r="F76" i="26" s="1"/>
  <c r="H140" i="30" s="1"/>
  <c r="H188" i="30" s="1"/>
  <c r="H126" i="30"/>
  <c r="H174" i="30" s="1"/>
  <c r="F14" i="29"/>
  <c r="G137" i="30"/>
  <c r="G185" i="30" s="1"/>
  <c r="E54" i="29"/>
  <c r="G26" i="28"/>
  <c r="F77" i="26"/>
  <c r="H141" i="30" s="1"/>
  <c r="H189" i="30" s="1"/>
  <c r="H123" i="30"/>
  <c r="H171" i="30" s="1"/>
  <c r="E17" i="29"/>
  <c r="E20" i="29"/>
  <c r="D20" i="29"/>
  <c r="D17" i="29"/>
  <c r="N87" i="30"/>
  <c r="H88" i="30"/>
  <c r="N88" i="30" s="1"/>
  <c r="F65" i="26" l="1"/>
  <c r="F73" i="26" s="1"/>
  <c r="D43" i="29"/>
  <c r="D47" i="29" s="1"/>
  <c r="D53" i="29"/>
  <c r="F13" i="29"/>
  <c r="F21" i="29"/>
  <c r="G27" i="28"/>
  <c r="H125" i="30"/>
  <c r="H173" i="30" s="1"/>
  <c r="F137" i="30"/>
  <c r="F185" i="30" s="1"/>
  <c r="D54" i="29"/>
  <c r="H129" i="30" l="1"/>
  <c r="H177" i="30" s="1"/>
  <c r="H137" i="30"/>
  <c r="H185" i="30" s="1"/>
  <c r="F54" i="29"/>
  <c r="F20" i="29"/>
  <c r="F17" i="29"/>
  <c r="D55" i="29"/>
  <c r="D56" i="29" s="1"/>
  <c r="F42" i="7"/>
  <c r="H100" i="30"/>
  <c r="N100" i="30" s="1"/>
  <c r="AJ255" i="11"/>
  <c r="G34" i="12"/>
  <c r="AK255" i="11" l="1"/>
  <c r="BO11" i="11"/>
  <c r="BO24" i="11"/>
  <c r="BO37" i="11"/>
  <c r="BO50" i="11"/>
  <c r="BO63" i="11"/>
  <c r="BO77" i="11"/>
  <c r="BO93" i="11"/>
  <c r="BO109" i="11"/>
  <c r="BO125" i="11"/>
  <c r="BO244" i="11"/>
  <c r="BO252" i="11" s="1"/>
  <c r="BO254" i="11" s="1"/>
  <c r="AK254" i="11" s="1"/>
  <c r="AK256" i="11" s="1"/>
  <c r="BO176" i="11" l="1"/>
  <c r="AZ10" i="11"/>
  <c r="AZ23" i="11"/>
  <c r="BO23" i="11" s="1"/>
  <c r="AZ36" i="11"/>
  <c r="AZ49" i="11"/>
  <c r="BO49" i="11" s="1"/>
  <c r="AZ62" i="11"/>
  <c r="BO62" i="11" s="1"/>
  <c r="AZ76" i="11"/>
  <c r="BO76" i="11" s="1"/>
  <c r="AZ92" i="11"/>
  <c r="BO92" i="11" s="1"/>
  <c r="AZ108" i="11"/>
  <c r="BO108" i="11" s="1"/>
  <c r="AZ124" i="11"/>
  <c r="BO124" i="11" s="1"/>
  <c r="BO10" i="11"/>
  <c r="BO36" i="11"/>
  <c r="BO175" i="11" l="1"/>
  <c r="AZ91" i="11"/>
  <c r="BO91" i="11" s="1"/>
  <c r="AZ123" i="11"/>
  <c r="BO123" i="11" s="1"/>
  <c r="AZ75" i="11"/>
  <c r="BO75" i="11" s="1"/>
  <c r="AZ107" i="11"/>
  <c r="BO107" i="11" s="1"/>
  <c r="BN75" i="11"/>
  <c r="BN91" i="11"/>
  <c r="BN107" i="11"/>
  <c r="BN123" i="11"/>
  <c r="BN174" i="11" l="1"/>
  <c r="BO174" i="11"/>
  <c r="BO85" i="11"/>
  <c r="BO101" i="11"/>
  <c r="BO117" i="11"/>
  <c r="BO133" i="11"/>
  <c r="BO86" i="11"/>
  <c r="BO102" i="11"/>
  <c r="BO118" i="11"/>
  <c r="BO134" i="11"/>
  <c r="BO180" i="11" l="1"/>
  <c r="BO181" i="11"/>
  <c r="BP85" i="11"/>
  <c r="BP101" i="11"/>
  <c r="BP117" i="11"/>
  <c r="BP133" i="11"/>
  <c r="H17" i="12"/>
  <c r="BB165" i="11" s="1"/>
  <c r="BQ165" i="11" s="1"/>
  <c r="BP180" i="11" l="1"/>
  <c r="BB149" i="11"/>
  <c r="BQ149" i="11" s="1"/>
  <c r="I17" i="12"/>
  <c r="BC165" i="11" s="1"/>
  <c r="BR165" i="11" s="1"/>
  <c r="BB101" i="11"/>
  <c r="BQ101" i="11" s="1"/>
  <c r="BB133" i="11"/>
  <c r="BQ133" i="11" s="1"/>
  <c r="BB85" i="11"/>
  <c r="BQ85" i="11" s="1"/>
  <c r="BB117" i="11"/>
  <c r="BQ117" i="11" s="1"/>
  <c r="BQ180" i="11" l="1"/>
  <c r="BC149" i="11"/>
  <c r="BR149" i="11" s="1"/>
  <c r="J17" i="12"/>
  <c r="BD165" i="11" s="1"/>
  <c r="BS165" i="11" s="1"/>
  <c r="BC85" i="11"/>
  <c r="BC117" i="11"/>
  <c r="BR117" i="11" s="1"/>
  <c r="BC101" i="11"/>
  <c r="BR101" i="11" s="1"/>
  <c r="BC133" i="11"/>
  <c r="BR133" i="11" s="1"/>
  <c r="BD149" i="11" l="1"/>
  <c r="BS149" i="11" s="1"/>
  <c r="BD101" i="11"/>
  <c r="BS101" i="11" s="1"/>
  <c r="BD133" i="11"/>
  <c r="BS133" i="11" s="1"/>
  <c r="BD85" i="11"/>
  <c r="BD117" i="11"/>
  <c r="BS117" i="11" s="1"/>
  <c r="K17" i="12"/>
  <c r="BE165" i="11" s="1"/>
  <c r="BT165" i="11" s="1"/>
  <c r="BE149" i="11" l="1"/>
  <c r="BT149" i="11" s="1"/>
  <c r="BE85" i="11"/>
  <c r="BE117" i="11"/>
  <c r="BT117" i="11" s="1"/>
  <c r="BE101" i="11"/>
  <c r="BT101" i="11" s="1"/>
  <c r="BE133" i="11"/>
  <c r="BT133" i="11" s="1"/>
  <c r="L17" i="12"/>
  <c r="BF165" i="11" s="1"/>
  <c r="BU165" i="11" s="1"/>
  <c r="BF149" i="11" l="1"/>
  <c r="BU149" i="11" s="1"/>
  <c r="BF101" i="11"/>
  <c r="BU101" i="11" s="1"/>
  <c r="BF133" i="11"/>
  <c r="BU133" i="11" s="1"/>
  <c r="BF85" i="11"/>
  <c r="BF117" i="11"/>
  <c r="BU117" i="11" s="1"/>
  <c r="M17" i="12"/>
  <c r="BG165" i="11" s="1"/>
  <c r="BV165" i="11" s="1"/>
  <c r="BP86" i="11"/>
  <c r="BP102" i="11"/>
  <c r="BP118" i="11"/>
  <c r="BP134" i="11"/>
  <c r="H18" i="12"/>
  <c r="BB166" i="11" s="1"/>
  <c r="BQ166" i="11" s="1"/>
  <c r="BP181" i="11" l="1"/>
  <c r="BB150" i="11"/>
  <c r="BQ150" i="11" s="1"/>
  <c r="BG149" i="11"/>
  <c r="BV149" i="11" s="1"/>
  <c r="BB86" i="11"/>
  <c r="BB118" i="11"/>
  <c r="BQ118" i="11" s="1"/>
  <c r="BB102" i="11"/>
  <c r="BQ102" i="11" s="1"/>
  <c r="BB134" i="11"/>
  <c r="BQ134" i="11" s="1"/>
  <c r="BG85" i="11"/>
  <c r="BG117" i="11"/>
  <c r="BV117" i="11" s="1"/>
  <c r="BG101" i="11"/>
  <c r="BV101" i="11" s="1"/>
  <c r="BG133" i="11"/>
  <c r="BV133" i="11" s="1"/>
  <c r="N17" i="12"/>
  <c r="BH165" i="11" s="1"/>
  <c r="BW165" i="11" s="1"/>
  <c r="BQ86" i="11"/>
  <c r="I18" i="12"/>
  <c r="BC166" i="11" s="1"/>
  <c r="BR166" i="11" s="1"/>
  <c r="BQ181" i="11" l="1"/>
  <c r="BC150" i="11"/>
  <c r="BR150" i="11" s="1"/>
  <c r="BH149" i="11"/>
  <c r="BW149" i="11" s="1"/>
  <c r="BH85" i="11"/>
  <c r="BH101" i="11"/>
  <c r="BW101" i="11" s="1"/>
  <c r="O17" i="12"/>
  <c r="BI165" i="11" s="1"/>
  <c r="BX165" i="11" s="1"/>
  <c r="BH117" i="11"/>
  <c r="BW117" i="11" s="1"/>
  <c r="BH133" i="11"/>
  <c r="BW133" i="11" s="1"/>
  <c r="BC102" i="11"/>
  <c r="BR102" i="11" s="1"/>
  <c r="BC134" i="11"/>
  <c r="BR134" i="11" s="1"/>
  <c r="BC86" i="11"/>
  <c r="BC118" i="11"/>
  <c r="BR118" i="11" s="1"/>
  <c r="J18" i="12"/>
  <c r="BD166" i="11" s="1"/>
  <c r="BS166" i="11" s="1"/>
  <c r="BD150" i="11" l="1"/>
  <c r="BS150" i="11" s="1"/>
  <c r="BI149" i="11"/>
  <c r="BX149" i="11" s="1"/>
  <c r="BD86" i="11"/>
  <c r="BD118" i="11"/>
  <c r="BS118" i="11" s="1"/>
  <c r="BD102" i="11"/>
  <c r="BS102" i="11" s="1"/>
  <c r="BD134" i="11"/>
  <c r="BS134" i="11" s="1"/>
  <c r="P17" i="12"/>
  <c r="BJ165" i="11" s="1"/>
  <c r="BY165" i="11" s="1"/>
  <c r="BI133" i="11"/>
  <c r="BX133" i="11" s="1"/>
  <c r="BI117" i="11"/>
  <c r="BX117" i="11" s="1"/>
  <c r="BI101" i="11"/>
  <c r="BX101" i="11" s="1"/>
  <c r="BI85" i="11"/>
  <c r="K18" i="12"/>
  <c r="BE166" i="11" s="1"/>
  <c r="BT166" i="11" s="1"/>
  <c r="BJ149" i="11" l="1"/>
  <c r="BY149" i="11" s="1"/>
  <c r="BE150" i="11"/>
  <c r="BT150" i="11" s="1"/>
  <c r="BJ85" i="11"/>
  <c r="BJ101" i="11"/>
  <c r="BY101" i="11" s="1"/>
  <c r="Q17" i="12"/>
  <c r="BK165" i="11" s="1"/>
  <c r="BZ165" i="11" s="1"/>
  <c r="BJ117" i="11"/>
  <c r="BY117" i="11" s="1"/>
  <c r="BJ133" i="11"/>
  <c r="BY133" i="11" s="1"/>
  <c r="BE102" i="11"/>
  <c r="BT102" i="11" s="1"/>
  <c r="BE134" i="11"/>
  <c r="BT134" i="11" s="1"/>
  <c r="BE86" i="11"/>
  <c r="BE118" i="11"/>
  <c r="BT118" i="11" s="1"/>
  <c r="L18" i="12"/>
  <c r="BF166" i="11" s="1"/>
  <c r="BU166" i="11" s="1"/>
  <c r="BF150" i="11" l="1"/>
  <c r="BU150" i="11" s="1"/>
  <c r="BK149" i="11"/>
  <c r="BZ149" i="11" s="1"/>
  <c r="BK101" i="11"/>
  <c r="BZ101" i="11" s="1"/>
  <c r="BK85" i="11"/>
  <c r="BK133" i="11"/>
  <c r="BZ133" i="11" s="1"/>
  <c r="BK117" i="11"/>
  <c r="BZ117" i="11" s="1"/>
  <c r="BF86" i="11"/>
  <c r="BF118" i="11"/>
  <c r="BU118" i="11" s="1"/>
  <c r="BF102" i="11"/>
  <c r="BU102" i="11" s="1"/>
  <c r="BF134" i="11"/>
  <c r="BU134" i="11" s="1"/>
  <c r="M18" i="12"/>
  <c r="BG166" i="11" s="1"/>
  <c r="BV166" i="11" s="1"/>
  <c r="BG150" i="11" l="1"/>
  <c r="BV150" i="11" s="1"/>
  <c r="BG102" i="11"/>
  <c r="BV102" i="11" s="1"/>
  <c r="BG134" i="11"/>
  <c r="BV134" i="11" s="1"/>
  <c r="BG86" i="11"/>
  <c r="BG118" i="11"/>
  <c r="BV118" i="11" s="1"/>
  <c r="N18" i="12"/>
  <c r="BH166" i="11" s="1"/>
  <c r="BW166" i="11" s="1"/>
  <c r="BH150" i="11" l="1"/>
  <c r="BW150" i="11" s="1"/>
  <c r="O18" i="12"/>
  <c r="BI166" i="11" s="1"/>
  <c r="BX166" i="11" s="1"/>
  <c r="BH86" i="11"/>
  <c r="BH118" i="11"/>
  <c r="BW118" i="11" s="1"/>
  <c r="BH102" i="11"/>
  <c r="BW102" i="11" s="1"/>
  <c r="BH134" i="11"/>
  <c r="BW134" i="11" s="1"/>
  <c r="BI150" i="11" l="1"/>
  <c r="BX150" i="11" s="1"/>
  <c r="P18" i="12"/>
  <c r="BJ166" i="11" s="1"/>
  <c r="BY166" i="11" s="1"/>
  <c r="BI102" i="11"/>
  <c r="BX102" i="11" s="1"/>
  <c r="BI134" i="11"/>
  <c r="BX134" i="11" s="1"/>
  <c r="BI86" i="11"/>
  <c r="BI118" i="11"/>
  <c r="BX118" i="11" s="1"/>
  <c r="I106" i="30"/>
  <c r="O106" i="30" s="1"/>
  <c r="BJ150" i="11" l="1"/>
  <c r="BY150" i="11" s="1"/>
  <c r="Q18" i="12"/>
  <c r="BK166" i="11" s="1"/>
  <c r="BZ166" i="11" s="1"/>
  <c r="BJ86" i="11"/>
  <c r="BJ118" i="11"/>
  <c r="BY118" i="11" s="1"/>
  <c r="BJ102" i="11"/>
  <c r="BY102" i="11" s="1"/>
  <c r="BJ134" i="11"/>
  <c r="BY134" i="11" s="1"/>
  <c r="BK150" i="11" l="1"/>
  <c r="BZ150" i="11" s="1"/>
  <c r="BK102" i="11"/>
  <c r="BZ102" i="11" s="1"/>
  <c r="BK134" i="11"/>
  <c r="BZ134" i="11" s="1"/>
  <c r="BK86" i="11"/>
  <c r="BK118" i="11"/>
  <c r="BZ118" i="11" s="1"/>
  <c r="E33" i="18" l="1"/>
  <c r="E34" i="18" s="1"/>
  <c r="E35" i="18" s="1"/>
  <c r="E26" i="18"/>
  <c r="E28" i="3" s="1"/>
  <c r="E41" i="3" s="1"/>
  <c r="F26" i="18"/>
  <c r="F28" i="3" s="1"/>
  <c r="F41" i="3" s="1"/>
  <c r="F33" i="18"/>
  <c r="F34" i="18" s="1"/>
  <c r="F35" i="18" s="1"/>
  <c r="F69" i="3" l="1"/>
  <c r="F83" i="3" s="1"/>
  <c r="E69" i="3"/>
  <c r="E83" i="3" s="1"/>
  <c r="F154" i="3"/>
  <c r="F27" i="18"/>
  <c r="E27" i="18"/>
  <c r="E154" i="3" l="1"/>
  <c r="E201" i="3" s="1"/>
  <c r="F201" i="3"/>
  <c r="F228" i="3" l="1"/>
  <c r="E228" i="3"/>
  <c r="E42" i="3"/>
  <c r="E52" i="3" s="1"/>
  <c r="E70" i="3"/>
  <c r="E84" i="3" s="1"/>
  <c r="E94" i="3" s="1"/>
  <c r="F42" i="3"/>
  <c r="F52" i="3" s="1"/>
  <c r="F70" i="3"/>
  <c r="F84" i="3" s="1"/>
  <c r="F94" i="3" s="1"/>
  <c r="E155" i="3" l="1"/>
  <c r="E202" i="3" s="1"/>
  <c r="F6" i="3"/>
  <c r="F25" i="29" s="1"/>
  <c r="F27" i="29" s="1"/>
  <c r="E6" i="3"/>
  <c r="E8" i="3" s="1"/>
  <c r="F155" i="3"/>
  <c r="F202" i="3" s="1"/>
  <c r="F212" i="3" s="1"/>
  <c r="E229" i="3" l="1"/>
  <c r="E212" i="3"/>
  <c r="F4" i="4"/>
  <c r="F5" i="4" s="1"/>
  <c r="F6" i="4" s="1"/>
  <c r="F45" i="4" s="1"/>
  <c r="E25" i="29"/>
  <c r="E27" i="29" s="1"/>
  <c r="E49" i="29" s="1"/>
  <c r="E51" i="29" s="1"/>
  <c r="F8" i="3"/>
  <c r="F10" i="3" s="1"/>
  <c r="E4" i="4"/>
  <c r="E5" i="4" s="1"/>
  <c r="E6" i="4" s="1"/>
  <c r="E45" i="4" s="1"/>
  <c r="F165" i="3"/>
  <c r="C6" i="34" s="1"/>
  <c r="C7" i="34" s="1"/>
  <c r="F32" i="29"/>
  <c r="F36" i="29" s="1"/>
  <c r="F40" i="29" s="1"/>
  <c r="F49" i="29"/>
  <c r="F51" i="29" s="1"/>
  <c r="F229" i="3"/>
  <c r="E10" i="3"/>
  <c r="E5" i="1"/>
  <c r="E32" i="29" l="1"/>
  <c r="E36" i="29" s="1"/>
  <c r="E40" i="29" s="1"/>
  <c r="F239" i="3"/>
  <c r="F47" i="32" s="1"/>
  <c r="E239" i="3"/>
  <c r="E47" i="32" s="1"/>
  <c r="F7" i="4"/>
  <c r="F43" i="29"/>
  <c r="F47" i="29" s="1"/>
  <c r="F53" i="29"/>
  <c r="F55" i="29" s="1"/>
  <c r="F56" i="29" s="1"/>
  <c r="E53" i="29"/>
  <c r="E55" i="29" s="1"/>
  <c r="E56" i="29" s="1"/>
  <c r="E43" i="29"/>
  <c r="E47" i="29" s="1"/>
  <c r="F52" i="32" l="1"/>
  <c r="F55" i="32"/>
  <c r="F62" i="32" s="1"/>
  <c r="E55" i="32"/>
  <c r="E62" i="32" s="1"/>
  <c r="E52" i="32"/>
  <c r="E84" i="9"/>
  <c r="E87" i="9" s="1"/>
  <c r="F15" i="32" l="1"/>
  <c r="F28" i="32"/>
  <c r="F14" i="32"/>
  <c r="F13" i="32"/>
  <c r="F18" i="32"/>
  <c r="F22" i="32"/>
  <c r="F24" i="32" s="1"/>
  <c r="E18" i="32"/>
  <c r="E13" i="32"/>
  <c r="E14" i="32"/>
  <c r="E28" i="32"/>
  <c r="E22" i="32"/>
  <c r="E24" i="32" s="1"/>
  <c r="E15" i="32"/>
  <c r="E93" i="9"/>
  <c r="F17" i="32" l="1"/>
  <c r="E17" i="32"/>
  <c r="E28" i="4"/>
  <c r="E29" i="4" s="1"/>
  <c r="E31" i="4" s="1"/>
  <c r="E94" i="9"/>
  <c r="G42" i="3"/>
  <c r="G70" i="3"/>
  <c r="G84" i="3" s="1"/>
  <c r="AY8" i="11"/>
  <c r="BN8" i="11" s="1"/>
  <c r="AY21" i="11"/>
  <c r="BN21" i="11" s="1"/>
  <c r="AY34" i="11"/>
  <c r="BN34" i="11" s="1"/>
  <c r="AY47" i="11"/>
  <c r="BN47" i="11" s="1"/>
  <c r="AY60" i="11"/>
  <c r="BN60" i="11" s="1"/>
  <c r="AY73" i="11"/>
  <c r="BN73" i="11" s="1"/>
  <c r="AY89" i="11"/>
  <c r="BN89" i="11" s="1"/>
  <c r="AY105" i="11"/>
  <c r="BN105" i="11" s="1"/>
  <c r="AY121" i="11"/>
  <c r="BN121" i="11" s="1"/>
  <c r="E29" i="12"/>
  <c r="BN172" i="11" l="1"/>
  <c r="G155" i="3"/>
  <c r="G202" i="3" s="1"/>
  <c r="G229" i="3" s="1"/>
  <c r="AY10" i="11"/>
  <c r="BN10" i="11" s="1"/>
  <c r="AY23" i="11"/>
  <c r="BN23" i="11" s="1"/>
  <c r="AY36" i="11"/>
  <c r="BN36" i="11" s="1"/>
  <c r="AY49" i="11"/>
  <c r="BN49" i="11" s="1"/>
  <c r="AY62" i="11"/>
  <c r="BN62" i="11" s="1"/>
  <c r="AY76" i="11"/>
  <c r="BN76" i="11" s="1"/>
  <c r="AY92" i="11"/>
  <c r="BN92" i="11" s="1"/>
  <c r="AY108" i="11"/>
  <c r="BN108" i="11" s="1"/>
  <c r="AY124" i="11"/>
  <c r="BN124" i="11" s="1"/>
  <c r="AY15" i="11"/>
  <c r="BN15" i="11" s="1"/>
  <c r="AY28" i="11"/>
  <c r="BN28" i="11" s="1"/>
  <c r="AY41" i="11"/>
  <c r="BN41" i="11" s="1"/>
  <c r="AY54" i="11"/>
  <c r="BN54" i="11" s="1"/>
  <c r="AY67" i="11"/>
  <c r="BN67" i="11" s="1"/>
  <c r="AY81" i="11"/>
  <c r="BN81" i="11" s="1"/>
  <c r="AY97" i="11"/>
  <c r="BN97" i="11" s="1"/>
  <c r="AY113" i="11"/>
  <c r="BN113" i="11" s="1"/>
  <c r="AY129" i="11"/>
  <c r="BN129" i="11" s="1"/>
  <c r="E41" i="12"/>
  <c r="F41" i="12"/>
  <c r="AY16" i="11"/>
  <c r="BN16" i="11" s="1"/>
  <c r="AY29" i="11"/>
  <c r="BN29" i="11" s="1"/>
  <c r="AY42" i="11"/>
  <c r="BN42" i="11" s="1"/>
  <c r="AY55" i="11"/>
  <c r="BN55" i="11" s="1"/>
  <c r="AY68" i="11"/>
  <c r="BN68" i="11" s="1"/>
  <c r="AY82" i="11"/>
  <c r="BN82" i="11" s="1"/>
  <c r="AY98" i="11"/>
  <c r="BN98" i="11" s="1"/>
  <c r="AY114" i="11"/>
  <c r="BN114" i="11" s="1"/>
  <c r="AY130" i="11"/>
  <c r="BN130" i="11" s="1"/>
  <c r="AY246" i="11"/>
  <c r="BN246" i="11" s="1"/>
  <c r="E42" i="12"/>
  <c r="F42" i="12"/>
  <c r="BN182" i="11" l="1"/>
  <c r="BN183" i="11"/>
  <c r="BN175" i="11"/>
  <c r="AY17" i="11"/>
  <c r="BN17" i="11" s="1"/>
  <c r="AY30" i="11"/>
  <c r="BN30" i="11" s="1"/>
  <c r="AY43" i="11"/>
  <c r="BN43" i="11" s="1"/>
  <c r="AY56" i="11"/>
  <c r="BN56" i="11" s="1"/>
  <c r="AY69" i="11"/>
  <c r="BN69" i="11" s="1"/>
  <c r="AY83" i="11"/>
  <c r="BN83" i="11" s="1"/>
  <c r="AY99" i="11"/>
  <c r="BN99" i="11" s="1"/>
  <c r="AY115" i="11"/>
  <c r="BN115" i="11" s="1"/>
  <c r="AY131" i="11"/>
  <c r="BN131" i="11" s="1"/>
  <c r="E43" i="12"/>
  <c r="F43" i="12"/>
  <c r="AY18" i="11"/>
  <c r="BN18" i="11" s="1"/>
  <c r="AY31" i="11"/>
  <c r="BN31" i="11" s="1"/>
  <c r="AY44" i="11"/>
  <c r="BN44" i="11" s="1"/>
  <c r="AY57" i="11"/>
  <c r="BN57" i="11" s="1"/>
  <c r="AY70" i="11"/>
  <c r="BN70" i="11" s="1"/>
  <c r="AY84" i="11"/>
  <c r="BN84" i="11" s="1"/>
  <c r="AY100" i="11"/>
  <c r="BN100" i="11" s="1"/>
  <c r="AY116" i="11"/>
  <c r="BN116" i="11" s="1"/>
  <c r="AY132" i="11"/>
  <c r="BN132" i="11" s="1"/>
  <c r="AY247" i="11"/>
  <c r="BN247" i="11" s="1"/>
  <c r="BN252" i="11" s="1"/>
  <c r="BN254" i="11" s="1"/>
  <c r="AJ254" i="11" s="1"/>
  <c r="AJ256" i="11" s="1"/>
  <c r="E44" i="12"/>
  <c r="F44" i="12"/>
  <c r="BN192" i="11" l="1"/>
  <c r="BN185" i="11"/>
  <c r="BN184" i="11"/>
  <c r="BN198" i="11"/>
  <c r="BN191" i="11"/>
  <c r="BN218" i="11" s="1"/>
  <c r="BN195" i="11"/>
  <c r="BN190" i="11"/>
  <c r="BN217" i="11" s="1"/>
  <c r="BN196" i="11"/>
  <c r="BN193" i="11"/>
  <c r="BN219" i="11" s="1"/>
  <c r="BN194" i="11"/>
  <c r="BN197" i="11"/>
  <c r="BN187" i="11" l="1"/>
  <c r="E42" i="32"/>
  <c r="E43" i="32" s="1"/>
  <c r="BN202" i="11"/>
  <c r="BN204" i="11" l="1"/>
  <c r="E8" i="32"/>
  <c r="E10" i="32" s="1"/>
  <c r="F5" i="10"/>
  <c r="F15" i="10" s="1"/>
  <c r="E50" i="32"/>
  <c r="E51" i="32" s="1"/>
  <c r="E59" i="32" s="1"/>
  <c r="E9" i="32" l="1"/>
  <c r="F6" i="10"/>
  <c r="F16" i="10"/>
  <c r="E10" i="4" s="1"/>
  <c r="E58" i="32"/>
  <c r="E11" i="32"/>
  <c r="E20" i="32"/>
  <c r="E21" i="4" l="1"/>
  <c r="E66" i="32"/>
  <c r="E12" i="4"/>
  <c r="E21" i="32"/>
  <c r="E26" i="32"/>
  <c r="E34" i="32" s="1"/>
  <c r="E36" i="32" s="1"/>
  <c r="E16" i="4" l="1"/>
  <c r="E46" i="4" s="1"/>
  <c r="E47" i="4" s="1"/>
  <c r="E13" i="4"/>
  <c r="E17" i="4" l="1"/>
  <c r="E18" i="4" s="1"/>
  <c r="E22" i="4"/>
  <c r="E23" i="4" s="1"/>
  <c r="E25" i="4" s="1"/>
  <c r="E34" i="4" s="1"/>
  <c r="E35" i="4" l="1"/>
  <c r="E36" i="4" s="1"/>
  <c r="E49" i="4" s="1"/>
  <c r="BA10" i="11"/>
  <c r="BP10" i="11" s="1"/>
  <c r="BA23" i="11"/>
  <c r="BP23" i="11" s="1"/>
  <c r="BA36" i="11"/>
  <c r="BP36" i="11" s="1"/>
  <c r="BA49" i="11"/>
  <c r="BP49" i="11" s="1"/>
  <c r="BA62" i="11"/>
  <c r="BP62" i="11" s="1"/>
  <c r="BA76" i="11"/>
  <c r="BP76" i="11" s="1"/>
  <c r="BA92" i="11"/>
  <c r="BP92" i="11" s="1"/>
  <c r="BA108" i="11"/>
  <c r="BP108" i="11" s="1"/>
  <c r="BA124" i="11"/>
  <c r="BP124" i="11" s="1"/>
  <c r="R32" i="12"/>
  <c r="BP175" i="11" l="1"/>
  <c r="E48" i="4"/>
  <c r="E50" i="4"/>
  <c r="E51" i="4"/>
  <c r="E53" i="4" s="1"/>
  <c r="AA184" i="35"/>
  <c r="AA326" i="35" s="1"/>
  <c r="AD184" i="35"/>
  <c r="AD326" i="35" s="1"/>
  <c r="AG184" i="35"/>
  <c r="AG326" i="35" s="1"/>
  <c r="AJ184" i="35"/>
  <c r="AJ326" i="35" s="1"/>
  <c r="AM184" i="35"/>
  <c r="AM326" i="35" s="1"/>
  <c r="AP184" i="35"/>
  <c r="AP326" i="35" s="1"/>
  <c r="AD305" i="35"/>
  <c r="CK305" i="35" s="1"/>
  <c r="AG305" i="35"/>
  <c r="CL305" i="35" s="1"/>
  <c r="AJ305" i="35"/>
  <c r="CM305" i="35" s="1"/>
  <c r="AP305" i="35"/>
  <c r="CO305" i="35" s="1"/>
  <c r="L102" i="3" l="1"/>
  <c r="L145" i="3" s="1"/>
  <c r="AJ311" i="35"/>
  <c r="CM311" i="35" s="1"/>
  <c r="K102" i="3"/>
  <c r="K145" i="3" s="1"/>
  <c r="AG311" i="35"/>
  <c r="CL311" i="35" s="1"/>
  <c r="AM305" i="35"/>
  <c r="CN305" i="35" s="1"/>
  <c r="AA305" i="35"/>
  <c r="J102" i="3"/>
  <c r="J145" i="3" s="1"/>
  <c r="J189" i="3" s="1"/>
  <c r="Z71" i="11" s="1"/>
  <c r="AO71" i="11" s="1"/>
  <c r="BS71" i="11" s="1"/>
  <c r="AD311" i="35"/>
  <c r="CK311" i="35" s="1"/>
  <c r="AR184" i="35"/>
  <c r="CO184" i="35"/>
  <c r="AL184" i="35"/>
  <c r="CM184" i="35"/>
  <c r="AF184" i="35"/>
  <c r="CK184" i="35"/>
  <c r="AO184" i="35"/>
  <c r="CN184" i="35"/>
  <c r="AI184" i="35"/>
  <c r="CL184" i="35"/>
  <c r="AC184" i="35"/>
  <c r="CJ184" i="35"/>
  <c r="AP171" i="35"/>
  <c r="AJ171" i="35"/>
  <c r="AG171" i="35"/>
  <c r="AD171" i="35"/>
  <c r="BU209" i="11"/>
  <c r="CF209" i="11" s="1"/>
  <c r="L40" i="32"/>
  <c r="L189" i="3"/>
  <c r="L36" i="15" s="1"/>
  <c r="L34" i="15" s="1"/>
  <c r="AP311" i="35"/>
  <c r="CO311" i="35" s="1"/>
  <c r="N102" i="3"/>
  <c r="J40" i="32"/>
  <c r="AB71" i="11"/>
  <c r="AQ71" i="11" s="1"/>
  <c r="BU71" i="11" s="1"/>
  <c r="BT209" i="11"/>
  <c r="CE209" i="11" s="1"/>
  <c r="K40" i="32"/>
  <c r="K189" i="3"/>
  <c r="BS209" i="11" l="1"/>
  <c r="CD209" i="11" s="1"/>
  <c r="AA311" i="35"/>
  <c r="CJ311" i="35" s="1"/>
  <c r="I102" i="3"/>
  <c r="I145" i="3" s="1"/>
  <c r="M102" i="3"/>
  <c r="M145" i="3" s="1"/>
  <c r="M40" i="32" s="1"/>
  <c r="AM171" i="35"/>
  <c r="CJ305" i="35"/>
  <c r="AM311" i="35"/>
  <c r="CN311" i="35" s="1"/>
  <c r="AA171" i="35"/>
  <c r="AA173" i="35" s="1"/>
  <c r="AD174" i="35" s="1"/>
  <c r="BR184" i="35"/>
  <c r="AC326" i="35"/>
  <c r="BR326" i="35" s="1"/>
  <c r="BT184" i="35"/>
  <c r="AI326" i="35"/>
  <c r="BT326" i="35" s="1"/>
  <c r="BV184" i="35"/>
  <c r="AO326" i="35"/>
  <c r="BV326" i="35" s="1"/>
  <c r="BS184" i="35"/>
  <c r="AF326" i="35"/>
  <c r="BS326" i="35" s="1"/>
  <c r="BU184" i="35"/>
  <c r="AL326" i="35"/>
  <c r="BU326" i="35" s="1"/>
  <c r="BW184" i="35"/>
  <c r="AR326" i="35"/>
  <c r="BW326" i="35" s="1"/>
  <c r="AD173" i="35"/>
  <c r="AJ173" i="35"/>
  <c r="AM173" i="35"/>
  <c r="AP174" i="35" s="1"/>
  <c r="AG173" i="35"/>
  <c r="AP173" i="35"/>
  <c r="AS174" i="35" s="1"/>
  <c r="AS1" i="35" s="1"/>
  <c r="AC305" i="35"/>
  <c r="BR305" i="35" s="1"/>
  <c r="AI305" i="35"/>
  <c r="BT305" i="35" s="1"/>
  <c r="AO305" i="35"/>
  <c r="BV305" i="35" s="1"/>
  <c r="AF305" i="35"/>
  <c r="BS305" i="35" s="1"/>
  <c r="AL305" i="35"/>
  <c r="BU305" i="35" s="1"/>
  <c r="AR305" i="35"/>
  <c r="BW305" i="35" s="1"/>
  <c r="L41" i="32"/>
  <c r="J36" i="15"/>
  <c r="J34" i="15" s="1"/>
  <c r="AB79" i="11"/>
  <c r="AQ79" i="11" s="1"/>
  <c r="Z86" i="11"/>
  <c r="AO86" i="11" s="1"/>
  <c r="AB83" i="11"/>
  <c r="AQ83" i="11" s="1"/>
  <c r="AB75" i="11"/>
  <c r="AQ75" i="11" s="1"/>
  <c r="AQ174" i="11" s="1"/>
  <c r="Z78" i="11"/>
  <c r="AO78" i="11" s="1"/>
  <c r="AB85" i="11"/>
  <c r="AQ85" i="11" s="1"/>
  <c r="AQ180" i="11" s="1"/>
  <c r="AB81" i="11"/>
  <c r="AQ81" i="11" s="1"/>
  <c r="AB77" i="11"/>
  <c r="AQ77" i="11" s="1"/>
  <c r="BU77" i="11" s="1"/>
  <c r="AB73" i="11"/>
  <c r="AQ73" i="11" s="1"/>
  <c r="M189" i="3"/>
  <c r="AC72" i="11" s="1"/>
  <c r="AR72" i="11" s="1"/>
  <c r="BV72" i="11" s="1"/>
  <c r="Z82" i="11"/>
  <c r="AO82" i="11" s="1"/>
  <c r="Z74" i="11"/>
  <c r="AO74" i="11" s="1"/>
  <c r="BS74" i="11" s="1"/>
  <c r="BV209" i="11"/>
  <c r="CG209" i="11" s="1"/>
  <c r="Z84" i="11"/>
  <c r="AO84" i="11" s="1"/>
  <c r="Z80" i="11"/>
  <c r="AO80" i="11" s="1"/>
  <c r="Z76" i="11"/>
  <c r="AO76" i="11" s="1"/>
  <c r="Z72" i="11"/>
  <c r="AO72" i="11" s="1"/>
  <c r="BS72" i="11" s="1"/>
  <c r="J41" i="32"/>
  <c r="Z85" i="11"/>
  <c r="AO85" i="11" s="1"/>
  <c r="AO180" i="11" s="1"/>
  <c r="Z83" i="11"/>
  <c r="AO83" i="11" s="1"/>
  <c r="Z81" i="11"/>
  <c r="AO81" i="11" s="1"/>
  <c r="Z79" i="11"/>
  <c r="AO79" i="11" s="1"/>
  <c r="Z77" i="11"/>
  <c r="AO77" i="11" s="1"/>
  <c r="BS77" i="11" s="1"/>
  <c r="Z75" i="11"/>
  <c r="AO75" i="11" s="1"/>
  <c r="Z73" i="11"/>
  <c r="AO73" i="11" s="1"/>
  <c r="AJ174" i="35"/>
  <c r="AM174" i="35"/>
  <c r="AG174" i="35"/>
  <c r="AB86" i="11"/>
  <c r="AQ86" i="11" s="1"/>
  <c r="AQ181" i="11" s="1"/>
  <c r="AB84" i="11"/>
  <c r="AQ84" i="11" s="1"/>
  <c r="AB82" i="11"/>
  <c r="AQ82" i="11" s="1"/>
  <c r="AB80" i="11"/>
  <c r="AQ80" i="11" s="1"/>
  <c r="AB78" i="11"/>
  <c r="AQ78" i="11" s="1"/>
  <c r="AQ177" i="11" s="1"/>
  <c r="AB76" i="11"/>
  <c r="AQ76" i="11" s="1"/>
  <c r="AB74" i="11"/>
  <c r="AQ74" i="11" s="1"/>
  <c r="BU74" i="11" s="1"/>
  <c r="AB72" i="11"/>
  <c r="AQ72" i="11" s="1"/>
  <c r="BU72" i="11" s="1"/>
  <c r="N145" i="3"/>
  <c r="L52" i="15"/>
  <c r="K36" i="15"/>
  <c r="K34" i="15" s="1"/>
  <c r="AA71" i="11"/>
  <c r="AP71" i="11" s="1"/>
  <c r="BT71" i="11" s="1"/>
  <c r="AA73" i="11"/>
  <c r="AP73" i="11" s="1"/>
  <c r="AA75" i="11"/>
  <c r="AP75" i="11" s="1"/>
  <c r="AP174" i="11" s="1"/>
  <c r="AA76" i="11"/>
  <c r="AP76" i="11" s="1"/>
  <c r="AA77" i="11"/>
  <c r="AP77" i="11" s="1"/>
  <c r="BT77" i="11" s="1"/>
  <c r="AA78" i="11"/>
  <c r="AP78" i="11" s="1"/>
  <c r="AP177" i="11" s="1"/>
  <c r="AA79" i="11"/>
  <c r="AP79" i="11" s="1"/>
  <c r="AA80" i="11"/>
  <c r="AP80" i="11" s="1"/>
  <c r="AA81" i="11"/>
  <c r="AP81" i="11" s="1"/>
  <c r="AA82" i="11"/>
  <c r="AP82" i="11" s="1"/>
  <c r="AA83" i="11"/>
  <c r="AP83" i="11" s="1"/>
  <c r="AA84" i="11"/>
  <c r="AP84" i="11" s="1"/>
  <c r="AA85" i="11"/>
  <c r="AP85" i="11" s="1"/>
  <c r="AP180" i="11" s="1"/>
  <c r="AA86" i="11"/>
  <c r="AP86" i="11" s="1"/>
  <c r="AP181" i="11" s="1"/>
  <c r="AA72" i="11"/>
  <c r="AP72" i="11" s="1"/>
  <c r="BT72" i="11" s="1"/>
  <c r="AA74" i="11"/>
  <c r="AP74" i="11" s="1"/>
  <c r="BT74" i="11" s="1"/>
  <c r="K41" i="32"/>
  <c r="M36" i="15"/>
  <c r="M34" i="15" s="1"/>
  <c r="AC86" i="11"/>
  <c r="AR86" i="11" s="1"/>
  <c r="AR181" i="11" s="1"/>
  <c r="AC73" i="11"/>
  <c r="AR73" i="11" s="1"/>
  <c r="BU75" i="11"/>
  <c r="BU174" i="11" s="1"/>
  <c r="AC80" i="11" l="1"/>
  <c r="AR80" i="11" s="1"/>
  <c r="AC78" i="11"/>
  <c r="AR78" i="11" s="1"/>
  <c r="AR177" i="11" s="1"/>
  <c r="AC74" i="11"/>
  <c r="AR74" i="11" s="1"/>
  <c r="BV74" i="11" s="1"/>
  <c r="AC82" i="11"/>
  <c r="AR82" i="11" s="1"/>
  <c r="J52" i="15"/>
  <c r="AC84" i="11"/>
  <c r="AR84" i="11" s="1"/>
  <c r="AC76" i="11"/>
  <c r="AR76" i="11" s="1"/>
  <c r="I40" i="32"/>
  <c r="BR209" i="11"/>
  <c r="CC209" i="11" s="1"/>
  <c r="I189" i="3"/>
  <c r="BU85" i="11"/>
  <c r="BU180" i="11" s="1"/>
  <c r="BU86" i="11"/>
  <c r="BU181" i="11" s="1"/>
  <c r="AD1" i="35"/>
  <c r="AP1" i="35"/>
  <c r="AG1" i="35"/>
  <c r="AM1" i="35"/>
  <c r="AJ1" i="35"/>
  <c r="AR311" i="35"/>
  <c r="BW311" i="35" s="1"/>
  <c r="AQ305" i="35"/>
  <c r="AL311" i="35"/>
  <c r="BU311" i="35" s="1"/>
  <c r="AK305" i="35"/>
  <c r="AF311" i="35"/>
  <c r="BS311" i="35" s="1"/>
  <c r="AE305" i="35"/>
  <c r="AA174" i="35"/>
  <c r="AN305" i="35"/>
  <c r="AO311" i="35"/>
  <c r="BV311" i="35" s="1"/>
  <c r="AH305" i="35"/>
  <c r="AI311" i="35"/>
  <c r="BT311" i="35" s="1"/>
  <c r="AC311" i="35"/>
  <c r="BR311" i="35" s="1"/>
  <c r="AB305" i="35"/>
  <c r="BS86" i="11"/>
  <c r="BS181" i="11" s="1"/>
  <c r="AO181" i="11"/>
  <c r="BS75" i="11"/>
  <c r="BS174" i="11" s="1"/>
  <c r="AO174" i="11"/>
  <c r="BS78" i="11"/>
  <c r="BS177" i="11" s="1"/>
  <c r="AO177" i="11"/>
  <c r="BS85" i="11"/>
  <c r="BS180" i="11" s="1"/>
  <c r="BU78" i="11"/>
  <c r="BU177" i="11" s="1"/>
  <c r="M41" i="32"/>
  <c r="AC71" i="11"/>
  <c r="AR71" i="11" s="1"/>
  <c r="BV71" i="11" s="1"/>
  <c r="AC85" i="11"/>
  <c r="AR85" i="11" s="1"/>
  <c r="AR180" i="11" s="1"/>
  <c r="AC83" i="11"/>
  <c r="AR83" i="11" s="1"/>
  <c r="AC81" i="11"/>
  <c r="AR81" i="11" s="1"/>
  <c r="AC79" i="11"/>
  <c r="AR79" i="11" s="1"/>
  <c r="AC77" i="11"/>
  <c r="AR77" i="11" s="1"/>
  <c r="BV77" i="11" s="1"/>
  <c r="AC75" i="11"/>
  <c r="AR75" i="11" s="1"/>
  <c r="AR174" i="11" s="1"/>
  <c r="BW209" i="11"/>
  <c r="CH209" i="11" s="1"/>
  <c r="N40" i="32"/>
  <c r="N189" i="3"/>
  <c r="O145" i="3"/>
  <c r="BV86" i="11"/>
  <c r="BV181" i="11" s="1"/>
  <c r="BV78" i="11"/>
  <c r="BV177" i="11" s="1"/>
  <c r="M52" i="15"/>
  <c r="BT86" i="11"/>
  <c r="BT181" i="11" s="1"/>
  <c r="BT78" i="11"/>
  <c r="BT177" i="11" s="1"/>
  <c r="K52" i="15"/>
  <c r="L42" i="15"/>
  <c r="L196" i="3" s="1"/>
  <c r="L50" i="15"/>
  <c r="L58" i="15" s="1"/>
  <c r="BT85" i="11"/>
  <c r="BT180" i="11" s="1"/>
  <c r="BT75" i="11"/>
  <c r="BT174" i="11" s="1"/>
  <c r="J42" i="15"/>
  <c r="J196" i="3" s="1"/>
  <c r="J50" i="15"/>
  <c r="J58" i="15" s="1"/>
  <c r="BV75" i="11" l="1"/>
  <c r="BV174" i="11" s="1"/>
  <c r="Y75" i="11"/>
  <c r="AN75" i="11" s="1"/>
  <c r="Y83" i="11"/>
  <c r="AN83" i="11" s="1"/>
  <c r="Y72" i="11"/>
  <c r="AN72" i="11" s="1"/>
  <c r="BR72" i="11" s="1"/>
  <c r="Y77" i="11"/>
  <c r="AN77" i="11" s="1"/>
  <c r="BR77" i="11" s="1"/>
  <c r="Y81" i="11"/>
  <c r="AN81" i="11" s="1"/>
  <c r="Y85" i="11"/>
  <c r="AN85" i="11" s="1"/>
  <c r="I41" i="32"/>
  <c r="I36" i="15"/>
  <c r="Y76" i="11"/>
  <c r="AN76" i="11" s="1"/>
  <c r="Y80" i="11"/>
  <c r="AN80" i="11" s="1"/>
  <c r="Y84" i="11"/>
  <c r="AN84" i="11" s="1"/>
  <c r="Y73" i="11"/>
  <c r="AN73" i="11" s="1"/>
  <c r="Y74" i="11"/>
  <c r="AN74" i="11" s="1"/>
  <c r="BR74" i="11" s="1"/>
  <c r="Y78" i="11"/>
  <c r="AN78" i="11" s="1"/>
  <c r="Y82" i="11"/>
  <c r="AN82" i="11" s="1"/>
  <c r="Y86" i="11"/>
  <c r="AN86" i="11" s="1"/>
  <c r="Y79" i="11"/>
  <c r="AN79" i="11" s="1"/>
  <c r="Y71" i="11"/>
  <c r="AN71" i="11" s="1"/>
  <c r="BR71" i="11" s="1"/>
  <c r="BV85" i="11"/>
  <c r="BV180" i="11" s="1"/>
  <c r="I116" i="3"/>
  <c r="I130" i="3" s="1"/>
  <c r="K116" i="3"/>
  <c r="K130" i="3" s="1"/>
  <c r="AA1" i="35"/>
  <c r="L116" i="3"/>
  <c r="L130" i="3" s="1"/>
  <c r="M116" i="3"/>
  <c r="M130" i="3" s="1"/>
  <c r="J116" i="3"/>
  <c r="J130" i="3" s="1"/>
  <c r="N116" i="3"/>
  <c r="P145" i="3"/>
  <c r="AD71" i="11"/>
  <c r="AS71" i="11" s="1"/>
  <c r="BW71" i="11" s="1"/>
  <c r="AD73" i="11"/>
  <c r="AS73" i="11" s="1"/>
  <c r="AD75" i="11"/>
  <c r="AS75" i="11" s="1"/>
  <c r="AS174" i="11" s="1"/>
  <c r="AD77" i="11"/>
  <c r="AS77" i="11" s="1"/>
  <c r="BW77" i="11" s="1"/>
  <c r="AD79" i="11"/>
  <c r="AS79" i="11" s="1"/>
  <c r="AD81" i="11"/>
  <c r="AS81" i="11" s="1"/>
  <c r="AD83" i="11"/>
  <c r="AS83" i="11" s="1"/>
  <c r="AD85" i="11"/>
  <c r="AS85" i="11" s="1"/>
  <c r="AS180" i="11" s="1"/>
  <c r="R189" i="3"/>
  <c r="R195" i="3" s="1"/>
  <c r="N36" i="15"/>
  <c r="N34" i="15" s="1"/>
  <c r="AD72" i="11"/>
  <c r="AS72" i="11" s="1"/>
  <c r="BW72" i="11" s="1"/>
  <c r="AD74" i="11"/>
  <c r="AS74" i="11" s="1"/>
  <c r="BW74" i="11" s="1"/>
  <c r="AD76" i="11"/>
  <c r="AS76" i="11" s="1"/>
  <c r="AD78" i="11"/>
  <c r="AS78" i="11" s="1"/>
  <c r="AS177" i="11" s="1"/>
  <c r="AD80" i="11"/>
  <c r="AS80" i="11" s="1"/>
  <c r="AD82" i="11"/>
  <c r="AS82" i="11" s="1"/>
  <c r="AD84" i="11"/>
  <c r="AS84" i="11" s="1"/>
  <c r="AD86" i="11"/>
  <c r="AS86" i="11" s="1"/>
  <c r="AS181" i="11" s="1"/>
  <c r="N41" i="32"/>
  <c r="BX209" i="11"/>
  <c r="O189" i="3"/>
  <c r="K42" i="15"/>
  <c r="K196" i="3" s="1"/>
  <c r="K50" i="15"/>
  <c r="K58" i="15" s="1"/>
  <c r="M42" i="15"/>
  <c r="M196" i="3" s="1"/>
  <c r="M50" i="15"/>
  <c r="M58" i="15" s="1"/>
  <c r="AN181" i="11" l="1"/>
  <c r="BR86" i="11"/>
  <c r="BR181" i="11" s="1"/>
  <c r="I34" i="15"/>
  <c r="I52" i="15"/>
  <c r="AN177" i="11"/>
  <c r="BR78" i="11"/>
  <c r="BR177" i="11" s="1"/>
  <c r="AN180" i="11"/>
  <c r="BR85" i="11"/>
  <c r="BR180" i="11" s="1"/>
  <c r="AN174" i="11"/>
  <c r="BR75" i="11"/>
  <c r="BR174" i="11" s="1"/>
  <c r="N130" i="3"/>
  <c r="J219" i="3"/>
  <c r="J39" i="32" s="1"/>
  <c r="J159" i="3"/>
  <c r="J206" i="3" s="1"/>
  <c r="M219" i="3"/>
  <c r="M39" i="32" s="1"/>
  <c r="M159" i="3"/>
  <c r="M206" i="3" s="1"/>
  <c r="L219" i="3"/>
  <c r="L39" i="32" s="1"/>
  <c r="L159" i="3"/>
  <c r="L206" i="3" s="1"/>
  <c r="AA4" i="35"/>
  <c r="AA14" i="35"/>
  <c r="AA34" i="35"/>
  <c r="AA42" i="35"/>
  <c r="AA47" i="35"/>
  <c r="AA54" i="35"/>
  <c r="AA62" i="35"/>
  <c r="AA72" i="35"/>
  <c r="AA82" i="35"/>
  <c r="AA96" i="35"/>
  <c r="AA150" i="35"/>
  <c r="AA11" i="35"/>
  <c r="AA16" i="35"/>
  <c r="AA37" i="35"/>
  <c r="AA44" i="35"/>
  <c r="AA52" i="35"/>
  <c r="AA57" i="35"/>
  <c r="AA67" i="35"/>
  <c r="AA74" i="35"/>
  <c r="AA84" i="35"/>
  <c r="AA118" i="35"/>
  <c r="K159" i="3"/>
  <c r="K206" i="3" s="1"/>
  <c r="K219" i="3"/>
  <c r="K39" i="32" s="1"/>
  <c r="I159" i="3"/>
  <c r="I206" i="3" s="1"/>
  <c r="I219" i="3"/>
  <c r="I39" i="32" s="1"/>
  <c r="BW75" i="11"/>
  <c r="BW174" i="11" s="1"/>
  <c r="Q145" i="3"/>
  <c r="AE71" i="11"/>
  <c r="AT71" i="11" s="1"/>
  <c r="BX71" i="11" s="1"/>
  <c r="AE75" i="11"/>
  <c r="AT75" i="11" s="1"/>
  <c r="AT174" i="11" s="1"/>
  <c r="AE77" i="11"/>
  <c r="AT77" i="11" s="1"/>
  <c r="BX77" i="11" s="1"/>
  <c r="AE79" i="11"/>
  <c r="AT79" i="11" s="1"/>
  <c r="AE81" i="11"/>
  <c r="AT81" i="11" s="1"/>
  <c r="AE83" i="11"/>
  <c r="AT83" i="11" s="1"/>
  <c r="AE85" i="11"/>
  <c r="AT85" i="11" s="1"/>
  <c r="AT180" i="11" s="1"/>
  <c r="AE72" i="11"/>
  <c r="AT72" i="11" s="1"/>
  <c r="BX72" i="11" s="1"/>
  <c r="O36" i="15"/>
  <c r="O34" i="15" s="1"/>
  <c r="AE73" i="11"/>
  <c r="AT73" i="11" s="1"/>
  <c r="AE76" i="11"/>
  <c r="AT76" i="11" s="1"/>
  <c r="AE78" i="11"/>
  <c r="AT78" i="11" s="1"/>
  <c r="AT177" i="11" s="1"/>
  <c r="AE80" i="11"/>
  <c r="AT80" i="11" s="1"/>
  <c r="AE82" i="11"/>
  <c r="AT82" i="11" s="1"/>
  <c r="AE84" i="11"/>
  <c r="AT84" i="11" s="1"/>
  <c r="AE86" i="11"/>
  <c r="AT86" i="11" s="1"/>
  <c r="AT181" i="11" s="1"/>
  <c r="AE74" i="11"/>
  <c r="AT74" i="11" s="1"/>
  <c r="BX74" i="11" s="1"/>
  <c r="BW86" i="11"/>
  <c r="BW181" i="11" s="1"/>
  <c r="BW78" i="11"/>
  <c r="BW177" i="11" s="1"/>
  <c r="N52" i="15"/>
  <c r="BW85" i="11"/>
  <c r="BW180" i="11" s="1"/>
  <c r="BY209" i="11"/>
  <c r="P189" i="3"/>
  <c r="I42" i="15" l="1"/>
  <c r="I196" i="3" s="1"/>
  <c r="I50" i="15"/>
  <c r="I58" i="15" s="1"/>
  <c r="I233" i="3"/>
  <c r="K233" i="3"/>
  <c r="CJ84" i="35"/>
  <c r="AC84" i="35"/>
  <c r="BR84" i="35" s="1"/>
  <c r="AD84" i="35"/>
  <c r="CJ67" i="35"/>
  <c r="AA71" i="35"/>
  <c r="CJ71" i="35" s="1"/>
  <c r="AC67" i="35"/>
  <c r="AD67" i="35"/>
  <c r="CJ52" i="35"/>
  <c r="AA56" i="35"/>
  <c r="CJ56" i="35" s="1"/>
  <c r="AC52" i="35"/>
  <c r="AD52" i="35"/>
  <c r="CJ37" i="35"/>
  <c r="AA41" i="35"/>
  <c r="AC37" i="35"/>
  <c r="AA87" i="35"/>
  <c r="CJ87" i="35" s="1"/>
  <c r="AD37" i="35"/>
  <c r="CJ11" i="35"/>
  <c r="AA13" i="35"/>
  <c r="CJ13" i="35" s="1"/>
  <c r="AC11" i="35"/>
  <c r="AA29" i="35"/>
  <c r="AD11" i="35"/>
  <c r="CJ96" i="35"/>
  <c r="AC96" i="35"/>
  <c r="AA105" i="35"/>
  <c r="CJ105" i="35" s="1"/>
  <c r="AA100" i="35"/>
  <c r="AD96" i="35"/>
  <c r="CJ72" i="35"/>
  <c r="AA76" i="35"/>
  <c r="CJ76" i="35" s="1"/>
  <c r="AC72" i="35"/>
  <c r="AD72" i="35"/>
  <c r="CJ54" i="35"/>
  <c r="AC54" i="35"/>
  <c r="BR54" i="35" s="1"/>
  <c r="AD54" i="35"/>
  <c r="CJ42" i="35"/>
  <c r="AA46" i="35"/>
  <c r="CJ46" i="35" s="1"/>
  <c r="AC42" i="35"/>
  <c r="AD42" i="35"/>
  <c r="CJ14" i="35"/>
  <c r="AA18" i="35"/>
  <c r="CJ18" i="35" s="1"/>
  <c r="AC14" i="35"/>
  <c r="AD14" i="35"/>
  <c r="L233" i="3"/>
  <c r="M233" i="3"/>
  <c r="J233" i="3"/>
  <c r="O130" i="3"/>
  <c r="I44" i="32"/>
  <c r="I16" i="32" s="1"/>
  <c r="D16" i="33" s="1"/>
  <c r="I4" i="32"/>
  <c r="K44" i="32"/>
  <c r="K16" i="32" s="1"/>
  <c r="F16" i="33" s="1"/>
  <c r="K4" i="32"/>
  <c r="CJ118" i="35"/>
  <c r="AC118" i="35"/>
  <c r="AA122" i="35"/>
  <c r="CJ122" i="35" s="1"/>
  <c r="AA121" i="35"/>
  <c r="AD118" i="35"/>
  <c r="CJ74" i="35"/>
  <c r="AC74" i="35"/>
  <c r="BR74" i="35" s="1"/>
  <c r="AD74" i="35"/>
  <c r="CJ57" i="35"/>
  <c r="AA61" i="35"/>
  <c r="CJ61" i="35" s="1"/>
  <c r="AC57" i="35"/>
  <c r="AD57" i="35"/>
  <c r="CJ44" i="35"/>
  <c r="AA89" i="35"/>
  <c r="CJ89" i="35" s="1"/>
  <c r="AC44" i="35"/>
  <c r="AD44" i="35"/>
  <c r="CJ16" i="35"/>
  <c r="AC16" i="35"/>
  <c r="BR16" i="35" s="1"/>
  <c r="AD16" i="35"/>
  <c r="CJ150" i="35"/>
  <c r="AA155" i="35"/>
  <c r="CJ155" i="35" s="1"/>
  <c r="AA154" i="35"/>
  <c r="AC150" i="35"/>
  <c r="AD150" i="35"/>
  <c r="CJ82" i="35"/>
  <c r="AA86" i="35"/>
  <c r="CJ86" i="35" s="1"/>
  <c r="AC82" i="35"/>
  <c r="AD82" i="35"/>
  <c r="CJ62" i="35"/>
  <c r="AA66" i="35"/>
  <c r="CJ66" i="35" s="1"/>
  <c r="AC62" i="35"/>
  <c r="AD62" i="35"/>
  <c r="CJ47" i="35"/>
  <c r="AA51" i="35"/>
  <c r="CJ51" i="35" s="1"/>
  <c r="AC47" i="35"/>
  <c r="AD47" i="35"/>
  <c r="CJ34" i="35"/>
  <c r="AA36" i="35"/>
  <c r="CJ36" i="35" s="1"/>
  <c r="AC34" i="35"/>
  <c r="AD34" i="35"/>
  <c r="CJ4" i="35"/>
  <c r="AA8" i="35"/>
  <c r="AC4" i="35"/>
  <c r="AA27" i="35"/>
  <c r="AD4" i="35"/>
  <c r="L44" i="32"/>
  <c r="L16" i="32" s="1"/>
  <c r="G16" i="33" s="1"/>
  <c r="L4" i="32"/>
  <c r="M44" i="32"/>
  <c r="M16" i="32" s="1"/>
  <c r="H16" i="33" s="1"/>
  <c r="M4" i="32"/>
  <c r="J44" i="32"/>
  <c r="J16" i="32" s="1"/>
  <c r="E16" i="33" s="1"/>
  <c r="J4" i="32"/>
  <c r="N159" i="3"/>
  <c r="N206" i="3" s="1"/>
  <c r="N219" i="3"/>
  <c r="N39" i="32" s="1"/>
  <c r="AF71" i="11"/>
  <c r="AU71" i="11" s="1"/>
  <c r="BY71" i="11" s="1"/>
  <c r="AF73" i="11"/>
  <c r="AU73" i="11" s="1"/>
  <c r="AF75" i="11"/>
  <c r="AU75" i="11" s="1"/>
  <c r="AU174" i="11" s="1"/>
  <c r="AF77" i="11"/>
  <c r="AU77" i="11" s="1"/>
  <c r="BY77" i="11" s="1"/>
  <c r="AF79" i="11"/>
  <c r="AU79" i="11" s="1"/>
  <c r="AF81" i="11"/>
  <c r="AU81" i="11" s="1"/>
  <c r="AF83" i="11"/>
  <c r="AU83" i="11" s="1"/>
  <c r="AF85" i="11"/>
  <c r="AU85" i="11" s="1"/>
  <c r="AU180" i="11" s="1"/>
  <c r="P36" i="15"/>
  <c r="P34" i="15" s="1"/>
  <c r="AF72" i="11"/>
  <c r="AU72" i="11" s="1"/>
  <c r="BY72" i="11" s="1"/>
  <c r="AF74" i="11"/>
  <c r="AU74" i="11" s="1"/>
  <c r="BY74" i="11" s="1"/>
  <c r="AF76" i="11"/>
  <c r="AU76" i="11" s="1"/>
  <c r="AF78" i="11"/>
  <c r="AU78" i="11" s="1"/>
  <c r="AU177" i="11" s="1"/>
  <c r="AF80" i="11"/>
  <c r="AU80" i="11" s="1"/>
  <c r="AF82" i="11"/>
  <c r="AU82" i="11" s="1"/>
  <c r="AF84" i="11"/>
  <c r="AU84" i="11" s="1"/>
  <c r="AF86" i="11"/>
  <c r="AU86" i="11" s="1"/>
  <c r="AU181" i="11" s="1"/>
  <c r="O52" i="15"/>
  <c r="BX85" i="11"/>
  <c r="BX180" i="11" s="1"/>
  <c r="N50" i="15"/>
  <c r="N58" i="15" s="1"/>
  <c r="N42" i="15"/>
  <c r="N196" i="3" s="1"/>
  <c r="BX86" i="11"/>
  <c r="BX181" i="11" s="1"/>
  <c r="BX78" i="11"/>
  <c r="BX177" i="11" s="1"/>
  <c r="BX75" i="11"/>
  <c r="BX174" i="11" s="1"/>
  <c r="Q189" i="3"/>
  <c r="BZ209" i="11"/>
  <c r="N233" i="3" l="1"/>
  <c r="CJ27" i="35"/>
  <c r="AA163" i="35"/>
  <c r="CJ8" i="35"/>
  <c r="AA31" i="35"/>
  <c r="CJ31" i="35" s="1"/>
  <c r="CK34" i="35"/>
  <c r="AF34" i="35"/>
  <c r="AD36" i="35"/>
  <c r="CK36" i="35" s="1"/>
  <c r="AG34" i="35"/>
  <c r="CK47" i="35"/>
  <c r="AG47" i="35"/>
  <c r="AD51" i="35"/>
  <c r="CK51" i="35" s="1"/>
  <c r="AF47" i="35"/>
  <c r="CK62" i="35"/>
  <c r="AF62" i="35"/>
  <c r="AD66" i="35"/>
  <c r="CK66" i="35" s="1"/>
  <c r="AG62" i="35"/>
  <c r="CK82" i="35"/>
  <c r="AD86" i="35"/>
  <c r="CK86" i="35" s="1"/>
  <c r="AF82" i="35"/>
  <c r="AG82" i="35"/>
  <c r="CK150" i="35"/>
  <c r="AG150" i="35"/>
  <c r="AD155" i="35"/>
  <c r="CK155" i="35" s="1"/>
  <c r="AD154" i="35"/>
  <c r="AF150" i="35"/>
  <c r="CJ154" i="35"/>
  <c r="AA160" i="35"/>
  <c r="CJ160" i="35" s="1"/>
  <c r="CK44" i="35"/>
  <c r="AG44" i="35"/>
  <c r="AF44" i="35"/>
  <c r="AD89" i="35"/>
  <c r="CK89" i="35" s="1"/>
  <c r="CK57" i="35"/>
  <c r="AG57" i="35"/>
  <c r="AF57" i="35"/>
  <c r="AD61" i="35"/>
  <c r="CK61" i="35" s="1"/>
  <c r="CK74" i="35"/>
  <c r="AF74" i="35"/>
  <c r="BS74" i="35" s="1"/>
  <c r="AG74" i="35"/>
  <c r="CJ121" i="35"/>
  <c r="AA125" i="35"/>
  <c r="CJ125" i="35" s="1"/>
  <c r="BR118" i="35"/>
  <c r="AC121" i="35"/>
  <c r="AC122" i="35"/>
  <c r="K6" i="32"/>
  <c r="F4" i="33"/>
  <c r="I6" i="32"/>
  <c r="D4" i="33"/>
  <c r="P130" i="3"/>
  <c r="BR14" i="35"/>
  <c r="AC18" i="35"/>
  <c r="BR18" i="35" s="1"/>
  <c r="BR42" i="35"/>
  <c r="AC46" i="35"/>
  <c r="BR46" i="35" s="1"/>
  <c r="CK72" i="35"/>
  <c r="AD76" i="35"/>
  <c r="CK76" i="35" s="1"/>
  <c r="AF72" i="35"/>
  <c r="AG72" i="35"/>
  <c r="CK96" i="35"/>
  <c r="AD105" i="35"/>
  <c r="CK105" i="35" s="1"/>
  <c r="AG96" i="35"/>
  <c r="AF96" i="35"/>
  <c r="AD100" i="35"/>
  <c r="CJ29" i="35"/>
  <c r="AA165" i="35"/>
  <c r="CK37" i="35"/>
  <c r="AF37" i="35"/>
  <c r="AG37" i="35"/>
  <c r="AD87" i="35"/>
  <c r="CK87" i="35" s="1"/>
  <c r="AD41" i="35"/>
  <c r="BR37" i="35"/>
  <c r="AC87" i="35"/>
  <c r="AC41" i="35"/>
  <c r="BR52" i="35"/>
  <c r="AC56" i="35"/>
  <c r="BR56" i="35" s="1"/>
  <c r="BR67" i="35"/>
  <c r="AC71" i="35"/>
  <c r="BR71" i="35" s="1"/>
  <c r="N4" i="32"/>
  <c r="N44" i="32"/>
  <c r="N16" i="32" s="1"/>
  <c r="I16" i="33" s="1"/>
  <c r="J6" i="32"/>
  <c r="E4" i="33"/>
  <c r="M6" i="32"/>
  <c r="H4" i="33"/>
  <c r="L6" i="32"/>
  <c r="G4" i="33"/>
  <c r="CK4" i="35"/>
  <c r="AF4" i="35"/>
  <c r="AD8" i="35"/>
  <c r="AG4" i="35"/>
  <c r="AD27" i="35"/>
  <c r="BR4" i="35"/>
  <c r="AC27" i="35"/>
  <c r="AC8" i="35"/>
  <c r="BR34" i="35"/>
  <c r="AC36" i="35"/>
  <c r="BR36" i="35" s="1"/>
  <c r="BR47" i="35"/>
  <c r="AC51" i="35"/>
  <c r="BR51" i="35" s="1"/>
  <c r="BR62" i="35"/>
  <c r="AC66" i="35"/>
  <c r="BR66" i="35" s="1"/>
  <c r="BR82" i="35"/>
  <c r="AC86" i="35"/>
  <c r="BR86" i="35" s="1"/>
  <c r="BR150" i="35"/>
  <c r="AC155" i="35"/>
  <c r="BR155" i="35" s="1"/>
  <c r="AC154" i="35"/>
  <c r="CK16" i="35"/>
  <c r="AF16" i="35"/>
  <c r="BS16" i="35" s="1"/>
  <c r="AG16" i="35"/>
  <c r="BR44" i="35"/>
  <c r="AC89" i="35"/>
  <c r="BR57" i="35"/>
  <c r="AC61" i="35"/>
  <c r="BR61" i="35" s="1"/>
  <c r="CK118" i="35"/>
  <c r="AD121" i="35"/>
  <c r="AD122" i="35"/>
  <c r="CK122" i="35" s="1"/>
  <c r="AG118" i="35"/>
  <c r="AF118" i="35"/>
  <c r="O159" i="3"/>
  <c r="O206" i="3" s="1"/>
  <c r="O219" i="3"/>
  <c r="CK14" i="35"/>
  <c r="AF14" i="35"/>
  <c r="AD18" i="35"/>
  <c r="CK18" i="35" s="1"/>
  <c r="AG14" i="35"/>
  <c r="CK42" i="35"/>
  <c r="AG42" i="35"/>
  <c r="AF42" i="35"/>
  <c r="AD46" i="35"/>
  <c r="CK46" i="35" s="1"/>
  <c r="CK54" i="35"/>
  <c r="AF54" i="35"/>
  <c r="BS54" i="35" s="1"/>
  <c r="AG54" i="35"/>
  <c r="BR72" i="35"/>
  <c r="AC76" i="35"/>
  <c r="BR76" i="35" s="1"/>
  <c r="CJ100" i="35"/>
  <c r="AA109" i="35"/>
  <c r="CJ109" i="35" s="1"/>
  <c r="BR96" i="35"/>
  <c r="AC100" i="35"/>
  <c r="AC105" i="35"/>
  <c r="BR105" i="35" s="1"/>
  <c r="CK11" i="35"/>
  <c r="AD13" i="35"/>
  <c r="CK13" i="35" s="1"/>
  <c r="AF11" i="35"/>
  <c r="AG11" i="35"/>
  <c r="AD29" i="35"/>
  <c r="BR11" i="35"/>
  <c r="AC29" i="35"/>
  <c r="AC13" i="35"/>
  <c r="BR13" i="35" s="1"/>
  <c r="CJ41" i="35"/>
  <c r="AA91" i="35"/>
  <c r="CJ91" i="35" s="1"/>
  <c r="CK52" i="35"/>
  <c r="AF52" i="35"/>
  <c r="AD56" i="35"/>
  <c r="CK56" i="35" s="1"/>
  <c r="AG52" i="35"/>
  <c r="CK67" i="35"/>
  <c r="AG67" i="35"/>
  <c r="AD71" i="35"/>
  <c r="CK71" i="35" s="1"/>
  <c r="AF67" i="35"/>
  <c r="CK84" i="35"/>
  <c r="AF84" i="35"/>
  <c r="BS84" i="35" s="1"/>
  <c r="AG84" i="35"/>
  <c r="Q36" i="15"/>
  <c r="Q34" i="15" s="1"/>
  <c r="AG74" i="11"/>
  <c r="AV74" i="11" s="1"/>
  <c r="BZ74" i="11" s="1"/>
  <c r="AG76" i="11"/>
  <c r="AV76" i="11" s="1"/>
  <c r="AG78" i="11"/>
  <c r="AV78" i="11" s="1"/>
  <c r="AV177" i="11" s="1"/>
  <c r="AG80" i="11"/>
  <c r="AV80" i="11" s="1"/>
  <c r="AG82" i="11"/>
  <c r="AV82" i="11" s="1"/>
  <c r="AG84" i="11"/>
  <c r="AV84" i="11" s="1"/>
  <c r="AG86" i="11"/>
  <c r="AV86" i="11" s="1"/>
  <c r="AV181" i="11" s="1"/>
  <c r="AG73" i="11"/>
  <c r="AV73" i="11" s="1"/>
  <c r="AG72" i="11"/>
  <c r="AV72" i="11" s="1"/>
  <c r="BZ72" i="11" s="1"/>
  <c r="AG75" i="11"/>
  <c r="AV75" i="11" s="1"/>
  <c r="AV174" i="11" s="1"/>
  <c r="AG77" i="11"/>
  <c r="AV77" i="11" s="1"/>
  <c r="BZ77" i="11" s="1"/>
  <c r="AG79" i="11"/>
  <c r="AV79" i="11" s="1"/>
  <c r="AG81" i="11"/>
  <c r="AV81" i="11" s="1"/>
  <c r="AG83" i="11"/>
  <c r="AV83" i="11" s="1"/>
  <c r="AG85" i="11"/>
  <c r="AV85" i="11" s="1"/>
  <c r="AV180" i="11" s="1"/>
  <c r="AG71" i="11"/>
  <c r="AV71" i="11" s="1"/>
  <c r="BZ71" i="11" s="1"/>
  <c r="O50" i="15"/>
  <c r="O58" i="15" s="1"/>
  <c r="O42" i="15"/>
  <c r="O196" i="3" s="1"/>
  <c r="BY86" i="11"/>
  <c r="BY181" i="11" s="1"/>
  <c r="BY78" i="11"/>
  <c r="BY177" i="11" s="1"/>
  <c r="P52" i="15"/>
  <c r="BY75" i="11"/>
  <c r="BY174" i="11" s="1"/>
  <c r="BY85" i="11"/>
  <c r="BY180" i="11" s="1"/>
  <c r="CL84" i="35" l="1"/>
  <c r="AI84" i="35"/>
  <c r="BT84" i="35" s="1"/>
  <c r="AJ84" i="35"/>
  <c r="BR29" i="35"/>
  <c r="AC165" i="35"/>
  <c r="CK29" i="35"/>
  <c r="AD165" i="35"/>
  <c r="BS11" i="35"/>
  <c r="AF29" i="35"/>
  <c r="AF13" i="35"/>
  <c r="BS13" i="35" s="1"/>
  <c r="BR100" i="35"/>
  <c r="AC109" i="35"/>
  <c r="BR109" i="35" s="1"/>
  <c r="CL54" i="35"/>
  <c r="AI54" i="35"/>
  <c r="BT54" i="35" s="1"/>
  <c r="AJ54" i="35"/>
  <c r="BS42" i="35"/>
  <c r="AF46" i="35"/>
  <c r="BS46" i="35" s="1"/>
  <c r="O233" i="3"/>
  <c r="CL118" i="35"/>
  <c r="AI118" i="35"/>
  <c r="AG121" i="35"/>
  <c r="AJ118" i="35"/>
  <c r="AG122" i="35"/>
  <c r="CL122" i="35" s="1"/>
  <c r="CK121" i="35"/>
  <c r="AD125" i="35"/>
  <c r="CK125" i="35" s="1"/>
  <c r="BR89" i="35"/>
  <c r="AB89" i="35"/>
  <c r="CL16" i="35"/>
  <c r="AJ16" i="35"/>
  <c r="AI16" i="35"/>
  <c r="BT16" i="35" s="1"/>
  <c r="BR8" i="35"/>
  <c r="AC31" i="35"/>
  <c r="BR31" i="35" s="1"/>
  <c r="CL4" i="35"/>
  <c r="AJ4" i="35"/>
  <c r="AG27" i="35"/>
  <c r="AI4" i="35"/>
  <c r="AG8" i="35"/>
  <c r="BS4" i="35"/>
  <c r="AF27" i="35"/>
  <c r="AF8" i="35"/>
  <c r="BR41" i="35"/>
  <c r="AC91" i="35"/>
  <c r="BR91" i="35" s="1"/>
  <c r="BS37" i="35"/>
  <c r="AF87" i="35"/>
  <c r="AF41" i="35"/>
  <c r="I98" i="3"/>
  <c r="I141" i="3" s="1"/>
  <c r="CJ165" i="35"/>
  <c r="CK100" i="35"/>
  <c r="AD109" i="35"/>
  <c r="CK109" i="35" s="1"/>
  <c r="CL96" i="35"/>
  <c r="AI96" i="35"/>
  <c r="AG100" i="35"/>
  <c r="AG105" i="35"/>
  <c r="CL105" i="35" s="1"/>
  <c r="AJ96" i="35"/>
  <c r="BS72" i="35"/>
  <c r="AF76" i="35"/>
  <c r="BS76" i="35" s="1"/>
  <c r="P219" i="3"/>
  <c r="P159" i="3"/>
  <c r="P206" i="3" s="1"/>
  <c r="I7" i="32"/>
  <c r="D6" i="33"/>
  <c r="F6" i="33"/>
  <c r="K7" i="32"/>
  <c r="BR121" i="35"/>
  <c r="AC125" i="35"/>
  <c r="BR125" i="35" s="1"/>
  <c r="CL74" i="35"/>
  <c r="AI74" i="35"/>
  <c r="BT74" i="35" s="1"/>
  <c r="AJ74" i="35"/>
  <c r="BS57" i="35"/>
  <c r="AF61" i="35"/>
  <c r="BS61" i="35" s="1"/>
  <c r="BS44" i="35"/>
  <c r="AF89" i="35"/>
  <c r="CK154" i="35"/>
  <c r="AD160" i="35"/>
  <c r="CK160" i="35" s="1"/>
  <c r="CL150" i="35"/>
  <c r="AJ150" i="35"/>
  <c r="AG155" i="35"/>
  <c r="CL155" i="35" s="1"/>
  <c r="AG154" i="35"/>
  <c r="AI150" i="35"/>
  <c r="CL82" i="35"/>
  <c r="AJ82" i="35"/>
  <c r="AI82" i="35"/>
  <c r="AG86" i="35"/>
  <c r="CL86" i="35" s="1"/>
  <c r="CL62" i="35"/>
  <c r="AI62" i="35"/>
  <c r="AG66" i="35"/>
  <c r="CL66" i="35" s="1"/>
  <c r="AJ62" i="35"/>
  <c r="BS62" i="35"/>
  <c r="AF66" i="35"/>
  <c r="BS66" i="35" s="1"/>
  <c r="BS47" i="35"/>
  <c r="AF51" i="35"/>
  <c r="BS51" i="35" s="1"/>
  <c r="CL47" i="35"/>
  <c r="AJ47" i="35"/>
  <c r="AI47" i="35"/>
  <c r="AG51" i="35"/>
  <c r="CL51" i="35" s="1"/>
  <c r="CL34" i="35"/>
  <c r="AI34" i="35"/>
  <c r="AG36" i="35"/>
  <c r="CL36" i="35" s="1"/>
  <c r="AJ34" i="35"/>
  <c r="BS34" i="35"/>
  <c r="AF36" i="35"/>
  <c r="BS36" i="35" s="1"/>
  <c r="CJ163" i="35"/>
  <c r="AA169" i="35"/>
  <c r="I97" i="3"/>
  <c r="AA168" i="35"/>
  <c r="CJ168" i="35" s="1"/>
  <c r="AA170" i="35"/>
  <c r="BS67" i="35"/>
  <c r="AF71" i="35"/>
  <c r="BS71" i="35" s="1"/>
  <c r="CL67" i="35"/>
  <c r="AI67" i="35"/>
  <c r="AG71" i="35"/>
  <c r="CL71" i="35" s="1"/>
  <c r="AJ67" i="35"/>
  <c r="CL52" i="35"/>
  <c r="AI52" i="35"/>
  <c r="AG56" i="35"/>
  <c r="CL56" i="35" s="1"/>
  <c r="AJ52" i="35"/>
  <c r="BS52" i="35"/>
  <c r="AF56" i="35"/>
  <c r="BS56" i="35" s="1"/>
  <c r="CL11" i="35"/>
  <c r="AJ11" i="35"/>
  <c r="AG29" i="35"/>
  <c r="AI11" i="35"/>
  <c r="AG13" i="35"/>
  <c r="CL13" i="35" s="1"/>
  <c r="CL42" i="35"/>
  <c r="AJ42" i="35"/>
  <c r="AG46" i="35"/>
  <c r="CL46" i="35" s="1"/>
  <c r="AI42" i="35"/>
  <c r="CL14" i="35"/>
  <c r="AI14" i="35"/>
  <c r="AG18" i="35"/>
  <c r="CL18" i="35" s="1"/>
  <c r="AJ14" i="35"/>
  <c r="BS14" i="35"/>
  <c r="AF18" i="35"/>
  <c r="BS18" i="35" s="1"/>
  <c r="BS118" i="35"/>
  <c r="AF121" i="35"/>
  <c r="AF122" i="35"/>
  <c r="BR154" i="35"/>
  <c r="AC160" i="35"/>
  <c r="BR160" i="35" s="1"/>
  <c r="BR27" i="35"/>
  <c r="AC163" i="35"/>
  <c r="CK27" i="35"/>
  <c r="AD163" i="35"/>
  <c r="CK8" i="35"/>
  <c r="AD31" i="35"/>
  <c r="CK31" i="35" s="1"/>
  <c r="G6" i="33"/>
  <c r="L7" i="32"/>
  <c r="M7" i="32"/>
  <c r="H6" i="33"/>
  <c r="E6" i="33"/>
  <c r="J7" i="32"/>
  <c r="N6" i="32"/>
  <c r="I4" i="33"/>
  <c r="BR87" i="35"/>
  <c r="AB87" i="35"/>
  <c r="CK41" i="35"/>
  <c r="AD91" i="35"/>
  <c r="CK91" i="35" s="1"/>
  <c r="CL37" i="35"/>
  <c r="AJ37" i="35"/>
  <c r="AG87" i="35"/>
  <c r="CL87" i="35" s="1"/>
  <c r="AI37" i="35"/>
  <c r="AG41" i="35"/>
  <c r="BS96" i="35"/>
  <c r="AF100" i="35"/>
  <c r="AF105" i="35"/>
  <c r="BS105" i="35" s="1"/>
  <c r="CL72" i="35"/>
  <c r="AI72" i="35"/>
  <c r="AG76" i="35"/>
  <c r="CL76" i="35" s="1"/>
  <c r="AJ72" i="35"/>
  <c r="Q130" i="3"/>
  <c r="BR122" i="35"/>
  <c r="AB122" i="35"/>
  <c r="CL57" i="35"/>
  <c r="AI57" i="35"/>
  <c r="AG61" i="35"/>
  <c r="CL61" i="35" s="1"/>
  <c r="AJ57" i="35"/>
  <c r="CL44" i="35"/>
  <c r="AJ44" i="35"/>
  <c r="AI44" i="35"/>
  <c r="AG89" i="35"/>
  <c r="CL89" i="35" s="1"/>
  <c r="BS150" i="35"/>
  <c r="AF155" i="35"/>
  <c r="BS155" i="35" s="1"/>
  <c r="AF154" i="35"/>
  <c r="BS82" i="35"/>
  <c r="AF86" i="35"/>
  <c r="BS86" i="35" s="1"/>
  <c r="BZ75" i="11"/>
  <c r="BZ174" i="11" s="1"/>
  <c r="Q52" i="15"/>
  <c r="P50" i="15"/>
  <c r="P58" i="15" s="1"/>
  <c r="P42" i="15"/>
  <c r="P196" i="3" s="1"/>
  <c r="BZ85" i="11"/>
  <c r="BZ180" i="11" s="1"/>
  <c r="BZ86" i="11"/>
  <c r="BZ181" i="11" s="1"/>
  <c r="BZ78" i="11"/>
  <c r="BZ177" i="11" s="1"/>
  <c r="BS154" i="35" l="1"/>
  <c r="AF160" i="35"/>
  <c r="BS160" i="35" s="1"/>
  <c r="BT44" i="35"/>
  <c r="AI89" i="35"/>
  <c r="BS100" i="35"/>
  <c r="AF109" i="35"/>
  <c r="BS109" i="35" s="1"/>
  <c r="CL41" i="35"/>
  <c r="AG91" i="35"/>
  <c r="CL91" i="35" s="1"/>
  <c r="N7" i="32"/>
  <c r="I6" i="33"/>
  <c r="BS121" i="35"/>
  <c r="AF125" i="35"/>
  <c r="BS125" i="35" s="1"/>
  <c r="CM14" i="35"/>
  <c r="AL14" i="35"/>
  <c r="AJ18" i="35"/>
  <c r="CM18" i="35" s="1"/>
  <c r="AM14" i="35"/>
  <c r="BT14" i="35"/>
  <c r="AI18" i="35"/>
  <c r="BT18" i="35" s="1"/>
  <c r="BT42" i="35"/>
  <c r="AI46" i="35"/>
  <c r="BT46" i="35" s="1"/>
  <c r="CM42" i="35"/>
  <c r="AM42" i="35"/>
  <c r="AL42" i="35"/>
  <c r="AJ46" i="35"/>
  <c r="CM46" i="35" s="1"/>
  <c r="CL29" i="35"/>
  <c r="AG165" i="35"/>
  <c r="AA312" i="35"/>
  <c r="CJ169" i="35"/>
  <c r="CM34" i="35"/>
  <c r="AM34" i="35"/>
  <c r="AL34" i="35"/>
  <c r="AJ36" i="35"/>
  <c r="CM36" i="35" s="1"/>
  <c r="BT34" i="35"/>
  <c r="AI36" i="35"/>
  <c r="BT36" i="35" s="1"/>
  <c r="CM47" i="35"/>
  <c r="AM47" i="35"/>
  <c r="AL47" i="35"/>
  <c r="AJ51" i="35"/>
  <c r="CM51" i="35" s="1"/>
  <c r="CM62" i="35"/>
  <c r="AL62" i="35"/>
  <c r="AJ66" i="35"/>
  <c r="CM66" i="35" s="1"/>
  <c r="AM62" i="35"/>
  <c r="BT62" i="35"/>
  <c r="AI66" i="35"/>
  <c r="BT66" i="35" s="1"/>
  <c r="CM82" i="35"/>
  <c r="AM82" i="35"/>
  <c r="AL82" i="35"/>
  <c r="AJ86" i="35"/>
  <c r="CM86" i="35" s="1"/>
  <c r="BT150" i="35"/>
  <c r="AI155" i="35"/>
  <c r="BT155" i="35" s="1"/>
  <c r="AI154" i="35"/>
  <c r="P233" i="3"/>
  <c r="CM96" i="35"/>
  <c r="AJ105" i="35"/>
  <c r="CM105" i="35" s="1"/>
  <c r="AL96" i="35"/>
  <c r="AJ100" i="35"/>
  <c r="AM96" i="35"/>
  <c r="CL100" i="35"/>
  <c r="AG109" i="35"/>
  <c r="CL109" i="35" s="1"/>
  <c r="BR206" i="11"/>
  <c r="I185" i="3"/>
  <c r="I55" i="18"/>
  <c r="BS87" i="35"/>
  <c r="AE87" i="35"/>
  <c r="BS8" i="35"/>
  <c r="AF31" i="35"/>
  <c r="BS31" i="35" s="1"/>
  <c r="BT4" i="35"/>
  <c r="AI8" i="35"/>
  <c r="AI27" i="35"/>
  <c r="CM4" i="35"/>
  <c r="AM4" i="35"/>
  <c r="AJ27" i="35"/>
  <c r="AL4" i="35"/>
  <c r="AJ8" i="35"/>
  <c r="CM118" i="35"/>
  <c r="AJ122" i="35"/>
  <c r="CM122" i="35" s="1"/>
  <c r="AJ121" i="35"/>
  <c r="AL118" i="35"/>
  <c r="AM118" i="35"/>
  <c r="BT118" i="35"/>
  <c r="AI121" i="35"/>
  <c r="AI122" i="35"/>
  <c r="CM44" i="35"/>
  <c r="AL44" i="35"/>
  <c r="AJ89" i="35"/>
  <c r="CM89" i="35" s="1"/>
  <c r="AM44" i="35"/>
  <c r="CM57" i="35"/>
  <c r="AM57" i="35"/>
  <c r="AL57" i="35"/>
  <c r="AJ61" i="35"/>
  <c r="CM61" i="35" s="1"/>
  <c r="BT57" i="35"/>
  <c r="AI61" i="35"/>
  <c r="BT61" i="35" s="1"/>
  <c r="Q159" i="3"/>
  <c r="Q206" i="3" s="1"/>
  <c r="Q219" i="3"/>
  <c r="CM72" i="35"/>
  <c r="AL72" i="35"/>
  <c r="AJ76" i="35"/>
  <c r="CM76" i="35" s="1"/>
  <c r="AM72" i="35"/>
  <c r="BT72" i="35"/>
  <c r="AI76" i="35"/>
  <c r="BT76" i="35" s="1"/>
  <c r="BT37" i="35"/>
  <c r="AI87" i="35"/>
  <c r="AI41" i="35"/>
  <c r="CM37" i="35"/>
  <c r="AL37" i="35"/>
  <c r="AM37" i="35"/>
  <c r="AJ87" i="35"/>
  <c r="CM87" i="35" s="1"/>
  <c r="AJ41" i="35"/>
  <c r="CK163" i="35"/>
  <c r="AD168" i="35"/>
  <c r="CK168" i="35" s="1"/>
  <c r="AD170" i="35"/>
  <c r="J97" i="3"/>
  <c r="AD169" i="35"/>
  <c r="BR163" i="35"/>
  <c r="AB163" i="35"/>
  <c r="AC168" i="35"/>
  <c r="BR168" i="35" s="1"/>
  <c r="BS122" i="35"/>
  <c r="AE122" i="35"/>
  <c r="BT11" i="35"/>
  <c r="AI29" i="35"/>
  <c r="AI13" i="35"/>
  <c r="BT13" i="35" s="1"/>
  <c r="CM11" i="35"/>
  <c r="AM11" i="35"/>
  <c r="AJ29" i="35"/>
  <c r="AL11" i="35"/>
  <c r="AJ13" i="35"/>
  <c r="CM13" i="35" s="1"/>
  <c r="CM52" i="35"/>
  <c r="AL52" i="35"/>
  <c r="AJ56" i="35"/>
  <c r="CM56" i="35" s="1"/>
  <c r="AM52" i="35"/>
  <c r="BT52" i="35"/>
  <c r="AI56" i="35"/>
  <c r="BT56" i="35" s="1"/>
  <c r="CM67" i="35"/>
  <c r="AL67" i="35"/>
  <c r="AJ71" i="35"/>
  <c r="CM71" i="35" s="1"/>
  <c r="AM67" i="35"/>
  <c r="BT67" i="35"/>
  <c r="AI71" i="35"/>
  <c r="BT71" i="35" s="1"/>
  <c r="I140" i="3"/>
  <c r="I108" i="3"/>
  <c r="I102" i="9" s="1"/>
  <c r="I106" i="9" s="1"/>
  <c r="BT47" i="35"/>
  <c r="AI51" i="35"/>
  <c r="BT51" i="35" s="1"/>
  <c r="BT82" i="35"/>
  <c r="AI86" i="35"/>
  <c r="BT86" i="35" s="1"/>
  <c r="CL154" i="35"/>
  <c r="AG160" i="35"/>
  <c r="CL160" i="35" s="1"/>
  <c r="CM150" i="35"/>
  <c r="AM150" i="35"/>
  <c r="AJ155" i="35"/>
  <c r="CM155" i="35" s="1"/>
  <c r="AJ154" i="35"/>
  <c r="AL150" i="35"/>
  <c r="BS89" i="35"/>
  <c r="AE89" i="35"/>
  <c r="CM74" i="35"/>
  <c r="AM74" i="35"/>
  <c r="AL74" i="35"/>
  <c r="BU74" i="35" s="1"/>
  <c r="BT96" i="35"/>
  <c r="AI105" i="35"/>
  <c r="BT105" i="35" s="1"/>
  <c r="AI100" i="35"/>
  <c r="BS41" i="35"/>
  <c r="AF91" i="35"/>
  <c r="BS91" i="35" s="1"/>
  <c r="BS27" i="35"/>
  <c r="AF163" i="35"/>
  <c r="CL8" i="35"/>
  <c r="AG31" i="35"/>
  <c r="CL31" i="35" s="1"/>
  <c r="CL27" i="35"/>
  <c r="AG163" i="35"/>
  <c r="CM16" i="35"/>
  <c r="AL16" i="35"/>
  <c r="BU16" i="35" s="1"/>
  <c r="AM16" i="35"/>
  <c r="CL121" i="35"/>
  <c r="AG125" i="35"/>
  <c r="CL125" i="35" s="1"/>
  <c r="CM54" i="35"/>
  <c r="AM54" i="35"/>
  <c r="AL54" i="35"/>
  <c r="BU54" i="35" s="1"/>
  <c r="BS29" i="35"/>
  <c r="AF165" i="35"/>
  <c r="J98" i="3"/>
  <c r="J141" i="3" s="1"/>
  <c r="CK165" i="35"/>
  <c r="AB165" i="35"/>
  <c r="BR165" i="35"/>
  <c r="CM84" i="35"/>
  <c r="AM84" i="35"/>
  <c r="AL84" i="35"/>
  <c r="BU84" i="35" s="1"/>
  <c r="Q50" i="15"/>
  <c r="Q58" i="15" s="1"/>
  <c r="Q42" i="15"/>
  <c r="Q196" i="3" s="1"/>
  <c r="I112" i="3" l="1"/>
  <c r="I126" i="3" s="1"/>
  <c r="I215" i="3" s="1"/>
  <c r="CN16" i="35"/>
  <c r="AP16" i="35"/>
  <c r="AS16" i="35" s="1"/>
  <c r="CP16" i="35" s="1"/>
  <c r="AO16" i="35"/>
  <c r="BV16" i="35" s="1"/>
  <c r="CN67" i="35"/>
  <c r="AP67" i="35"/>
  <c r="AS67" i="35" s="1"/>
  <c r="CP67" i="35" s="1"/>
  <c r="AO67" i="35"/>
  <c r="AM71" i="35"/>
  <c r="CN71" i="35" s="1"/>
  <c r="BU67" i="35"/>
  <c r="AL71" i="35"/>
  <c r="BU71" i="35" s="1"/>
  <c r="CN52" i="35"/>
  <c r="AP52" i="35"/>
  <c r="AS52" i="35" s="1"/>
  <c r="CP52" i="35" s="1"/>
  <c r="AO52" i="35"/>
  <c r="AM56" i="35"/>
  <c r="CN56" i="35" s="1"/>
  <c r="BU52" i="35"/>
  <c r="AL56" i="35"/>
  <c r="BU56" i="35" s="1"/>
  <c r="CM29" i="35"/>
  <c r="AJ165" i="35"/>
  <c r="BT29" i="35"/>
  <c r="AI165" i="35"/>
  <c r="J108" i="3"/>
  <c r="J102" i="9" s="1"/>
  <c r="J106" i="9" s="1"/>
  <c r="J140" i="3"/>
  <c r="CM41" i="35"/>
  <c r="AJ91" i="35"/>
  <c r="CM91" i="35" s="1"/>
  <c r="CN37" i="35"/>
  <c r="AO37" i="35"/>
  <c r="AM41" i="35"/>
  <c r="AP37" i="35"/>
  <c r="AS37" i="35" s="1"/>
  <c r="CP37" i="35" s="1"/>
  <c r="AM87" i="35"/>
  <c r="CN87" i="35" s="1"/>
  <c r="BT87" i="35"/>
  <c r="AH87" i="35"/>
  <c r="CN72" i="35"/>
  <c r="AO72" i="35"/>
  <c r="AM76" i="35"/>
  <c r="CN76" i="35" s="1"/>
  <c r="AP72" i="35"/>
  <c r="AS72" i="35" s="1"/>
  <c r="CP72" i="35" s="1"/>
  <c r="BU72" i="35"/>
  <c r="AL76" i="35"/>
  <c r="BU76" i="35" s="1"/>
  <c r="CN57" i="35"/>
  <c r="AO57" i="35"/>
  <c r="AM61" i="35"/>
  <c r="CN61" i="35" s="1"/>
  <c r="AP57" i="35"/>
  <c r="AS57" i="35" s="1"/>
  <c r="CP57" i="35" s="1"/>
  <c r="CN44" i="35"/>
  <c r="AP44" i="35"/>
  <c r="AS44" i="35" s="1"/>
  <c r="CP44" i="35" s="1"/>
  <c r="AO44" i="35"/>
  <c r="AM89" i="35"/>
  <c r="CN89" i="35" s="1"/>
  <c r="BU44" i="35"/>
  <c r="AL89" i="35"/>
  <c r="BT122" i="35"/>
  <c r="AH122" i="35"/>
  <c r="BU118" i="35"/>
  <c r="AL122" i="35"/>
  <c r="AL121" i="35"/>
  <c r="CM8" i="35"/>
  <c r="AJ31" i="35"/>
  <c r="CM31" i="35" s="1"/>
  <c r="CM27" i="35"/>
  <c r="AJ163" i="35"/>
  <c r="BT8" i="35"/>
  <c r="AI31" i="35"/>
  <c r="BT31" i="35" s="1"/>
  <c r="CM100" i="35"/>
  <c r="AJ109" i="35"/>
  <c r="CM109" i="35" s="1"/>
  <c r="CN82" i="35"/>
  <c r="AP82" i="35"/>
  <c r="AS82" i="35" s="1"/>
  <c r="CP82" i="35" s="1"/>
  <c r="AO82" i="35"/>
  <c r="AM86" i="35"/>
  <c r="CN86" i="35" s="1"/>
  <c r="CN62" i="35"/>
  <c r="AO62" i="35"/>
  <c r="AM66" i="35"/>
  <c r="CN66" i="35" s="1"/>
  <c r="AP62" i="35"/>
  <c r="AS62" i="35" s="1"/>
  <c r="CP62" i="35" s="1"/>
  <c r="BU62" i="35"/>
  <c r="AL66" i="35"/>
  <c r="BU66" i="35" s="1"/>
  <c r="CN47" i="35"/>
  <c r="AP47" i="35"/>
  <c r="AS47" i="35" s="1"/>
  <c r="CP47" i="35" s="1"/>
  <c r="AO47" i="35"/>
  <c r="AM51" i="35"/>
  <c r="CN51" i="35" s="1"/>
  <c r="CN34" i="35"/>
  <c r="AO34" i="35"/>
  <c r="AM36" i="35"/>
  <c r="CN36" i="35" s="1"/>
  <c r="AP34" i="35"/>
  <c r="AS34" i="35" s="1"/>
  <c r="CP34" i="35" s="1"/>
  <c r="K98" i="3"/>
  <c r="CL165" i="35"/>
  <c r="CN42" i="35"/>
  <c r="AO42" i="35"/>
  <c r="AM46" i="35"/>
  <c r="CN46" i="35" s="1"/>
  <c r="AP42" i="35"/>
  <c r="AS42" i="35" s="1"/>
  <c r="CP42" i="35" s="1"/>
  <c r="CN14" i="35"/>
  <c r="AO14" i="35"/>
  <c r="AM18" i="35"/>
  <c r="CN18" i="35" s="1"/>
  <c r="AP14" i="35"/>
  <c r="AS14" i="35" s="1"/>
  <c r="CP14" i="35" s="1"/>
  <c r="BU14" i="35"/>
  <c r="AL18" i="35"/>
  <c r="BU18" i="35" s="1"/>
  <c r="BT89" i="35"/>
  <c r="AH89" i="35"/>
  <c r="BS206" i="11"/>
  <c r="J55" i="18"/>
  <c r="J185" i="3"/>
  <c r="CN54" i="35"/>
  <c r="AO54" i="35"/>
  <c r="BV54" i="35" s="1"/>
  <c r="AP54" i="35"/>
  <c r="AS54" i="35" s="1"/>
  <c r="CP54" i="35" s="1"/>
  <c r="CM154" i="35"/>
  <c r="AJ160" i="35"/>
  <c r="CM160" i="35" s="1"/>
  <c r="CN150" i="35"/>
  <c r="AP150" i="35"/>
  <c r="AS150" i="35" s="1"/>
  <c r="CP150" i="35" s="1"/>
  <c r="AM155" i="35"/>
  <c r="CN155" i="35" s="1"/>
  <c r="AM154" i="35"/>
  <c r="AO150" i="35"/>
  <c r="CN84" i="35"/>
  <c r="AO84" i="35"/>
  <c r="BV84" i="35" s="1"/>
  <c r="AP84" i="35"/>
  <c r="AS84" i="35" s="1"/>
  <c r="CP84" i="35" s="1"/>
  <c r="BS165" i="35"/>
  <c r="AE165" i="35"/>
  <c r="CL163" i="35"/>
  <c r="AG169" i="35"/>
  <c r="K97" i="3"/>
  <c r="AG168" i="35"/>
  <c r="CL168" i="35" s="1"/>
  <c r="AG170" i="35"/>
  <c r="BS163" i="35"/>
  <c r="AF168" i="35"/>
  <c r="BS168" i="35" s="1"/>
  <c r="AE163" i="35"/>
  <c r="BT100" i="35"/>
  <c r="AI109" i="35"/>
  <c r="BT109" i="35" s="1"/>
  <c r="CN74" i="35"/>
  <c r="AO74" i="35"/>
  <c r="BV74" i="35" s="1"/>
  <c r="AP74" i="35"/>
  <c r="AS74" i="35" s="1"/>
  <c r="CP74" i="35" s="1"/>
  <c r="BU150" i="35"/>
  <c r="AL154" i="35"/>
  <c r="AL155" i="35"/>
  <c r="BU155" i="35" s="1"/>
  <c r="BR205" i="11"/>
  <c r="I151" i="3"/>
  <c r="I48" i="32" s="1"/>
  <c r="I56" i="32" s="1"/>
  <c r="I22" i="18"/>
  <c r="I184" i="3"/>
  <c r="BU11" i="35"/>
  <c r="AL13" i="35"/>
  <c r="BU13" i="35" s="1"/>
  <c r="AL29" i="35"/>
  <c r="CN11" i="35"/>
  <c r="AO11" i="35"/>
  <c r="AM13" i="35"/>
  <c r="CN13" i="35" s="1"/>
  <c r="AP11" i="35"/>
  <c r="AS11" i="35" s="1"/>
  <c r="CP11" i="35" s="1"/>
  <c r="AM29" i="35"/>
  <c r="I111" i="3"/>
  <c r="I125" i="3" s="1"/>
  <c r="AD312" i="35"/>
  <c r="CK169" i="35"/>
  <c r="BU37" i="35"/>
  <c r="AL41" i="35"/>
  <c r="AL87" i="35"/>
  <c r="BT41" i="35"/>
  <c r="AI91" i="35"/>
  <c r="BT91" i="35" s="1"/>
  <c r="Q233" i="3"/>
  <c r="BU57" i="35"/>
  <c r="AL61" i="35"/>
  <c r="BU61" i="35" s="1"/>
  <c r="BT121" i="35"/>
  <c r="AI125" i="35"/>
  <c r="BT125" i="35" s="1"/>
  <c r="CN118" i="35"/>
  <c r="AP118" i="35"/>
  <c r="AS118" i="35" s="1"/>
  <c r="CP118" i="35" s="1"/>
  <c r="AM122" i="35"/>
  <c r="CN122" i="35" s="1"/>
  <c r="AM121" i="35"/>
  <c r="AO118" i="35"/>
  <c r="CM121" i="35"/>
  <c r="AJ125" i="35"/>
  <c r="CM125" i="35" s="1"/>
  <c r="BU4" i="35"/>
  <c r="AL27" i="35"/>
  <c r="AL8" i="35"/>
  <c r="CN4" i="35"/>
  <c r="AO4" i="35"/>
  <c r="AM8" i="35"/>
  <c r="AP4" i="35"/>
  <c r="AS4" i="35" s="1"/>
  <c r="CP4" i="35" s="1"/>
  <c r="AM27" i="35"/>
  <c r="BT27" i="35"/>
  <c r="AI163" i="35"/>
  <c r="Y23" i="11"/>
  <c r="AN23" i="11" s="1"/>
  <c r="Y29" i="11"/>
  <c r="AN29" i="11" s="1"/>
  <c r="Y20" i="11"/>
  <c r="AN20" i="11" s="1"/>
  <c r="BR20" i="11" s="1"/>
  <c r="Y22" i="11"/>
  <c r="AN22" i="11" s="1"/>
  <c r="BR22" i="11" s="1"/>
  <c r="Y24" i="11"/>
  <c r="AN24" i="11" s="1"/>
  <c r="BR24" i="11" s="1"/>
  <c r="Y26" i="11"/>
  <c r="AN26" i="11" s="1"/>
  <c r="Y28" i="11"/>
  <c r="AN28" i="11" s="1"/>
  <c r="Y30" i="11"/>
  <c r="AN30" i="11" s="1"/>
  <c r="Y19" i="11"/>
  <c r="AN19" i="11" s="1"/>
  <c r="BR19" i="11" s="1"/>
  <c r="Y21" i="11"/>
  <c r="AN21" i="11" s="1"/>
  <c r="Y25" i="11"/>
  <c r="AN25" i="11" s="1"/>
  <c r="BR25" i="11" s="1"/>
  <c r="Y27" i="11"/>
  <c r="AN27" i="11" s="1"/>
  <c r="Y31" i="11"/>
  <c r="AN31" i="11" s="1"/>
  <c r="CN96" i="35"/>
  <c r="AP96" i="35"/>
  <c r="AS96" i="35" s="1"/>
  <c r="CP96" i="35" s="1"/>
  <c r="AM105" i="35"/>
  <c r="CN105" i="35" s="1"/>
  <c r="AM100" i="35"/>
  <c r="AO96" i="35"/>
  <c r="BU96" i="35"/>
  <c r="AL100" i="35"/>
  <c r="AL105" i="35"/>
  <c r="BU105" i="35" s="1"/>
  <c r="BT154" i="35"/>
  <c r="AI160" i="35"/>
  <c r="BT160" i="35" s="1"/>
  <c r="BU82" i="35"/>
  <c r="AL86" i="35"/>
  <c r="BU86" i="35" s="1"/>
  <c r="BU47" i="35"/>
  <c r="AL51" i="35"/>
  <c r="BU51" i="35" s="1"/>
  <c r="BU34" i="35"/>
  <c r="AL36" i="35"/>
  <c r="BU36" i="35" s="1"/>
  <c r="BU42" i="35"/>
  <c r="AL46" i="35"/>
  <c r="BU46" i="35" s="1"/>
  <c r="AU84" i="35" l="1"/>
  <c r="BX84" i="35" s="1"/>
  <c r="AV84" i="35"/>
  <c r="CQ84" i="35" s="1"/>
  <c r="AV150" i="35"/>
  <c r="CQ150" i="35" s="1"/>
  <c r="AS155" i="35"/>
  <c r="CP155" i="35" s="1"/>
  <c r="AU150" i="35"/>
  <c r="BX150" i="35" s="1"/>
  <c r="AS154" i="35"/>
  <c r="AU54" i="35"/>
  <c r="BX54" i="35" s="1"/>
  <c r="AV54" i="35"/>
  <c r="CQ54" i="35" s="1"/>
  <c r="AV14" i="35"/>
  <c r="CQ14" i="35" s="1"/>
  <c r="AS18" i="35"/>
  <c r="CP18" i="35" s="1"/>
  <c r="AU14" i="35"/>
  <c r="BX14" i="35" s="1"/>
  <c r="AV42" i="35"/>
  <c r="CQ42" i="35" s="1"/>
  <c r="AS46" i="35"/>
  <c r="CP46" i="35" s="1"/>
  <c r="AU42" i="35"/>
  <c r="BX42" i="35" s="1"/>
  <c r="AV34" i="35"/>
  <c r="CQ34" i="35" s="1"/>
  <c r="AU34" i="35"/>
  <c r="AS36" i="35"/>
  <c r="CP36" i="35" s="1"/>
  <c r="AV47" i="35"/>
  <c r="CQ47" i="35" s="1"/>
  <c r="AU47" i="35"/>
  <c r="AS51" i="35"/>
  <c r="CP51" i="35" s="1"/>
  <c r="AV62" i="35"/>
  <c r="CQ62" i="35" s="1"/>
  <c r="AU62" i="35"/>
  <c r="AS66" i="35"/>
  <c r="CP66" i="35" s="1"/>
  <c r="AV82" i="35"/>
  <c r="CQ82" i="35" s="1"/>
  <c r="AU82" i="35"/>
  <c r="AS86" i="35"/>
  <c r="CP86" i="35" s="1"/>
  <c r="AV37" i="35"/>
  <c r="CQ37" i="35" s="1"/>
  <c r="AS87" i="35"/>
  <c r="CP87" i="35" s="1"/>
  <c r="AU37" i="35"/>
  <c r="BX37" i="35" s="1"/>
  <c r="AS41" i="35"/>
  <c r="CP41" i="35" s="1"/>
  <c r="AV52" i="35"/>
  <c r="CQ52" i="35" s="1"/>
  <c r="AU52" i="35"/>
  <c r="AS56" i="35"/>
  <c r="CP56" i="35" s="1"/>
  <c r="AV67" i="35"/>
  <c r="CQ67" i="35" s="1"/>
  <c r="AS71" i="35"/>
  <c r="CP71" i="35" s="1"/>
  <c r="AU67" i="35"/>
  <c r="AV96" i="35"/>
  <c r="CQ96" i="35" s="1"/>
  <c r="AS105" i="35"/>
  <c r="CP105" i="35" s="1"/>
  <c r="AU96" i="35"/>
  <c r="BX96" i="35" s="1"/>
  <c r="AS100" i="35"/>
  <c r="AV4" i="35"/>
  <c r="CQ4" i="35" s="1"/>
  <c r="AS27" i="35"/>
  <c r="AS8" i="35"/>
  <c r="CP8" i="35" s="1"/>
  <c r="AU4" i="35"/>
  <c r="BX4" i="35" s="1"/>
  <c r="AV118" i="35"/>
  <c r="CQ118" i="35" s="1"/>
  <c r="AU118" i="35"/>
  <c r="BX118" i="35" s="1"/>
  <c r="AS122" i="35"/>
  <c r="CP122" i="35" s="1"/>
  <c r="AS121" i="35"/>
  <c r="AV11" i="35"/>
  <c r="CQ11" i="35" s="1"/>
  <c r="AU11" i="35"/>
  <c r="BX11" i="35" s="1"/>
  <c r="AS13" i="35"/>
  <c r="CP13" i="35" s="1"/>
  <c r="AS29" i="35"/>
  <c r="AU74" i="35"/>
  <c r="BX74" i="35" s="1"/>
  <c r="AV74" i="35"/>
  <c r="CQ74" i="35" s="1"/>
  <c r="AV44" i="35"/>
  <c r="CQ44" i="35" s="1"/>
  <c r="AU44" i="35"/>
  <c r="AS89" i="35"/>
  <c r="CP89" i="35" s="1"/>
  <c r="AV57" i="35"/>
  <c r="CQ57" i="35" s="1"/>
  <c r="AS61" i="35"/>
  <c r="CP61" i="35" s="1"/>
  <c r="AU57" i="35"/>
  <c r="AV72" i="35"/>
  <c r="CQ72" i="35" s="1"/>
  <c r="AS76" i="35"/>
  <c r="CP76" i="35" s="1"/>
  <c r="AU72" i="35"/>
  <c r="AU16" i="35"/>
  <c r="BX16" i="35" s="1"/>
  <c r="AV16" i="35"/>
  <c r="CQ16" i="35" s="1"/>
  <c r="CN100" i="35"/>
  <c r="AM109" i="35"/>
  <c r="CN109" i="35" s="1"/>
  <c r="CO96" i="35"/>
  <c r="AP100" i="35"/>
  <c r="AR96" i="35"/>
  <c r="AP105" i="35"/>
  <c r="CO105" i="35" s="1"/>
  <c r="CO4" i="35"/>
  <c r="AP27" i="35"/>
  <c r="AP8" i="35"/>
  <c r="AR4" i="35"/>
  <c r="BV4" i="35"/>
  <c r="AO27" i="35"/>
  <c r="AO8" i="35"/>
  <c r="BU8" i="35"/>
  <c r="AL31" i="35"/>
  <c r="BU31" i="35" s="1"/>
  <c r="CN121" i="35"/>
  <c r="AM125" i="35"/>
  <c r="CN125" i="35" s="1"/>
  <c r="CO118" i="35"/>
  <c r="AR118" i="35"/>
  <c r="AP121" i="35"/>
  <c r="AP122" i="35"/>
  <c r="CO122" i="35" s="1"/>
  <c r="BU41" i="35"/>
  <c r="AL91" i="35"/>
  <c r="BU91" i="35" s="1"/>
  <c r="CN29" i="35"/>
  <c r="AM165" i="35"/>
  <c r="Y8" i="11"/>
  <c r="AN8" i="11" s="1"/>
  <c r="AN172" i="11" s="1"/>
  <c r="Y14" i="11"/>
  <c r="AN14" i="11" s="1"/>
  <c r="AN179" i="11" s="1"/>
  <c r="Y18" i="11"/>
  <c r="AN18" i="11" s="1"/>
  <c r="AN185" i="11" s="1"/>
  <c r="Y7" i="11"/>
  <c r="AN7" i="11" s="1"/>
  <c r="Y9" i="11"/>
  <c r="AN9" i="11" s="1"/>
  <c r="Y11" i="11"/>
  <c r="AN11" i="11" s="1"/>
  <c r="Y13" i="11"/>
  <c r="AN13" i="11" s="1"/>
  <c r="AN178" i="11" s="1"/>
  <c r="Y15" i="11"/>
  <c r="AN15" i="11" s="1"/>
  <c r="AN182" i="11" s="1"/>
  <c r="Y17" i="11"/>
  <c r="AN17" i="11" s="1"/>
  <c r="AN184" i="11" s="1"/>
  <c r="I195" i="3"/>
  <c r="Y6" i="11"/>
  <c r="AN6" i="11" s="1"/>
  <c r="Y10" i="11"/>
  <c r="AN10" i="11" s="1"/>
  <c r="AN175" i="11" s="1"/>
  <c r="AN251" i="11" s="1"/>
  <c r="AN253" i="11" s="1"/>
  <c r="Y12" i="11"/>
  <c r="AN12" i="11" s="1"/>
  <c r="BR12" i="11" s="1"/>
  <c r="Y16" i="11"/>
  <c r="AN16" i="11" s="1"/>
  <c r="AN183" i="11" s="1"/>
  <c r="J111" i="3"/>
  <c r="J125" i="3" s="1"/>
  <c r="AG312" i="35"/>
  <c r="CL169" i="35"/>
  <c r="J112" i="3"/>
  <c r="J126" i="3" s="1"/>
  <c r="J215" i="3" s="1"/>
  <c r="CO84" i="35"/>
  <c r="AR84" i="35"/>
  <c r="BW84" i="35" s="1"/>
  <c r="CN154" i="35"/>
  <c r="AM160" i="35"/>
  <c r="CN160" i="35" s="1"/>
  <c r="CO150" i="35"/>
  <c r="AP154" i="35"/>
  <c r="AR150" i="35"/>
  <c r="AP155" i="35"/>
  <c r="CO155" i="35" s="1"/>
  <c r="CO54" i="35"/>
  <c r="AR54" i="35"/>
  <c r="BW54" i="35" s="1"/>
  <c r="CO14" i="35"/>
  <c r="AR14" i="35"/>
  <c r="AP18" i="35"/>
  <c r="CO18" i="35" s="1"/>
  <c r="BV14" i="35"/>
  <c r="AO18" i="35"/>
  <c r="BV18" i="35" s="1"/>
  <c r="CO42" i="35"/>
  <c r="AR42" i="35"/>
  <c r="AP46" i="35"/>
  <c r="CO46" i="35" s="1"/>
  <c r="BV42" i="35"/>
  <c r="AO46" i="35"/>
  <c r="BV46" i="35" s="1"/>
  <c r="CO34" i="35"/>
  <c r="AR34" i="35"/>
  <c r="AP36" i="35"/>
  <c r="CO36" i="35" s="1"/>
  <c r="BV34" i="35"/>
  <c r="AO36" i="35"/>
  <c r="BV36" i="35" s="1"/>
  <c r="CO47" i="35"/>
  <c r="AR47" i="35"/>
  <c r="AP51" i="35"/>
  <c r="CO51" i="35" s="1"/>
  <c r="CO62" i="35"/>
  <c r="AR62" i="35"/>
  <c r="AP66" i="35"/>
  <c r="CO66" i="35" s="1"/>
  <c r="BV62" i="35"/>
  <c r="AO66" i="35"/>
  <c r="BV66" i="35" s="1"/>
  <c r="CO82" i="35"/>
  <c r="AR82" i="35"/>
  <c r="AP86" i="35"/>
  <c r="CO86" i="35" s="1"/>
  <c r="CM163" i="35"/>
  <c r="AJ169" i="35"/>
  <c r="AJ168" i="35"/>
  <c r="CM168" i="35" s="1"/>
  <c r="AJ170" i="35"/>
  <c r="L97" i="3"/>
  <c r="BU121" i="35"/>
  <c r="AL125" i="35"/>
  <c r="BU125" i="35" s="1"/>
  <c r="BV44" i="35"/>
  <c r="AO89" i="35"/>
  <c r="CO37" i="35"/>
  <c r="AR37" i="35"/>
  <c r="AP41" i="35"/>
  <c r="AP87" i="35"/>
  <c r="CO87" i="35" s="1"/>
  <c r="BV37" i="35"/>
  <c r="AO41" i="35"/>
  <c r="AO87" i="35"/>
  <c r="BV52" i="35"/>
  <c r="AO56" i="35"/>
  <c r="BV56" i="35" s="1"/>
  <c r="BV67" i="35"/>
  <c r="AO71" i="35"/>
  <c r="BV71" i="35" s="1"/>
  <c r="CO16" i="35"/>
  <c r="AR16" i="35"/>
  <c r="BW16" i="35" s="1"/>
  <c r="BU100" i="35"/>
  <c r="AL109" i="35"/>
  <c r="BU109" i="35" s="1"/>
  <c r="BV96" i="35"/>
  <c r="AO100" i="35"/>
  <c r="AO105" i="35"/>
  <c r="BV105" i="35" s="1"/>
  <c r="BT163" i="35"/>
  <c r="AH163" i="35"/>
  <c r="AI168" i="35"/>
  <c r="BT168" i="35" s="1"/>
  <c r="CN27" i="35"/>
  <c r="AM163" i="35"/>
  <c r="CN8" i="35"/>
  <c r="AM31" i="35"/>
  <c r="CN31" i="35" s="1"/>
  <c r="BU27" i="35"/>
  <c r="AL163" i="35"/>
  <c r="BV118" i="35"/>
  <c r="AO121" i="35"/>
  <c r="AO122" i="35"/>
  <c r="BU87" i="35"/>
  <c r="AK87" i="35"/>
  <c r="I32" i="18"/>
  <c r="I214" i="3"/>
  <c r="I225" i="3" s="1"/>
  <c r="I136" i="3"/>
  <c r="CO11" i="35"/>
  <c r="AP13" i="35"/>
  <c r="CO13" i="35" s="1"/>
  <c r="AR11" i="35"/>
  <c r="AP29" i="35"/>
  <c r="BV11" i="35"/>
  <c r="AO13" i="35"/>
  <c r="BV13" i="35" s="1"/>
  <c r="AO29" i="35"/>
  <c r="BU29" i="35"/>
  <c r="AL165" i="35"/>
  <c r="BU154" i="35"/>
  <c r="AL160" i="35"/>
  <c r="BU160" i="35" s="1"/>
  <c r="CO74" i="35"/>
  <c r="AR74" i="35"/>
  <c r="BW74" i="35" s="1"/>
  <c r="K140" i="3"/>
  <c r="K108" i="3"/>
  <c r="K102" i="9" s="1"/>
  <c r="K106" i="9" s="1"/>
  <c r="BV150" i="35"/>
  <c r="AO155" i="35"/>
  <c r="BV155" i="35" s="1"/>
  <c r="AO154" i="35"/>
  <c r="Z20" i="11"/>
  <c r="AO20" i="11" s="1"/>
  <c r="BS20" i="11" s="1"/>
  <c r="Z22" i="11"/>
  <c r="AO22" i="11" s="1"/>
  <c r="BS22" i="11" s="1"/>
  <c r="Z24" i="11"/>
  <c r="AO24" i="11" s="1"/>
  <c r="BS24" i="11" s="1"/>
  <c r="Z26" i="11"/>
  <c r="AO26" i="11" s="1"/>
  <c r="Z28" i="11"/>
  <c r="AO28" i="11" s="1"/>
  <c r="Z30" i="11"/>
  <c r="AO30" i="11" s="1"/>
  <c r="Z19" i="11"/>
  <c r="AO19" i="11" s="1"/>
  <c r="BS19" i="11" s="1"/>
  <c r="Z23" i="11"/>
  <c r="AO23" i="11" s="1"/>
  <c r="Z27" i="11"/>
  <c r="AO27" i="11" s="1"/>
  <c r="Z31" i="11"/>
  <c r="AO31" i="11" s="1"/>
  <c r="Z21" i="11"/>
  <c r="AO21" i="11" s="1"/>
  <c r="Z25" i="11"/>
  <c r="AO25" i="11" s="1"/>
  <c r="BS25" i="11" s="1"/>
  <c r="Z29" i="11"/>
  <c r="AO29" i="11" s="1"/>
  <c r="K141" i="3"/>
  <c r="BV47" i="35"/>
  <c r="AO51" i="35"/>
  <c r="BV51" i="35" s="1"/>
  <c r="BV82" i="35"/>
  <c r="AO86" i="35"/>
  <c r="BV86" i="35" s="1"/>
  <c r="BU122" i="35"/>
  <c r="AK122" i="35"/>
  <c r="BU89" i="35"/>
  <c r="AK89" i="35"/>
  <c r="CO44" i="35"/>
  <c r="AR44" i="35"/>
  <c r="AP89" i="35"/>
  <c r="CO89" i="35" s="1"/>
  <c r="CO57" i="35"/>
  <c r="AR57" i="35"/>
  <c r="AP61" i="35"/>
  <c r="CO61" i="35" s="1"/>
  <c r="BV57" i="35"/>
  <c r="AO61" i="35"/>
  <c r="BV61" i="35" s="1"/>
  <c r="CO72" i="35"/>
  <c r="AP76" i="35"/>
  <c r="CO76" i="35" s="1"/>
  <c r="AR72" i="35"/>
  <c r="BV72" i="35"/>
  <c r="AO76" i="35"/>
  <c r="BV76" i="35" s="1"/>
  <c r="CN41" i="35"/>
  <c r="AM91" i="35"/>
  <c r="CN91" i="35" s="1"/>
  <c r="J22" i="18"/>
  <c r="J151" i="3"/>
  <c r="J48" i="32" s="1"/>
  <c r="J56" i="32" s="1"/>
  <c r="BS205" i="11"/>
  <c r="J184" i="3"/>
  <c r="BT165" i="35"/>
  <c r="AH165" i="35"/>
  <c r="L98" i="3"/>
  <c r="L141" i="3" s="1"/>
  <c r="CM165" i="35"/>
  <c r="CO52" i="35"/>
  <c r="AR52" i="35"/>
  <c r="AP56" i="35"/>
  <c r="CO56" i="35" s="1"/>
  <c r="CO67" i="35"/>
  <c r="AR67" i="35"/>
  <c r="AP71" i="35"/>
  <c r="CO71" i="35" s="1"/>
  <c r="AU61" i="35" l="1"/>
  <c r="BX61" i="35" s="1"/>
  <c r="BX57" i="35"/>
  <c r="AU89" i="35"/>
  <c r="BX44" i="35"/>
  <c r="AS165" i="35"/>
  <c r="CP29" i="35"/>
  <c r="AS125" i="35"/>
  <c r="CP125" i="35" s="1"/>
  <c r="CP121" i="35"/>
  <c r="AS163" i="35"/>
  <c r="CP27" i="35"/>
  <c r="AS109" i="35"/>
  <c r="CP109" i="35" s="1"/>
  <c r="CP100" i="35"/>
  <c r="AU71" i="35"/>
  <c r="BX71" i="35" s="1"/>
  <c r="BX67" i="35"/>
  <c r="AU56" i="35"/>
  <c r="BX56" i="35" s="1"/>
  <c r="BX52" i="35"/>
  <c r="AU66" i="35"/>
  <c r="BX66" i="35" s="1"/>
  <c r="BX62" i="35"/>
  <c r="AU36" i="35"/>
  <c r="BX36" i="35" s="1"/>
  <c r="BX34" i="35"/>
  <c r="AS160" i="35"/>
  <c r="CP160" i="35" s="1"/>
  <c r="CP154" i="35"/>
  <c r="AU76" i="35"/>
  <c r="BX76" i="35" s="1"/>
  <c r="BX72" i="35"/>
  <c r="AU86" i="35"/>
  <c r="BX86" i="35" s="1"/>
  <c r="BX82" i="35"/>
  <c r="AU51" i="35"/>
  <c r="BX51" i="35" s="1"/>
  <c r="BX47" i="35"/>
  <c r="AY57" i="35"/>
  <c r="CR57" i="35" s="1"/>
  <c r="AV61" i="35"/>
  <c r="CQ61" i="35" s="1"/>
  <c r="AX57" i="35"/>
  <c r="AX74" i="35"/>
  <c r="BY74" i="35" s="1"/>
  <c r="AY74" i="35"/>
  <c r="AU13" i="35"/>
  <c r="BX13" i="35" s="1"/>
  <c r="AU29" i="35"/>
  <c r="AU121" i="35"/>
  <c r="AU122" i="35"/>
  <c r="AU27" i="35"/>
  <c r="BX27" i="35" s="1"/>
  <c r="AU8" i="35"/>
  <c r="BX8" i="35" s="1"/>
  <c r="AY67" i="35"/>
  <c r="CR67" i="35" s="1"/>
  <c r="AX67" i="35"/>
  <c r="AV71" i="35"/>
  <c r="CQ71" i="35" s="1"/>
  <c r="AS91" i="35"/>
  <c r="CP91" i="35" s="1"/>
  <c r="AY82" i="35"/>
  <c r="CR82" i="35" s="1"/>
  <c r="AX82" i="35"/>
  <c r="BY82" i="35" s="1"/>
  <c r="AV86" i="35"/>
  <c r="CQ86" i="35" s="1"/>
  <c r="AY47" i="35"/>
  <c r="CR47" i="35" s="1"/>
  <c r="AV51" i="35"/>
  <c r="CQ51" i="35" s="1"/>
  <c r="AX47" i="35"/>
  <c r="AU46" i="35"/>
  <c r="BX46" i="35" s="1"/>
  <c r="AY42" i="35"/>
  <c r="CR42" i="35" s="1"/>
  <c r="AX42" i="35"/>
  <c r="BY42" i="35" s="1"/>
  <c r="AV46" i="35"/>
  <c r="CQ46" i="35" s="1"/>
  <c r="AY54" i="35"/>
  <c r="AX54" i="35"/>
  <c r="BY54" i="35" s="1"/>
  <c r="AY84" i="35"/>
  <c r="AX84" i="35"/>
  <c r="BY84" i="35" s="1"/>
  <c r="AX16" i="35"/>
  <c r="BY16" i="35" s="1"/>
  <c r="AY16" i="35"/>
  <c r="AY72" i="35"/>
  <c r="CR72" i="35" s="1"/>
  <c r="AX72" i="35"/>
  <c r="BY72" i="35" s="1"/>
  <c r="AV76" i="35"/>
  <c r="CQ76" i="35" s="1"/>
  <c r="AY44" i="35"/>
  <c r="CR44" i="35" s="1"/>
  <c r="AX44" i="35"/>
  <c r="BY44" i="35" s="1"/>
  <c r="AV89" i="35"/>
  <c r="CQ89" i="35" s="1"/>
  <c r="AY11" i="35"/>
  <c r="CR11" i="35" s="1"/>
  <c r="AV13" i="35"/>
  <c r="CQ13" i="35" s="1"/>
  <c r="AV29" i="35"/>
  <c r="CQ29" i="35" s="1"/>
  <c r="AX11" i="35"/>
  <c r="BY11" i="35" s="1"/>
  <c r="AY118" i="35"/>
  <c r="CR118" i="35" s="1"/>
  <c r="AX118" i="35"/>
  <c r="BY118" i="35" s="1"/>
  <c r="AV121" i="35"/>
  <c r="AV122" i="35"/>
  <c r="CQ122" i="35" s="1"/>
  <c r="AS31" i="35"/>
  <c r="CP31" i="35" s="1"/>
  <c r="AY4" i="35"/>
  <c r="CR4" i="35" s="1"/>
  <c r="AV27" i="35"/>
  <c r="CQ27" i="35" s="1"/>
  <c r="AV8" i="35"/>
  <c r="CQ8" i="35" s="1"/>
  <c r="AX4" i="35"/>
  <c r="BY4" i="35" s="1"/>
  <c r="AU100" i="35"/>
  <c r="AU105" i="35"/>
  <c r="BX105" i="35" s="1"/>
  <c r="AY96" i="35"/>
  <c r="CR96" i="35" s="1"/>
  <c r="AV105" i="35"/>
  <c r="CQ105" i="35" s="1"/>
  <c r="AX96" i="35"/>
  <c r="BY96" i="35" s="1"/>
  <c r="AV100" i="35"/>
  <c r="AY52" i="35"/>
  <c r="CR52" i="35" s="1"/>
  <c r="AV56" i="35"/>
  <c r="CQ56" i="35" s="1"/>
  <c r="AX52" i="35"/>
  <c r="BY52" i="35" s="1"/>
  <c r="AU41" i="35"/>
  <c r="AU87" i="35"/>
  <c r="AY37" i="35"/>
  <c r="CR37" i="35" s="1"/>
  <c r="AV87" i="35"/>
  <c r="CQ87" i="35" s="1"/>
  <c r="AX37" i="35"/>
  <c r="BY37" i="35" s="1"/>
  <c r="AV41" i="35"/>
  <c r="CQ41" i="35" s="1"/>
  <c r="AY62" i="35"/>
  <c r="CR62" i="35" s="1"/>
  <c r="AV66" i="35"/>
  <c r="CQ66" i="35" s="1"/>
  <c r="AX62" i="35"/>
  <c r="AY34" i="35"/>
  <c r="CR34" i="35" s="1"/>
  <c r="AV36" i="35"/>
  <c r="CQ36" i="35" s="1"/>
  <c r="AX34" i="35"/>
  <c r="AU18" i="35"/>
  <c r="BX18" i="35" s="1"/>
  <c r="AY14" i="35"/>
  <c r="CR14" i="35" s="1"/>
  <c r="AX14" i="35"/>
  <c r="BY14" i="35" s="1"/>
  <c r="AV18" i="35"/>
  <c r="CQ18" i="35" s="1"/>
  <c r="AU154" i="35"/>
  <c r="AU155" i="35"/>
  <c r="BX155" i="35" s="1"/>
  <c r="AY150" i="35"/>
  <c r="CR150" i="35" s="1"/>
  <c r="AV154" i="35"/>
  <c r="AV155" i="35"/>
  <c r="CQ155" i="35" s="1"/>
  <c r="AX150" i="35"/>
  <c r="BY150" i="35" s="1"/>
  <c r="BW67" i="35"/>
  <c r="AR71" i="35"/>
  <c r="BW71" i="35" s="1"/>
  <c r="BU206" i="11"/>
  <c r="L55" i="18"/>
  <c r="L185" i="3"/>
  <c r="BW44" i="35"/>
  <c r="AR89" i="35"/>
  <c r="AK165" i="35"/>
  <c r="BU165" i="35"/>
  <c r="BV29" i="35"/>
  <c r="AO165" i="35"/>
  <c r="BW11" i="35"/>
  <c r="AR29" i="35"/>
  <c r="AR13" i="35"/>
  <c r="BW13" i="35" s="1"/>
  <c r="BV122" i="35"/>
  <c r="AN122" i="35"/>
  <c r="K111" i="3"/>
  <c r="K125" i="3" s="1"/>
  <c r="BV41" i="35"/>
  <c r="AO91" i="35"/>
  <c r="BV91" i="35" s="1"/>
  <c r="BW37" i="35"/>
  <c r="AR87" i="35"/>
  <c r="AR41" i="35"/>
  <c r="BV89" i="35"/>
  <c r="AN89" i="35"/>
  <c r="L108" i="3"/>
  <c r="L102" i="9" s="1"/>
  <c r="L106" i="9" s="1"/>
  <c r="L140" i="3"/>
  <c r="BW82" i="35"/>
  <c r="AR86" i="35"/>
  <c r="BW86" i="35" s="1"/>
  <c r="BW47" i="35"/>
  <c r="AR51" i="35"/>
  <c r="BW51" i="35" s="1"/>
  <c r="BW42" i="35"/>
  <c r="AR46" i="35"/>
  <c r="BW46" i="35" s="1"/>
  <c r="BW150" i="35"/>
  <c r="AR154" i="35"/>
  <c r="AR155" i="35"/>
  <c r="BW155" i="35" s="1"/>
  <c r="J136" i="3"/>
  <c r="J32" i="18"/>
  <c r="J214" i="3"/>
  <c r="J225" i="3" s="1"/>
  <c r="AN170" i="11"/>
  <c r="BR6" i="11"/>
  <c r="BR170" i="11" s="1"/>
  <c r="AN173" i="11"/>
  <c r="BR9" i="11"/>
  <c r="BR173" i="11" s="1"/>
  <c r="CO121" i="35"/>
  <c r="AP125" i="35"/>
  <c r="CO125" i="35" s="1"/>
  <c r="BV27" i="35"/>
  <c r="AO163" i="35"/>
  <c r="BW4" i="35"/>
  <c r="AR27" i="35"/>
  <c r="AR8" i="35"/>
  <c r="CO27" i="35"/>
  <c r="AP163" i="35"/>
  <c r="CO100" i="35"/>
  <c r="AP109" i="35"/>
  <c r="CO109" i="35" s="1"/>
  <c r="BW52" i="35"/>
  <c r="AR56" i="35"/>
  <c r="BW56" i="35" s="1"/>
  <c r="K112" i="3"/>
  <c r="K126" i="3" s="1"/>
  <c r="K215" i="3" s="1"/>
  <c r="Z6" i="11"/>
  <c r="AO6" i="11" s="1"/>
  <c r="Z8" i="11"/>
  <c r="AO8" i="11" s="1"/>
  <c r="AO172" i="11" s="1"/>
  <c r="Z10" i="11"/>
  <c r="AO10" i="11" s="1"/>
  <c r="AO175" i="11" s="1"/>
  <c r="AO251" i="11" s="1"/>
  <c r="AO253" i="11" s="1"/>
  <c r="Z12" i="11"/>
  <c r="AO12" i="11" s="1"/>
  <c r="BS12" i="11" s="1"/>
  <c r="Z14" i="11"/>
  <c r="AO14" i="11" s="1"/>
  <c r="AO179" i="11" s="1"/>
  <c r="Z16" i="11"/>
  <c r="AO16" i="11" s="1"/>
  <c r="AO183" i="11" s="1"/>
  <c r="Z18" i="11"/>
  <c r="AO18" i="11" s="1"/>
  <c r="AO185" i="11" s="1"/>
  <c r="Z7" i="11"/>
  <c r="AO7" i="11" s="1"/>
  <c r="Z9" i="11"/>
  <c r="AO9" i="11" s="1"/>
  <c r="Z11" i="11"/>
  <c r="AO11" i="11" s="1"/>
  <c r="Z13" i="11"/>
  <c r="AO13" i="11" s="1"/>
  <c r="AO178" i="11" s="1"/>
  <c r="Z15" i="11"/>
  <c r="AO15" i="11" s="1"/>
  <c r="AO182" i="11" s="1"/>
  <c r="Z17" i="11"/>
  <c r="AO17" i="11" s="1"/>
  <c r="AO184" i="11" s="1"/>
  <c r="J195" i="3"/>
  <c r="BW72" i="35"/>
  <c r="AR76" i="35"/>
  <c r="BW76" i="35" s="1"/>
  <c r="BW57" i="35"/>
  <c r="AR61" i="35"/>
  <c r="BW61" i="35" s="1"/>
  <c r="BT206" i="11"/>
  <c r="K55" i="18"/>
  <c r="K185" i="3"/>
  <c r="BV154" i="35"/>
  <c r="AO160" i="35"/>
  <c r="BV160" i="35" s="1"/>
  <c r="K151" i="3"/>
  <c r="K48" i="32" s="1"/>
  <c r="K56" i="32" s="1"/>
  <c r="K22" i="18"/>
  <c r="K184" i="3"/>
  <c r="BT205" i="11"/>
  <c r="CO29" i="35"/>
  <c r="AP165" i="35"/>
  <c r="I40" i="9"/>
  <c r="I43" i="9" s="1"/>
  <c r="I13" i="8" s="1"/>
  <c r="I13" i="21" s="1"/>
  <c r="I7" i="3"/>
  <c r="F5" i="34"/>
  <c r="F28" i="34" s="1"/>
  <c r="BV121" i="35"/>
  <c r="AO125" i="35"/>
  <c r="BV125" i="35" s="1"/>
  <c r="BU163" i="35"/>
  <c r="AL168" i="35"/>
  <c r="BU168" i="35" s="1"/>
  <c r="AK163" i="35"/>
  <c r="CN163" i="35"/>
  <c r="AM168" i="35"/>
  <c r="CN168" i="35" s="1"/>
  <c r="AM170" i="35"/>
  <c r="AM169" i="35"/>
  <c r="M97" i="3"/>
  <c r="BV100" i="35"/>
  <c r="AO109" i="35"/>
  <c r="BV109" i="35" s="1"/>
  <c r="BV87" i="35"/>
  <c r="AN87" i="35"/>
  <c r="CO41" i="35"/>
  <c r="AP91" i="35"/>
  <c r="CO91" i="35" s="1"/>
  <c r="AJ312" i="35"/>
  <c r="CM169" i="35"/>
  <c r="BW62" i="35"/>
  <c r="AR66" i="35"/>
  <c r="BW66" i="35" s="1"/>
  <c r="BW34" i="35"/>
  <c r="AR36" i="35"/>
  <c r="BW36" i="35" s="1"/>
  <c r="BW14" i="35"/>
  <c r="AR18" i="35"/>
  <c r="BW18" i="35" s="1"/>
  <c r="CO154" i="35"/>
  <c r="AP160" i="35"/>
  <c r="CO160" i="35" s="1"/>
  <c r="I49" i="32"/>
  <c r="I57" i="32" s="1"/>
  <c r="I197" i="3"/>
  <c r="AN176" i="11"/>
  <c r="BR11" i="11"/>
  <c r="BR176" i="11" s="1"/>
  <c r="AN171" i="11"/>
  <c r="BR7" i="11"/>
  <c r="BR171" i="11" s="1"/>
  <c r="M98" i="3"/>
  <c r="CN165" i="35"/>
  <c r="BW118" i="35"/>
  <c r="AR121" i="35"/>
  <c r="AR122" i="35"/>
  <c r="BV8" i="35"/>
  <c r="AO31" i="35"/>
  <c r="BV31" i="35" s="1"/>
  <c r="CO8" i="35"/>
  <c r="AP31" i="35"/>
  <c r="CO31" i="35" s="1"/>
  <c r="BW96" i="35"/>
  <c r="AR105" i="35"/>
  <c r="BW105" i="35" s="1"/>
  <c r="AR100" i="35"/>
  <c r="CP163" i="35" l="1"/>
  <c r="O97" i="3"/>
  <c r="CP165" i="35"/>
  <c r="O98" i="3"/>
  <c r="AS169" i="35"/>
  <c r="CP169" i="35" s="1"/>
  <c r="AS168" i="35"/>
  <c r="CP168" i="35" s="1"/>
  <c r="AS170" i="35"/>
  <c r="AV160" i="35"/>
  <c r="CQ160" i="35" s="1"/>
  <c r="CQ154" i="35"/>
  <c r="AT87" i="35"/>
  <c r="BX87" i="35"/>
  <c r="AU109" i="35"/>
  <c r="BX109" i="35" s="1"/>
  <c r="BX100" i="35"/>
  <c r="BA16" i="35"/>
  <c r="BZ16" i="35" s="1"/>
  <c r="CR16" i="35"/>
  <c r="AX51" i="35"/>
  <c r="BY51" i="35" s="1"/>
  <c r="BY47" i="35"/>
  <c r="AX71" i="35"/>
  <c r="BY71" i="35" s="1"/>
  <c r="BY67" i="35"/>
  <c r="AU125" i="35"/>
  <c r="BX125" i="35" s="1"/>
  <c r="BX121" i="35"/>
  <c r="AX36" i="35"/>
  <c r="BY36" i="35" s="1"/>
  <c r="BY34" i="35"/>
  <c r="AU160" i="35"/>
  <c r="BX160" i="35" s="1"/>
  <c r="BX154" i="35"/>
  <c r="AX66" i="35"/>
  <c r="BY66" i="35" s="1"/>
  <c r="BY62" i="35"/>
  <c r="AU91" i="35"/>
  <c r="BX91" i="35" s="1"/>
  <c r="BX41" i="35"/>
  <c r="AV109" i="35"/>
  <c r="CQ109" i="35" s="1"/>
  <c r="CQ100" i="35"/>
  <c r="AV125" i="35"/>
  <c r="CQ125" i="35" s="1"/>
  <c r="CQ121" i="35"/>
  <c r="BA84" i="35"/>
  <c r="BZ84" i="35" s="1"/>
  <c r="CR84" i="35"/>
  <c r="BA54" i="35"/>
  <c r="BZ54" i="35" s="1"/>
  <c r="CR54" i="35"/>
  <c r="AS312" i="35"/>
  <c r="AT122" i="35"/>
  <c r="BX122" i="35"/>
  <c r="AU165" i="35"/>
  <c r="BX29" i="35"/>
  <c r="BA74" i="35"/>
  <c r="BZ74" i="35" s="1"/>
  <c r="CR74" i="35"/>
  <c r="AX61" i="35"/>
  <c r="BY61" i="35" s="1"/>
  <c r="BY57" i="35"/>
  <c r="AT89" i="35"/>
  <c r="BX89" i="35"/>
  <c r="AV165" i="35"/>
  <c r="AX89" i="35"/>
  <c r="AX154" i="35"/>
  <c r="AX155" i="35"/>
  <c r="BY155" i="35" s="1"/>
  <c r="BA14" i="35"/>
  <c r="AY18" i="35"/>
  <c r="CR18" i="35" s="1"/>
  <c r="AY36" i="35"/>
  <c r="CR36" i="35" s="1"/>
  <c r="BA34" i="35"/>
  <c r="AV91" i="35"/>
  <c r="CQ91" i="35" s="1"/>
  <c r="BA52" i="35"/>
  <c r="AY56" i="35"/>
  <c r="CR56" i="35" s="1"/>
  <c r="AX100" i="35"/>
  <c r="AX105" i="35"/>
  <c r="BY105" i="35" s="1"/>
  <c r="AY100" i="35"/>
  <c r="AY105" i="35"/>
  <c r="CR105" i="35" s="1"/>
  <c r="BA96" i="35"/>
  <c r="BZ96" i="35" s="1"/>
  <c r="AV31" i="35"/>
  <c r="CQ31" i="35" s="1"/>
  <c r="AY27" i="35"/>
  <c r="CR27" i="35" s="1"/>
  <c r="AY8" i="35"/>
  <c r="CR8" i="35" s="1"/>
  <c r="BA4" i="35"/>
  <c r="BZ4" i="35" s="1"/>
  <c r="AX121" i="35"/>
  <c r="AX122" i="35"/>
  <c r="AX13" i="35"/>
  <c r="BY13" i="35" s="1"/>
  <c r="AX29" i="35"/>
  <c r="BA44" i="35"/>
  <c r="AY89" i="35"/>
  <c r="CR89" i="35" s="1"/>
  <c r="AX56" i="35"/>
  <c r="BY56" i="35" s="1"/>
  <c r="AY46" i="35"/>
  <c r="CR46" i="35" s="1"/>
  <c r="BA42" i="35"/>
  <c r="AY51" i="35"/>
  <c r="CR51" i="35" s="1"/>
  <c r="BA47" i="35"/>
  <c r="AX86" i="35"/>
  <c r="BY86" i="35" s="1"/>
  <c r="AU163" i="35"/>
  <c r="BX163" i="35" s="1"/>
  <c r="AX76" i="35"/>
  <c r="BY76" i="35" s="1"/>
  <c r="AY154" i="35"/>
  <c r="AY155" i="35"/>
  <c r="CR155" i="35" s="1"/>
  <c r="BA150" i="35"/>
  <c r="BZ150" i="35" s="1"/>
  <c r="AY66" i="35"/>
  <c r="CR66" i="35" s="1"/>
  <c r="BA62" i="35"/>
  <c r="AX41" i="35"/>
  <c r="BY41" i="35" s="1"/>
  <c r="AX87" i="35"/>
  <c r="AY87" i="35"/>
  <c r="CR87" i="35" s="1"/>
  <c r="BA37" i="35"/>
  <c r="BZ37" i="35" s="1"/>
  <c r="AY41" i="35"/>
  <c r="CR41" i="35" s="1"/>
  <c r="AX27" i="35"/>
  <c r="AX8" i="35"/>
  <c r="BY8" i="35" s="1"/>
  <c r="AV163" i="35"/>
  <c r="AV169" i="35" s="1"/>
  <c r="BA118" i="35"/>
  <c r="BZ118" i="35" s="1"/>
  <c r="AY121" i="35"/>
  <c r="AY122" i="35"/>
  <c r="CR122" i="35" s="1"/>
  <c r="AY13" i="35"/>
  <c r="CR13" i="35" s="1"/>
  <c r="BA11" i="35"/>
  <c r="BZ11" i="35" s="1"/>
  <c r="AY29" i="35"/>
  <c r="BA72" i="35"/>
  <c r="AY76" i="35"/>
  <c r="CR76" i="35" s="1"/>
  <c r="AX18" i="35"/>
  <c r="BY18" i="35" s="1"/>
  <c r="AX46" i="35"/>
  <c r="BY46" i="35" s="1"/>
  <c r="BA82" i="35"/>
  <c r="AY86" i="35"/>
  <c r="CR86" i="35" s="1"/>
  <c r="AY71" i="35"/>
  <c r="CR71" i="35" s="1"/>
  <c r="BA67" i="35"/>
  <c r="AU31" i="35"/>
  <c r="BX31" i="35" s="1"/>
  <c r="AY61" i="35"/>
  <c r="CR61" i="35" s="1"/>
  <c r="BA57" i="35"/>
  <c r="BW122" i="35"/>
  <c r="AQ122" i="35"/>
  <c r="M141" i="3"/>
  <c r="BW100" i="35"/>
  <c r="AR109" i="35"/>
  <c r="BW109" i="35" s="1"/>
  <c r="BW121" i="35"/>
  <c r="AR125" i="35"/>
  <c r="BW125" i="35" s="1"/>
  <c r="M140" i="3"/>
  <c r="M108" i="3"/>
  <c r="M102" i="9" s="1"/>
  <c r="M106" i="9" s="1"/>
  <c r="AA7" i="11"/>
  <c r="AP7" i="11" s="1"/>
  <c r="AA9" i="11"/>
  <c r="AP9" i="11" s="1"/>
  <c r="AA11" i="11"/>
  <c r="AP11" i="11" s="1"/>
  <c r="AA13" i="11"/>
  <c r="AP13" i="11" s="1"/>
  <c r="AA15" i="11"/>
  <c r="AP15" i="11" s="1"/>
  <c r="AA17" i="11"/>
  <c r="AP17" i="11" s="1"/>
  <c r="K195" i="3"/>
  <c r="AA6" i="11"/>
  <c r="AP6" i="11" s="1"/>
  <c r="AA8" i="11"/>
  <c r="AP8" i="11" s="1"/>
  <c r="AA12" i="11"/>
  <c r="AP12" i="11" s="1"/>
  <c r="BT12" i="11" s="1"/>
  <c r="AA14" i="11"/>
  <c r="AP14" i="11" s="1"/>
  <c r="AA18" i="11"/>
  <c r="AP18" i="11" s="1"/>
  <c r="AA10" i="11"/>
  <c r="AP10" i="11" s="1"/>
  <c r="AA16" i="11"/>
  <c r="AP16" i="11" s="1"/>
  <c r="J49" i="32"/>
  <c r="J57" i="32" s="1"/>
  <c r="J197" i="3"/>
  <c r="AO176" i="11"/>
  <c r="BS11" i="11"/>
  <c r="BS176" i="11" s="1"/>
  <c r="AO171" i="11"/>
  <c r="BS7" i="11"/>
  <c r="BS171" i="11" s="1"/>
  <c r="CO163" i="35"/>
  <c r="N97" i="3"/>
  <c r="AP169" i="35"/>
  <c r="AP170" i="35"/>
  <c r="AP168" i="35"/>
  <c r="CO168" i="35" s="1"/>
  <c r="BW8" i="35"/>
  <c r="AR31" i="35"/>
  <c r="BW31" i="35" s="1"/>
  <c r="AN187" i="11"/>
  <c r="BW87" i="35"/>
  <c r="AQ87" i="35"/>
  <c r="L112" i="3"/>
  <c r="L126" i="3" s="1"/>
  <c r="L215" i="3" s="1"/>
  <c r="AM312" i="35"/>
  <c r="CN169" i="35"/>
  <c r="L111" i="3"/>
  <c r="L125" i="3" s="1"/>
  <c r="I101" i="9"/>
  <c r="I11" i="3"/>
  <c r="I5" i="29"/>
  <c r="I6" i="29" s="1"/>
  <c r="N98" i="3"/>
  <c r="CO165" i="35"/>
  <c r="AA24" i="11"/>
  <c r="AP24" i="11" s="1"/>
  <c r="BT24" i="11" s="1"/>
  <c r="AA30" i="11"/>
  <c r="AP30" i="11" s="1"/>
  <c r="AA19" i="11"/>
  <c r="AP19" i="11" s="1"/>
  <c r="BT19" i="11" s="1"/>
  <c r="AA21" i="11"/>
  <c r="AP21" i="11" s="1"/>
  <c r="AA23" i="11"/>
  <c r="AP23" i="11" s="1"/>
  <c r="AA25" i="11"/>
  <c r="AP25" i="11" s="1"/>
  <c r="BT25" i="11" s="1"/>
  <c r="AA27" i="11"/>
  <c r="AP27" i="11" s="1"/>
  <c r="AA29" i="11"/>
  <c r="AP29" i="11" s="1"/>
  <c r="AA31" i="11"/>
  <c r="AP31" i="11" s="1"/>
  <c r="AA20" i="11"/>
  <c r="AP20" i="11" s="1"/>
  <c r="BT20" i="11" s="1"/>
  <c r="AA22" i="11"/>
  <c r="AP22" i="11" s="1"/>
  <c r="BT22" i="11" s="1"/>
  <c r="AA26" i="11"/>
  <c r="AP26" i="11" s="1"/>
  <c r="AA28" i="11"/>
  <c r="AP28" i="11" s="1"/>
  <c r="AO173" i="11"/>
  <c r="BS9" i="11"/>
  <c r="BS173" i="11" s="1"/>
  <c r="AO170" i="11"/>
  <c r="BS6" i="11"/>
  <c r="BS170" i="11" s="1"/>
  <c r="BW27" i="35"/>
  <c r="AR163" i="35"/>
  <c r="BV163" i="35"/>
  <c r="AN163" i="35"/>
  <c r="AO168" i="35"/>
  <c r="BV168" i="35" s="1"/>
  <c r="J40" i="9"/>
  <c r="J43" i="9" s="1"/>
  <c r="J13" i="8" s="1"/>
  <c r="J13" i="21" s="1"/>
  <c r="G5" i="34"/>
  <c r="G28" i="34" s="1"/>
  <c r="J7" i="3"/>
  <c r="BW154" i="35"/>
  <c r="AR160" i="35"/>
  <c r="BW160" i="35" s="1"/>
  <c r="L22" i="18"/>
  <c r="L151" i="3"/>
  <c r="L48" i="32" s="1"/>
  <c r="L56" i="32" s="1"/>
  <c r="BU205" i="11"/>
  <c r="L184" i="3"/>
  <c r="BW41" i="35"/>
  <c r="AR91" i="35"/>
  <c r="BW91" i="35" s="1"/>
  <c r="K136" i="3"/>
  <c r="K32" i="18"/>
  <c r="K214" i="3"/>
  <c r="K225" i="3" s="1"/>
  <c r="BW29" i="35"/>
  <c r="AR165" i="35"/>
  <c r="AN165" i="35"/>
  <c r="BV165" i="35"/>
  <c r="BW89" i="35"/>
  <c r="AQ89" i="35"/>
  <c r="AB22" i="11"/>
  <c r="AQ22" i="11" s="1"/>
  <c r="BU22" i="11" s="1"/>
  <c r="AB26" i="11"/>
  <c r="AQ26" i="11" s="1"/>
  <c r="AB19" i="11"/>
  <c r="AQ19" i="11" s="1"/>
  <c r="BU19" i="11" s="1"/>
  <c r="AB21" i="11"/>
  <c r="AQ21" i="11" s="1"/>
  <c r="AB23" i="11"/>
  <c r="AQ23" i="11" s="1"/>
  <c r="AB25" i="11"/>
  <c r="AQ25" i="11" s="1"/>
  <c r="BU25" i="11" s="1"/>
  <c r="AB27" i="11"/>
  <c r="AQ27" i="11" s="1"/>
  <c r="AB29" i="11"/>
  <c r="AQ29" i="11" s="1"/>
  <c r="AB31" i="11"/>
  <c r="AQ31" i="11" s="1"/>
  <c r="AB20" i="11"/>
  <c r="AQ20" i="11" s="1"/>
  <c r="BU20" i="11" s="1"/>
  <c r="AB24" i="11"/>
  <c r="AQ24" i="11" s="1"/>
  <c r="BU24" i="11" s="1"/>
  <c r="AB28" i="11"/>
  <c r="AQ28" i="11" s="1"/>
  <c r="AB30" i="11"/>
  <c r="AQ30" i="11" s="1"/>
  <c r="CQ163" i="35" l="1"/>
  <c r="P97" i="3"/>
  <c r="AO187" i="11"/>
  <c r="CQ165" i="35"/>
  <c r="P98" i="3"/>
  <c r="AX165" i="35"/>
  <c r="BY29" i="35"/>
  <c r="AW122" i="35"/>
  <c r="BY122" i="35"/>
  <c r="AY109" i="35"/>
  <c r="CR109" i="35" s="1"/>
  <c r="CR100" i="35"/>
  <c r="AX109" i="35"/>
  <c r="BY109" i="35" s="1"/>
  <c r="BY100" i="35"/>
  <c r="BA56" i="35"/>
  <c r="BZ56" i="35" s="1"/>
  <c r="BZ52" i="35"/>
  <c r="BA36" i="35"/>
  <c r="BZ36" i="35" s="1"/>
  <c r="BZ34" i="35"/>
  <c r="AW89" i="35"/>
  <c r="BY89" i="35"/>
  <c r="BA71" i="35"/>
  <c r="BZ71" i="35" s="1"/>
  <c r="BZ67" i="35"/>
  <c r="AY165" i="35"/>
  <c r="CR29" i="35"/>
  <c r="BA61" i="35"/>
  <c r="BZ61" i="35" s="1"/>
  <c r="BZ57" i="35"/>
  <c r="BA86" i="35"/>
  <c r="BZ86" i="35" s="1"/>
  <c r="BZ82" i="35"/>
  <c r="BA76" i="35"/>
  <c r="BZ76" i="35" s="1"/>
  <c r="BZ72" i="35"/>
  <c r="AV312" i="35"/>
  <c r="CQ169" i="35"/>
  <c r="AY125" i="35"/>
  <c r="CR125" i="35" s="1"/>
  <c r="CR121" i="35"/>
  <c r="AX163" i="35"/>
  <c r="BY163" i="35" s="1"/>
  <c r="BY27" i="35"/>
  <c r="AW87" i="35"/>
  <c r="BY87" i="35"/>
  <c r="BA66" i="35"/>
  <c r="BZ66" i="35" s="1"/>
  <c r="BZ62" i="35"/>
  <c r="AY160" i="35"/>
  <c r="CR160" i="35" s="1"/>
  <c r="CR154" i="35"/>
  <c r="BA51" i="35"/>
  <c r="BZ51" i="35" s="1"/>
  <c r="BZ47" i="35"/>
  <c r="BA46" i="35"/>
  <c r="BZ46" i="35" s="1"/>
  <c r="BZ42" i="35"/>
  <c r="BA89" i="35"/>
  <c r="BZ89" i="35" s="1"/>
  <c r="BZ44" i="35"/>
  <c r="AX125" i="35"/>
  <c r="BY125" i="35" s="1"/>
  <c r="BY121" i="35"/>
  <c r="BA18" i="35"/>
  <c r="BZ18" i="35" s="1"/>
  <c r="BZ14" i="35"/>
  <c r="AX160" i="35"/>
  <c r="BY160" i="35" s="1"/>
  <c r="BY154" i="35"/>
  <c r="AT165" i="35"/>
  <c r="O112" i="3" s="1"/>
  <c r="BX165" i="35"/>
  <c r="BA121" i="35"/>
  <c r="BA122" i="35"/>
  <c r="AX31" i="35"/>
  <c r="BY31" i="35" s="1"/>
  <c r="AY91" i="35"/>
  <c r="CR91" i="35" s="1"/>
  <c r="AX91" i="35"/>
  <c r="BY91" i="35" s="1"/>
  <c r="BA27" i="35"/>
  <c r="BZ27" i="35" s="1"/>
  <c r="BA8" i="35"/>
  <c r="BZ8" i="35" s="1"/>
  <c r="AY163" i="35"/>
  <c r="BA100" i="35"/>
  <c r="BA105" i="35"/>
  <c r="BZ105" i="35" s="1"/>
  <c r="AY31" i="35"/>
  <c r="CR31" i="35" s="1"/>
  <c r="BA29" i="35"/>
  <c r="BA13" i="35"/>
  <c r="BZ13" i="35" s="1"/>
  <c r="AV170" i="35"/>
  <c r="AV168" i="35"/>
  <c r="CQ168" i="35" s="1"/>
  <c r="AW163" i="35"/>
  <c r="P111" i="3" s="1"/>
  <c r="AX168" i="35"/>
  <c r="BY168" i="35" s="1"/>
  <c r="BA41" i="35"/>
  <c r="BA87" i="35"/>
  <c r="BA154" i="35"/>
  <c r="BA155" i="35"/>
  <c r="BZ155" i="35" s="1"/>
  <c r="AU168" i="35"/>
  <c r="BX168" i="35" s="1"/>
  <c r="AT163" i="35"/>
  <c r="O111" i="3" s="1"/>
  <c r="M112" i="3"/>
  <c r="M126" i="3" s="1"/>
  <c r="M215" i="3" s="1"/>
  <c r="AB7" i="11"/>
  <c r="AQ7" i="11" s="1"/>
  <c r="AB9" i="11"/>
  <c r="AQ9" i="11" s="1"/>
  <c r="AB11" i="11"/>
  <c r="AQ11" i="11" s="1"/>
  <c r="AB13" i="11"/>
  <c r="AQ13" i="11" s="1"/>
  <c r="AQ178" i="11" s="1"/>
  <c r="AB15" i="11"/>
  <c r="AQ15" i="11" s="1"/>
  <c r="AQ182" i="11" s="1"/>
  <c r="AB17" i="11"/>
  <c r="AQ17" i="11" s="1"/>
  <c r="AQ184" i="11" s="1"/>
  <c r="L195" i="3"/>
  <c r="AB6" i="11"/>
  <c r="AQ6" i="11" s="1"/>
  <c r="AB10" i="11"/>
  <c r="AQ10" i="11" s="1"/>
  <c r="AQ175" i="11" s="1"/>
  <c r="AQ251" i="11" s="1"/>
  <c r="AQ253" i="11" s="1"/>
  <c r="AB12" i="11"/>
  <c r="AQ12" i="11" s="1"/>
  <c r="BU12" i="11" s="1"/>
  <c r="AB14" i="11"/>
  <c r="AQ14" i="11" s="1"/>
  <c r="AQ179" i="11" s="1"/>
  <c r="AB18" i="11"/>
  <c r="AQ18" i="11" s="1"/>
  <c r="AQ185" i="11" s="1"/>
  <c r="AB8" i="11"/>
  <c r="AQ8" i="11" s="1"/>
  <c r="AQ172" i="11" s="1"/>
  <c r="AB16" i="11"/>
  <c r="AQ16" i="11" s="1"/>
  <c r="AQ183" i="11" s="1"/>
  <c r="J101" i="9"/>
  <c r="J5" i="29"/>
  <c r="J6" i="29" s="1"/>
  <c r="J11" i="3"/>
  <c r="M111" i="3"/>
  <c r="M125" i="3" s="1"/>
  <c r="BW163" i="35"/>
  <c r="AR168" i="35"/>
  <c r="BW168" i="35" s="1"/>
  <c r="AQ163" i="35"/>
  <c r="N141" i="3"/>
  <c r="N108" i="3"/>
  <c r="N102" i="9" s="1"/>
  <c r="N106" i="9" s="1"/>
  <c r="N140" i="3"/>
  <c r="AP183" i="11"/>
  <c r="AP185" i="11"/>
  <c r="AP170" i="11"/>
  <c r="BT6" i="11"/>
  <c r="BT170" i="11" s="1"/>
  <c r="AP184" i="11"/>
  <c r="AP178" i="11"/>
  <c r="AP173" i="11"/>
  <c r="BT9" i="11"/>
  <c r="BT173" i="11" s="1"/>
  <c r="BV206" i="11"/>
  <c r="M55" i="18"/>
  <c r="M185" i="3"/>
  <c r="BW165" i="35"/>
  <c r="AQ165" i="35"/>
  <c r="K40" i="9"/>
  <c r="K43" i="9" s="1"/>
  <c r="K13" i="8" s="1"/>
  <c r="K13" i="21" s="1"/>
  <c r="K7" i="3"/>
  <c r="H5" i="34"/>
  <c r="H28" i="34" s="1"/>
  <c r="I26" i="29"/>
  <c r="I11" i="29"/>
  <c r="I104" i="9"/>
  <c r="I107" i="9"/>
  <c r="I105" i="9"/>
  <c r="I108" i="9"/>
  <c r="L136" i="3"/>
  <c r="L32" i="18"/>
  <c r="L214" i="3"/>
  <c r="L225" i="3" s="1"/>
  <c r="AP312" i="35"/>
  <c r="CO169" i="35"/>
  <c r="AP175" i="11"/>
  <c r="AP251" i="11" s="1"/>
  <c r="AP253" i="11" s="1"/>
  <c r="AP179" i="11"/>
  <c r="AP172" i="11"/>
  <c r="K197" i="3"/>
  <c r="K49" i="32"/>
  <c r="K57" i="32" s="1"/>
  <c r="AP182" i="11"/>
  <c r="AP176" i="11"/>
  <c r="BT11" i="11"/>
  <c r="BT176" i="11" s="1"/>
  <c r="AP171" i="11"/>
  <c r="BT7" i="11"/>
  <c r="BT171" i="11" s="1"/>
  <c r="M184" i="3"/>
  <c r="BV205" i="11"/>
  <c r="M151" i="3"/>
  <c r="M48" i="32" s="1"/>
  <c r="M56" i="32" s="1"/>
  <c r="M22" i="18"/>
  <c r="CR163" i="35" l="1"/>
  <c r="Q97" i="3"/>
  <c r="CR165" i="35"/>
  <c r="Q98" i="3"/>
  <c r="BA31" i="35"/>
  <c r="BZ31" i="35" s="1"/>
  <c r="AZ89" i="35"/>
  <c r="BA165" i="35"/>
  <c r="BZ29" i="35"/>
  <c r="AZ87" i="35"/>
  <c r="BZ87" i="35"/>
  <c r="BA109" i="35"/>
  <c r="BZ109" i="35" s="1"/>
  <c r="BZ100" i="35"/>
  <c r="BA125" i="35"/>
  <c r="BZ125" i="35" s="1"/>
  <c r="BZ121" i="35"/>
  <c r="BA160" i="35"/>
  <c r="BZ160" i="35" s="1"/>
  <c r="BZ154" i="35"/>
  <c r="BA91" i="35"/>
  <c r="BZ91" i="35" s="1"/>
  <c r="BZ41" i="35"/>
  <c r="AZ122" i="35"/>
  <c r="BZ122" i="35"/>
  <c r="AW165" i="35"/>
  <c r="P112" i="3" s="1"/>
  <c r="BY165" i="35"/>
  <c r="AY168" i="35"/>
  <c r="CR168" i="35" s="1"/>
  <c r="AY170" i="35"/>
  <c r="AY169" i="35"/>
  <c r="BA163" i="35"/>
  <c r="BZ163" i="35" s="1"/>
  <c r="L40" i="9"/>
  <c r="L43" i="9" s="1"/>
  <c r="L13" i="8" s="1"/>
  <c r="L13" i="21" s="1"/>
  <c r="L7" i="3"/>
  <c r="I5" i="34"/>
  <c r="I28" i="34" s="1"/>
  <c r="I109" i="9"/>
  <c r="I111" i="9" s="1"/>
  <c r="K101" i="9"/>
  <c r="K5" i="29"/>
  <c r="K6" i="29" s="1"/>
  <c r="K11" i="3"/>
  <c r="N112" i="3"/>
  <c r="AC22" i="11"/>
  <c r="AR22" i="11" s="1"/>
  <c r="BV22" i="11" s="1"/>
  <c r="AC26" i="11"/>
  <c r="AR26" i="11" s="1"/>
  <c r="AC30" i="11"/>
  <c r="AR30" i="11" s="1"/>
  <c r="AC19" i="11"/>
  <c r="AR19" i="11" s="1"/>
  <c r="BV19" i="11" s="1"/>
  <c r="AC21" i="11"/>
  <c r="AR21" i="11" s="1"/>
  <c r="AC23" i="11"/>
  <c r="AR23" i="11" s="1"/>
  <c r="AC25" i="11"/>
  <c r="AR25" i="11" s="1"/>
  <c r="BV25" i="11" s="1"/>
  <c r="AC27" i="11"/>
  <c r="AR27" i="11" s="1"/>
  <c r="AC29" i="11"/>
  <c r="AR29" i="11" s="1"/>
  <c r="AC31" i="11"/>
  <c r="AR31" i="11" s="1"/>
  <c r="AC20" i="11"/>
  <c r="AR20" i="11" s="1"/>
  <c r="BV20" i="11" s="1"/>
  <c r="AC24" i="11"/>
  <c r="AR24" i="11" s="1"/>
  <c r="BV24" i="11" s="1"/>
  <c r="AC28" i="11"/>
  <c r="AR28" i="11" s="1"/>
  <c r="AP187" i="11"/>
  <c r="N22" i="18"/>
  <c r="BW205" i="11"/>
  <c r="N184" i="3"/>
  <c r="N151" i="3"/>
  <c r="N48" i="32" s="1"/>
  <c r="N56" i="32" s="1"/>
  <c r="BW206" i="11"/>
  <c r="N55" i="18"/>
  <c r="N185" i="3"/>
  <c r="N111" i="3"/>
  <c r="M32" i="18"/>
  <c r="M214" i="3"/>
  <c r="M225" i="3" s="1"/>
  <c r="M136" i="3"/>
  <c r="J11" i="29"/>
  <c r="J26" i="29"/>
  <c r="AQ170" i="11"/>
  <c r="BU6" i="11"/>
  <c r="BU170" i="11" s="1"/>
  <c r="AQ173" i="11"/>
  <c r="BU9" i="11"/>
  <c r="BU173" i="11" s="1"/>
  <c r="AC6" i="11"/>
  <c r="AR6" i="11" s="1"/>
  <c r="AC8" i="11"/>
  <c r="AR8" i="11" s="1"/>
  <c r="AR172" i="11" s="1"/>
  <c r="AC10" i="11"/>
  <c r="AR10" i="11" s="1"/>
  <c r="AR175" i="11" s="1"/>
  <c r="AR251" i="11" s="1"/>
  <c r="AR253" i="11" s="1"/>
  <c r="AC12" i="11"/>
  <c r="AR12" i="11" s="1"/>
  <c r="BV12" i="11" s="1"/>
  <c r="AC14" i="11"/>
  <c r="AR14" i="11" s="1"/>
  <c r="AR179" i="11" s="1"/>
  <c r="AC16" i="11"/>
  <c r="AR16" i="11" s="1"/>
  <c r="AR183" i="11" s="1"/>
  <c r="AC18" i="11"/>
  <c r="AR18" i="11" s="1"/>
  <c r="AR185" i="11" s="1"/>
  <c r="AC7" i="11"/>
  <c r="AR7" i="11" s="1"/>
  <c r="AC9" i="11"/>
  <c r="AR9" i="11" s="1"/>
  <c r="AC11" i="11"/>
  <c r="AR11" i="11" s="1"/>
  <c r="AC13" i="11"/>
  <c r="AR13" i="11" s="1"/>
  <c r="AR178" i="11" s="1"/>
  <c r="AC15" i="11"/>
  <c r="AR15" i="11" s="1"/>
  <c r="AR182" i="11" s="1"/>
  <c r="AC17" i="11"/>
  <c r="AR17" i="11" s="1"/>
  <c r="M195" i="3"/>
  <c r="O140" i="3"/>
  <c r="O108" i="3"/>
  <c r="O102" i="9" s="1"/>
  <c r="O106" i="9" s="1"/>
  <c r="O141" i="3"/>
  <c r="J104" i="9"/>
  <c r="J107" i="9"/>
  <c r="J105" i="9"/>
  <c r="J108" i="9"/>
  <c r="L197" i="3"/>
  <c r="L49" i="32"/>
  <c r="L57" i="32" s="1"/>
  <c r="AQ176" i="11"/>
  <c r="BU11" i="11"/>
  <c r="BU176" i="11" s="1"/>
  <c r="AQ171" i="11"/>
  <c r="BU7" i="11"/>
  <c r="BU171" i="11" s="1"/>
  <c r="AY312" i="35" l="1"/>
  <c r="CR169" i="35"/>
  <c r="AZ165" i="35"/>
  <c r="Q112" i="3" s="1"/>
  <c r="BZ165" i="35"/>
  <c r="AZ163" i="35"/>
  <c r="Q111" i="3" s="1"/>
  <c r="BA168" i="35"/>
  <c r="BZ168" i="35" s="1"/>
  <c r="AR184" i="11"/>
  <c r="O185" i="3"/>
  <c r="BX206" i="11"/>
  <c r="O55" i="18"/>
  <c r="P108" i="3"/>
  <c r="P102" i="9" s="1"/>
  <c r="P106" i="9" s="1"/>
  <c r="P140" i="3"/>
  <c r="O22" i="18"/>
  <c r="O184" i="3"/>
  <c r="BX205" i="11"/>
  <c r="O151" i="3"/>
  <c r="AR173" i="11"/>
  <c r="BV9" i="11"/>
  <c r="BV173" i="11" s="1"/>
  <c r="AR170" i="11"/>
  <c r="BV6" i="11"/>
  <c r="BV170" i="11" s="1"/>
  <c r="AQ187" i="11"/>
  <c r="AD19" i="11"/>
  <c r="AS19" i="11" s="1"/>
  <c r="BW19" i="11" s="1"/>
  <c r="AD21" i="11"/>
  <c r="AS21" i="11" s="1"/>
  <c r="AD23" i="11"/>
  <c r="AS23" i="11" s="1"/>
  <c r="AD25" i="11"/>
  <c r="AS25" i="11" s="1"/>
  <c r="BW25" i="11" s="1"/>
  <c r="AD27" i="11"/>
  <c r="AS27" i="11" s="1"/>
  <c r="AD31" i="11"/>
  <c r="AS31" i="11" s="1"/>
  <c r="AD20" i="11"/>
  <c r="AS20" i="11" s="1"/>
  <c r="BW20" i="11" s="1"/>
  <c r="AD22" i="11"/>
  <c r="AS22" i="11" s="1"/>
  <c r="BW22" i="11" s="1"/>
  <c r="AD24" i="11"/>
  <c r="AS24" i="11" s="1"/>
  <c r="BW24" i="11" s="1"/>
  <c r="AD26" i="11"/>
  <c r="AS26" i="11" s="1"/>
  <c r="AD28" i="11"/>
  <c r="AS28" i="11" s="1"/>
  <c r="AD30" i="11"/>
  <c r="AS30" i="11" s="1"/>
  <c r="AD29" i="11"/>
  <c r="AS29" i="11" s="1"/>
  <c r="AD7" i="11"/>
  <c r="AS7" i="11" s="1"/>
  <c r="AD9" i="11"/>
  <c r="AS9" i="11" s="1"/>
  <c r="AD11" i="11"/>
  <c r="AS11" i="11" s="1"/>
  <c r="AD13" i="11"/>
  <c r="AS13" i="11" s="1"/>
  <c r="AD17" i="11"/>
  <c r="AS17" i="11" s="1"/>
  <c r="AD6" i="11"/>
  <c r="AS6" i="11" s="1"/>
  <c r="AD8" i="11"/>
  <c r="AS8" i="11" s="1"/>
  <c r="AS172" i="11" s="1"/>
  <c r="AD10" i="11"/>
  <c r="AS10" i="11" s="1"/>
  <c r="AS175" i="11" s="1"/>
  <c r="AS251" i="11" s="1"/>
  <c r="AS253" i="11" s="1"/>
  <c r="AD12" i="11"/>
  <c r="AS12" i="11" s="1"/>
  <c r="BW12" i="11" s="1"/>
  <c r="AD14" i="11"/>
  <c r="AS14" i="11" s="1"/>
  <c r="AS179" i="11" s="1"/>
  <c r="AD16" i="11"/>
  <c r="AS16" i="11" s="1"/>
  <c r="AD18" i="11"/>
  <c r="AS18" i="11" s="1"/>
  <c r="AD15" i="11"/>
  <c r="AS15" i="11" s="1"/>
  <c r="N195" i="3"/>
  <c r="N126" i="3"/>
  <c r="N215" i="3" s="1"/>
  <c r="K11" i="29"/>
  <c r="K26" i="29"/>
  <c r="L11" i="3"/>
  <c r="L101" i="9"/>
  <c r="L5" i="29"/>
  <c r="L6" i="29" s="1"/>
  <c r="J109" i="9"/>
  <c r="J111" i="9" s="1"/>
  <c r="P141" i="3"/>
  <c r="M197" i="3"/>
  <c r="M49" i="32"/>
  <c r="M57" i="32" s="1"/>
  <c r="AR176" i="11"/>
  <c r="BV11" i="11"/>
  <c r="BV176" i="11" s="1"/>
  <c r="AR171" i="11"/>
  <c r="BV7" i="11"/>
  <c r="BV171" i="11" s="1"/>
  <c r="M40" i="9"/>
  <c r="M43" i="9" s="1"/>
  <c r="M13" i="8" s="1"/>
  <c r="M13" i="21" s="1"/>
  <c r="I71" i="30" s="1"/>
  <c r="O71" i="30" s="1"/>
  <c r="M7" i="3"/>
  <c r="J5" i="34"/>
  <c r="J28" i="34" s="1"/>
  <c r="N125" i="3"/>
  <c r="K104" i="9"/>
  <c r="K107" i="9"/>
  <c r="K105" i="9"/>
  <c r="K108" i="9"/>
  <c r="AS184" i="11" l="1"/>
  <c r="AS182" i="11"/>
  <c r="AS183" i="11"/>
  <c r="AS185" i="11"/>
  <c r="AS178" i="11"/>
  <c r="N136" i="3"/>
  <c r="N32" i="18"/>
  <c r="N214" i="3"/>
  <c r="N225" i="3" s="1"/>
  <c r="K109" i="9"/>
  <c r="K111" i="9" s="1"/>
  <c r="O125" i="3"/>
  <c r="M5" i="29"/>
  <c r="M6" i="29" s="1"/>
  <c r="M101" i="9"/>
  <c r="M11" i="3"/>
  <c r="P55" i="18"/>
  <c r="P185" i="3"/>
  <c r="BY206" i="11"/>
  <c r="L11" i="29"/>
  <c r="L26" i="29"/>
  <c r="O126" i="3"/>
  <c r="O215" i="3" s="1"/>
  <c r="AS176" i="11"/>
  <c r="BW11" i="11"/>
  <c r="BW176" i="11" s="1"/>
  <c r="AS171" i="11"/>
  <c r="BW7" i="11"/>
  <c r="BW171" i="11" s="1"/>
  <c r="AR187" i="11"/>
  <c r="P151" i="3"/>
  <c r="BY205" i="11"/>
  <c r="P184" i="3"/>
  <c r="P22" i="18"/>
  <c r="Q141" i="3"/>
  <c r="L107" i="9"/>
  <c r="L105" i="9"/>
  <c r="L108" i="9"/>
  <c r="L104" i="9"/>
  <c r="N197" i="3"/>
  <c r="N49" i="32"/>
  <c r="N57" i="32" s="1"/>
  <c r="AS170" i="11"/>
  <c r="BW6" i="11"/>
  <c r="BW170" i="11" s="1"/>
  <c r="AS173" i="11"/>
  <c r="BW9" i="11"/>
  <c r="BW173" i="11" s="1"/>
  <c r="AE6" i="11"/>
  <c r="AT6" i="11" s="1"/>
  <c r="AE10" i="11"/>
  <c r="AT10" i="11" s="1"/>
  <c r="AE14" i="11"/>
  <c r="AT14" i="11" s="1"/>
  <c r="AE18" i="11"/>
  <c r="AT18" i="11" s="1"/>
  <c r="AE7" i="11"/>
  <c r="AT7" i="11" s="1"/>
  <c r="AE9" i="11"/>
  <c r="AT9" i="11" s="1"/>
  <c r="AE11" i="11"/>
  <c r="AT11" i="11" s="1"/>
  <c r="AE13" i="11"/>
  <c r="AT13" i="11" s="1"/>
  <c r="AE15" i="11"/>
  <c r="AT15" i="11" s="1"/>
  <c r="AE17" i="11"/>
  <c r="AT17" i="11" s="1"/>
  <c r="O195" i="3"/>
  <c r="O197" i="3" s="1"/>
  <c r="AE8" i="11"/>
  <c r="AT8" i="11" s="1"/>
  <c r="AE12" i="11"/>
  <c r="AT12" i="11" s="1"/>
  <c r="BX12" i="11" s="1"/>
  <c r="AE16" i="11"/>
  <c r="AT16" i="11" s="1"/>
  <c r="Q108" i="3"/>
  <c r="Q102" i="9" s="1"/>
  <c r="Q106" i="9" s="1"/>
  <c r="Q140" i="3"/>
  <c r="AE20" i="11"/>
  <c r="AT20" i="11" s="1"/>
  <c r="BX20" i="11" s="1"/>
  <c r="AE22" i="11"/>
  <c r="AT22" i="11" s="1"/>
  <c r="BX22" i="11" s="1"/>
  <c r="AE24" i="11"/>
  <c r="AT24" i="11" s="1"/>
  <c r="BX24" i="11" s="1"/>
  <c r="AE26" i="11"/>
  <c r="AT26" i="11" s="1"/>
  <c r="AE28" i="11"/>
  <c r="AT28" i="11" s="1"/>
  <c r="AE30" i="11"/>
  <c r="AT30" i="11" s="1"/>
  <c r="AE19" i="11"/>
  <c r="AT19" i="11" s="1"/>
  <c r="BX19" i="11" s="1"/>
  <c r="AE21" i="11"/>
  <c r="AT21" i="11" s="1"/>
  <c r="AE23" i="11"/>
  <c r="AT23" i="11" s="1"/>
  <c r="AE25" i="11"/>
  <c r="AT25" i="11" s="1"/>
  <c r="BX25" i="11" s="1"/>
  <c r="AE27" i="11"/>
  <c r="AT27" i="11" s="1"/>
  <c r="AE29" i="11"/>
  <c r="AT29" i="11" s="1"/>
  <c r="AE31" i="11"/>
  <c r="AT31" i="11" s="1"/>
  <c r="AT183" i="11" l="1"/>
  <c r="AT172" i="11"/>
  <c r="AT184" i="11"/>
  <c r="AT178" i="11"/>
  <c r="AT173" i="11"/>
  <c r="BX9" i="11"/>
  <c r="BX173" i="11" s="1"/>
  <c r="AT185" i="11"/>
  <c r="AT175" i="11"/>
  <c r="AT251" i="11" s="1"/>
  <c r="AT253" i="11" s="1"/>
  <c r="L109" i="9"/>
  <c r="L111" i="9" s="1"/>
  <c r="AF6" i="11"/>
  <c r="AU6" i="11" s="1"/>
  <c r="AF8" i="11"/>
  <c r="AU8" i="11" s="1"/>
  <c r="AF10" i="11"/>
  <c r="AU10" i="11" s="1"/>
  <c r="AF12" i="11"/>
  <c r="AU12" i="11" s="1"/>
  <c r="BY12" i="11" s="1"/>
  <c r="AF14" i="11"/>
  <c r="AU14" i="11" s="1"/>
  <c r="AF16" i="11"/>
  <c r="AU16" i="11" s="1"/>
  <c r="AF18" i="11"/>
  <c r="AU18" i="11" s="1"/>
  <c r="AF7" i="11"/>
  <c r="AU7" i="11" s="1"/>
  <c r="AF11" i="11"/>
  <c r="AU11" i="11" s="1"/>
  <c r="AF15" i="11"/>
  <c r="AU15" i="11" s="1"/>
  <c r="P195" i="3"/>
  <c r="P197" i="3" s="1"/>
  <c r="AF9" i="11"/>
  <c r="AU9" i="11" s="1"/>
  <c r="AF13" i="11"/>
  <c r="AU13" i="11" s="1"/>
  <c r="AF17" i="11"/>
  <c r="AU17" i="11" s="1"/>
  <c r="M104" i="9"/>
  <c r="M107" i="9"/>
  <c r="M108" i="9"/>
  <c r="M105" i="9"/>
  <c r="O32" i="18"/>
  <c r="O214" i="3"/>
  <c r="O225" i="3" s="1"/>
  <c r="O136" i="3"/>
  <c r="BZ205" i="11"/>
  <c r="Q151" i="3"/>
  <c r="Q184" i="3"/>
  <c r="Q22" i="18"/>
  <c r="AT182" i="11"/>
  <c r="AT176" i="11"/>
  <c r="BX11" i="11"/>
  <c r="BX176" i="11" s="1"/>
  <c r="AT171" i="11"/>
  <c r="BX7" i="11"/>
  <c r="BX171" i="11" s="1"/>
  <c r="AT179" i="11"/>
  <c r="AT170" i="11"/>
  <c r="BX6" i="11"/>
  <c r="BX170" i="11" s="1"/>
  <c r="AS187" i="11"/>
  <c r="Q55" i="18"/>
  <c r="Q185" i="3"/>
  <c r="BZ206" i="11"/>
  <c r="P126" i="3"/>
  <c r="P215" i="3" s="1"/>
  <c r="AF21" i="11"/>
  <c r="AU21" i="11" s="1"/>
  <c r="AF25" i="11"/>
  <c r="AU25" i="11" s="1"/>
  <c r="BY25" i="11" s="1"/>
  <c r="AF29" i="11"/>
  <c r="AU29" i="11" s="1"/>
  <c r="AF20" i="11"/>
  <c r="AU20" i="11" s="1"/>
  <c r="BY20" i="11" s="1"/>
  <c r="AF22" i="11"/>
  <c r="AU22" i="11" s="1"/>
  <c r="BY22" i="11" s="1"/>
  <c r="AF24" i="11"/>
  <c r="AU24" i="11" s="1"/>
  <c r="BY24" i="11" s="1"/>
  <c r="AF26" i="11"/>
  <c r="AU26" i="11" s="1"/>
  <c r="AF28" i="11"/>
  <c r="AU28" i="11" s="1"/>
  <c r="AF30" i="11"/>
  <c r="AU30" i="11" s="1"/>
  <c r="AF19" i="11"/>
  <c r="AU19" i="11" s="1"/>
  <c r="BY19" i="11" s="1"/>
  <c r="AF23" i="11"/>
  <c r="AU23" i="11" s="1"/>
  <c r="AF27" i="11"/>
  <c r="AU27" i="11" s="1"/>
  <c r="AF31" i="11"/>
  <c r="AU31" i="11" s="1"/>
  <c r="M11" i="29"/>
  <c r="M26" i="29"/>
  <c r="P125" i="3"/>
  <c r="N40" i="9"/>
  <c r="N43" i="9" s="1"/>
  <c r="N13" i="8" s="1"/>
  <c r="N13" i="21" s="1"/>
  <c r="K5" i="34"/>
  <c r="K28" i="34" s="1"/>
  <c r="N7" i="3"/>
  <c r="AT187" i="11" l="1"/>
  <c r="P136" i="3"/>
  <c r="P32" i="18"/>
  <c r="P214" i="3"/>
  <c r="P225" i="3" s="1"/>
  <c r="N101" i="9"/>
  <c r="N5" i="29"/>
  <c r="N6" i="29" s="1"/>
  <c r="N11" i="3"/>
  <c r="Q125" i="3"/>
  <c r="O40" i="9"/>
  <c r="O43" i="9" s="1"/>
  <c r="O13" i="8" s="1"/>
  <c r="O13" i="21" s="1"/>
  <c r="O7" i="3"/>
  <c r="L5" i="34"/>
  <c r="L28" i="34" s="1"/>
  <c r="M109" i="9"/>
  <c r="M111" i="9" s="1"/>
  <c r="AU178" i="11"/>
  <c r="AU176" i="11"/>
  <c r="BY11" i="11"/>
  <c r="BY176" i="11" s="1"/>
  <c r="AU185" i="11"/>
  <c r="AU179" i="11"/>
  <c r="AU175" i="11"/>
  <c r="AU251" i="11" s="1"/>
  <c r="AU253" i="11" s="1"/>
  <c r="AU170" i="11"/>
  <c r="BY6" i="11"/>
  <c r="BY170" i="11" s="1"/>
  <c r="Q126" i="3"/>
  <c r="Q215" i="3" s="1"/>
  <c r="AG19" i="11"/>
  <c r="AV19" i="11" s="1"/>
  <c r="BZ19" i="11" s="1"/>
  <c r="AG21" i="11"/>
  <c r="AV21" i="11" s="1"/>
  <c r="AG23" i="11"/>
  <c r="AV23" i="11" s="1"/>
  <c r="AG25" i="11"/>
  <c r="AV25" i="11" s="1"/>
  <c r="BZ25" i="11" s="1"/>
  <c r="AG27" i="11"/>
  <c r="AV27" i="11" s="1"/>
  <c r="AG29" i="11"/>
  <c r="AV29" i="11" s="1"/>
  <c r="AG31" i="11"/>
  <c r="AV31" i="11" s="1"/>
  <c r="AG22" i="11"/>
  <c r="AV22" i="11" s="1"/>
  <c r="BZ22" i="11" s="1"/>
  <c r="AG26" i="11"/>
  <c r="AV26" i="11" s="1"/>
  <c r="AG30" i="11"/>
  <c r="AV30" i="11" s="1"/>
  <c r="AG20" i="11"/>
  <c r="AV20" i="11" s="1"/>
  <c r="BZ20" i="11" s="1"/>
  <c r="AG24" i="11"/>
  <c r="AV24" i="11" s="1"/>
  <c r="BZ24" i="11" s="1"/>
  <c r="AG28" i="11"/>
  <c r="AV28" i="11" s="1"/>
  <c r="AG7" i="11"/>
  <c r="AV7" i="11" s="1"/>
  <c r="AG9" i="11"/>
  <c r="AV9" i="11" s="1"/>
  <c r="AG11" i="11"/>
  <c r="AV11" i="11" s="1"/>
  <c r="AG13" i="11"/>
  <c r="AV13" i="11" s="1"/>
  <c r="AV178" i="11" s="1"/>
  <c r="AG15" i="11"/>
  <c r="AV15" i="11" s="1"/>
  <c r="AG17" i="11"/>
  <c r="AV17" i="11" s="1"/>
  <c r="AG6" i="11"/>
  <c r="AV6" i="11" s="1"/>
  <c r="AG8" i="11"/>
  <c r="AV8" i="11" s="1"/>
  <c r="AG10" i="11"/>
  <c r="AV10" i="11" s="1"/>
  <c r="AG12" i="11"/>
  <c r="AV12" i="11" s="1"/>
  <c r="BZ12" i="11" s="1"/>
  <c r="AG14" i="11"/>
  <c r="AV14" i="11" s="1"/>
  <c r="AG16" i="11"/>
  <c r="AV16" i="11" s="1"/>
  <c r="AG18" i="11"/>
  <c r="AV18" i="11" s="1"/>
  <c r="Q195" i="3"/>
  <c r="Q197" i="3" s="1"/>
  <c r="AU184" i="11"/>
  <c r="AU173" i="11"/>
  <c r="BY9" i="11"/>
  <c r="BY173" i="11" s="1"/>
  <c r="AU182" i="11"/>
  <c r="AU171" i="11"/>
  <c r="BY7" i="11"/>
  <c r="BY171" i="11" s="1"/>
  <c r="AU183" i="11"/>
  <c r="AU172" i="11"/>
  <c r="AV183" i="11" l="1"/>
  <c r="AV172" i="11"/>
  <c r="AV185" i="11"/>
  <c r="AV179" i="11"/>
  <c r="AV184" i="11"/>
  <c r="AV175" i="11"/>
  <c r="AV251" i="11" s="1"/>
  <c r="AV253" i="11" s="1"/>
  <c r="AV170" i="11"/>
  <c r="BZ6" i="11"/>
  <c r="AV182" i="11"/>
  <c r="AV176" i="11"/>
  <c r="BZ11" i="11"/>
  <c r="BZ176" i="11" s="1"/>
  <c r="AV171" i="11"/>
  <c r="BZ7" i="11"/>
  <c r="BZ171" i="11" s="1"/>
  <c r="O5" i="29"/>
  <c r="O6" i="29" s="1"/>
  <c r="O101" i="9"/>
  <c r="O11" i="3"/>
  <c r="Q32" i="18"/>
  <c r="Q214" i="3"/>
  <c r="Q225" i="3" s="1"/>
  <c r="Q136" i="3"/>
  <c r="N104" i="9"/>
  <c r="N107" i="9"/>
  <c r="N105" i="9"/>
  <c r="N108" i="9"/>
  <c r="AV173" i="11"/>
  <c r="BZ9" i="11"/>
  <c r="BZ173" i="11" s="1"/>
  <c r="AU187" i="11"/>
  <c r="N11" i="29"/>
  <c r="N26" i="29"/>
  <c r="P40" i="9"/>
  <c r="P43" i="9" s="1"/>
  <c r="P13" i="8" s="1"/>
  <c r="M5" i="34"/>
  <c r="M28" i="34" s="1"/>
  <c r="P7" i="3"/>
  <c r="Q40" i="9" l="1"/>
  <c r="Q43" i="9" s="1"/>
  <c r="Q13" i="8" s="1"/>
  <c r="Q7" i="3"/>
  <c r="N5" i="34"/>
  <c r="N28" i="34" s="1"/>
  <c r="O105" i="9"/>
  <c r="O108" i="9"/>
  <c r="O104" i="9"/>
  <c r="O107" i="9"/>
  <c r="AV187" i="11"/>
  <c r="P5" i="29"/>
  <c r="P6" i="29" s="1"/>
  <c r="P11" i="3"/>
  <c r="P101" i="9"/>
  <c r="P13" i="21"/>
  <c r="N109" i="9"/>
  <c r="N111" i="9" s="1"/>
  <c r="O26" i="29"/>
  <c r="O11" i="29"/>
  <c r="BZ170" i="11"/>
  <c r="O109" i="9" l="1"/>
  <c r="O111" i="9" s="1"/>
  <c r="Q13" i="21"/>
  <c r="P105" i="9"/>
  <c r="P108" i="9"/>
  <c r="P107" i="9"/>
  <c r="P104" i="9"/>
  <c r="P26" i="29"/>
  <c r="P11" i="29"/>
  <c r="Q5" i="29"/>
  <c r="Q6" i="29" s="1"/>
  <c r="Q11" i="3"/>
  <c r="Q101" i="9"/>
  <c r="P109" i="9" l="1"/>
  <c r="P111" i="9" s="1"/>
  <c r="Q26" i="29"/>
  <c r="Q11" i="29"/>
  <c r="Q107" i="9"/>
  <c r="Q105" i="9"/>
  <c r="Q108" i="9"/>
  <c r="Q104" i="9"/>
  <c r="Q109" i="9" l="1"/>
  <c r="Q111" i="9" s="1"/>
  <c r="S23" i="28" l="1"/>
  <c r="S24" i="28" l="1"/>
  <c r="S25" i="28" l="1"/>
  <c r="S28" i="28" l="1"/>
  <c r="S26" i="28" l="1"/>
  <c r="S34" i="28"/>
  <c r="S35" i="28"/>
  <c r="S36" i="28"/>
  <c r="S37" i="28"/>
  <c r="S29" i="28"/>
  <c r="S27" i="28"/>
  <c r="S31" i="28"/>
  <c r="G6" i="18"/>
  <c r="H6" i="18"/>
  <c r="I6" i="18"/>
  <c r="J6" i="18"/>
  <c r="K6" i="18"/>
  <c r="L6" i="18"/>
  <c r="M6" i="18"/>
  <c r="N6" i="18"/>
  <c r="O6" i="18"/>
  <c r="P6" i="18"/>
  <c r="Q6" i="18"/>
  <c r="G7" i="18"/>
  <c r="H7" i="18"/>
  <c r="I7" i="18"/>
  <c r="J7" i="18"/>
  <c r="K7" i="18"/>
  <c r="L7" i="18"/>
  <c r="M7" i="18"/>
  <c r="N7" i="18"/>
  <c r="O7" i="18"/>
  <c r="P7" i="18"/>
  <c r="Q7" i="18"/>
  <c r="G8" i="18"/>
  <c r="H8" i="18"/>
  <c r="I8" i="18"/>
  <c r="J8" i="18"/>
  <c r="K8" i="18"/>
  <c r="L8" i="18"/>
  <c r="M8" i="18"/>
  <c r="N8" i="18"/>
  <c r="O8" i="18"/>
  <c r="P8" i="18"/>
  <c r="Q8" i="18"/>
  <c r="G18" i="18"/>
  <c r="H18" i="18"/>
  <c r="I18" i="18"/>
  <c r="J18" i="18"/>
  <c r="K18" i="18"/>
  <c r="L18" i="18"/>
  <c r="M18" i="18"/>
  <c r="N18" i="18"/>
  <c r="O18" i="18"/>
  <c r="P18" i="18"/>
  <c r="Q18" i="18"/>
  <c r="G20" i="18"/>
  <c r="H20" i="18"/>
  <c r="I20" i="18"/>
  <c r="J20" i="18"/>
  <c r="K20" i="18"/>
  <c r="L20" i="18"/>
  <c r="M20" i="18"/>
  <c r="N20" i="18"/>
  <c r="O20" i="18"/>
  <c r="P20" i="18"/>
  <c r="Q20" i="18"/>
  <c r="G24" i="18"/>
  <c r="H24" i="18"/>
  <c r="I24" i="18"/>
  <c r="J24" i="18"/>
  <c r="K24" i="18"/>
  <c r="L24" i="18"/>
  <c r="M24" i="18"/>
  <c r="N24" i="18"/>
  <c r="O24" i="18"/>
  <c r="P24" i="18"/>
  <c r="Q24" i="18"/>
  <c r="G26" i="18"/>
  <c r="H26" i="18"/>
  <c r="I26" i="18"/>
  <c r="J26" i="18"/>
  <c r="K26" i="18"/>
  <c r="L26" i="18"/>
  <c r="M26" i="18"/>
  <c r="N26" i="18"/>
  <c r="O26" i="18"/>
  <c r="P26" i="18"/>
  <c r="Q26" i="18"/>
  <c r="G27" i="18"/>
  <c r="H27" i="18"/>
  <c r="I27" i="18"/>
  <c r="J27" i="18"/>
  <c r="K27" i="18"/>
  <c r="L27" i="18"/>
  <c r="M27" i="18"/>
  <c r="N27" i="18"/>
  <c r="O27" i="18"/>
  <c r="P27" i="18"/>
  <c r="Q27" i="18"/>
  <c r="H29" i="18"/>
  <c r="I29" i="18"/>
  <c r="J29" i="18"/>
  <c r="K29" i="18"/>
  <c r="L29" i="18"/>
  <c r="M29" i="18"/>
  <c r="N29" i="18"/>
  <c r="O29" i="18"/>
  <c r="P29" i="18"/>
  <c r="Q29" i="18"/>
  <c r="G33" i="18"/>
  <c r="H33" i="18"/>
  <c r="I33" i="18"/>
  <c r="J33" i="18"/>
  <c r="K33" i="18"/>
  <c r="L33" i="18"/>
  <c r="M33" i="18"/>
  <c r="N33" i="18"/>
  <c r="O33" i="18"/>
  <c r="P33" i="18"/>
  <c r="Q33" i="18"/>
  <c r="G34" i="18"/>
  <c r="H34" i="18"/>
  <c r="I34" i="18"/>
  <c r="J34" i="18"/>
  <c r="K34" i="18"/>
  <c r="L34" i="18"/>
  <c r="M34" i="18"/>
  <c r="N34" i="18"/>
  <c r="O34" i="18"/>
  <c r="P34" i="18"/>
  <c r="Q34" i="18"/>
  <c r="G35" i="18"/>
  <c r="H35" i="18"/>
  <c r="I35" i="18"/>
  <c r="J35" i="18"/>
  <c r="K35" i="18"/>
  <c r="L35" i="18"/>
  <c r="M35" i="18"/>
  <c r="N35" i="18"/>
  <c r="O35" i="18"/>
  <c r="P35" i="18"/>
  <c r="Q35" i="18"/>
  <c r="G39" i="18"/>
  <c r="H39" i="18"/>
  <c r="I39" i="18"/>
  <c r="J39" i="18"/>
  <c r="K39" i="18"/>
  <c r="L39" i="18"/>
  <c r="M39" i="18"/>
  <c r="N39" i="18"/>
  <c r="O39" i="18"/>
  <c r="P39" i="18"/>
  <c r="Q39" i="18"/>
  <c r="G40" i="18"/>
  <c r="H40" i="18"/>
  <c r="I40" i="18"/>
  <c r="J40" i="18"/>
  <c r="K40" i="18"/>
  <c r="L40" i="18"/>
  <c r="M40" i="18"/>
  <c r="N40" i="18"/>
  <c r="O40" i="18"/>
  <c r="P40" i="18"/>
  <c r="Q40" i="18"/>
  <c r="G41" i="18"/>
  <c r="H41" i="18"/>
  <c r="I41" i="18"/>
  <c r="J41" i="18"/>
  <c r="K41" i="18"/>
  <c r="L41" i="18"/>
  <c r="M41" i="18"/>
  <c r="N41" i="18"/>
  <c r="O41" i="18"/>
  <c r="P41" i="18"/>
  <c r="Q41" i="18"/>
  <c r="G51" i="18"/>
  <c r="H51" i="18"/>
  <c r="I51" i="18"/>
  <c r="J51" i="18"/>
  <c r="K51" i="18"/>
  <c r="L51" i="18"/>
  <c r="M51" i="18"/>
  <c r="N51" i="18"/>
  <c r="O51" i="18"/>
  <c r="P51" i="18"/>
  <c r="Q51" i="18"/>
  <c r="G53" i="18"/>
  <c r="H53" i="18"/>
  <c r="I53" i="18"/>
  <c r="J53" i="18"/>
  <c r="K53" i="18"/>
  <c r="L53" i="18"/>
  <c r="M53" i="18"/>
  <c r="N53" i="18"/>
  <c r="O53" i="18"/>
  <c r="P53" i="18"/>
  <c r="Q53" i="18"/>
  <c r="G56" i="18"/>
  <c r="H56" i="18"/>
  <c r="I56" i="18"/>
  <c r="J56" i="18"/>
  <c r="K56" i="18"/>
  <c r="L56" i="18"/>
  <c r="M56" i="18"/>
  <c r="N56" i="18"/>
  <c r="O56" i="18"/>
  <c r="P56" i="18"/>
  <c r="Q56" i="18"/>
  <c r="G58" i="18"/>
  <c r="H58" i="18"/>
  <c r="I58" i="18"/>
  <c r="J58" i="18"/>
  <c r="K58" i="18"/>
  <c r="L58" i="18"/>
  <c r="M58" i="18"/>
  <c r="N58" i="18"/>
  <c r="O58" i="18"/>
  <c r="P58" i="18"/>
  <c r="Q58" i="18"/>
  <c r="H61" i="18"/>
  <c r="I61" i="18"/>
  <c r="J61" i="18"/>
  <c r="K61" i="18"/>
  <c r="L61" i="18"/>
  <c r="M61" i="18"/>
  <c r="N61" i="18"/>
  <c r="O61" i="18"/>
  <c r="P61" i="18"/>
  <c r="Q61" i="18"/>
  <c r="H9" i="15"/>
  <c r="I9" i="15"/>
  <c r="J9" i="15"/>
  <c r="K9" i="15"/>
  <c r="L9" i="15"/>
  <c r="M9" i="15"/>
  <c r="N9" i="15"/>
  <c r="O9" i="15"/>
  <c r="P9" i="15"/>
  <c r="Q9" i="15"/>
  <c r="AZ8" i="11"/>
  <c r="BA8" i="11"/>
  <c r="BB8" i="11"/>
  <c r="BC8" i="11"/>
  <c r="BD8" i="11"/>
  <c r="BE8" i="11"/>
  <c r="BF8" i="11"/>
  <c r="BG8" i="11"/>
  <c r="BH8" i="11"/>
  <c r="BI8" i="11"/>
  <c r="BJ8" i="11"/>
  <c r="BK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BB10" i="11"/>
  <c r="BC10" i="11"/>
  <c r="BD10" i="11"/>
  <c r="BE10" i="11"/>
  <c r="BF10" i="11"/>
  <c r="BG10" i="11"/>
  <c r="BH10" i="11"/>
  <c r="BI10" i="11"/>
  <c r="BJ10" i="11"/>
  <c r="BK10" i="11"/>
  <c r="BQ10" i="11"/>
  <c r="BR10" i="11"/>
  <c r="BS10" i="11"/>
  <c r="BT10" i="11"/>
  <c r="BU10" i="11"/>
  <c r="BV10" i="11"/>
  <c r="BW10" i="11"/>
  <c r="BX10" i="11"/>
  <c r="BY10" i="11"/>
  <c r="BZ10" i="11"/>
  <c r="BA13" i="11"/>
  <c r="BB13" i="11"/>
  <c r="BC13" i="11"/>
  <c r="BD13" i="11"/>
  <c r="BE13" i="11"/>
  <c r="BF13" i="11"/>
  <c r="BG13" i="11"/>
  <c r="BH13" i="11"/>
  <c r="BI13" i="11"/>
  <c r="BJ13" i="11"/>
  <c r="BK13" i="11"/>
  <c r="BP13" i="11"/>
  <c r="BQ13" i="11"/>
  <c r="BR13" i="11"/>
  <c r="BS13" i="11"/>
  <c r="BT13" i="11"/>
  <c r="BU13" i="11"/>
  <c r="BV13" i="11"/>
  <c r="BW13" i="11"/>
  <c r="BX13" i="11"/>
  <c r="BY13" i="11"/>
  <c r="BZ13" i="11"/>
  <c r="BA14" i="11"/>
  <c r="BB14" i="11"/>
  <c r="BC14" i="11"/>
  <c r="BD14" i="11"/>
  <c r="BE14" i="11"/>
  <c r="BF14" i="11"/>
  <c r="BG14" i="11"/>
  <c r="BH14" i="11"/>
  <c r="BI14" i="11"/>
  <c r="BJ14" i="11"/>
  <c r="BK14" i="11"/>
  <c r="BP14" i="11"/>
  <c r="BQ14" i="11"/>
  <c r="BR14" i="11"/>
  <c r="BS14" i="11"/>
  <c r="BT14" i="11"/>
  <c r="BU14" i="11"/>
  <c r="BV14" i="11"/>
  <c r="BW14" i="11"/>
  <c r="BX14" i="11"/>
  <c r="BY14" i="11"/>
  <c r="BZ14" i="11"/>
  <c r="BA15" i="11"/>
  <c r="BB15" i="11"/>
  <c r="BC15" i="11"/>
  <c r="BD15" i="11"/>
  <c r="BE15" i="11"/>
  <c r="BF15" i="11"/>
  <c r="BG15" i="11"/>
  <c r="BH15" i="11"/>
  <c r="BI15" i="11"/>
  <c r="BJ15" i="11"/>
  <c r="BK15" i="11"/>
  <c r="BP15" i="11"/>
  <c r="BQ15" i="11"/>
  <c r="BR15" i="11"/>
  <c r="BS15" i="11"/>
  <c r="BT15" i="11"/>
  <c r="BU15" i="11"/>
  <c r="BV15" i="11"/>
  <c r="BW15" i="11"/>
  <c r="BX15" i="11"/>
  <c r="BY15" i="11"/>
  <c r="BZ15" i="11"/>
  <c r="BA16" i="11"/>
  <c r="BB16" i="11"/>
  <c r="BC16" i="11"/>
  <c r="BD16" i="11"/>
  <c r="BE16" i="11"/>
  <c r="BF16" i="11"/>
  <c r="BG16" i="11"/>
  <c r="BH16" i="11"/>
  <c r="BI16" i="11"/>
  <c r="BJ16" i="11"/>
  <c r="BK16" i="11"/>
  <c r="BP16" i="11"/>
  <c r="BQ16" i="11"/>
  <c r="BR16" i="11"/>
  <c r="BS16" i="11"/>
  <c r="BT16" i="11"/>
  <c r="BU16" i="11"/>
  <c r="BV16" i="11"/>
  <c r="BW16" i="11"/>
  <c r="BX16" i="11"/>
  <c r="BY16" i="11"/>
  <c r="BZ16" i="11"/>
  <c r="BA17" i="11"/>
  <c r="BB17" i="11"/>
  <c r="BC17" i="11"/>
  <c r="BD17" i="11"/>
  <c r="BE17" i="11"/>
  <c r="BF17" i="11"/>
  <c r="BG17" i="11"/>
  <c r="BH17" i="11"/>
  <c r="BI17" i="11"/>
  <c r="BJ17" i="11"/>
  <c r="BK17" i="11"/>
  <c r="BP17" i="11"/>
  <c r="BQ17" i="11"/>
  <c r="BR17" i="11"/>
  <c r="BS17" i="11"/>
  <c r="BT17" i="11"/>
  <c r="BU17" i="11"/>
  <c r="BV17" i="11"/>
  <c r="BW17" i="11"/>
  <c r="BX17" i="11"/>
  <c r="BY17" i="11"/>
  <c r="BZ17" i="11"/>
  <c r="BA18" i="11"/>
  <c r="BB18" i="11"/>
  <c r="BC18" i="11"/>
  <c r="BD18" i="11"/>
  <c r="BE18" i="11"/>
  <c r="BF18" i="11"/>
  <c r="BG18" i="11"/>
  <c r="BH18" i="11"/>
  <c r="BI18" i="11"/>
  <c r="BJ18" i="11"/>
  <c r="BK18" i="11"/>
  <c r="BP18" i="11"/>
  <c r="BQ18" i="11"/>
  <c r="BR18" i="11"/>
  <c r="BS18" i="11"/>
  <c r="BT18" i="11"/>
  <c r="BU18" i="11"/>
  <c r="BV18" i="11"/>
  <c r="BW18" i="11"/>
  <c r="BX18" i="11"/>
  <c r="BY18" i="11"/>
  <c r="BZ18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BB23" i="11"/>
  <c r="BC23" i="11"/>
  <c r="BD23" i="11"/>
  <c r="BE23" i="11"/>
  <c r="BF23" i="11"/>
  <c r="BG23" i="11"/>
  <c r="BH23" i="11"/>
  <c r="BI23" i="11"/>
  <c r="BJ23" i="11"/>
  <c r="BK23" i="11"/>
  <c r="BQ23" i="11"/>
  <c r="BR23" i="11"/>
  <c r="BS23" i="11"/>
  <c r="BT23" i="11"/>
  <c r="BU23" i="11"/>
  <c r="BV23" i="11"/>
  <c r="BW23" i="11"/>
  <c r="BX23" i="11"/>
  <c r="BY23" i="11"/>
  <c r="BZ23" i="11"/>
  <c r="BA26" i="11"/>
  <c r="BB26" i="11"/>
  <c r="BC26" i="11"/>
  <c r="BD26" i="11"/>
  <c r="BE26" i="11"/>
  <c r="BF26" i="11"/>
  <c r="BG26" i="11"/>
  <c r="BH26" i="11"/>
  <c r="BI26" i="11"/>
  <c r="BJ26" i="11"/>
  <c r="BK26" i="11"/>
  <c r="BP26" i="11"/>
  <c r="BQ26" i="11"/>
  <c r="BR26" i="11"/>
  <c r="BS26" i="11"/>
  <c r="BT26" i="11"/>
  <c r="BU26" i="11"/>
  <c r="BV26" i="11"/>
  <c r="BW26" i="11"/>
  <c r="BX26" i="11"/>
  <c r="BY26" i="11"/>
  <c r="BZ26" i="11"/>
  <c r="BA27" i="11"/>
  <c r="BB27" i="11"/>
  <c r="BC27" i="11"/>
  <c r="BD27" i="11"/>
  <c r="BE27" i="11"/>
  <c r="BF27" i="11"/>
  <c r="BG27" i="11"/>
  <c r="BH27" i="11"/>
  <c r="BI27" i="11"/>
  <c r="BJ27" i="11"/>
  <c r="BK27" i="11"/>
  <c r="BP27" i="11"/>
  <c r="BQ27" i="11"/>
  <c r="BR27" i="11"/>
  <c r="BS27" i="11"/>
  <c r="BT27" i="11"/>
  <c r="BU27" i="11"/>
  <c r="BV27" i="11"/>
  <c r="BW27" i="11"/>
  <c r="BX27" i="11"/>
  <c r="BY27" i="11"/>
  <c r="BZ27" i="11"/>
  <c r="BA28" i="11"/>
  <c r="BB28" i="11"/>
  <c r="BC28" i="11"/>
  <c r="BD28" i="11"/>
  <c r="BE28" i="11"/>
  <c r="BF28" i="11"/>
  <c r="BG28" i="11"/>
  <c r="BH28" i="11"/>
  <c r="BI28" i="11"/>
  <c r="BJ28" i="11"/>
  <c r="BK28" i="11"/>
  <c r="BP28" i="11"/>
  <c r="BQ28" i="11"/>
  <c r="BR28" i="11"/>
  <c r="BS28" i="11"/>
  <c r="BT28" i="11"/>
  <c r="BU28" i="11"/>
  <c r="BV28" i="11"/>
  <c r="BW28" i="11"/>
  <c r="BX28" i="11"/>
  <c r="BY28" i="11"/>
  <c r="BZ28" i="11"/>
  <c r="BA29" i="11"/>
  <c r="BB29" i="11"/>
  <c r="BC29" i="11"/>
  <c r="BD29" i="11"/>
  <c r="BE29" i="11"/>
  <c r="BF29" i="11"/>
  <c r="BG29" i="11"/>
  <c r="BH29" i="11"/>
  <c r="BI29" i="11"/>
  <c r="BJ29" i="11"/>
  <c r="BK29" i="11"/>
  <c r="BP29" i="11"/>
  <c r="BQ29" i="11"/>
  <c r="BR29" i="11"/>
  <c r="BS29" i="11"/>
  <c r="BT29" i="11"/>
  <c r="BU29" i="11"/>
  <c r="BV29" i="11"/>
  <c r="BW29" i="11"/>
  <c r="BX29" i="11"/>
  <c r="BY29" i="11"/>
  <c r="BZ29" i="11"/>
  <c r="BA30" i="11"/>
  <c r="BB30" i="11"/>
  <c r="BC30" i="11"/>
  <c r="BD30" i="11"/>
  <c r="BE30" i="11"/>
  <c r="BF30" i="11"/>
  <c r="BG30" i="11"/>
  <c r="BH30" i="11"/>
  <c r="BI30" i="11"/>
  <c r="BJ30" i="11"/>
  <c r="BK30" i="11"/>
  <c r="BP30" i="11"/>
  <c r="BQ30" i="11"/>
  <c r="BR30" i="11"/>
  <c r="BS30" i="11"/>
  <c r="BT30" i="11"/>
  <c r="BU30" i="11"/>
  <c r="BV30" i="11"/>
  <c r="BW30" i="11"/>
  <c r="BX30" i="11"/>
  <c r="BY30" i="11"/>
  <c r="BZ30" i="11"/>
  <c r="BA31" i="11"/>
  <c r="BB31" i="11"/>
  <c r="BC31" i="11"/>
  <c r="BD31" i="11"/>
  <c r="BE31" i="11"/>
  <c r="BF31" i="11"/>
  <c r="BG31" i="11"/>
  <c r="BH31" i="11"/>
  <c r="BI31" i="11"/>
  <c r="BJ31" i="11"/>
  <c r="BK31" i="11"/>
  <c r="BP31" i="11"/>
  <c r="BQ31" i="11"/>
  <c r="BR31" i="11"/>
  <c r="BS31" i="11"/>
  <c r="BT31" i="11"/>
  <c r="BU31" i="11"/>
  <c r="BV31" i="11"/>
  <c r="BW31" i="11"/>
  <c r="BX31" i="11"/>
  <c r="BY31" i="11"/>
  <c r="BZ31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BB36" i="11"/>
  <c r="BC36" i="11"/>
  <c r="BD36" i="11"/>
  <c r="BE36" i="11"/>
  <c r="BF36" i="11"/>
  <c r="BG36" i="11"/>
  <c r="BH36" i="11"/>
  <c r="BI36" i="11"/>
  <c r="BJ36" i="11"/>
  <c r="BK36" i="11"/>
  <c r="BQ36" i="11"/>
  <c r="BR36" i="11"/>
  <c r="BS36" i="11"/>
  <c r="BT36" i="11"/>
  <c r="BU36" i="11"/>
  <c r="BV36" i="11"/>
  <c r="BW36" i="11"/>
  <c r="BX36" i="11"/>
  <c r="BY36" i="11"/>
  <c r="BZ36" i="11"/>
  <c r="BA39" i="11"/>
  <c r="BB39" i="11"/>
  <c r="BC39" i="11"/>
  <c r="BD39" i="11"/>
  <c r="BE39" i="11"/>
  <c r="BF39" i="11"/>
  <c r="BG39" i="11"/>
  <c r="BH39" i="11"/>
  <c r="BI39" i="11"/>
  <c r="BJ39" i="11"/>
  <c r="BK39" i="11"/>
  <c r="BP39" i="11"/>
  <c r="BQ39" i="11"/>
  <c r="BR39" i="11"/>
  <c r="BS39" i="11"/>
  <c r="BT39" i="11"/>
  <c r="BU39" i="11"/>
  <c r="BV39" i="11"/>
  <c r="BW39" i="11"/>
  <c r="BX39" i="11"/>
  <c r="BY39" i="11"/>
  <c r="BZ39" i="11"/>
  <c r="BA40" i="11"/>
  <c r="BB40" i="11"/>
  <c r="BC40" i="11"/>
  <c r="BD40" i="11"/>
  <c r="BE40" i="11"/>
  <c r="BF40" i="11"/>
  <c r="BG40" i="11"/>
  <c r="BH40" i="11"/>
  <c r="BI40" i="11"/>
  <c r="BJ40" i="11"/>
  <c r="BK40" i="11"/>
  <c r="BP40" i="11"/>
  <c r="BQ40" i="11"/>
  <c r="BR40" i="11"/>
  <c r="BS40" i="11"/>
  <c r="BT40" i="11"/>
  <c r="BU40" i="11"/>
  <c r="BV40" i="11"/>
  <c r="BW40" i="11"/>
  <c r="BX40" i="11"/>
  <c r="BY40" i="11"/>
  <c r="BZ40" i="11"/>
  <c r="BA41" i="11"/>
  <c r="BB41" i="11"/>
  <c r="BC41" i="11"/>
  <c r="BD41" i="11"/>
  <c r="BE41" i="11"/>
  <c r="BF41" i="11"/>
  <c r="BG41" i="11"/>
  <c r="BH41" i="11"/>
  <c r="BI41" i="11"/>
  <c r="BJ41" i="11"/>
  <c r="BK41" i="11"/>
  <c r="BP41" i="11"/>
  <c r="BQ41" i="11"/>
  <c r="BR41" i="11"/>
  <c r="BS41" i="11"/>
  <c r="BT41" i="11"/>
  <c r="BU41" i="11"/>
  <c r="BV41" i="11"/>
  <c r="BW41" i="11"/>
  <c r="BX41" i="11"/>
  <c r="BY41" i="11"/>
  <c r="BZ41" i="11"/>
  <c r="BA42" i="11"/>
  <c r="BB42" i="11"/>
  <c r="BC42" i="11"/>
  <c r="BD42" i="11"/>
  <c r="BE42" i="11"/>
  <c r="BF42" i="11"/>
  <c r="BG42" i="11"/>
  <c r="BH42" i="11"/>
  <c r="BI42" i="11"/>
  <c r="BJ42" i="11"/>
  <c r="BK42" i="11"/>
  <c r="BP42" i="11"/>
  <c r="BQ42" i="11"/>
  <c r="BR42" i="11"/>
  <c r="BS42" i="11"/>
  <c r="BT42" i="11"/>
  <c r="BU42" i="11"/>
  <c r="BV42" i="11"/>
  <c r="BW42" i="11"/>
  <c r="BX42" i="11"/>
  <c r="BY42" i="11"/>
  <c r="BZ42" i="11"/>
  <c r="BA43" i="11"/>
  <c r="BB43" i="11"/>
  <c r="BC43" i="11"/>
  <c r="BD43" i="11"/>
  <c r="BE43" i="11"/>
  <c r="BF43" i="11"/>
  <c r="BG43" i="11"/>
  <c r="BH43" i="11"/>
  <c r="BI43" i="11"/>
  <c r="BJ43" i="11"/>
  <c r="BK43" i="11"/>
  <c r="BP43" i="11"/>
  <c r="BQ43" i="11"/>
  <c r="BR43" i="11"/>
  <c r="BS43" i="11"/>
  <c r="BT43" i="11"/>
  <c r="BU43" i="11"/>
  <c r="BV43" i="11"/>
  <c r="BW43" i="11"/>
  <c r="BX43" i="11"/>
  <c r="BY43" i="11"/>
  <c r="BZ43" i="11"/>
  <c r="BA44" i="11"/>
  <c r="BB44" i="11"/>
  <c r="BC44" i="11"/>
  <c r="BD44" i="11"/>
  <c r="BE44" i="11"/>
  <c r="BF44" i="11"/>
  <c r="BG44" i="11"/>
  <c r="BH44" i="11"/>
  <c r="BI44" i="11"/>
  <c r="BJ44" i="11"/>
  <c r="BK44" i="11"/>
  <c r="BP44" i="11"/>
  <c r="BQ44" i="11"/>
  <c r="BR44" i="11"/>
  <c r="BS44" i="11"/>
  <c r="BT44" i="11"/>
  <c r="BU44" i="11"/>
  <c r="BV44" i="11"/>
  <c r="BW44" i="11"/>
  <c r="BX44" i="11"/>
  <c r="BY44" i="11"/>
  <c r="BZ44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BB49" i="11"/>
  <c r="BC49" i="11"/>
  <c r="BD49" i="11"/>
  <c r="BE49" i="11"/>
  <c r="BF49" i="11"/>
  <c r="BG49" i="11"/>
  <c r="BH49" i="11"/>
  <c r="BI49" i="11"/>
  <c r="BJ49" i="11"/>
  <c r="BK49" i="11"/>
  <c r="BQ49" i="11"/>
  <c r="BR49" i="11"/>
  <c r="BS49" i="11"/>
  <c r="BT49" i="11"/>
  <c r="BU49" i="11"/>
  <c r="BV49" i="11"/>
  <c r="BW49" i="11"/>
  <c r="BX49" i="11"/>
  <c r="BY49" i="11"/>
  <c r="BZ49" i="11"/>
  <c r="BA52" i="11"/>
  <c r="BB52" i="11"/>
  <c r="BC52" i="11"/>
  <c r="BD52" i="11"/>
  <c r="BE52" i="11"/>
  <c r="BF52" i="11"/>
  <c r="BG52" i="11"/>
  <c r="BH52" i="11"/>
  <c r="BI52" i="11"/>
  <c r="BJ52" i="11"/>
  <c r="BK52" i="11"/>
  <c r="BP52" i="11"/>
  <c r="BQ52" i="11"/>
  <c r="BR52" i="11"/>
  <c r="BS52" i="11"/>
  <c r="BT52" i="11"/>
  <c r="BU52" i="11"/>
  <c r="BV52" i="11"/>
  <c r="BW52" i="11"/>
  <c r="BX52" i="11"/>
  <c r="BY52" i="11"/>
  <c r="BZ52" i="11"/>
  <c r="BA53" i="11"/>
  <c r="BB53" i="11"/>
  <c r="BC53" i="11"/>
  <c r="BD53" i="11"/>
  <c r="BE53" i="11"/>
  <c r="BF53" i="11"/>
  <c r="BG53" i="11"/>
  <c r="BH53" i="11"/>
  <c r="BI53" i="11"/>
  <c r="BJ53" i="11"/>
  <c r="BK53" i="11"/>
  <c r="BP53" i="11"/>
  <c r="BQ53" i="11"/>
  <c r="BR53" i="11"/>
  <c r="BS53" i="11"/>
  <c r="BT53" i="11"/>
  <c r="BU53" i="11"/>
  <c r="BV53" i="11"/>
  <c r="BW53" i="11"/>
  <c r="BX53" i="11"/>
  <c r="BY53" i="11"/>
  <c r="BZ53" i="11"/>
  <c r="BA54" i="11"/>
  <c r="BB54" i="11"/>
  <c r="BC54" i="11"/>
  <c r="BD54" i="11"/>
  <c r="BE54" i="11"/>
  <c r="BF54" i="11"/>
  <c r="BG54" i="11"/>
  <c r="BH54" i="11"/>
  <c r="BI54" i="11"/>
  <c r="BJ54" i="11"/>
  <c r="BK54" i="11"/>
  <c r="BP54" i="11"/>
  <c r="BQ54" i="11"/>
  <c r="BR54" i="11"/>
  <c r="BS54" i="11"/>
  <c r="BT54" i="11"/>
  <c r="BU54" i="11"/>
  <c r="BV54" i="11"/>
  <c r="BW54" i="11"/>
  <c r="BX54" i="11"/>
  <c r="BY54" i="11"/>
  <c r="BZ54" i="11"/>
  <c r="BA55" i="11"/>
  <c r="BB55" i="11"/>
  <c r="BC55" i="11"/>
  <c r="BD55" i="11"/>
  <c r="BE55" i="11"/>
  <c r="BF55" i="11"/>
  <c r="BG55" i="11"/>
  <c r="BH55" i="11"/>
  <c r="BI55" i="11"/>
  <c r="BJ55" i="11"/>
  <c r="BK55" i="11"/>
  <c r="BP55" i="11"/>
  <c r="BQ55" i="11"/>
  <c r="BR55" i="11"/>
  <c r="BS55" i="11"/>
  <c r="BT55" i="11"/>
  <c r="BU55" i="11"/>
  <c r="BV55" i="11"/>
  <c r="BW55" i="11"/>
  <c r="BX55" i="11"/>
  <c r="BY55" i="11"/>
  <c r="BZ55" i="11"/>
  <c r="BA56" i="11"/>
  <c r="BB56" i="11"/>
  <c r="BC56" i="11"/>
  <c r="BD56" i="11"/>
  <c r="BE56" i="11"/>
  <c r="BF56" i="11"/>
  <c r="BG56" i="11"/>
  <c r="BH56" i="11"/>
  <c r="BI56" i="11"/>
  <c r="BJ56" i="11"/>
  <c r="BK56" i="11"/>
  <c r="BP56" i="11"/>
  <c r="BQ56" i="11"/>
  <c r="BR56" i="11"/>
  <c r="BS56" i="11"/>
  <c r="BT56" i="11"/>
  <c r="BU56" i="11"/>
  <c r="BV56" i="11"/>
  <c r="BW56" i="11"/>
  <c r="BX56" i="11"/>
  <c r="BY56" i="11"/>
  <c r="BZ56" i="11"/>
  <c r="BA57" i="11"/>
  <c r="BB57" i="11"/>
  <c r="BC57" i="11"/>
  <c r="BD57" i="11"/>
  <c r="BE57" i="11"/>
  <c r="BF57" i="11"/>
  <c r="BG57" i="11"/>
  <c r="BH57" i="11"/>
  <c r="BI57" i="11"/>
  <c r="BJ57" i="11"/>
  <c r="BK57" i="11"/>
  <c r="BP57" i="11"/>
  <c r="BQ57" i="11"/>
  <c r="BR57" i="11"/>
  <c r="BS57" i="11"/>
  <c r="BT57" i="11"/>
  <c r="BU57" i="11"/>
  <c r="BV57" i="11"/>
  <c r="BW57" i="11"/>
  <c r="BX57" i="11"/>
  <c r="BY57" i="11"/>
  <c r="BZ57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BB62" i="11"/>
  <c r="BC62" i="11"/>
  <c r="BD62" i="11"/>
  <c r="BE62" i="11"/>
  <c r="BF62" i="11"/>
  <c r="BG62" i="11"/>
  <c r="BH62" i="11"/>
  <c r="BI62" i="11"/>
  <c r="BJ62" i="11"/>
  <c r="BK62" i="11"/>
  <c r="BQ62" i="11"/>
  <c r="BR62" i="11"/>
  <c r="BS62" i="11"/>
  <c r="BT62" i="11"/>
  <c r="BU62" i="11"/>
  <c r="BV62" i="11"/>
  <c r="BW62" i="11"/>
  <c r="BX62" i="11"/>
  <c r="BY62" i="11"/>
  <c r="BZ62" i="11"/>
  <c r="BA65" i="11"/>
  <c r="BB65" i="11"/>
  <c r="BC65" i="11"/>
  <c r="BD65" i="11"/>
  <c r="BE65" i="11"/>
  <c r="BF65" i="11"/>
  <c r="BG65" i="11"/>
  <c r="BH65" i="11"/>
  <c r="BI65" i="11"/>
  <c r="BJ65" i="11"/>
  <c r="BK65" i="11"/>
  <c r="BP65" i="11"/>
  <c r="BQ65" i="11"/>
  <c r="BR65" i="11"/>
  <c r="BS65" i="11"/>
  <c r="BT65" i="11"/>
  <c r="BU65" i="11"/>
  <c r="BV65" i="11"/>
  <c r="BW65" i="11"/>
  <c r="BX65" i="11"/>
  <c r="BY65" i="11"/>
  <c r="BZ65" i="11"/>
  <c r="BA66" i="11"/>
  <c r="BB66" i="11"/>
  <c r="BC66" i="11"/>
  <c r="BD66" i="11"/>
  <c r="BE66" i="11"/>
  <c r="BF66" i="11"/>
  <c r="BG66" i="11"/>
  <c r="BH66" i="11"/>
  <c r="BI66" i="11"/>
  <c r="BJ66" i="11"/>
  <c r="BK66" i="11"/>
  <c r="BP66" i="11"/>
  <c r="BQ66" i="11"/>
  <c r="BR66" i="11"/>
  <c r="BS66" i="11"/>
  <c r="BT66" i="11"/>
  <c r="BU66" i="11"/>
  <c r="BV66" i="11"/>
  <c r="BW66" i="11"/>
  <c r="BX66" i="11"/>
  <c r="BY66" i="11"/>
  <c r="BZ66" i="11"/>
  <c r="BA67" i="11"/>
  <c r="BB67" i="11"/>
  <c r="BC67" i="11"/>
  <c r="BD67" i="11"/>
  <c r="BE67" i="11"/>
  <c r="BF67" i="11"/>
  <c r="BG67" i="11"/>
  <c r="BH67" i="11"/>
  <c r="BI67" i="11"/>
  <c r="BJ67" i="11"/>
  <c r="BK67" i="11"/>
  <c r="BP67" i="11"/>
  <c r="BQ67" i="11"/>
  <c r="BR67" i="11"/>
  <c r="BS67" i="11"/>
  <c r="BT67" i="11"/>
  <c r="BU67" i="11"/>
  <c r="BV67" i="11"/>
  <c r="BW67" i="11"/>
  <c r="BX67" i="11"/>
  <c r="BY67" i="11"/>
  <c r="BZ67" i="11"/>
  <c r="BA68" i="11"/>
  <c r="BB68" i="11"/>
  <c r="BC68" i="11"/>
  <c r="BD68" i="11"/>
  <c r="BE68" i="11"/>
  <c r="BF68" i="11"/>
  <c r="BG68" i="11"/>
  <c r="BH68" i="11"/>
  <c r="BI68" i="11"/>
  <c r="BJ68" i="11"/>
  <c r="BK68" i="11"/>
  <c r="BP68" i="11"/>
  <c r="BQ68" i="11"/>
  <c r="BR68" i="11"/>
  <c r="BS68" i="11"/>
  <c r="BT68" i="11"/>
  <c r="BU68" i="11"/>
  <c r="BV68" i="11"/>
  <c r="BW68" i="11"/>
  <c r="BX68" i="11"/>
  <c r="BY68" i="11"/>
  <c r="BZ68" i="11"/>
  <c r="BA69" i="11"/>
  <c r="BB69" i="11"/>
  <c r="BC69" i="11"/>
  <c r="BD69" i="11"/>
  <c r="BE69" i="11"/>
  <c r="BF69" i="11"/>
  <c r="BG69" i="11"/>
  <c r="BH69" i="11"/>
  <c r="BI69" i="11"/>
  <c r="BJ69" i="11"/>
  <c r="BK69" i="11"/>
  <c r="BP69" i="11"/>
  <c r="BQ69" i="11"/>
  <c r="BR69" i="11"/>
  <c r="BS69" i="11"/>
  <c r="BT69" i="11"/>
  <c r="BU69" i="11"/>
  <c r="BV69" i="11"/>
  <c r="BW69" i="11"/>
  <c r="BX69" i="11"/>
  <c r="BY69" i="11"/>
  <c r="BZ69" i="11"/>
  <c r="BA70" i="11"/>
  <c r="BB70" i="11"/>
  <c r="BC70" i="11"/>
  <c r="BD70" i="11"/>
  <c r="BE70" i="11"/>
  <c r="BF70" i="11"/>
  <c r="BG70" i="11"/>
  <c r="BH70" i="11"/>
  <c r="BI70" i="11"/>
  <c r="BJ70" i="11"/>
  <c r="BK70" i="11"/>
  <c r="BP70" i="11"/>
  <c r="BQ70" i="11"/>
  <c r="BR70" i="11"/>
  <c r="BS70" i="11"/>
  <c r="BT70" i="11"/>
  <c r="BU70" i="11"/>
  <c r="BV70" i="11"/>
  <c r="BW70" i="11"/>
  <c r="BX70" i="11"/>
  <c r="BY70" i="11"/>
  <c r="BZ70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BB76" i="11"/>
  <c r="BC76" i="11"/>
  <c r="BD76" i="11"/>
  <c r="BE76" i="11"/>
  <c r="BF76" i="11"/>
  <c r="BG76" i="11"/>
  <c r="BH76" i="11"/>
  <c r="BI76" i="11"/>
  <c r="BJ76" i="11"/>
  <c r="BK76" i="11"/>
  <c r="BQ76" i="11"/>
  <c r="BR76" i="11"/>
  <c r="BS76" i="11"/>
  <c r="BT76" i="11"/>
  <c r="BU76" i="11"/>
  <c r="BV76" i="11"/>
  <c r="BW76" i="11"/>
  <c r="BX76" i="11"/>
  <c r="BY76" i="11"/>
  <c r="BZ76" i="11"/>
  <c r="BA79" i="11"/>
  <c r="BB79" i="11"/>
  <c r="BC79" i="11"/>
  <c r="BD79" i="11"/>
  <c r="BE79" i="11"/>
  <c r="BF79" i="11"/>
  <c r="BG79" i="11"/>
  <c r="BH79" i="11"/>
  <c r="BI79" i="11"/>
  <c r="BJ79" i="11"/>
  <c r="BK79" i="11"/>
  <c r="BP79" i="11"/>
  <c r="BQ79" i="11"/>
  <c r="BR79" i="11"/>
  <c r="BS79" i="11"/>
  <c r="BT79" i="11"/>
  <c r="BU79" i="11"/>
  <c r="BV79" i="11"/>
  <c r="BW79" i="11"/>
  <c r="BX79" i="11"/>
  <c r="BY79" i="11"/>
  <c r="BZ79" i="11"/>
  <c r="BA80" i="11"/>
  <c r="BB80" i="11"/>
  <c r="BC80" i="11"/>
  <c r="BD80" i="11"/>
  <c r="BE80" i="11"/>
  <c r="BF80" i="11"/>
  <c r="BG80" i="11"/>
  <c r="BH80" i="11"/>
  <c r="BI80" i="11"/>
  <c r="BJ80" i="11"/>
  <c r="BK80" i="11"/>
  <c r="BP80" i="11"/>
  <c r="BQ80" i="11"/>
  <c r="BR80" i="11"/>
  <c r="BS80" i="11"/>
  <c r="BT80" i="11"/>
  <c r="BU80" i="11"/>
  <c r="BV80" i="11"/>
  <c r="BW80" i="11"/>
  <c r="BX80" i="11"/>
  <c r="BY80" i="11"/>
  <c r="BZ80" i="11"/>
  <c r="BA81" i="11"/>
  <c r="BB81" i="11"/>
  <c r="BC81" i="11"/>
  <c r="BD81" i="11"/>
  <c r="BE81" i="11"/>
  <c r="BF81" i="11"/>
  <c r="BG81" i="11"/>
  <c r="BH81" i="11"/>
  <c r="BI81" i="11"/>
  <c r="BJ81" i="11"/>
  <c r="BK81" i="11"/>
  <c r="BP81" i="11"/>
  <c r="BQ81" i="11"/>
  <c r="BR81" i="11"/>
  <c r="BS81" i="11"/>
  <c r="BT81" i="11"/>
  <c r="BU81" i="11"/>
  <c r="BV81" i="11"/>
  <c r="BW81" i="11"/>
  <c r="BX81" i="11"/>
  <c r="BY81" i="11"/>
  <c r="BZ81" i="11"/>
  <c r="BA82" i="11"/>
  <c r="BB82" i="11"/>
  <c r="BC82" i="11"/>
  <c r="BD82" i="11"/>
  <c r="BE82" i="11"/>
  <c r="BF82" i="11"/>
  <c r="BG82" i="11"/>
  <c r="BH82" i="11"/>
  <c r="BI82" i="11"/>
  <c r="BJ82" i="11"/>
  <c r="BK82" i="11"/>
  <c r="BP82" i="11"/>
  <c r="BQ82" i="11"/>
  <c r="BR82" i="11"/>
  <c r="BS82" i="11"/>
  <c r="BT82" i="11"/>
  <c r="BU82" i="11"/>
  <c r="BV82" i="11"/>
  <c r="BW82" i="11"/>
  <c r="BX82" i="11"/>
  <c r="BY82" i="11"/>
  <c r="BZ82" i="11"/>
  <c r="BA83" i="11"/>
  <c r="BB83" i="11"/>
  <c r="BC83" i="11"/>
  <c r="BD83" i="11"/>
  <c r="BE83" i="11"/>
  <c r="BF83" i="11"/>
  <c r="BG83" i="11"/>
  <c r="BH83" i="11"/>
  <c r="BI83" i="11"/>
  <c r="BJ83" i="11"/>
  <c r="BK83" i="11"/>
  <c r="BP83" i="11"/>
  <c r="BQ83" i="11"/>
  <c r="BR83" i="11"/>
  <c r="BS83" i="11"/>
  <c r="BT83" i="11"/>
  <c r="BU83" i="11"/>
  <c r="BV83" i="11"/>
  <c r="BW83" i="11"/>
  <c r="BX83" i="11"/>
  <c r="BY83" i="11"/>
  <c r="BZ83" i="11"/>
  <c r="BA84" i="11"/>
  <c r="BB84" i="11"/>
  <c r="BC84" i="11"/>
  <c r="BD84" i="11"/>
  <c r="BE84" i="11"/>
  <c r="BF84" i="11"/>
  <c r="BG84" i="11"/>
  <c r="BH84" i="11"/>
  <c r="BI84" i="11"/>
  <c r="BJ84" i="11"/>
  <c r="BK84" i="11"/>
  <c r="BP84" i="11"/>
  <c r="BQ84" i="11"/>
  <c r="BR84" i="11"/>
  <c r="BS84" i="11"/>
  <c r="BT84" i="11"/>
  <c r="BU84" i="11"/>
  <c r="BV84" i="11"/>
  <c r="BW84" i="11"/>
  <c r="BX84" i="11"/>
  <c r="BY84" i="11"/>
  <c r="BZ84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BB92" i="11"/>
  <c r="BC92" i="11"/>
  <c r="BD92" i="11"/>
  <c r="BE92" i="11"/>
  <c r="BF92" i="11"/>
  <c r="BG92" i="11"/>
  <c r="BH92" i="11"/>
  <c r="BI92" i="11"/>
  <c r="BJ92" i="11"/>
  <c r="BK92" i="11"/>
  <c r="BQ92" i="11"/>
  <c r="BR92" i="11"/>
  <c r="BS92" i="11"/>
  <c r="BT92" i="11"/>
  <c r="BU92" i="11"/>
  <c r="BV92" i="11"/>
  <c r="BW92" i="11"/>
  <c r="BX92" i="11"/>
  <c r="BY92" i="11"/>
  <c r="BZ92" i="11"/>
  <c r="BA95" i="11"/>
  <c r="BB95" i="11"/>
  <c r="BC95" i="11"/>
  <c r="BD95" i="11"/>
  <c r="BE95" i="11"/>
  <c r="BF95" i="11"/>
  <c r="BG95" i="11"/>
  <c r="BH95" i="11"/>
  <c r="BI95" i="11"/>
  <c r="BJ95" i="11"/>
  <c r="BK95" i="11"/>
  <c r="BP95" i="11"/>
  <c r="BQ95" i="11"/>
  <c r="BR95" i="11"/>
  <c r="BS95" i="11"/>
  <c r="BT95" i="11"/>
  <c r="BU95" i="11"/>
  <c r="BV95" i="11"/>
  <c r="BW95" i="11"/>
  <c r="BX95" i="11"/>
  <c r="BY95" i="11"/>
  <c r="BZ95" i="11"/>
  <c r="BA96" i="11"/>
  <c r="BB96" i="11"/>
  <c r="BC96" i="11"/>
  <c r="BD96" i="11"/>
  <c r="BE96" i="11"/>
  <c r="BF96" i="11"/>
  <c r="BG96" i="11"/>
  <c r="BH96" i="11"/>
  <c r="BI96" i="11"/>
  <c r="BJ96" i="11"/>
  <c r="BK96" i="11"/>
  <c r="BP96" i="11"/>
  <c r="BQ96" i="11"/>
  <c r="BR96" i="11"/>
  <c r="BS96" i="11"/>
  <c r="BT96" i="11"/>
  <c r="BU96" i="11"/>
  <c r="BV96" i="11"/>
  <c r="BW96" i="11"/>
  <c r="BX96" i="11"/>
  <c r="BY96" i="11"/>
  <c r="BZ96" i="11"/>
  <c r="BA97" i="11"/>
  <c r="BB97" i="11"/>
  <c r="BC97" i="11"/>
  <c r="BD97" i="11"/>
  <c r="BE97" i="11"/>
  <c r="BF97" i="11"/>
  <c r="BG97" i="11"/>
  <c r="BH97" i="11"/>
  <c r="BI97" i="11"/>
  <c r="BJ97" i="11"/>
  <c r="BK97" i="11"/>
  <c r="BP97" i="11"/>
  <c r="BQ97" i="11"/>
  <c r="BR97" i="11"/>
  <c r="BS97" i="11"/>
  <c r="BT97" i="11"/>
  <c r="BU97" i="11"/>
  <c r="BV97" i="11"/>
  <c r="BW97" i="11"/>
  <c r="BX97" i="11"/>
  <c r="BY97" i="11"/>
  <c r="BZ97" i="11"/>
  <c r="BA98" i="11"/>
  <c r="BB98" i="11"/>
  <c r="BC98" i="11"/>
  <c r="BD98" i="11"/>
  <c r="BE98" i="11"/>
  <c r="BF98" i="11"/>
  <c r="BG98" i="11"/>
  <c r="BH98" i="11"/>
  <c r="BI98" i="11"/>
  <c r="BJ98" i="11"/>
  <c r="BK98" i="11"/>
  <c r="BP98" i="11"/>
  <c r="BQ98" i="11"/>
  <c r="BR98" i="11"/>
  <c r="BS98" i="11"/>
  <c r="BT98" i="11"/>
  <c r="BU98" i="11"/>
  <c r="BV98" i="11"/>
  <c r="BW98" i="11"/>
  <c r="BX98" i="11"/>
  <c r="BY98" i="11"/>
  <c r="BZ98" i="11"/>
  <c r="BA99" i="11"/>
  <c r="BB99" i="11"/>
  <c r="BC99" i="11"/>
  <c r="BD99" i="11"/>
  <c r="BE99" i="11"/>
  <c r="BF99" i="11"/>
  <c r="BG99" i="11"/>
  <c r="BH99" i="11"/>
  <c r="BI99" i="11"/>
  <c r="BJ99" i="11"/>
  <c r="BK99" i="11"/>
  <c r="BP99" i="11"/>
  <c r="BQ99" i="11"/>
  <c r="BR99" i="11"/>
  <c r="BS99" i="11"/>
  <c r="BT99" i="11"/>
  <c r="BU99" i="11"/>
  <c r="BV99" i="11"/>
  <c r="BW99" i="11"/>
  <c r="BX99" i="11"/>
  <c r="BY99" i="11"/>
  <c r="BZ99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P100" i="11"/>
  <c r="BQ100" i="11"/>
  <c r="BR100" i="11"/>
  <c r="BS100" i="11"/>
  <c r="BT100" i="11"/>
  <c r="BU100" i="11"/>
  <c r="BV100" i="11"/>
  <c r="BW100" i="11"/>
  <c r="BX100" i="11"/>
  <c r="BY100" i="11"/>
  <c r="BZ100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O105" i="11"/>
  <c r="BP105" i="11"/>
  <c r="BQ105" i="11"/>
  <c r="BR105" i="11"/>
  <c r="BS105" i="11"/>
  <c r="BT105" i="11"/>
  <c r="BU105" i="11"/>
  <c r="BV105" i="11"/>
  <c r="BW105" i="11"/>
  <c r="BX105" i="11"/>
  <c r="BY105" i="11"/>
  <c r="BZ105" i="11"/>
  <c r="BB108" i="11"/>
  <c r="BC108" i="11"/>
  <c r="BD108" i="11"/>
  <c r="BE108" i="11"/>
  <c r="BF108" i="11"/>
  <c r="BG108" i="11"/>
  <c r="BH108" i="11"/>
  <c r="BI108" i="11"/>
  <c r="BJ108" i="11"/>
  <c r="BK108" i="11"/>
  <c r="BQ108" i="11"/>
  <c r="BR108" i="11"/>
  <c r="BS108" i="11"/>
  <c r="BT108" i="11"/>
  <c r="BU108" i="11"/>
  <c r="BV108" i="11"/>
  <c r="BW108" i="11"/>
  <c r="BX108" i="11"/>
  <c r="BY108" i="11"/>
  <c r="BZ108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P112" i="11"/>
  <c r="BQ112" i="11"/>
  <c r="BR112" i="11"/>
  <c r="BS112" i="11"/>
  <c r="BT112" i="11"/>
  <c r="BU112" i="11"/>
  <c r="BV112" i="11"/>
  <c r="BW112" i="11"/>
  <c r="BX112" i="11"/>
  <c r="BY112" i="11"/>
  <c r="BZ112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P113" i="11"/>
  <c r="BQ113" i="11"/>
  <c r="BR113" i="11"/>
  <c r="BS113" i="11"/>
  <c r="BT113" i="11"/>
  <c r="BU113" i="11"/>
  <c r="BV113" i="11"/>
  <c r="BW113" i="11"/>
  <c r="BX113" i="11"/>
  <c r="BY113" i="11"/>
  <c r="BZ113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P114" i="11"/>
  <c r="BQ114" i="11"/>
  <c r="BR114" i="11"/>
  <c r="BS114" i="11"/>
  <c r="BT114" i="11"/>
  <c r="BU114" i="11"/>
  <c r="BV114" i="11"/>
  <c r="BW114" i="11"/>
  <c r="BX114" i="11"/>
  <c r="BY114" i="11"/>
  <c r="BZ114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P115" i="11"/>
  <c r="BQ115" i="11"/>
  <c r="BR115" i="11"/>
  <c r="BS115" i="11"/>
  <c r="BT115" i="11"/>
  <c r="BU115" i="11"/>
  <c r="BV115" i="11"/>
  <c r="BW115" i="11"/>
  <c r="BX115" i="11"/>
  <c r="BY115" i="11"/>
  <c r="BZ115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P116" i="11"/>
  <c r="BQ116" i="11"/>
  <c r="BR116" i="11"/>
  <c r="BS116" i="11"/>
  <c r="BT116" i="11"/>
  <c r="BU116" i="11"/>
  <c r="BV116" i="11"/>
  <c r="BW116" i="11"/>
  <c r="BX116" i="11"/>
  <c r="BY116" i="11"/>
  <c r="BZ116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BZ121" i="11"/>
  <c r="BB124" i="11"/>
  <c r="BC124" i="11"/>
  <c r="BD124" i="11"/>
  <c r="BE124" i="11"/>
  <c r="BF124" i="11"/>
  <c r="BG124" i="11"/>
  <c r="BH124" i="11"/>
  <c r="BI124" i="11"/>
  <c r="BJ124" i="11"/>
  <c r="BK124" i="11"/>
  <c r="BQ124" i="11"/>
  <c r="BR124" i="11"/>
  <c r="BS124" i="11"/>
  <c r="BT124" i="11"/>
  <c r="BU124" i="11"/>
  <c r="BV124" i="11"/>
  <c r="BW124" i="11"/>
  <c r="BX124" i="11"/>
  <c r="BY124" i="11"/>
  <c r="BZ124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P127" i="11"/>
  <c r="BQ127" i="11"/>
  <c r="BR127" i="11"/>
  <c r="BS127" i="11"/>
  <c r="BT127" i="11"/>
  <c r="BU127" i="11"/>
  <c r="BV127" i="11"/>
  <c r="BW127" i="11"/>
  <c r="BX127" i="11"/>
  <c r="BY127" i="11"/>
  <c r="BZ127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P128" i="11"/>
  <c r="BQ128" i="11"/>
  <c r="BR128" i="11"/>
  <c r="BS128" i="11"/>
  <c r="BT128" i="11"/>
  <c r="BU128" i="11"/>
  <c r="BV128" i="11"/>
  <c r="BW128" i="11"/>
  <c r="BX128" i="11"/>
  <c r="BY128" i="11"/>
  <c r="BZ128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P129" i="11"/>
  <c r="BQ129" i="11"/>
  <c r="BR129" i="11"/>
  <c r="BS129" i="11"/>
  <c r="BT129" i="11"/>
  <c r="BU129" i="11"/>
  <c r="BV129" i="11"/>
  <c r="BW129" i="11"/>
  <c r="BX129" i="11"/>
  <c r="BY129" i="11"/>
  <c r="BZ129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P130" i="11"/>
  <c r="BQ130" i="11"/>
  <c r="BR130" i="11"/>
  <c r="BS130" i="11"/>
  <c r="BT130" i="11"/>
  <c r="BU130" i="11"/>
  <c r="BV130" i="11"/>
  <c r="BW130" i="11"/>
  <c r="BX130" i="11"/>
  <c r="BY130" i="11"/>
  <c r="BZ130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P131" i="11"/>
  <c r="BQ131" i="11"/>
  <c r="BR131" i="11"/>
  <c r="BS131" i="11"/>
  <c r="BT131" i="11"/>
  <c r="BU131" i="11"/>
  <c r="BV131" i="11"/>
  <c r="BW131" i="11"/>
  <c r="BX131" i="11"/>
  <c r="BY131" i="11"/>
  <c r="BZ131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P132" i="11"/>
  <c r="BQ132" i="11"/>
  <c r="BR132" i="11"/>
  <c r="BS132" i="11"/>
  <c r="BT132" i="11"/>
  <c r="BU132" i="11"/>
  <c r="BV132" i="11"/>
  <c r="BW132" i="11"/>
  <c r="BX132" i="11"/>
  <c r="BY132" i="11"/>
  <c r="BZ132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O137" i="11"/>
  <c r="BP137" i="11"/>
  <c r="BQ137" i="11"/>
  <c r="BR137" i="11"/>
  <c r="BS137" i="11"/>
  <c r="BT137" i="11"/>
  <c r="BU137" i="11"/>
  <c r="BV137" i="11"/>
  <c r="BW137" i="11"/>
  <c r="BX137" i="11"/>
  <c r="BY137" i="11"/>
  <c r="BZ137" i="11"/>
  <c r="BB140" i="11"/>
  <c r="BC140" i="11"/>
  <c r="BD140" i="11"/>
  <c r="BE140" i="11"/>
  <c r="BF140" i="11"/>
  <c r="BG140" i="11"/>
  <c r="BH140" i="11"/>
  <c r="BI140" i="11"/>
  <c r="BJ140" i="11"/>
  <c r="BK140" i="11"/>
  <c r="BQ140" i="11"/>
  <c r="BR140" i="11"/>
  <c r="BS140" i="11"/>
  <c r="BT140" i="11"/>
  <c r="BU140" i="11"/>
  <c r="BV140" i="11"/>
  <c r="BW140" i="11"/>
  <c r="BX140" i="11"/>
  <c r="BY140" i="11"/>
  <c r="BZ140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P143" i="11"/>
  <c r="BQ143" i="11"/>
  <c r="BR143" i="11"/>
  <c r="BS143" i="11"/>
  <c r="BT143" i="11"/>
  <c r="BU143" i="11"/>
  <c r="BV143" i="11"/>
  <c r="BW143" i="11"/>
  <c r="BX143" i="11"/>
  <c r="BY143" i="11"/>
  <c r="BZ143" i="11"/>
  <c r="BA144" i="11"/>
  <c r="BB144" i="11"/>
  <c r="BC144" i="11"/>
  <c r="BD144" i="11"/>
  <c r="BE144" i="11"/>
  <c r="BF144" i="11"/>
  <c r="BG144" i="11"/>
  <c r="BH144" i="11"/>
  <c r="BI144" i="11"/>
  <c r="BJ144" i="11"/>
  <c r="BK144" i="11"/>
  <c r="BP144" i="11"/>
  <c r="BQ144" i="11"/>
  <c r="BR144" i="11"/>
  <c r="BS144" i="11"/>
  <c r="BT144" i="11"/>
  <c r="BU144" i="11"/>
  <c r="BV144" i="11"/>
  <c r="BW144" i="11"/>
  <c r="BX144" i="11"/>
  <c r="BY144" i="11"/>
  <c r="BZ144" i="11"/>
  <c r="BA145" i="11"/>
  <c r="BB145" i="11"/>
  <c r="BC145" i="11"/>
  <c r="BD145" i="11"/>
  <c r="BE145" i="11"/>
  <c r="BF145" i="11"/>
  <c r="BG145" i="11"/>
  <c r="BH145" i="11"/>
  <c r="BI145" i="11"/>
  <c r="BJ145" i="11"/>
  <c r="BK145" i="11"/>
  <c r="BP145" i="11"/>
  <c r="BQ145" i="11"/>
  <c r="BR145" i="11"/>
  <c r="BS145" i="11"/>
  <c r="BT145" i="11"/>
  <c r="BU145" i="11"/>
  <c r="BV145" i="11"/>
  <c r="BW145" i="11"/>
  <c r="BX145" i="11"/>
  <c r="BY145" i="11"/>
  <c r="BZ145" i="11"/>
  <c r="BA146" i="11"/>
  <c r="BB146" i="11"/>
  <c r="BC146" i="11"/>
  <c r="BD146" i="11"/>
  <c r="BE146" i="11"/>
  <c r="BF146" i="11"/>
  <c r="BG146" i="11"/>
  <c r="BH146" i="11"/>
  <c r="BI146" i="11"/>
  <c r="BJ146" i="11"/>
  <c r="BK146" i="11"/>
  <c r="BP146" i="11"/>
  <c r="BQ146" i="11"/>
  <c r="BR146" i="11"/>
  <c r="BS146" i="11"/>
  <c r="BT146" i="11"/>
  <c r="BU146" i="11"/>
  <c r="BV146" i="11"/>
  <c r="BW146" i="11"/>
  <c r="BX146" i="11"/>
  <c r="BY146" i="11"/>
  <c r="BZ146" i="11"/>
  <c r="BA147" i="11"/>
  <c r="BB147" i="11"/>
  <c r="BC147" i="11"/>
  <c r="BD147" i="11"/>
  <c r="BE147" i="11"/>
  <c r="BF147" i="11"/>
  <c r="BG147" i="11"/>
  <c r="BH147" i="11"/>
  <c r="BI147" i="11"/>
  <c r="BJ147" i="11"/>
  <c r="BK147" i="11"/>
  <c r="BP147" i="11"/>
  <c r="BQ147" i="11"/>
  <c r="BR147" i="11"/>
  <c r="BS147" i="11"/>
  <c r="BT147" i="11"/>
  <c r="BU147" i="11"/>
  <c r="BV147" i="11"/>
  <c r="BW147" i="11"/>
  <c r="BX147" i="11"/>
  <c r="BY147" i="11"/>
  <c r="BZ147" i="11"/>
  <c r="BA148" i="11"/>
  <c r="BB148" i="11"/>
  <c r="BC148" i="11"/>
  <c r="BD148" i="11"/>
  <c r="BE148" i="11"/>
  <c r="BF148" i="11"/>
  <c r="BG148" i="11"/>
  <c r="BH148" i="11"/>
  <c r="BI148" i="11"/>
  <c r="BJ148" i="11"/>
  <c r="BK148" i="11"/>
  <c r="BP148" i="11"/>
  <c r="BQ148" i="11"/>
  <c r="BR148" i="11"/>
  <c r="BS148" i="11"/>
  <c r="BT148" i="11"/>
  <c r="BU148" i="11"/>
  <c r="BV148" i="11"/>
  <c r="BW148" i="11"/>
  <c r="BX148" i="11"/>
  <c r="BY148" i="11"/>
  <c r="BZ148" i="11"/>
  <c r="AZ153" i="11"/>
  <c r="BA153" i="11"/>
  <c r="BB153" i="11"/>
  <c r="BC153" i="11"/>
  <c r="BD153" i="11"/>
  <c r="BE153" i="11"/>
  <c r="BF153" i="11"/>
  <c r="BG153" i="11"/>
  <c r="BH153" i="11"/>
  <c r="BI153" i="11"/>
  <c r="BJ153" i="11"/>
  <c r="BK153" i="11"/>
  <c r="BO153" i="11"/>
  <c r="BP153" i="11"/>
  <c r="BQ153" i="11"/>
  <c r="BR153" i="11"/>
  <c r="BS153" i="11"/>
  <c r="BT153" i="11"/>
  <c r="BU153" i="11"/>
  <c r="BV153" i="11"/>
  <c r="BW153" i="11"/>
  <c r="BX153" i="11"/>
  <c r="BY153" i="11"/>
  <c r="BZ153" i="11"/>
  <c r="BB156" i="11"/>
  <c r="BC156" i="11"/>
  <c r="BD156" i="11"/>
  <c r="BE156" i="11"/>
  <c r="BF156" i="11"/>
  <c r="BG156" i="11"/>
  <c r="BH156" i="11"/>
  <c r="BI156" i="11"/>
  <c r="BJ156" i="11"/>
  <c r="BK156" i="11"/>
  <c r="BQ156" i="11"/>
  <c r="BR156" i="11"/>
  <c r="BS156" i="11"/>
  <c r="BT156" i="11"/>
  <c r="BU156" i="11"/>
  <c r="BV156" i="11"/>
  <c r="BW156" i="11"/>
  <c r="BX156" i="11"/>
  <c r="BY156" i="11"/>
  <c r="BZ156" i="11"/>
  <c r="BA159" i="11"/>
  <c r="BB159" i="11"/>
  <c r="BC159" i="11"/>
  <c r="BD159" i="11"/>
  <c r="BE159" i="11"/>
  <c r="BF159" i="11"/>
  <c r="BG159" i="11"/>
  <c r="BH159" i="11"/>
  <c r="BI159" i="11"/>
  <c r="BJ159" i="11"/>
  <c r="BK159" i="11"/>
  <c r="BP159" i="11"/>
  <c r="BQ159" i="11"/>
  <c r="BR159" i="11"/>
  <c r="BS159" i="11"/>
  <c r="BT159" i="11"/>
  <c r="BU159" i="11"/>
  <c r="BV159" i="11"/>
  <c r="BW159" i="11"/>
  <c r="BX159" i="11"/>
  <c r="BY159" i="11"/>
  <c r="BZ159" i="11"/>
  <c r="BA160" i="11"/>
  <c r="BB160" i="11"/>
  <c r="BC160" i="11"/>
  <c r="BD160" i="11"/>
  <c r="BE160" i="11"/>
  <c r="BF160" i="11"/>
  <c r="BG160" i="11"/>
  <c r="BH160" i="11"/>
  <c r="BI160" i="11"/>
  <c r="BJ160" i="11"/>
  <c r="BK160" i="11"/>
  <c r="BP160" i="11"/>
  <c r="BQ160" i="11"/>
  <c r="BR160" i="11"/>
  <c r="BS160" i="11"/>
  <c r="BT160" i="11"/>
  <c r="BU160" i="11"/>
  <c r="BV160" i="11"/>
  <c r="BW160" i="11"/>
  <c r="BX160" i="11"/>
  <c r="BY160" i="11"/>
  <c r="BZ160" i="11"/>
  <c r="BA161" i="11"/>
  <c r="BB161" i="11"/>
  <c r="BC161" i="11"/>
  <c r="BD161" i="11"/>
  <c r="BE161" i="11"/>
  <c r="BF161" i="11"/>
  <c r="BG161" i="11"/>
  <c r="BH161" i="11"/>
  <c r="BI161" i="11"/>
  <c r="BJ161" i="11"/>
  <c r="BK161" i="11"/>
  <c r="BP161" i="11"/>
  <c r="BQ161" i="11"/>
  <c r="BR161" i="11"/>
  <c r="BS161" i="11"/>
  <c r="BT161" i="11"/>
  <c r="BU161" i="11"/>
  <c r="BV161" i="11"/>
  <c r="BW161" i="11"/>
  <c r="BX161" i="11"/>
  <c r="BY161" i="11"/>
  <c r="BZ161" i="11"/>
  <c r="BA162" i="11"/>
  <c r="BB162" i="11"/>
  <c r="BC162" i="11"/>
  <c r="BD162" i="11"/>
  <c r="BE162" i="11"/>
  <c r="BF162" i="11"/>
  <c r="BG162" i="11"/>
  <c r="BH162" i="11"/>
  <c r="BI162" i="11"/>
  <c r="BJ162" i="11"/>
  <c r="BK162" i="11"/>
  <c r="BP162" i="11"/>
  <c r="BQ162" i="11"/>
  <c r="BR162" i="11"/>
  <c r="BS162" i="11"/>
  <c r="BT162" i="11"/>
  <c r="BU162" i="11"/>
  <c r="BV162" i="11"/>
  <c r="BW162" i="11"/>
  <c r="BX162" i="11"/>
  <c r="BY162" i="11"/>
  <c r="BZ162" i="11"/>
  <c r="BA163" i="11"/>
  <c r="BB163" i="11"/>
  <c r="BC163" i="11"/>
  <c r="BD163" i="11"/>
  <c r="BE163" i="11"/>
  <c r="BF163" i="11"/>
  <c r="BG163" i="11"/>
  <c r="BH163" i="11"/>
  <c r="BI163" i="11"/>
  <c r="BJ163" i="11"/>
  <c r="BK163" i="11"/>
  <c r="BP163" i="11"/>
  <c r="BQ163" i="11"/>
  <c r="BR163" i="11"/>
  <c r="BS163" i="11"/>
  <c r="BT163" i="11"/>
  <c r="BU163" i="11"/>
  <c r="BV163" i="11"/>
  <c r="BW163" i="11"/>
  <c r="BX163" i="11"/>
  <c r="BY163" i="11"/>
  <c r="BZ163" i="11"/>
  <c r="BA164" i="11"/>
  <c r="BB164" i="11"/>
  <c r="BC164" i="11"/>
  <c r="BD164" i="11"/>
  <c r="BE164" i="11"/>
  <c r="BF164" i="11"/>
  <c r="BG164" i="11"/>
  <c r="BH164" i="11"/>
  <c r="BI164" i="11"/>
  <c r="BJ164" i="11"/>
  <c r="BK164" i="11"/>
  <c r="BP164" i="11"/>
  <c r="BQ164" i="11"/>
  <c r="BR164" i="11"/>
  <c r="BS164" i="11"/>
  <c r="BT164" i="11"/>
  <c r="BU164" i="11"/>
  <c r="BV164" i="11"/>
  <c r="BW164" i="11"/>
  <c r="BX164" i="11"/>
  <c r="BY164" i="11"/>
  <c r="BZ164" i="11"/>
  <c r="BO172" i="11"/>
  <c r="BP172" i="11"/>
  <c r="BQ172" i="11"/>
  <c r="BR172" i="11"/>
  <c r="BS172" i="11"/>
  <c r="BT172" i="11"/>
  <c r="BU172" i="11"/>
  <c r="BV172" i="11"/>
  <c r="BW172" i="11"/>
  <c r="BX172" i="11"/>
  <c r="BY172" i="11"/>
  <c r="BZ172" i="11"/>
  <c r="BQ175" i="11"/>
  <c r="BR175" i="11"/>
  <c r="BS175" i="11"/>
  <c r="BT175" i="11"/>
  <c r="BU175" i="11"/>
  <c r="BV175" i="11"/>
  <c r="BW175" i="11"/>
  <c r="BX175" i="11"/>
  <c r="BY175" i="11"/>
  <c r="BZ175" i="11"/>
  <c r="BP178" i="11"/>
  <c r="BQ178" i="11"/>
  <c r="BR178" i="11"/>
  <c r="BS178" i="11"/>
  <c r="BT178" i="11"/>
  <c r="BU178" i="11"/>
  <c r="BV178" i="11"/>
  <c r="BW178" i="11"/>
  <c r="BX178" i="11"/>
  <c r="BY178" i="11"/>
  <c r="BZ178" i="11"/>
  <c r="BP179" i="11"/>
  <c r="BQ179" i="11"/>
  <c r="BR179" i="11"/>
  <c r="BS179" i="11"/>
  <c r="BT179" i="11"/>
  <c r="BU179" i="11"/>
  <c r="BV179" i="11"/>
  <c r="BW179" i="11"/>
  <c r="BX179" i="11"/>
  <c r="BY179" i="11"/>
  <c r="BZ179" i="11"/>
  <c r="BP182" i="11"/>
  <c r="BQ182" i="11"/>
  <c r="BR182" i="11"/>
  <c r="BS182" i="11"/>
  <c r="BT182" i="11"/>
  <c r="BU182" i="11"/>
  <c r="BV182" i="11"/>
  <c r="BW182" i="11"/>
  <c r="BX182" i="11"/>
  <c r="BY182" i="11"/>
  <c r="BZ182" i="11"/>
  <c r="BP183" i="11"/>
  <c r="BQ183" i="11"/>
  <c r="BR183" i="11"/>
  <c r="BS183" i="11"/>
  <c r="BT183" i="11"/>
  <c r="BU183" i="11"/>
  <c r="BV183" i="11"/>
  <c r="BW183" i="11"/>
  <c r="BX183" i="11"/>
  <c r="BY183" i="11"/>
  <c r="BZ183" i="11"/>
  <c r="BP184" i="11"/>
  <c r="BQ184" i="11"/>
  <c r="BR184" i="11"/>
  <c r="BS184" i="11"/>
  <c r="BT184" i="11"/>
  <c r="BU184" i="11"/>
  <c r="BV184" i="11"/>
  <c r="BW184" i="11"/>
  <c r="BX184" i="11"/>
  <c r="BY184" i="11"/>
  <c r="BZ184" i="11"/>
  <c r="BP185" i="11"/>
  <c r="BQ185" i="11"/>
  <c r="BR185" i="11"/>
  <c r="BS185" i="11"/>
  <c r="BT185" i="11"/>
  <c r="BU185" i="11"/>
  <c r="BV185" i="11"/>
  <c r="BW185" i="11"/>
  <c r="BX185" i="11"/>
  <c r="BY185" i="11"/>
  <c r="BZ185" i="11"/>
  <c r="BO187" i="11"/>
  <c r="BP187" i="11"/>
  <c r="BQ187" i="11"/>
  <c r="BR187" i="11"/>
  <c r="BS187" i="11"/>
  <c r="BT187" i="11"/>
  <c r="BU187" i="11"/>
  <c r="BV187" i="11"/>
  <c r="BW187" i="11"/>
  <c r="BX187" i="11"/>
  <c r="BY187" i="11"/>
  <c r="BZ187" i="11"/>
  <c r="BO190" i="11"/>
  <c r="BP190" i="11"/>
  <c r="BQ190" i="11"/>
  <c r="BR190" i="11"/>
  <c r="BS190" i="11"/>
  <c r="BT190" i="11"/>
  <c r="BU190" i="11"/>
  <c r="BV190" i="11"/>
  <c r="BW190" i="11"/>
  <c r="BX190" i="11"/>
  <c r="BY190" i="11"/>
  <c r="BZ190" i="11"/>
  <c r="BO191" i="11"/>
  <c r="BP191" i="11"/>
  <c r="BQ191" i="11"/>
  <c r="BR191" i="11"/>
  <c r="BS191" i="11"/>
  <c r="BT191" i="11"/>
  <c r="BU191" i="11"/>
  <c r="BV191" i="11"/>
  <c r="BW191" i="11"/>
  <c r="BX191" i="11"/>
  <c r="BY191" i="11"/>
  <c r="BZ191" i="11"/>
  <c r="BO192" i="11"/>
  <c r="BP192" i="11"/>
  <c r="BQ192" i="11"/>
  <c r="BR192" i="11"/>
  <c r="BS192" i="11"/>
  <c r="BT192" i="11"/>
  <c r="BU192" i="11"/>
  <c r="BV192" i="11"/>
  <c r="BW192" i="11"/>
  <c r="BX192" i="11"/>
  <c r="BY192" i="11"/>
  <c r="BZ192" i="11"/>
  <c r="BO193" i="11"/>
  <c r="BP193" i="11"/>
  <c r="BQ193" i="11"/>
  <c r="BR193" i="11"/>
  <c r="BS193" i="11"/>
  <c r="BT193" i="11"/>
  <c r="BU193" i="11"/>
  <c r="BV193" i="11"/>
  <c r="BW193" i="11"/>
  <c r="BX193" i="11"/>
  <c r="BY193" i="11"/>
  <c r="BZ193" i="11"/>
  <c r="BO194" i="11"/>
  <c r="BP194" i="11"/>
  <c r="BQ194" i="11"/>
  <c r="BR194" i="11"/>
  <c r="BS194" i="11"/>
  <c r="BT194" i="11"/>
  <c r="BU194" i="11"/>
  <c r="BV194" i="11"/>
  <c r="BW194" i="11"/>
  <c r="BX194" i="11"/>
  <c r="BY194" i="11"/>
  <c r="BZ194" i="11"/>
  <c r="BO195" i="11"/>
  <c r="BP195" i="11"/>
  <c r="BQ195" i="11"/>
  <c r="BR195" i="11"/>
  <c r="BS195" i="11"/>
  <c r="BT195" i="11"/>
  <c r="BU195" i="11"/>
  <c r="BV195" i="11"/>
  <c r="BW195" i="11"/>
  <c r="BX195" i="11"/>
  <c r="BY195" i="11"/>
  <c r="BZ195" i="11"/>
  <c r="CB195" i="11"/>
  <c r="CC195" i="11"/>
  <c r="CD195" i="11"/>
  <c r="CE195" i="11"/>
  <c r="CF195" i="11"/>
  <c r="CG195" i="11"/>
  <c r="CH195" i="11"/>
  <c r="BO196" i="11"/>
  <c r="BP196" i="11"/>
  <c r="BQ196" i="11"/>
  <c r="BR196" i="11"/>
  <c r="BS196" i="11"/>
  <c r="BT196" i="11"/>
  <c r="BU196" i="11"/>
  <c r="BV196" i="11"/>
  <c r="BW196" i="11"/>
  <c r="BX196" i="11"/>
  <c r="BY196" i="11"/>
  <c r="BZ196" i="11"/>
  <c r="CB196" i="11"/>
  <c r="CC196" i="11"/>
  <c r="CD196" i="11"/>
  <c r="CE196" i="11"/>
  <c r="CF196" i="11"/>
  <c r="CG196" i="11"/>
  <c r="CH196" i="11"/>
  <c r="BO197" i="11"/>
  <c r="BP197" i="11"/>
  <c r="BQ197" i="11"/>
  <c r="BR197" i="11"/>
  <c r="BS197" i="11"/>
  <c r="BT197" i="11"/>
  <c r="BU197" i="11"/>
  <c r="BV197" i="11"/>
  <c r="BW197" i="11"/>
  <c r="BX197" i="11"/>
  <c r="BY197" i="11"/>
  <c r="BZ197" i="11"/>
  <c r="CB197" i="11"/>
  <c r="CC197" i="11"/>
  <c r="CD197" i="11"/>
  <c r="CE197" i="11"/>
  <c r="CF197" i="11"/>
  <c r="CG197" i="11"/>
  <c r="CH197" i="11"/>
  <c r="BO198" i="11"/>
  <c r="BP198" i="11"/>
  <c r="BQ198" i="11"/>
  <c r="BR198" i="11"/>
  <c r="BS198" i="11"/>
  <c r="BT198" i="11"/>
  <c r="BU198" i="11"/>
  <c r="BV198" i="11"/>
  <c r="BW198" i="11"/>
  <c r="BX198" i="11"/>
  <c r="BY198" i="11"/>
  <c r="BZ198" i="11"/>
  <c r="CB198" i="11"/>
  <c r="CC198" i="11"/>
  <c r="CD198" i="11"/>
  <c r="CE198" i="11"/>
  <c r="CF198" i="11"/>
  <c r="CG198" i="11"/>
  <c r="CH198" i="11"/>
  <c r="BO199" i="11"/>
  <c r="BP199" i="11"/>
  <c r="BQ199" i="11"/>
  <c r="BR199" i="11"/>
  <c r="BS199" i="11"/>
  <c r="BT199" i="11"/>
  <c r="BU199" i="11"/>
  <c r="BV199" i="11"/>
  <c r="BW199" i="11"/>
  <c r="BX199" i="11"/>
  <c r="BY199" i="11"/>
  <c r="BZ199" i="11"/>
  <c r="CB199" i="11"/>
  <c r="CC199" i="11"/>
  <c r="CD199" i="11"/>
  <c r="CE199" i="11"/>
  <c r="CF199" i="11"/>
  <c r="CG199" i="11"/>
  <c r="CH199" i="11"/>
  <c r="BO200" i="11"/>
  <c r="BP200" i="11"/>
  <c r="BQ200" i="11"/>
  <c r="BR200" i="11"/>
  <c r="BS200" i="11"/>
  <c r="BT200" i="11"/>
  <c r="BU200" i="11"/>
  <c r="BV200" i="11"/>
  <c r="BW200" i="11"/>
  <c r="BX200" i="11"/>
  <c r="BY200" i="11"/>
  <c r="BZ200" i="11"/>
  <c r="CB200" i="11"/>
  <c r="CC200" i="11"/>
  <c r="CD200" i="11"/>
  <c r="CE200" i="11"/>
  <c r="CF200" i="11"/>
  <c r="CG200" i="11"/>
  <c r="CH200" i="11"/>
  <c r="CB201" i="11"/>
  <c r="CC201" i="11"/>
  <c r="CD201" i="11"/>
  <c r="CE201" i="11"/>
  <c r="CF201" i="11"/>
  <c r="CG201" i="11"/>
  <c r="CH201" i="11"/>
  <c r="BO202" i="11"/>
  <c r="BP202" i="11"/>
  <c r="BQ202" i="11"/>
  <c r="BR202" i="11"/>
  <c r="BS202" i="11"/>
  <c r="BT202" i="11"/>
  <c r="BU202" i="11"/>
  <c r="BV202" i="11"/>
  <c r="BW202" i="11"/>
  <c r="BX202" i="11"/>
  <c r="BY202" i="11"/>
  <c r="BZ202" i="11"/>
  <c r="CB202" i="11"/>
  <c r="CC202" i="11"/>
  <c r="CD202" i="11"/>
  <c r="CE202" i="11"/>
  <c r="CF202" i="11"/>
  <c r="CG202" i="11"/>
  <c r="CH202" i="11"/>
  <c r="BO204" i="11"/>
  <c r="BP204" i="11"/>
  <c r="BQ204" i="11"/>
  <c r="BR204" i="11"/>
  <c r="BS204" i="11"/>
  <c r="BT204" i="11"/>
  <c r="BU204" i="11"/>
  <c r="BV204" i="11"/>
  <c r="BW204" i="11"/>
  <c r="BX204" i="11"/>
  <c r="BY204" i="11"/>
  <c r="BZ204" i="11"/>
  <c r="BO217" i="11"/>
  <c r="BP217" i="11"/>
  <c r="BQ217" i="11"/>
  <c r="BR217" i="11"/>
  <c r="BS217" i="11"/>
  <c r="BT217" i="11"/>
  <c r="BU217" i="11"/>
  <c r="BV217" i="11"/>
  <c r="BW217" i="11"/>
  <c r="BX217" i="11"/>
  <c r="BY217" i="11"/>
  <c r="BZ217" i="11"/>
  <c r="BO218" i="11"/>
  <c r="BP218" i="11"/>
  <c r="BQ218" i="11"/>
  <c r="BR218" i="11"/>
  <c r="BS218" i="11"/>
  <c r="BT218" i="11"/>
  <c r="BU218" i="11"/>
  <c r="BV218" i="11"/>
  <c r="BW218" i="11"/>
  <c r="BX218" i="11"/>
  <c r="BY218" i="11"/>
  <c r="BZ218" i="11"/>
  <c r="BO219" i="11"/>
  <c r="BP219" i="11"/>
  <c r="BQ219" i="11"/>
  <c r="BR219" i="11"/>
  <c r="BS219" i="11"/>
  <c r="BT219" i="11"/>
  <c r="BU219" i="11"/>
  <c r="BV219" i="11"/>
  <c r="BW219" i="11"/>
  <c r="BX219" i="11"/>
  <c r="BY219" i="11"/>
  <c r="BZ219" i="11"/>
  <c r="BP220" i="11"/>
  <c r="BQ220" i="11"/>
  <c r="BR220" i="11"/>
  <c r="BS220" i="11"/>
  <c r="BT220" i="11"/>
  <c r="BU220" i="11"/>
  <c r="BV220" i="11"/>
  <c r="BW220" i="11"/>
  <c r="BX220" i="11"/>
  <c r="BY220" i="11"/>
  <c r="BZ220" i="11"/>
  <c r="BP221" i="11"/>
  <c r="BQ221" i="11"/>
  <c r="BR221" i="11"/>
  <c r="BS221" i="11"/>
  <c r="BT221" i="11"/>
  <c r="BU221" i="11"/>
  <c r="BV221" i="11"/>
  <c r="BW221" i="11"/>
  <c r="BX221" i="11"/>
  <c r="BY221" i="11"/>
  <c r="BZ221" i="11"/>
  <c r="CB221" i="11"/>
  <c r="CC221" i="11"/>
  <c r="CD221" i="11"/>
  <c r="CE221" i="11"/>
  <c r="CF221" i="11"/>
  <c r="CG221" i="11"/>
  <c r="CH221" i="11"/>
  <c r="BP222" i="11"/>
  <c r="BQ222" i="11"/>
  <c r="BR222" i="11"/>
  <c r="BS222" i="11"/>
  <c r="BT222" i="11"/>
  <c r="BU222" i="11"/>
  <c r="BV222" i="11"/>
  <c r="BW222" i="11"/>
  <c r="BX222" i="11"/>
  <c r="BY222" i="11"/>
  <c r="BZ222" i="11"/>
  <c r="CB222" i="11"/>
  <c r="CC222" i="11"/>
  <c r="CD222" i="11"/>
  <c r="CE222" i="11"/>
  <c r="CF222" i="11"/>
  <c r="CG222" i="11"/>
  <c r="CH222" i="11"/>
  <c r="BP223" i="11"/>
  <c r="BQ223" i="11"/>
  <c r="BR223" i="11"/>
  <c r="BS223" i="11"/>
  <c r="BT223" i="11"/>
  <c r="BU223" i="11"/>
  <c r="BV223" i="11"/>
  <c r="BW223" i="11"/>
  <c r="BX223" i="11"/>
  <c r="BY223" i="11"/>
  <c r="BZ223" i="11"/>
  <c r="CB223" i="11"/>
  <c r="CC223" i="11"/>
  <c r="CD223" i="11"/>
  <c r="CE223" i="11"/>
  <c r="CF223" i="11"/>
  <c r="CG223" i="11"/>
  <c r="CH223" i="11"/>
  <c r="BP224" i="11"/>
  <c r="BQ224" i="11"/>
  <c r="BR224" i="11"/>
  <c r="BS224" i="11"/>
  <c r="BT224" i="11"/>
  <c r="BU224" i="11"/>
  <c r="BV224" i="11"/>
  <c r="BW224" i="11"/>
  <c r="BX224" i="11"/>
  <c r="BY224" i="11"/>
  <c r="BZ224" i="11"/>
  <c r="CB224" i="11"/>
  <c r="CC224" i="11"/>
  <c r="CD224" i="11"/>
  <c r="CE224" i="11"/>
  <c r="CF224" i="11"/>
  <c r="CG224" i="11"/>
  <c r="CH224" i="11"/>
  <c r="BP225" i="11"/>
  <c r="BQ225" i="11"/>
  <c r="BR225" i="11"/>
  <c r="BS225" i="11"/>
  <c r="BT225" i="11"/>
  <c r="BU225" i="11"/>
  <c r="BV225" i="11"/>
  <c r="BW225" i="11"/>
  <c r="BX225" i="11"/>
  <c r="BY225" i="11"/>
  <c r="BZ225" i="11"/>
  <c r="CB225" i="11"/>
  <c r="CC225" i="11"/>
  <c r="CD225" i="11"/>
  <c r="CE225" i="11"/>
  <c r="CF225" i="11"/>
  <c r="CG225" i="11"/>
  <c r="CH225" i="11"/>
  <c r="BP226" i="11"/>
  <c r="BQ226" i="11"/>
  <c r="BR226" i="11"/>
  <c r="BS226" i="11"/>
  <c r="BT226" i="11"/>
  <c r="BU226" i="11"/>
  <c r="BV226" i="11"/>
  <c r="BW226" i="11"/>
  <c r="BX226" i="11"/>
  <c r="BY226" i="11"/>
  <c r="BZ226" i="11"/>
  <c r="CB226" i="11"/>
  <c r="CC226" i="11"/>
  <c r="CD226" i="11"/>
  <c r="CE226" i="11"/>
  <c r="CF226" i="11"/>
  <c r="CG226" i="11"/>
  <c r="CH226" i="11"/>
  <c r="CB227" i="11"/>
  <c r="CC227" i="11"/>
  <c r="CD227" i="11"/>
  <c r="CE227" i="11"/>
  <c r="CF227" i="11"/>
  <c r="CG227" i="11"/>
  <c r="CH227" i="11"/>
  <c r="CB228" i="11"/>
  <c r="CC228" i="11"/>
  <c r="CD228" i="11"/>
  <c r="CE228" i="11"/>
  <c r="CF228" i="11"/>
  <c r="CG228" i="11"/>
  <c r="CH228" i="11"/>
  <c r="CB232" i="11"/>
  <c r="CC232" i="11"/>
  <c r="CD232" i="11"/>
  <c r="CE232" i="11"/>
  <c r="CF232" i="11"/>
  <c r="CG232" i="11"/>
  <c r="CH232" i="11"/>
  <c r="CB233" i="11"/>
  <c r="CC233" i="11"/>
  <c r="CD233" i="11"/>
  <c r="CE233" i="11"/>
  <c r="CF233" i="11"/>
  <c r="CG233" i="11"/>
  <c r="CH233" i="11"/>
  <c r="CB234" i="11"/>
  <c r="CC234" i="11"/>
  <c r="CD234" i="11"/>
  <c r="CE234" i="11"/>
  <c r="CF234" i="11"/>
  <c r="CG234" i="11"/>
  <c r="CH234" i="11"/>
  <c r="CB235" i="11"/>
  <c r="CC235" i="11"/>
  <c r="CD235" i="11"/>
  <c r="CE235" i="11"/>
  <c r="CF235" i="11"/>
  <c r="CG235" i="11"/>
  <c r="CH235" i="11"/>
  <c r="CB236" i="11"/>
  <c r="CC236" i="11"/>
  <c r="CD236" i="11"/>
  <c r="CE236" i="11"/>
  <c r="CF236" i="11"/>
  <c r="CG236" i="11"/>
  <c r="CH236" i="11"/>
  <c r="CB237" i="11"/>
  <c r="CC237" i="11"/>
  <c r="CD237" i="11"/>
  <c r="CE237" i="11"/>
  <c r="CF237" i="11"/>
  <c r="CG237" i="11"/>
  <c r="CH237" i="11"/>
  <c r="BA245" i="11"/>
  <c r="BB245" i="11"/>
  <c r="BC245" i="11"/>
  <c r="BD245" i="11"/>
  <c r="BE245" i="11"/>
  <c r="BF245" i="11"/>
  <c r="BG245" i="11"/>
  <c r="BH245" i="11"/>
  <c r="BI245" i="11"/>
  <c r="BJ245" i="11"/>
  <c r="BK245" i="11"/>
  <c r="BP245" i="11"/>
  <c r="BQ245" i="11"/>
  <c r="BR245" i="11"/>
  <c r="BS245" i="11"/>
  <c r="BT245" i="11"/>
  <c r="BU245" i="11"/>
  <c r="BV245" i="11"/>
  <c r="BW245" i="11"/>
  <c r="BX245" i="11"/>
  <c r="BY245" i="11"/>
  <c r="BZ245" i="11"/>
  <c r="BA246" i="11"/>
  <c r="BB246" i="11"/>
  <c r="BC246" i="11"/>
  <c r="BD246" i="11"/>
  <c r="BE246" i="11"/>
  <c r="BF246" i="11"/>
  <c r="BG246" i="11"/>
  <c r="BH246" i="11"/>
  <c r="BI246" i="11"/>
  <c r="BJ246" i="11"/>
  <c r="BK246" i="11"/>
  <c r="BP246" i="11"/>
  <c r="BQ246" i="11"/>
  <c r="BR246" i="11"/>
  <c r="BS246" i="11"/>
  <c r="BT246" i="11"/>
  <c r="BU246" i="11"/>
  <c r="BV246" i="11"/>
  <c r="BW246" i="11"/>
  <c r="BX246" i="11"/>
  <c r="BY246" i="11"/>
  <c r="BZ246" i="11"/>
  <c r="BA247" i="11"/>
  <c r="BB247" i="11"/>
  <c r="BC247" i="11"/>
  <c r="BD247" i="11"/>
  <c r="BE247" i="11"/>
  <c r="BF247" i="11"/>
  <c r="BG247" i="11"/>
  <c r="BH247" i="11"/>
  <c r="BI247" i="11"/>
  <c r="BJ247" i="11"/>
  <c r="BK247" i="11"/>
  <c r="BP247" i="11"/>
  <c r="BQ247" i="11"/>
  <c r="BR247" i="11"/>
  <c r="BS247" i="11"/>
  <c r="BT247" i="11"/>
  <c r="BU247" i="11"/>
  <c r="BV247" i="11"/>
  <c r="BW247" i="11"/>
  <c r="BX247" i="11"/>
  <c r="BY247" i="11"/>
  <c r="BZ247" i="11"/>
  <c r="BP252" i="11"/>
  <c r="BQ252" i="11"/>
  <c r="BR252" i="11"/>
  <c r="BS252" i="11"/>
  <c r="BT252" i="11"/>
  <c r="BU252" i="11"/>
  <c r="BV252" i="11"/>
  <c r="BW252" i="11"/>
  <c r="BX252" i="11"/>
  <c r="BY252" i="11"/>
  <c r="BZ252" i="11"/>
  <c r="AL254" i="11"/>
  <c r="AM254" i="11"/>
  <c r="AN254" i="11"/>
  <c r="AO254" i="11"/>
  <c r="AP254" i="11"/>
  <c r="AQ254" i="11"/>
  <c r="AR254" i="11"/>
  <c r="AS254" i="11"/>
  <c r="AT254" i="11"/>
  <c r="AU254" i="11"/>
  <c r="AV254" i="11"/>
  <c r="BP254" i="11"/>
  <c r="BQ254" i="11"/>
  <c r="BR254" i="11"/>
  <c r="BS254" i="11"/>
  <c r="BT254" i="11"/>
  <c r="BU254" i="11"/>
  <c r="BV254" i="11"/>
  <c r="BW254" i="11"/>
  <c r="BX254" i="11"/>
  <c r="BY254" i="11"/>
  <c r="BZ254" i="11"/>
  <c r="AL256" i="11"/>
  <c r="AM256" i="11"/>
  <c r="AN256" i="11"/>
  <c r="AO256" i="11"/>
  <c r="AP256" i="11"/>
  <c r="AQ256" i="11"/>
  <c r="AR256" i="11"/>
  <c r="AS256" i="11"/>
  <c r="AT256" i="11"/>
  <c r="AU256" i="11"/>
  <c r="AV256" i="11"/>
  <c r="G10" i="7"/>
  <c r="H10" i="7"/>
  <c r="I10" i="7"/>
  <c r="J10" i="7"/>
  <c r="K10" i="7"/>
  <c r="L10" i="7"/>
  <c r="M10" i="7"/>
  <c r="N10" i="7"/>
  <c r="O10" i="7"/>
  <c r="P10" i="7"/>
  <c r="Q10" i="7"/>
  <c r="G11" i="7"/>
  <c r="H11" i="7"/>
  <c r="I11" i="7"/>
  <c r="J11" i="7"/>
  <c r="K11" i="7"/>
  <c r="L11" i="7"/>
  <c r="M11" i="7"/>
  <c r="N11" i="7"/>
  <c r="O11" i="7"/>
  <c r="P11" i="7"/>
  <c r="Q11" i="7"/>
  <c r="G13" i="7"/>
  <c r="H13" i="7"/>
  <c r="I13" i="7"/>
  <c r="J13" i="7"/>
  <c r="K13" i="7"/>
  <c r="L13" i="7"/>
  <c r="M13" i="7"/>
  <c r="N13" i="7"/>
  <c r="O13" i="7"/>
  <c r="P13" i="7"/>
  <c r="Q13" i="7"/>
  <c r="G15" i="7"/>
  <c r="H15" i="7"/>
  <c r="I15" i="7"/>
  <c r="J15" i="7"/>
  <c r="K15" i="7"/>
  <c r="L15" i="7"/>
  <c r="M15" i="7"/>
  <c r="N15" i="7"/>
  <c r="O15" i="7"/>
  <c r="P15" i="7"/>
  <c r="Q15" i="7"/>
  <c r="G18" i="7"/>
  <c r="H18" i="7"/>
  <c r="I18" i="7"/>
  <c r="J18" i="7"/>
  <c r="K18" i="7"/>
  <c r="L18" i="7"/>
  <c r="M18" i="7"/>
  <c r="N18" i="7"/>
  <c r="O18" i="7"/>
  <c r="P18" i="7"/>
  <c r="Q18" i="7"/>
  <c r="H23" i="7"/>
  <c r="I23" i="7"/>
  <c r="J23" i="7"/>
  <c r="K23" i="7"/>
  <c r="L23" i="7"/>
  <c r="M23" i="7"/>
  <c r="N23" i="7"/>
  <c r="O23" i="7"/>
  <c r="P23" i="7"/>
  <c r="Q23" i="7"/>
  <c r="G24" i="7"/>
  <c r="H24" i="7"/>
  <c r="I24" i="7"/>
  <c r="J24" i="7"/>
  <c r="K24" i="7"/>
  <c r="L24" i="7"/>
  <c r="M24" i="7"/>
  <c r="N24" i="7"/>
  <c r="O24" i="7"/>
  <c r="P24" i="7"/>
  <c r="Q24" i="7"/>
  <c r="G25" i="7"/>
  <c r="H25" i="7"/>
  <c r="I25" i="7"/>
  <c r="J25" i="7"/>
  <c r="K25" i="7"/>
  <c r="L25" i="7"/>
  <c r="M25" i="7"/>
  <c r="N25" i="7"/>
  <c r="O25" i="7"/>
  <c r="P25" i="7"/>
  <c r="Q25" i="7"/>
  <c r="G27" i="7"/>
  <c r="H27" i="7"/>
  <c r="I27" i="7"/>
  <c r="J27" i="7"/>
  <c r="K27" i="7"/>
  <c r="L27" i="7"/>
  <c r="M27" i="7"/>
  <c r="N27" i="7"/>
  <c r="O27" i="7"/>
  <c r="P27" i="7"/>
  <c r="Q27" i="7"/>
  <c r="G29" i="7"/>
  <c r="H29" i="7"/>
  <c r="I29" i="7"/>
  <c r="J29" i="7"/>
  <c r="K29" i="7"/>
  <c r="L29" i="7"/>
  <c r="M29" i="7"/>
  <c r="N29" i="7"/>
  <c r="O29" i="7"/>
  <c r="P29" i="7"/>
  <c r="Q29" i="7"/>
  <c r="G31" i="7"/>
  <c r="H31" i="7"/>
  <c r="I31" i="7"/>
  <c r="J31" i="7"/>
  <c r="K31" i="7"/>
  <c r="L31" i="7"/>
  <c r="M31" i="7"/>
  <c r="N31" i="7"/>
  <c r="O31" i="7"/>
  <c r="P31" i="7"/>
  <c r="Q31" i="7"/>
  <c r="G34" i="7"/>
  <c r="H34" i="7"/>
  <c r="I34" i="7"/>
  <c r="J34" i="7"/>
  <c r="K34" i="7"/>
  <c r="L34" i="7"/>
  <c r="M34" i="7"/>
  <c r="N34" i="7"/>
  <c r="O34" i="7"/>
  <c r="P34" i="7"/>
  <c r="Q34" i="7"/>
  <c r="G37" i="7"/>
  <c r="H37" i="7"/>
  <c r="I37" i="7"/>
  <c r="J37" i="7"/>
  <c r="K37" i="7"/>
  <c r="L37" i="7"/>
  <c r="M37" i="7"/>
  <c r="N37" i="7"/>
  <c r="O37" i="7"/>
  <c r="P37" i="7"/>
  <c r="Q37" i="7"/>
  <c r="G40" i="7"/>
  <c r="H40" i="7"/>
  <c r="I40" i="7"/>
  <c r="J40" i="7"/>
  <c r="K40" i="7"/>
  <c r="L40" i="7"/>
  <c r="M40" i="7"/>
  <c r="N40" i="7"/>
  <c r="O40" i="7"/>
  <c r="P40" i="7"/>
  <c r="Q40" i="7"/>
  <c r="G41" i="7"/>
  <c r="H41" i="7"/>
  <c r="I41" i="7"/>
  <c r="J41" i="7"/>
  <c r="K41" i="7"/>
  <c r="L41" i="7"/>
  <c r="M41" i="7"/>
  <c r="N41" i="7"/>
  <c r="O41" i="7"/>
  <c r="P41" i="7"/>
  <c r="Q41" i="7"/>
  <c r="G42" i="7"/>
  <c r="H42" i="7"/>
  <c r="I42" i="7"/>
  <c r="J42" i="7"/>
  <c r="K42" i="7"/>
  <c r="L42" i="7"/>
  <c r="M42" i="7"/>
  <c r="N42" i="7"/>
  <c r="O42" i="7"/>
  <c r="P42" i="7"/>
  <c r="Q42" i="7"/>
  <c r="G43" i="7"/>
  <c r="H43" i="7"/>
  <c r="I43" i="7"/>
  <c r="J43" i="7"/>
  <c r="K43" i="7"/>
  <c r="L43" i="7"/>
  <c r="M43" i="7"/>
  <c r="N43" i="7"/>
  <c r="O43" i="7"/>
  <c r="P43" i="7"/>
  <c r="Q43" i="7"/>
  <c r="G44" i="7"/>
  <c r="H44" i="7"/>
  <c r="I44" i="7"/>
  <c r="J44" i="7"/>
  <c r="K44" i="7"/>
  <c r="L44" i="7"/>
  <c r="M44" i="7"/>
  <c r="N44" i="7"/>
  <c r="O44" i="7"/>
  <c r="P44" i="7"/>
  <c r="Q44" i="7"/>
  <c r="G46" i="7"/>
  <c r="H46" i="7"/>
  <c r="I46" i="7"/>
  <c r="J46" i="7"/>
  <c r="K46" i="7"/>
  <c r="L46" i="7"/>
  <c r="M46" i="7"/>
  <c r="N46" i="7"/>
  <c r="O46" i="7"/>
  <c r="P46" i="7"/>
  <c r="Q46" i="7"/>
  <c r="G47" i="7"/>
  <c r="H47" i="7"/>
  <c r="I47" i="7"/>
  <c r="J47" i="7"/>
  <c r="K47" i="7"/>
  <c r="L47" i="7"/>
  <c r="M47" i="7"/>
  <c r="N47" i="7"/>
  <c r="O47" i="7"/>
  <c r="P47" i="7"/>
  <c r="Q47" i="7"/>
  <c r="G10" i="22"/>
  <c r="H10" i="22"/>
  <c r="I10" i="22"/>
  <c r="J10" i="22"/>
  <c r="K10" i="22"/>
  <c r="L10" i="22"/>
  <c r="M10" i="22"/>
  <c r="N10" i="22"/>
  <c r="O10" i="22"/>
  <c r="P10" i="22"/>
  <c r="Q10" i="22"/>
  <c r="G11" i="22"/>
  <c r="H11" i="22"/>
  <c r="I11" i="22"/>
  <c r="J11" i="22"/>
  <c r="K11" i="22"/>
  <c r="L11" i="22"/>
  <c r="M11" i="22"/>
  <c r="N11" i="22"/>
  <c r="O11" i="22"/>
  <c r="P11" i="22"/>
  <c r="Q11" i="22"/>
  <c r="G13" i="22"/>
  <c r="H13" i="22"/>
  <c r="I13" i="22"/>
  <c r="J13" i="22"/>
  <c r="K13" i="22"/>
  <c r="L13" i="22"/>
  <c r="M13" i="22"/>
  <c r="N13" i="22"/>
  <c r="O13" i="22"/>
  <c r="P13" i="22"/>
  <c r="Q13" i="22"/>
  <c r="G15" i="22"/>
  <c r="H15" i="22"/>
  <c r="I15" i="22"/>
  <c r="J15" i="22"/>
  <c r="K15" i="22"/>
  <c r="L15" i="22"/>
  <c r="M15" i="22"/>
  <c r="N15" i="22"/>
  <c r="O15" i="22"/>
  <c r="P15" i="22"/>
  <c r="Q15" i="22"/>
  <c r="G18" i="22"/>
  <c r="H18" i="22"/>
  <c r="I18" i="22"/>
  <c r="J18" i="22"/>
  <c r="K18" i="22"/>
  <c r="L18" i="22"/>
  <c r="M18" i="22"/>
  <c r="N18" i="22"/>
  <c r="O18" i="22"/>
  <c r="P18" i="22"/>
  <c r="Q18" i="22"/>
  <c r="H23" i="22"/>
  <c r="I23" i="22"/>
  <c r="J23" i="22"/>
  <c r="K23" i="22"/>
  <c r="L23" i="22"/>
  <c r="M23" i="22"/>
  <c r="N23" i="22"/>
  <c r="O23" i="22"/>
  <c r="P23" i="22"/>
  <c r="Q23" i="22"/>
  <c r="G24" i="22"/>
  <c r="H24" i="22"/>
  <c r="I24" i="22"/>
  <c r="J24" i="22"/>
  <c r="K24" i="22"/>
  <c r="L24" i="22"/>
  <c r="M24" i="22"/>
  <c r="N24" i="22"/>
  <c r="O24" i="22"/>
  <c r="P24" i="22"/>
  <c r="Q24" i="22"/>
  <c r="G25" i="22"/>
  <c r="H25" i="22"/>
  <c r="I25" i="22"/>
  <c r="J25" i="22"/>
  <c r="K25" i="22"/>
  <c r="L25" i="22"/>
  <c r="M25" i="22"/>
  <c r="N25" i="22"/>
  <c r="O25" i="22"/>
  <c r="P25" i="22"/>
  <c r="Q25" i="22"/>
  <c r="G27" i="22"/>
  <c r="H27" i="22"/>
  <c r="I27" i="22"/>
  <c r="J27" i="22"/>
  <c r="K27" i="22"/>
  <c r="L27" i="22"/>
  <c r="M27" i="22"/>
  <c r="N27" i="22"/>
  <c r="O27" i="22"/>
  <c r="P27" i="22"/>
  <c r="Q27" i="22"/>
  <c r="G29" i="22"/>
  <c r="H29" i="22"/>
  <c r="I29" i="22"/>
  <c r="J29" i="22"/>
  <c r="K29" i="22"/>
  <c r="L29" i="22"/>
  <c r="M29" i="22"/>
  <c r="N29" i="22"/>
  <c r="O29" i="22"/>
  <c r="P29" i="22"/>
  <c r="Q29" i="22"/>
  <c r="G31" i="22"/>
  <c r="H31" i="22"/>
  <c r="I31" i="22"/>
  <c r="J31" i="22"/>
  <c r="K31" i="22"/>
  <c r="L31" i="22"/>
  <c r="M31" i="22"/>
  <c r="N31" i="22"/>
  <c r="O31" i="22"/>
  <c r="P31" i="22"/>
  <c r="Q31" i="22"/>
  <c r="G34" i="22"/>
  <c r="H34" i="22"/>
  <c r="I34" i="22"/>
  <c r="J34" i="22"/>
  <c r="K34" i="22"/>
  <c r="L34" i="22"/>
  <c r="M34" i="22"/>
  <c r="N34" i="22"/>
  <c r="O34" i="22"/>
  <c r="P34" i="22"/>
  <c r="Q34" i="22"/>
  <c r="G37" i="22"/>
  <c r="H37" i="22"/>
  <c r="I37" i="22"/>
  <c r="J37" i="22"/>
  <c r="K37" i="22"/>
  <c r="L37" i="22"/>
  <c r="M37" i="22"/>
  <c r="N37" i="22"/>
  <c r="O37" i="22"/>
  <c r="P37" i="22"/>
  <c r="Q37" i="22"/>
  <c r="G4" i="6"/>
  <c r="H4" i="6"/>
  <c r="I4" i="6"/>
  <c r="J4" i="6"/>
  <c r="K4" i="6"/>
  <c r="L4" i="6"/>
  <c r="M4" i="6"/>
  <c r="N4" i="6"/>
  <c r="O4" i="6"/>
  <c r="P4" i="6"/>
  <c r="Q4" i="6"/>
  <c r="G6" i="6"/>
  <c r="H6" i="6"/>
  <c r="I6" i="6"/>
  <c r="J6" i="6"/>
  <c r="K6" i="6"/>
  <c r="L6" i="6"/>
  <c r="M6" i="6"/>
  <c r="N6" i="6"/>
  <c r="O6" i="6"/>
  <c r="P6" i="6"/>
  <c r="Q6" i="6"/>
  <c r="G8" i="6"/>
  <c r="H8" i="6"/>
  <c r="I8" i="6"/>
  <c r="J8" i="6"/>
  <c r="K8" i="6"/>
  <c r="L8" i="6"/>
  <c r="M8" i="6"/>
  <c r="N8" i="6"/>
  <c r="O8" i="6"/>
  <c r="P8" i="6"/>
  <c r="Q8" i="6"/>
  <c r="G9" i="6"/>
  <c r="H9" i="6"/>
  <c r="I9" i="6"/>
  <c r="J9" i="6"/>
  <c r="K9" i="6"/>
  <c r="L9" i="6"/>
  <c r="M9" i="6"/>
  <c r="N9" i="6"/>
  <c r="O9" i="6"/>
  <c r="P9" i="6"/>
  <c r="Q9" i="6"/>
  <c r="G10" i="6"/>
  <c r="H10" i="6"/>
  <c r="I10" i="6"/>
  <c r="J10" i="6"/>
  <c r="K10" i="6"/>
  <c r="L10" i="6"/>
  <c r="M10" i="6"/>
  <c r="N10" i="6"/>
  <c r="O10" i="6"/>
  <c r="P10" i="6"/>
  <c r="Q10" i="6"/>
  <c r="G14" i="6"/>
  <c r="H14" i="6"/>
  <c r="I14" i="6"/>
  <c r="J14" i="6"/>
  <c r="K14" i="6"/>
  <c r="L14" i="6"/>
  <c r="M14" i="6"/>
  <c r="N14" i="6"/>
  <c r="O14" i="6"/>
  <c r="P14" i="6"/>
  <c r="Q14" i="6"/>
  <c r="H25" i="6"/>
  <c r="I25" i="6"/>
  <c r="J25" i="6"/>
  <c r="K25" i="6"/>
  <c r="L25" i="6"/>
  <c r="M25" i="6"/>
  <c r="N25" i="6"/>
  <c r="O25" i="6"/>
  <c r="P25" i="6"/>
  <c r="Q25" i="6"/>
  <c r="H26" i="6"/>
  <c r="I26" i="6"/>
  <c r="J26" i="6"/>
  <c r="K26" i="6"/>
  <c r="L26" i="6"/>
  <c r="M26" i="6"/>
  <c r="N26" i="6"/>
  <c r="O26" i="6"/>
  <c r="P26" i="6"/>
  <c r="Q26" i="6"/>
  <c r="G31" i="6"/>
  <c r="H31" i="6"/>
  <c r="I31" i="6"/>
  <c r="J31" i="6"/>
  <c r="K31" i="6"/>
  <c r="L31" i="6"/>
  <c r="M31" i="6"/>
  <c r="N31" i="6"/>
  <c r="O31" i="6"/>
  <c r="P31" i="6"/>
  <c r="Q31" i="6"/>
  <c r="H33" i="6"/>
  <c r="I33" i="6"/>
  <c r="J33" i="6"/>
  <c r="K33" i="6"/>
  <c r="L33" i="6"/>
  <c r="M33" i="6"/>
  <c r="N33" i="6"/>
  <c r="O33" i="6"/>
  <c r="P33" i="6"/>
  <c r="Q33" i="6"/>
  <c r="G34" i="6"/>
  <c r="H34" i="6"/>
  <c r="I34" i="6"/>
  <c r="J34" i="6"/>
  <c r="K34" i="6"/>
  <c r="L34" i="6"/>
  <c r="M34" i="6"/>
  <c r="N34" i="6"/>
  <c r="O34" i="6"/>
  <c r="P34" i="6"/>
  <c r="Q34" i="6"/>
  <c r="G35" i="6"/>
  <c r="H35" i="6"/>
  <c r="I35" i="6"/>
  <c r="J35" i="6"/>
  <c r="K35" i="6"/>
  <c r="L35" i="6"/>
  <c r="M35" i="6"/>
  <c r="N35" i="6"/>
  <c r="O35" i="6"/>
  <c r="P35" i="6"/>
  <c r="Q35" i="6"/>
  <c r="G36" i="6"/>
  <c r="H36" i="6"/>
  <c r="I36" i="6"/>
  <c r="J36" i="6"/>
  <c r="K36" i="6"/>
  <c r="L36" i="6"/>
  <c r="M36" i="6"/>
  <c r="G40" i="6"/>
  <c r="H40" i="6"/>
  <c r="I40" i="6"/>
  <c r="J40" i="6"/>
  <c r="K40" i="6"/>
  <c r="L40" i="6"/>
  <c r="M40" i="6"/>
  <c r="N40" i="6"/>
  <c r="O40" i="6"/>
  <c r="P40" i="6"/>
  <c r="Q40" i="6"/>
  <c r="G42" i="6"/>
  <c r="H42" i="6"/>
  <c r="I42" i="6"/>
  <c r="J42" i="6"/>
  <c r="K42" i="6"/>
  <c r="L42" i="6"/>
  <c r="M42" i="6"/>
  <c r="N42" i="6"/>
  <c r="O42" i="6"/>
  <c r="P42" i="6"/>
  <c r="Q42" i="6"/>
  <c r="G43" i="6"/>
  <c r="H43" i="6"/>
  <c r="I43" i="6"/>
  <c r="J43" i="6"/>
  <c r="K43" i="6"/>
  <c r="L43" i="6"/>
  <c r="M43" i="6"/>
  <c r="N43" i="6"/>
  <c r="O43" i="6"/>
  <c r="P43" i="6"/>
  <c r="Q43" i="6"/>
  <c r="G48" i="6"/>
  <c r="H48" i="6"/>
  <c r="I48" i="6"/>
  <c r="J48" i="6"/>
  <c r="K48" i="6"/>
  <c r="L48" i="6"/>
  <c r="M48" i="6"/>
  <c r="N48" i="6"/>
  <c r="O48" i="6"/>
  <c r="P48" i="6"/>
  <c r="Q48" i="6"/>
  <c r="G51" i="6"/>
  <c r="H51" i="6"/>
  <c r="I51" i="6"/>
  <c r="J51" i="6"/>
  <c r="K51" i="6"/>
  <c r="L51" i="6"/>
  <c r="M51" i="6"/>
  <c r="N51" i="6"/>
  <c r="O51" i="6"/>
  <c r="P51" i="6"/>
  <c r="Q51" i="6"/>
  <c r="G54" i="6"/>
  <c r="H54" i="6"/>
  <c r="I54" i="6"/>
  <c r="J54" i="6"/>
  <c r="K54" i="6"/>
  <c r="L54" i="6"/>
  <c r="M54" i="6"/>
  <c r="N54" i="6"/>
  <c r="O54" i="6"/>
  <c r="P54" i="6"/>
  <c r="Q54" i="6"/>
  <c r="G57" i="6"/>
  <c r="H57" i="6"/>
  <c r="I57" i="6"/>
  <c r="J57" i="6"/>
  <c r="K57" i="6"/>
  <c r="L57" i="6"/>
  <c r="M57" i="6"/>
  <c r="N57" i="6"/>
  <c r="O57" i="6"/>
  <c r="P57" i="6"/>
  <c r="Q57" i="6"/>
  <c r="G60" i="6"/>
  <c r="H60" i="6"/>
  <c r="I60" i="6"/>
  <c r="J60" i="6"/>
  <c r="K60" i="6"/>
  <c r="L60" i="6"/>
  <c r="M60" i="6"/>
  <c r="N60" i="6"/>
  <c r="O60" i="6"/>
  <c r="P60" i="6"/>
  <c r="Q60" i="6"/>
  <c r="G61" i="6"/>
  <c r="H61" i="6"/>
  <c r="I61" i="6"/>
  <c r="J61" i="6"/>
  <c r="K61" i="6"/>
  <c r="L61" i="6"/>
  <c r="M61" i="6"/>
  <c r="N61" i="6"/>
  <c r="O61" i="6"/>
  <c r="P61" i="6"/>
  <c r="Q61" i="6"/>
  <c r="G63" i="6"/>
  <c r="H63" i="6"/>
  <c r="I63" i="6"/>
  <c r="J63" i="6"/>
  <c r="K63" i="6"/>
  <c r="L63" i="6"/>
  <c r="M63" i="6"/>
  <c r="N63" i="6"/>
  <c r="O63" i="6"/>
  <c r="P63" i="6"/>
  <c r="Q63" i="6"/>
  <c r="G69" i="6"/>
  <c r="H69" i="6"/>
  <c r="I69" i="6"/>
  <c r="J69" i="6"/>
  <c r="K69" i="6"/>
  <c r="L69" i="6"/>
  <c r="M69" i="6"/>
  <c r="N69" i="6"/>
  <c r="O69" i="6"/>
  <c r="P69" i="6"/>
  <c r="Q69" i="6"/>
  <c r="G72" i="6"/>
  <c r="H72" i="6"/>
  <c r="I72" i="6"/>
  <c r="J72" i="6"/>
  <c r="K72" i="6"/>
  <c r="L72" i="6"/>
  <c r="M72" i="6"/>
  <c r="N72" i="6"/>
  <c r="O72" i="6"/>
  <c r="P72" i="6"/>
  <c r="Q72" i="6"/>
  <c r="G73" i="6"/>
  <c r="H73" i="6"/>
  <c r="I73" i="6"/>
  <c r="J73" i="6"/>
  <c r="K73" i="6"/>
  <c r="L73" i="6"/>
  <c r="M73" i="6"/>
  <c r="N73" i="6"/>
  <c r="O73" i="6"/>
  <c r="P73" i="6"/>
  <c r="Q73" i="6"/>
  <c r="G75" i="6"/>
  <c r="H75" i="6"/>
  <c r="I75" i="6"/>
  <c r="J75" i="6"/>
  <c r="K75" i="6"/>
  <c r="L75" i="6"/>
  <c r="M75" i="6"/>
  <c r="N75" i="6"/>
  <c r="O75" i="6"/>
  <c r="P75" i="6"/>
  <c r="Q75" i="6"/>
  <c r="G77" i="6"/>
  <c r="H77" i="6"/>
  <c r="I77" i="6"/>
  <c r="J77" i="6"/>
  <c r="K77" i="6"/>
  <c r="L77" i="6"/>
  <c r="M77" i="6"/>
  <c r="N77" i="6"/>
  <c r="O77" i="6"/>
  <c r="P77" i="6"/>
  <c r="Q77" i="6"/>
  <c r="G78" i="6"/>
  <c r="H78" i="6"/>
  <c r="I78" i="6"/>
  <c r="J78" i="6"/>
  <c r="K78" i="6"/>
  <c r="L78" i="6"/>
  <c r="M78" i="6"/>
  <c r="N78" i="6"/>
  <c r="O78" i="6"/>
  <c r="P78" i="6"/>
  <c r="Q78" i="6"/>
  <c r="G81" i="6"/>
  <c r="H81" i="6"/>
  <c r="I81" i="6"/>
  <c r="J81" i="6"/>
  <c r="K81" i="6"/>
  <c r="L81" i="6"/>
  <c r="M81" i="6"/>
  <c r="N81" i="6"/>
  <c r="O81" i="6"/>
  <c r="P81" i="6"/>
  <c r="Q81" i="6"/>
  <c r="H87" i="6"/>
  <c r="I87" i="6"/>
  <c r="J87" i="6"/>
  <c r="K87" i="6"/>
  <c r="L87" i="6"/>
  <c r="M87" i="6"/>
  <c r="N87" i="6"/>
  <c r="O87" i="6"/>
  <c r="P87" i="6"/>
  <c r="Q87" i="6"/>
  <c r="G89" i="6"/>
  <c r="H89" i="6"/>
  <c r="I89" i="6"/>
  <c r="J89" i="6"/>
  <c r="K89" i="6"/>
  <c r="L89" i="6"/>
  <c r="M89" i="6"/>
  <c r="N89" i="6"/>
  <c r="O89" i="6"/>
  <c r="P89" i="6"/>
  <c r="Q89" i="6"/>
  <c r="G92" i="6"/>
  <c r="H92" i="6"/>
  <c r="I92" i="6"/>
  <c r="J92" i="6"/>
  <c r="K92" i="6"/>
  <c r="L92" i="6"/>
  <c r="M92" i="6"/>
  <c r="N92" i="6"/>
  <c r="O92" i="6"/>
  <c r="P92" i="6"/>
  <c r="Q92" i="6"/>
  <c r="G93" i="6"/>
  <c r="H93" i="6"/>
  <c r="I93" i="6"/>
  <c r="J93" i="6"/>
  <c r="K93" i="6"/>
  <c r="L93" i="6"/>
  <c r="M93" i="6"/>
  <c r="N93" i="6"/>
  <c r="O93" i="6"/>
  <c r="P93" i="6"/>
  <c r="Q93" i="6"/>
  <c r="G4" i="26"/>
  <c r="H4" i="26"/>
  <c r="I4" i="26"/>
  <c r="J4" i="26"/>
  <c r="K4" i="26"/>
  <c r="L4" i="26"/>
  <c r="M4" i="26"/>
  <c r="N4" i="26"/>
  <c r="O4" i="26"/>
  <c r="P4" i="26"/>
  <c r="Q4" i="26"/>
  <c r="G6" i="26"/>
  <c r="H6" i="26"/>
  <c r="I6" i="26"/>
  <c r="J6" i="26"/>
  <c r="K6" i="26"/>
  <c r="L6" i="26"/>
  <c r="M6" i="26"/>
  <c r="N6" i="26"/>
  <c r="O6" i="26"/>
  <c r="P6" i="26"/>
  <c r="Q6" i="26"/>
  <c r="G8" i="26"/>
  <c r="H8" i="26"/>
  <c r="I8" i="26"/>
  <c r="J8" i="26"/>
  <c r="K8" i="26"/>
  <c r="L8" i="26"/>
  <c r="M8" i="26"/>
  <c r="N8" i="26"/>
  <c r="O8" i="26"/>
  <c r="P8" i="26"/>
  <c r="Q8" i="26"/>
  <c r="G9" i="26"/>
  <c r="H9" i="26"/>
  <c r="I9" i="26"/>
  <c r="J9" i="26"/>
  <c r="K9" i="26"/>
  <c r="L9" i="26"/>
  <c r="M9" i="26"/>
  <c r="N9" i="26"/>
  <c r="O9" i="26"/>
  <c r="P9" i="26"/>
  <c r="Q9" i="26"/>
  <c r="G10" i="26"/>
  <c r="H10" i="26"/>
  <c r="I10" i="26"/>
  <c r="J10" i="26"/>
  <c r="K10" i="26"/>
  <c r="L10" i="26"/>
  <c r="M10" i="26"/>
  <c r="N10" i="26"/>
  <c r="O10" i="26"/>
  <c r="P10" i="26"/>
  <c r="Q10" i="26"/>
  <c r="G13" i="26"/>
  <c r="H13" i="26"/>
  <c r="I13" i="26"/>
  <c r="J13" i="26"/>
  <c r="K13" i="26"/>
  <c r="L13" i="26"/>
  <c r="M13" i="26"/>
  <c r="N13" i="26"/>
  <c r="O13" i="26"/>
  <c r="P13" i="26"/>
  <c r="Q13" i="26"/>
  <c r="H23" i="26"/>
  <c r="I23" i="26"/>
  <c r="J23" i="26"/>
  <c r="K23" i="26"/>
  <c r="L23" i="26"/>
  <c r="M23" i="26"/>
  <c r="N23" i="26"/>
  <c r="O23" i="26"/>
  <c r="P23" i="26"/>
  <c r="Q23" i="26"/>
  <c r="H24" i="26"/>
  <c r="I24" i="26"/>
  <c r="J24" i="26"/>
  <c r="K24" i="26"/>
  <c r="L24" i="26"/>
  <c r="M24" i="26"/>
  <c r="N24" i="26"/>
  <c r="O24" i="26"/>
  <c r="P24" i="26"/>
  <c r="Q24" i="26"/>
  <c r="G26" i="26"/>
  <c r="H26" i="26"/>
  <c r="I26" i="26"/>
  <c r="J26" i="26"/>
  <c r="K26" i="26"/>
  <c r="L26" i="26"/>
  <c r="M26" i="26"/>
  <c r="N26" i="26"/>
  <c r="O26" i="26"/>
  <c r="P26" i="26"/>
  <c r="Q26" i="26"/>
  <c r="H29" i="26"/>
  <c r="I29" i="26"/>
  <c r="J29" i="26"/>
  <c r="K29" i="26"/>
  <c r="L29" i="26"/>
  <c r="M29" i="26"/>
  <c r="N29" i="26"/>
  <c r="O29" i="26"/>
  <c r="P29" i="26"/>
  <c r="Q29" i="26"/>
  <c r="H30" i="26"/>
  <c r="I30" i="26"/>
  <c r="J30" i="26"/>
  <c r="K30" i="26"/>
  <c r="L30" i="26"/>
  <c r="M30" i="26"/>
  <c r="N30" i="26"/>
  <c r="O30" i="26"/>
  <c r="P30" i="26"/>
  <c r="Q30" i="26"/>
  <c r="G31" i="26"/>
  <c r="H31" i="26"/>
  <c r="I31" i="26"/>
  <c r="J31" i="26"/>
  <c r="K31" i="26"/>
  <c r="L31" i="26"/>
  <c r="M31" i="26"/>
  <c r="N31" i="26"/>
  <c r="O31" i="26"/>
  <c r="P31" i="26"/>
  <c r="Q31" i="26"/>
  <c r="G32" i="26"/>
  <c r="H32" i="26"/>
  <c r="I32" i="26"/>
  <c r="J32" i="26"/>
  <c r="K32" i="26"/>
  <c r="L32" i="26"/>
  <c r="M32" i="26"/>
  <c r="N32" i="26"/>
  <c r="O32" i="26"/>
  <c r="P32" i="26"/>
  <c r="Q32" i="26"/>
  <c r="G37" i="26"/>
  <c r="H37" i="26"/>
  <c r="I37" i="26"/>
  <c r="J37" i="26"/>
  <c r="K37" i="26"/>
  <c r="L37" i="26"/>
  <c r="M37" i="26"/>
  <c r="N37" i="26"/>
  <c r="O37" i="26"/>
  <c r="P37" i="26"/>
  <c r="Q37" i="26"/>
  <c r="G39" i="26"/>
  <c r="H39" i="26"/>
  <c r="I39" i="26"/>
  <c r="J39" i="26"/>
  <c r="K39" i="26"/>
  <c r="L39" i="26"/>
  <c r="M39" i="26"/>
  <c r="N39" i="26"/>
  <c r="O39" i="26"/>
  <c r="P39" i="26"/>
  <c r="Q39" i="26"/>
  <c r="G40" i="26"/>
  <c r="H40" i="26"/>
  <c r="I40" i="26"/>
  <c r="J40" i="26"/>
  <c r="K40" i="26"/>
  <c r="L40" i="26"/>
  <c r="M40" i="26"/>
  <c r="N40" i="26"/>
  <c r="O40" i="26"/>
  <c r="P40" i="26"/>
  <c r="Q40" i="26"/>
  <c r="G45" i="26"/>
  <c r="H45" i="26"/>
  <c r="I45" i="26"/>
  <c r="J45" i="26"/>
  <c r="K45" i="26"/>
  <c r="L45" i="26"/>
  <c r="M45" i="26"/>
  <c r="N45" i="26"/>
  <c r="O45" i="26"/>
  <c r="P45" i="26"/>
  <c r="Q45" i="26"/>
  <c r="G48" i="26"/>
  <c r="H48" i="26"/>
  <c r="I48" i="26"/>
  <c r="J48" i="26"/>
  <c r="K48" i="26"/>
  <c r="L48" i="26"/>
  <c r="M48" i="26"/>
  <c r="N48" i="26"/>
  <c r="O48" i="26"/>
  <c r="P48" i="26"/>
  <c r="Q48" i="26"/>
  <c r="G51" i="26"/>
  <c r="H51" i="26"/>
  <c r="I51" i="26"/>
  <c r="J51" i="26"/>
  <c r="K51" i="26"/>
  <c r="L51" i="26"/>
  <c r="M51" i="26"/>
  <c r="N51" i="26"/>
  <c r="O51" i="26"/>
  <c r="P51" i="26"/>
  <c r="Q51" i="26"/>
  <c r="G53" i="26"/>
  <c r="H53" i="26"/>
  <c r="I53" i="26"/>
  <c r="J53" i="26"/>
  <c r="K53" i="26"/>
  <c r="L53" i="26"/>
  <c r="M53" i="26"/>
  <c r="N53" i="26"/>
  <c r="O53" i="26"/>
  <c r="P53" i="26"/>
  <c r="Q53" i="26"/>
  <c r="G56" i="26"/>
  <c r="H56" i="26"/>
  <c r="I56" i="26"/>
  <c r="J56" i="26"/>
  <c r="K56" i="26"/>
  <c r="L56" i="26"/>
  <c r="M56" i="26"/>
  <c r="N56" i="26"/>
  <c r="O56" i="26"/>
  <c r="P56" i="26"/>
  <c r="Q56" i="26"/>
  <c r="G57" i="26"/>
  <c r="H57" i="26"/>
  <c r="I57" i="26"/>
  <c r="J57" i="26"/>
  <c r="K57" i="26"/>
  <c r="L57" i="26"/>
  <c r="M57" i="26"/>
  <c r="N57" i="26"/>
  <c r="O57" i="26"/>
  <c r="P57" i="26"/>
  <c r="Q57" i="26"/>
  <c r="G59" i="26"/>
  <c r="H59" i="26"/>
  <c r="I59" i="26"/>
  <c r="J59" i="26"/>
  <c r="K59" i="26"/>
  <c r="L59" i="26"/>
  <c r="M59" i="26"/>
  <c r="N59" i="26"/>
  <c r="O59" i="26"/>
  <c r="P59" i="26"/>
  <c r="Q59" i="26"/>
  <c r="G61" i="26"/>
  <c r="H61" i="26"/>
  <c r="I61" i="26"/>
  <c r="J61" i="26"/>
  <c r="K61" i="26"/>
  <c r="L61" i="26"/>
  <c r="M61" i="26"/>
  <c r="N61" i="26"/>
  <c r="O61" i="26"/>
  <c r="P61" i="26"/>
  <c r="Q61" i="26"/>
  <c r="G62" i="26"/>
  <c r="H62" i="26"/>
  <c r="I62" i="26"/>
  <c r="J62" i="26"/>
  <c r="K62" i="26"/>
  <c r="L62" i="26"/>
  <c r="M62" i="26"/>
  <c r="N62" i="26"/>
  <c r="O62" i="26"/>
  <c r="P62" i="26"/>
  <c r="Q62" i="26"/>
  <c r="G65" i="26"/>
  <c r="H65" i="26"/>
  <c r="I65" i="26"/>
  <c r="J65" i="26"/>
  <c r="K65" i="26"/>
  <c r="L65" i="26"/>
  <c r="M65" i="26"/>
  <c r="N65" i="26"/>
  <c r="O65" i="26"/>
  <c r="P65" i="26"/>
  <c r="Q65" i="26"/>
  <c r="H71" i="26"/>
  <c r="I71" i="26"/>
  <c r="J71" i="26"/>
  <c r="K71" i="26"/>
  <c r="L71" i="26"/>
  <c r="M71" i="26"/>
  <c r="N71" i="26"/>
  <c r="O71" i="26"/>
  <c r="P71" i="26"/>
  <c r="Q71" i="26"/>
  <c r="G73" i="26"/>
  <c r="H73" i="26"/>
  <c r="I73" i="26"/>
  <c r="J73" i="26"/>
  <c r="K73" i="26"/>
  <c r="L73" i="26"/>
  <c r="M73" i="26"/>
  <c r="N73" i="26"/>
  <c r="O73" i="26"/>
  <c r="P73" i="26"/>
  <c r="Q73" i="26"/>
  <c r="G76" i="26"/>
  <c r="H76" i="26"/>
  <c r="I76" i="26"/>
  <c r="J76" i="26"/>
  <c r="K76" i="26"/>
  <c r="L76" i="26"/>
  <c r="M76" i="26"/>
  <c r="N76" i="26"/>
  <c r="O76" i="26"/>
  <c r="P76" i="26"/>
  <c r="Q76" i="26"/>
  <c r="G77" i="26"/>
  <c r="H77" i="26"/>
  <c r="I77" i="26"/>
  <c r="J77" i="26"/>
  <c r="K77" i="26"/>
  <c r="L77" i="26"/>
  <c r="M77" i="26"/>
  <c r="N77" i="26"/>
  <c r="O77" i="26"/>
  <c r="P77" i="26"/>
  <c r="Q77" i="26"/>
  <c r="G5" i="10"/>
  <c r="H5" i="10"/>
  <c r="I5" i="10"/>
  <c r="J5" i="10"/>
  <c r="K5" i="10"/>
  <c r="L5" i="10"/>
  <c r="M5" i="10"/>
  <c r="N5" i="10"/>
  <c r="O5" i="10"/>
  <c r="P5" i="10"/>
  <c r="Q5" i="10"/>
  <c r="R5" i="10"/>
  <c r="G6" i="10"/>
  <c r="H6" i="10"/>
  <c r="I6" i="10"/>
  <c r="J6" i="10"/>
  <c r="K6" i="10"/>
  <c r="L6" i="10"/>
  <c r="M6" i="10"/>
  <c r="N6" i="10"/>
  <c r="O6" i="10"/>
  <c r="P6" i="10"/>
  <c r="Q6" i="10"/>
  <c r="R6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H10" i="12"/>
  <c r="I10" i="12"/>
  <c r="J10" i="12"/>
  <c r="K10" i="12"/>
  <c r="L10" i="12"/>
  <c r="M10" i="12"/>
  <c r="N10" i="12"/>
  <c r="O10" i="12"/>
  <c r="P10" i="12"/>
  <c r="Q10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F29" i="12"/>
  <c r="G29" i="12"/>
  <c r="R29" i="12"/>
  <c r="G37" i="12"/>
  <c r="R37" i="12"/>
  <c r="G38" i="12"/>
  <c r="R38" i="12"/>
  <c r="G41" i="12"/>
  <c r="R41" i="12"/>
  <c r="G42" i="12"/>
  <c r="R42" i="12"/>
  <c r="G43" i="12"/>
  <c r="R43" i="12"/>
  <c r="G44" i="12"/>
  <c r="R44" i="12"/>
  <c r="H3" i="36"/>
  <c r="I3" i="36"/>
  <c r="J3" i="36"/>
  <c r="K3" i="36"/>
  <c r="L3" i="36"/>
  <c r="M3" i="36"/>
  <c r="N3" i="36"/>
  <c r="O3" i="36"/>
  <c r="P3" i="36"/>
  <c r="Q3" i="36"/>
  <c r="G4" i="36"/>
  <c r="H4" i="36"/>
  <c r="I4" i="36"/>
  <c r="J4" i="36"/>
  <c r="K4" i="36"/>
  <c r="L4" i="36"/>
  <c r="M4" i="36"/>
  <c r="N4" i="36"/>
  <c r="O4" i="36"/>
  <c r="P4" i="36"/>
  <c r="Q4" i="36"/>
  <c r="H6" i="36"/>
  <c r="I6" i="36"/>
  <c r="J6" i="36"/>
  <c r="K6" i="36"/>
  <c r="L6" i="36"/>
  <c r="M6" i="36"/>
  <c r="N6" i="36"/>
  <c r="O6" i="36"/>
  <c r="P6" i="36"/>
  <c r="Q6" i="36"/>
  <c r="G12" i="36"/>
  <c r="H12" i="36"/>
  <c r="I12" i="36"/>
  <c r="J12" i="36"/>
  <c r="K12" i="36"/>
  <c r="L12" i="36"/>
  <c r="M12" i="36"/>
  <c r="N12" i="36"/>
  <c r="O12" i="36"/>
  <c r="P12" i="36"/>
  <c r="Q12" i="36"/>
  <c r="G13" i="36"/>
  <c r="H13" i="36"/>
  <c r="I13" i="36"/>
  <c r="J13" i="36"/>
  <c r="K13" i="36"/>
  <c r="L13" i="36"/>
  <c r="M13" i="36"/>
  <c r="N13" i="36"/>
  <c r="O13" i="36"/>
  <c r="P13" i="36"/>
  <c r="Q13" i="36"/>
  <c r="G14" i="36"/>
  <c r="H14" i="36"/>
  <c r="I14" i="36"/>
  <c r="J14" i="36"/>
  <c r="K14" i="36"/>
  <c r="L14" i="36"/>
  <c r="M14" i="36"/>
  <c r="N14" i="36"/>
  <c r="O14" i="36"/>
  <c r="P14" i="36"/>
  <c r="Q14" i="36"/>
  <c r="G16" i="36"/>
  <c r="H16" i="36"/>
  <c r="I16" i="36"/>
  <c r="H18" i="36"/>
  <c r="I18" i="36"/>
  <c r="G23" i="36"/>
  <c r="H23" i="36"/>
  <c r="I23" i="36"/>
  <c r="G84" i="9"/>
  <c r="H84" i="9"/>
  <c r="I84" i="9"/>
  <c r="J84" i="9"/>
  <c r="K84" i="9"/>
  <c r="L84" i="9"/>
  <c r="M84" i="9"/>
  <c r="N84" i="9"/>
  <c r="O84" i="9"/>
  <c r="P84" i="9"/>
  <c r="Q84" i="9"/>
  <c r="G87" i="9"/>
  <c r="H87" i="9"/>
  <c r="I87" i="9"/>
  <c r="J87" i="9"/>
  <c r="K87" i="9"/>
  <c r="L87" i="9"/>
  <c r="M87" i="9"/>
  <c r="N87" i="9"/>
  <c r="O87" i="9"/>
  <c r="P87" i="9"/>
  <c r="Q87" i="9"/>
  <c r="G93" i="9"/>
  <c r="H93" i="9"/>
  <c r="I93" i="9"/>
  <c r="J93" i="9"/>
  <c r="K93" i="9"/>
  <c r="L93" i="9"/>
  <c r="M93" i="9"/>
  <c r="N93" i="9"/>
  <c r="O93" i="9"/>
  <c r="P93" i="9"/>
  <c r="Q93" i="9"/>
  <c r="G94" i="9"/>
  <c r="H94" i="9"/>
  <c r="I94" i="9"/>
  <c r="J94" i="9"/>
  <c r="K94" i="9"/>
  <c r="L94" i="9"/>
  <c r="M94" i="9"/>
  <c r="N94" i="9"/>
  <c r="O94" i="9"/>
  <c r="P94" i="9"/>
  <c r="Q94" i="9"/>
  <c r="G9" i="17"/>
  <c r="H9" i="17"/>
  <c r="I9" i="17"/>
  <c r="J9" i="17"/>
  <c r="K9" i="17"/>
  <c r="L9" i="17"/>
  <c r="M9" i="17"/>
  <c r="N9" i="17"/>
  <c r="O9" i="17"/>
  <c r="P9" i="17"/>
  <c r="Q9" i="17"/>
  <c r="G10" i="17"/>
  <c r="H10" i="17"/>
  <c r="I10" i="17"/>
  <c r="J10" i="17"/>
  <c r="K10" i="17"/>
  <c r="L10" i="17"/>
  <c r="M10" i="17"/>
  <c r="N10" i="17"/>
  <c r="O10" i="17"/>
  <c r="P10" i="17"/>
  <c r="Q10" i="17"/>
  <c r="G15" i="17"/>
  <c r="H15" i="17"/>
  <c r="I15" i="17"/>
  <c r="J15" i="17"/>
  <c r="K15" i="17"/>
  <c r="L15" i="17"/>
  <c r="M15" i="17"/>
  <c r="N15" i="17"/>
  <c r="O15" i="17"/>
  <c r="P15" i="17"/>
  <c r="Q15" i="17"/>
  <c r="G16" i="17"/>
  <c r="H16" i="17"/>
  <c r="I16" i="17"/>
  <c r="J16" i="17"/>
  <c r="K16" i="17"/>
  <c r="L16" i="17"/>
  <c r="M16" i="17"/>
  <c r="N16" i="17"/>
  <c r="O16" i="17"/>
  <c r="P16" i="17"/>
  <c r="Q16" i="17"/>
  <c r="G4" i="8"/>
  <c r="H4" i="8"/>
  <c r="I4" i="8"/>
  <c r="J4" i="8"/>
  <c r="K4" i="8"/>
  <c r="L4" i="8"/>
  <c r="M4" i="8"/>
  <c r="N4" i="8"/>
  <c r="O4" i="8"/>
  <c r="P4" i="8"/>
  <c r="Q4" i="8"/>
  <c r="G6" i="8"/>
  <c r="H6" i="8"/>
  <c r="I6" i="8"/>
  <c r="J6" i="8"/>
  <c r="K6" i="8"/>
  <c r="L6" i="8"/>
  <c r="M6" i="8"/>
  <c r="N6" i="8"/>
  <c r="O6" i="8"/>
  <c r="P6" i="8"/>
  <c r="Q6" i="8"/>
  <c r="G7" i="8"/>
  <c r="H7" i="8"/>
  <c r="I7" i="8"/>
  <c r="J7" i="8"/>
  <c r="K7" i="8"/>
  <c r="L7" i="8"/>
  <c r="M7" i="8"/>
  <c r="N7" i="8"/>
  <c r="O7" i="8"/>
  <c r="P7" i="8"/>
  <c r="Q7" i="8"/>
  <c r="G8" i="8"/>
  <c r="H8" i="8"/>
  <c r="I8" i="8"/>
  <c r="J8" i="8"/>
  <c r="K8" i="8"/>
  <c r="L8" i="8"/>
  <c r="M8" i="8"/>
  <c r="N8" i="8"/>
  <c r="O8" i="8"/>
  <c r="P8" i="8"/>
  <c r="Q8" i="8"/>
  <c r="G9" i="8"/>
  <c r="H9" i="8"/>
  <c r="I9" i="8"/>
  <c r="J9" i="8"/>
  <c r="K9" i="8"/>
  <c r="L9" i="8"/>
  <c r="M9" i="8"/>
  <c r="N9" i="8"/>
  <c r="O9" i="8"/>
  <c r="P9" i="8"/>
  <c r="Q9" i="8"/>
  <c r="G10" i="8"/>
  <c r="H10" i="8"/>
  <c r="I10" i="8"/>
  <c r="J10" i="8"/>
  <c r="K10" i="8"/>
  <c r="L10" i="8"/>
  <c r="M10" i="8"/>
  <c r="N10" i="8"/>
  <c r="O10" i="8"/>
  <c r="P10" i="8"/>
  <c r="Q10" i="8"/>
  <c r="G11" i="8"/>
  <c r="H11" i="8"/>
  <c r="I11" i="8"/>
  <c r="J11" i="8"/>
  <c r="K11" i="8"/>
  <c r="L11" i="8"/>
  <c r="M11" i="8"/>
  <c r="N11" i="8"/>
  <c r="O11" i="8"/>
  <c r="P11" i="8"/>
  <c r="Q11" i="8"/>
  <c r="G15" i="8"/>
  <c r="H15" i="8"/>
  <c r="I15" i="8"/>
  <c r="J15" i="8"/>
  <c r="K15" i="8"/>
  <c r="L15" i="8"/>
  <c r="M15" i="8"/>
  <c r="N15" i="8"/>
  <c r="O15" i="8"/>
  <c r="P15" i="8"/>
  <c r="Q15" i="8"/>
  <c r="G16" i="8"/>
  <c r="H16" i="8"/>
  <c r="I16" i="8"/>
  <c r="J16" i="8"/>
  <c r="K16" i="8"/>
  <c r="L16" i="8"/>
  <c r="M16" i="8"/>
  <c r="N16" i="8"/>
  <c r="O16" i="8"/>
  <c r="P16" i="8"/>
  <c r="Q16" i="8"/>
  <c r="G17" i="8"/>
  <c r="H17" i="8"/>
  <c r="I17" i="8"/>
  <c r="J17" i="8"/>
  <c r="K17" i="8"/>
  <c r="L17" i="8"/>
  <c r="M17" i="8"/>
  <c r="N17" i="8"/>
  <c r="O17" i="8"/>
  <c r="P17" i="8"/>
  <c r="Q17" i="8"/>
  <c r="G20" i="8"/>
  <c r="H20" i="8"/>
  <c r="I20" i="8"/>
  <c r="J20" i="8"/>
  <c r="K20" i="8"/>
  <c r="L20" i="8"/>
  <c r="M20" i="8"/>
  <c r="N20" i="8"/>
  <c r="O20" i="8"/>
  <c r="P20" i="8"/>
  <c r="Q20" i="8"/>
  <c r="G21" i="8"/>
  <c r="H21" i="8"/>
  <c r="I21" i="8"/>
  <c r="J21" i="8"/>
  <c r="K21" i="8"/>
  <c r="L21" i="8"/>
  <c r="M21" i="8"/>
  <c r="N21" i="8"/>
  <c r="O21" i="8"/>
  <c r="P21" i="8"/>
  <c r="Q21" i="8"/>
  <c r="G26" i="8"/>
  <c r="H26" i="8"/>
  <c r="I26" i="8"/>
  <c r="J26" i="8"/>
  <c r="K26" i="8"/>
  <c r="L26" i="8"/>
  <c r="M26" i="8"/>
  <c r="N26" i="8"/>
  <c r="O26" i="8"/>
  <c r="P26" i="8"/>
  <c r="Q26" i="8"/>
  <c r="G28" i="8"/>
  <c r="H28" i="8"/>
  <c r="I28" i="8"/>
  <c r="J28" i="8"/>
  <c r="K28" i="8"/>
  <c r="L28" i="8"/>
  <c r="M28" i="8"/>
  <c r="N28" i="8"/>
  <c r="O28" i="8"/>
  <c r="P28" i="8"/>
  <c r="Q28" i="8"/>
  <c r="G34" i="8"/>
  <c r="H34" i="8"/>
  <c r="I34" i="8"/>
  <c r="J34" i="8"/>
  <c r="K34" i="8"/>
  <c r="L34" i="8"/>
  <c r="M34" i="8"/>
  <c r="N34" i="8"/>
  <c r="O34" i="8"/>
  <c r="P34" i="8"/>
  <c r="Q34" i="8"/>
  <c r="G35" i="8"/>
  <c r="H35" i="8"/>
  <c r="I35" i="8"/>
  <c r="J35" i="8"/>
  <c r="K35" i="8"/>
  <c r="L35" i="8"/>
  <c r="M35" i="8"/>
  <c r="N35" i="8"/>
  <c r="O35" i="8"/>
  <c r="P35" i="8"/>
  <c r="Q35" i="8"/>
  <c r="G36" i="8"/>
  <c r="H36" i="8"/>
  <c r="I36" i="8"/>
  <c r="J36" i="8"/>
  <c r="K36" i="8"/>
  <c r="L36" i="8"/>
  <c r="M36" i="8"/>
  <c r="N36" i="8"/>
  <c r="O36" i="8"/>
  <c r="P36" i="8"/>
  <c r="Q36" i="8"/>
  <c r="G38" i="8"/>
  <c r="H38" i="8"/>
  <c r="I38" i="8"/>
  <c r="J38" i="8"/>
  <c r="K38" i="8"/>
  <c r="L38" i="8"/>
  <c r="M38" i="8"/>
  <c r="N38" i="8"/>
  <c r="O38" i="8"/>
  <c r="P38" i="8"/>
  <c r="Q38" i="8"/>
  <c r="G39" i="8"/>
  <c r="H39" i="8"/>
  <c r="I39" i="8"/>
  <c r="J39" i="8"/>
  <c r="K39" i="8"/>
  <c r="L39" i="8"/>
  <c r="M39" i="8"/>
  <c r="N39" i="8"/>
  <c r="O39" i="8"/>
  <c r="P39" i="8"/>
  <c r="Q39" i="8"/>
  <c r="F8" i="32"/>
  <c r="G8" i="32"/>
  <c r="H8" i="32"/>
  <c r="I8" i="32"/>
  <c r="J8" i="32"/>
  <c r="K8" i="32"/>
  <c r="L8" i="32"/>
  <c r="M8" i="32"/>
  <c r="N8" i="32"/>
  <c r="F9" i="32"/>
  <c r="G9" i="32"/>
  <c r="H9" i="32"/>
  <c r="I9" i="32"/>
  <c r="J9" i="32"/>
  <c r="K9" i="32"/>
  <c r="L9" i="32"/>
  <c r="M9" i="32"/>
  <c r="N9" i="32"/>
  <c r="F10" i="32"/>
  <c r="G10" i="32"/>
  <c r="H10" i="32"/>
  <c r="I10" i="32"/>
  <c r="J10" i="32"/>
  <c r="K10" i="32"/>
  <c r="L10" i="32"/>
  <c r="M10" i="32"/>
  <c r="N10" i="32"/>
  <c r="F11" i="32"/>
  <c r="G11" i="32"/>
  <c r="H11" i="32"/>
  <c r="I11" i="32"/>
  <c r="J11" i="32"/>
  <c r="K11" i="32"/>
  <c r="L11" i="32"/>
  <c r="M11" i="32"/>
  <c r="N11" i="32"/>
  <c r="G13" i="32"/>
  <c r="H13" i="32"/>
  <c r="I13" i="32"/>
  <c r="J13" i="32"/>
  <c r="K13" i="32"/>
  <c r="L13" i="32"/>
  <c r="M13" i="32"/>
  <c r="N13" i="32"/>
  <c r="G14" i="32"/>
  <c r="H14" i="32"/>
  <c r="I14" i="32"/>
  <c r="J14" i="32"/>
  <c r="K14" i="32"/>
  <c r="L14" i="32"/>
  <c r="M14" i="32"/>
  <c r="N14" i="32"/>
  <c r="G15" i="32"/>
  <c r="H15" i="32"/>
  <c r="I15" i="32"/>
  <c r="J15" i="32"/>
  <c r="K15" i="32"/>
  <c r="L15" i="32"/>
  <c r="M15" i="32"/>
  <c r="N15" i="32"/>
  <c r="G17" i="32"/>
  <c r="H17" i="32"/>
  <c r="I17" i="32"/>
  <c r="J17" i="32"/>
  <c r="K17" i="32"/>
  <c r="L17" i="32"/>
  <c r="M17" i="32"/>
  <c r="N17" i="32"/>
  <c r="G18" i="32"/>
  <c r="H18" i="32"/>
  <c r="I18" i="32"/>
  <c r="J18" i="32"/>
  <c r="K18" i="32"/>
  <c r="L18" i="32"/>
  <c r="M18" i="32"/>
  <c r="N18" i="32"/>
  <c r="F20" i="32"/>
  <c r="G20" i="32"/>
  <c r="H20" i="32"/>
  <c r="I20" i="32"/>
  <c r="J20" i="32"/>
  <c r="K20" i="32"/>
  <c r="L20" i="32"/>
  <c r="M20" i="32"/>
  <c r="N20" i="32"/>
  <c r="F21" i="32"/>
  <c r="G21" i="32"/>
  <c r="H21" i="32"/>
  <c r="I21" i="32"/>
  <c r="J21" i="32"/>
  <c r="K21" i="32"/>
  <c r="L21" i="32"/>
  <c r="M21" i="32"/>
  <c r="N21" i="32"/>
  <c r="G22" i="32"/>
  <c r="H22" i="32"/>
  <c r="I22" i="32"/>
  <c r="J22" i="32"/>
  <c r="K22" i="32"/>
  <c r="L22" i="32"/>
  <c r="M22" i="32"/>
  <c r="N22" i="32"/>
  <c r="G24" i="32"/>
  <c r="H24" i="32"/>
  <c r="I24" i="32"/>
  <c r="J24" i="32"/>
  <c r="K24" i="32"/>
  <c r="L24" i="32"/>
  <c r="M24" i="32"/>
  <c r="N24" i="32"/>
  <c r="F26" i="32"/>
  <c r="G26" i="32"/>
  <c r="H26" i="32"/>
  <c r="I26" i="32"/>
  <c r="J26" i="32"/>
  <c r="K26" i="32"/>
  <c r="L26" i="32"/>
  <c r="M26" i="32"/>
  <c r="N26" i="32"/>
  <c r="G28" i="32"/>
  <c r="H28" i="32"/>
  <c r="I28" i="32"/>
  <c r="J28" i="32"/>
  <c r="K28" i="32"/>
  <c r="L28" i="32"/>
  <c r="M28" i="32"/>
  <c r="N28" i="32"/>
  <c r="F34" i="32"/>
  <c r="G34" i="32"/>
  <c r="H34" i="32"/>
  <c r="I34" i="32"/>
  <c r="J34" i="32"/>
  <c r="K34" i="32"/>
  <c r="L34" i="32"/>
  <c r="M34" i="32"/>
  <c r="N34" i="32"/>
  <c r="G35" i="32"/>
  <c r="H35" i="32"/>
  <c r="I35" i="32"/>
  <c r="J35" i="32"/>
  <c r="K35" i="32"/>
  <c r="L35" i="32"/>
  <c r="M35" i="32"/>
  <c r="N35" i="32"/>
  <c r="F36" i="32"/>
  <c r="G36" i="32"/>
  <c r="H36" i="32"/>
  <c r="I36" i="32"/>
  <c r="J36" i="32"/>
  <c r="K36" i="32"/>
  <c r="L36" i="32"/>
  <c r="M36" i="32"/>
  <c r="N36" i="32"/>
  <c r="F42" i="32"/>
  <c r="G42" i="32"/>
  <c r="H42" i="32"/>
  <c r="I42" i="32"/>
  <c r="J42" i="32"/>
  <c r="K42" i="32"/>
  <c r="L42" i="32"/>
  <c r="M42" i="32"/>
  <c r="N42" i="32"/>
  <c r="F43" i="32"/>
  <c r="G43" i="32"/>
  <c r="H43" i="32"/>
  <c r="I43" i="32"/>
  <c r="J43" i="32"/>
  <c r="K43" i="32"/>
  <c r="L43" i="32"/>
  <c r="M43" i="32"/>
  <c r="N43" i="32"/>
  <c r="G47" i="32"/>
  <c r="H47" i="32"/>
  <c r="I47" i="32"/>
  <c r="J47" i="32"/>
  <c r="K47" i="32"/>
  <c r="L47" i="32"/>
  <c r="M47" i="32"/>
  <c r="N47" i="32"/>
  <c r="F50" i="32"/>
  <c r="G50" i="32"/>
  <c r="H50" i="32"/>
  <c r="I50" i="32"/>
  <c r="J50" i="32"/>
  <c r="K50" i="32"/>
  <c r="L50" i="32"/>
  <c r="M50" i="32"/>
  <c r="N50" i="32"/>
  <c r="F51" i="32"/>
  <c r="G51" i="32"/>
  <c r="H51" i="32"/>
  <c r="I51" i="32"/>
  <c r="J51" i="32"/>
  <c r="K51" i="32"/>
  <c r="L51" i="32"/>
  <c r="M51" i="32"/>
  <c r="N51" i="32"/>
  <c r="G52" i="32"/>
  <c r="H52" i="32"/>
  <c r="I52" i="32"/>
  <c r="J52" i="32"/>
  <c r="K52" i="32"/>
  <c r="L52" i="32"/>
  <c r="M52" i="32"/>
  <c r="N52" i="32"/>
  <c r="G55" i="32"/>
  <c r="H55" i="32"/>
  <c r="I55" i="32"/>
  <c r="J55" i="32"/>
  <c r="K55" i="32"/>
  <c r="L55" i="32"/>
  <c r="M55" i="32"/>
  <c r="N55" i="32"/>
  <c r="F58" i="32"/>
  <c r="G58" i="32"/>
  <c r="H58" i="32"/>
  <c r="I58" i="32"/>
  <c r="J58" i="32"/>
  <c r="K58" i="32"/>
  <c r="L58" i="32"/>
  <c r="M58" i="32"/>
  <c r="N58" i="32"/>
  <c r="F59" i="32"/>
  <c r="G59" i="32"/>
  <c r="H59" i="32"/>
  <c r="I59" i="32"/>
  <c r="J59" i="32"/>
  <c r="K59" i="32"/>
  <c r="L59" i="32"/>
  <c r="M59" i="32"/>
  <c r="N59" i="32"/>
  <c r="G62" i="32"/>
  <c r="H62" i="32"/>
  <c r="I62" i="32"/>
  <c r="J62" i="32"/>
  <c r="K62" i="32"/>
  <c r="L62" i="32"/>
  <c r="M62" i="32"/>
  <c r="N62" i="32"/>
  <c r="F66" i="32"/>
  <c r="G66" i="32"/>
  <c r="H66" i="32"/>
  <c r="I66" i="32"/>
  <c r="J66" i="32"/>
  <c r="K66" i="32"/>
  <c r="L66" i="32"/>
  <c r="M66" i="32"/>
  <c r="N66" i="32"/>
  <c r="C8" i="33"/>
  <c r="D8" i="33"/>
  <c r="E8" i="33"/>
  <c r="F8" i="33"/>
  <c r="G8" i="33"/>
  <c r="H8" i="33"/>
  <c r="I8" i="33"/>
  <c r="C10" i="33"/>
  <c r="D10" i="33"/>
  <c r="E10" i="33"/>
  <c r="F10" i="33"/>
  <c r="G10" i="33"/>
  <c r="H10" i="33"/>
  <c r="I10" i="33"/>
  <c r="C13" i="33"/>
  <c r="D13" i="33"/>
  <c r="E13" i="33"/>
  <c r="F13" i="33"/>
  <c r="G13" i="33"/>
  <c r="H13" i="33"/>
  <c r="I13" i="33"/>
  <c r="C14" i="33"/>
  <c r="D14" i="33"/>
  <c r="E14" i="33"/>
  <c r="F14" i="33"/>
  <c r="G14" i="33"/>
  <c r="H14" i="33"/>
  <c r="I14" i="33"/>
  <c r="C15" i="33"/>
  <c r="D15" i="33"/>
  <c r="E15" i="33"/>
  <c r="F15" i="33"/>
  <c r="G15" i="33"/>
  <c r="H15" i="33"/>
  <c r="I15" i="33"/>
  <c r="C17" i="33"/>
  <c r="D17" i="33"/>
  <c r="E17" i="33"/>
  <c r="F17" i="33"/>
  <c r="G17" i="33"/>
  <c r="H17" i="33"/>
  <c r="I17" i="33"/>
  <c r="C18" i="33"/>
  <c r="D18" i="33"/>
  <c r="E18" i="33"/>
  <c r="F18" i="33"/>
  <c r="G18" i="33"/>
  <c r="H18" i="33"/>
  <c r="I18" i="33"/>
  <c r="C20" i="33"/>
  <c r="D20" i="33"/>
  <c r="E20" i="33"/>
  <c r="F20" i="33"/>
  <c r="G20" i="33"/>
  <c r="H20" i="33"/>
  <c r="I20" i="33"/>
  <c r="C22" i="33"/>
  <c r="D22" i="33"/>
  <c r="E22" i="33"/>
  <c r="F22" i="33"/>
  <c r="G22" i="33"/>
  <c r="H22" i="33"/>
  <c r="I22" i="33"/>
  <c r="C24" i="33"/>
  <c r="D24" i="33"/>
  <c r="E24" i="33"/>
  <c r="F24" i="33"/>
  <c r="G24" i="33"/>
  <c r="H24" i="33"/>
  <c r="I24" i="33"/>
  <c r="C26" i="33"/>
  <c r="D26" i="33"/>
  <c r="E26" i="33"/>
  <c r="F26" i="33"/>
  <c r="G26" i="33"/>
  <c r="H26" i="33"/>
  <c r="I26" i="33"/>
  <c r="C30" i="33"/>
  <c r="D30" i="33"/>
  <c r="E30" i="33"/>
  <c r="F30" i="33"/>
  <c r="G30" i="33"/>
  <c r="H30" i="33"/>
  <c r="I30" i="33"/>
  <c r="C31" i="33"/>
  <c r="D31" i="33"/>
  <c r="E31" i="33"/>
  <c r="F31" i="33"/>
  <c r="G31" i="33"/>
  <c r="H31" i="33"/>
  <c r="I31" i="33"/>
  <c r="C32" i="33"/>
  <c r="D32" i="33"/>
  <c r="E32" i="33"/>
  <c r="F32" i="33"/>
  <c r="G32" i="33"/>
  <c r="H32" i="33"/>
  <c r="I32" i="33"/>
  <c r="B34" i="33"/>
  <c r="G4" i="21"/>
  <c r="H4" i="21"/>
  <c r="I4" i="21"/>
  <c r="J4" i="21"/>
  <c r="K4" i="21"/>
  <c r="L4" i="21"/>
  <c r="M4" i="21"/>
  <c r="N4" i="21"/>
  <c r="O4" i="21"/>
  <c r="P4" i="21"/>
  <c r="Q4" i="21"/>
  <c r="G6" i="21"/>
  <c r="H6" i="21"/>
  <c r="I6" i="21"/>
  <c r="J6" i="21"/>
  <c r="K6" i="21"/>
  <c r="L6" i="21"/>
  <c r="M6" i="21"/>
  <c r="N6" i="21"/>
  <c r="O6" i="21"/>
  <c r="P6" i="21"/>
  <c r="Q6" i="21"/>
  <c r="G7" i="21"/>
  <c r="H7" i="21"/>
  <c r="I7" i="21"/>
  <c r="J7" i="21"/>
  <c r="K7" i="21"/>
  <c r="L7" i="21"/>
  <c r="M7" i="21"/>
  <c r="N7" i="21"/>
  <c r="O7" i="21"/>
  <c r="P7" i="21"/>
  <c r="Q7" i="21"/>
  <c r="G8" i="21"/>
  <c r="H8" i="21"/>
  <c r="I8" i="21"/>
  <c r="J8" i="21"/>
  <c r="K8" i="21"/>
  <c r="L8" i="21"/>
  <c r="M8" i="21"/>
  <c r="N8" i="21"/>
  <c r="O8" i="21"/>
  <c r="P8" i="21"/>
  <c r="Q8" i="21"/>
  <c r="G9" i="21"/>
  <c r="H9" i="21"/>
  <c r="I9" i="21"/>
  <c r="J9" i="21"/>
  <c r="K9" i="21"/>
  <c r="L9" i="21"/>
  <c r="M9" i="21"/>
  <c r="N9" i="21"/>
  <c r="O9" i="21"/>
  <c r="P9" i="21"/>
  <c r="Q9" i="21"/>
  <c r="G10" i="21"/>
  <c r="H10" i="21"/>
  <c r="I10" i="21"/>
  <c r="J10" i="21"/>
  <c r="K10" i="21"/>
  <c r="L10" i="21"/>
  <c r="M10" i="21"/>
  <c r="N10" i="21"/>
  <c r="O10" i="21"/>
  <c r="P10" i="21"/>
  <c r="Q10" i="21"/>
  <c r="G11" i="21"/>
  <c r="H11" i="21"/>
  <c r="I11" i="21"/>
  <c r="J11" i="21"/>
  <c r="K11" i="21"/>
  <c r="L11" i="21"/>
  <c r="M11" i="21"/>
  <c r="N11" i="21"/>
  <c r="O11" i="21"/>
  <c r="P11" i="21"/>
  <c r="Q11" i="21"/>
  <c r="G12" i="21"/>
  <c r="H12" i="21"/>
  <c r="I12" i="21"/>
  <c r="J12" i="21"/>
  <c r="K12" i="21"/>
  <c r="L12" i="21"/>
  <c r="M12" i="21"/>
  <c r="N12" i="21"/>
  <c r="O12" i="21"/>
  <c r="P12" i="21"/>
  <c r="Q12" i="21"/>
  <c r="G15" i="21"/>
  <c r="H15" i="21"/>
  <c r="I15" i="21"/>
  <c r="J15" i="21"/>
  <c r="K15" i="21"/>
  <c r="L15" i="21"/>
  <c r="M15" i="21"/>
  <c r="N15" i="21"/>
  <c r="O15" i="21"/>
  <c r="P15" i="21"/>
  <c r="Q15" i="21"/>
  <c r="G16" i="21"/>
  <c r="H16" i="21"/>
  <c r="I16" i="21"/>
  <c r="J16" i="21"/>
  <c r="K16" i="21"/>
  <c r="L16" i="21"/>
  <c r="M16" i="21"/>
  <c r="N16" i="21"/>
  <c r="O16" i="21"/>
  <c r="P16" i="21"/>
  <c r="Q16" i="21"/>
  <c r="G17" i="21"/>
  <c r="H17" i="21"/>
  <c r="I17" i="21"/>
  <c r="J17" i="21"/>
  <c r="K17" i="21"/>
  <c r="L17" i="21"/>
  <c r="M17" i="21"/>
  <c r="N17" i="21"/>
  <c r="O17" i="21"/>
  <c r="P17" i="21"/>
  <c r="Q17" i="21"/>
  <c r="G20" i="21"/>
  <c r="H20" i="21"/>
  <c r="I20" i="21"/>
  <c r="J20" i="21"/>
  <c r="K20" i="21"/>
  <c r="L20" i="21"/>
  <c r="M20" i="21"/>
  <c r="N20" i="21"/>
  <c r="O20" i="21"/>
  <c r="P20" i="21"/>
  <c r="Q20" i="21"/>
  <c r="G26" i="21"/>
  <c r="H26" i="21"/>
  <c r="I26" i="21"/>
  <c r="J26" i="21"/>
  <c r="K26" i="21"/>
  <c r="L26" i="21"/>
  <c r="M26" i="21"/>
  <c r="N26" i="21"/>
  <c r="O26" i="21"/>
  <c r="P26" i="21"/>
  <c r="Q26" i="21"/>
  <c r="G28" i="21"/>
  <c r="H28" i="21"/>
  <c r="I28" i="21"/>
  <c r="J28" i="21"/>
  <c r="K28" i="21"/>
  <c r="L28" i="21"/>
  <c r="M28" i="21"/>
  <c r="N28" i="21"/>
  <c r="O28" i="21"/>
  <c r="P28" i="21"/>
  <c r="Q28" i="21"/>
  <c r="G34" i="21"/>
  <c r="H34" i="21"/>
  <c r="I34" i="21"/>
  <c r="J34" i="21"/>
  <c r="K34" i="21"/>
  <c r="L34" i="21"/>
  <c r="M34" i="21"/>
  <c r="N34" i="21"/>
  <c r="O34" i="21"/>
  <c r="P34" i="21"/>
  <c r="Q34" i="21"/>
  <c r="G35" i="21"/>
  <c r="H35" i="21"/>
  <c r="I35" i="21"/>
  <c r="J35" i="21"/>
  <c r="K35" i="21"/>
  <c r="L35" i="21"/>
  <c r="M35" i="21"/>
  <c r="N35" i="21"/>
  <c r="O35" i="21"/>
  <c r="P35" i="21"/>
  <c r="Q35" i="21"/>
  <c r="G36" i="21"/>
  <c r="H36" i="21"/>
  <c r="I36" i="21"/>
  <c r="J36" i="21"/>
  <c r="K36" i="21"/>
  <c r="L36" i="21"/>
  <c r="M36" i="21"/>
  <c r="N36" i="21"/>
  <c r="O36" i="21"/>
  <c r="P36" i="21"/>
  <c r="Q36" i="21"/>
  <c r="H23" i="28"/>
  <c r="I23" i="28"/>
  <c r="J23" i="28"/>
  <c r="K23" i="28"/>
  <c r="L23" i="28"/>
  <c r="M23" i="28"/>
  <c r="N23" i="28"/>
  <c r="O23" i="28"/>
  <c r="P23" i="28"/>
  <c r="Q23" i="28"/>
  <c r="R23" i="28"/>
  <c r="H24" i="28"/>
  <c r="I24" i="28"/>
  <c r="J24" i="28"/>
  <c r="K24" i="28"/>
  <c r="L24" i="28"/>
  <c r="M24" i="28"/>
  <c r="N24" i="28"/>
  <c r="O24" i="28"/>
  <c r="P24" i="28"/>
  <c r="Q24" i="28"/>
  <c r="R24" i="28"/>
  <c r="H25" i="28"/>
  <c r="I25" i="28"/>
  <c r="J25" i="28"/>
  <c r="K25" i="28"/>
  <c r="L25" i="28"/>
  <c r="M25" i="28"/>
  <c r="N25" i="28"/>
  <c r="O25" i="28"/>
  <c r="P25" i="28"/>
  <c r="Q25" i="28"/>
  <c r="R25" i="28"/>
  <c r="H26" i="28"/>
  <c r="I26" i="28"/>
  <c r="J26" i="28"/>
  <c r="K26" i="28"/>
  <c r="L26" i="28"/>
  <c r="M26" i="28"/>
  <c r="N26" i="28"/>
  <c r="O26" i="28"/>
  <c r="P26" i="28"/>
  <c r="Q26" i="28"/>
  <c r="R26" i="28"/>
  <c r="H27" i="28"/>
  <c r="I27" i="28"/>
  <c r="J27" i="28"/>
  <c r="K27" i="28"/>
  <c r="L27" i="28"/>
  <c r="M27" i="28"/>
  <c r="N27" i="28"/>
  <c r="O27" i="28"/>
  <c r="P27" i="28"/>
  <c r="Q27" i="28"/>
  <c r="R27" i="28"/>
  <c r="H28" i="28"/>
  <c r="I28" i="28"/>
  <c r="J28" i="28"/>
  <c r="K28" i="28"/>
  <c r="L28" i="28"/>
  <c r="M28" i="28"/>
  <c r="N28" i="28"/>
  <c r="O28" i="28"/>
  <c r="P28" i="28"/>
  <c r="Q28" i="28"/>
  <c r="R28" i="28"/>
  <c r="H29" i="28"/>
  <c r="I29" i="28"/>
  <c r="J29" i="28"/>
  <c r="K29" i="28"/>
  <c r="L29" i="28"/>
  <c r="M29" i="28"/>
  <c r="N29" i="28"/>
  <c r="O29" i="28"/>
  <c r="P29" i="28"/>
  <c r="Q29" i="28"/>
  <c r="R29" i="28"/>
  <c r="J31" i="28"/>
  <c r="K31" i="28"/>
  <c r="L31" i="28"/>
  <c r="M31" i="28"/>
  <c r="N31" i="28"/>
  <c r="O31" i="28"/>
  <c r="P31" i="28"/>
  <c r="Q31" i="28"/>
  <c r="R31" i="28"/>
  <c r="C32" i="28"/>
  <c r="B33" i="28"/>
  <c r="H33" i="28"/>
  <c r="I33" i="28"/>
  <c r="J33" i="28"/>
  <c r="K33" i="28"/>
  <c r="L33" i="28"/>
  <c r="M33" i="28"/>
  <c r="H34" i="28"/>
  <c r="I34" i="28"/>
  <c r="J34" i="28"/>
  <c r="K34" i="28"/>
  <c r="L34" i="28"/>
  <c r="M34" i="28"/>
  <c r="N34" i="28"/>
  <c r="O34" i="28"/>
  <c r="P34" i="28"/>
  <c r="Q34" i="28"/>
  <c r="R34" i="28"/>
  <c r="H35" i="28"/>
  <c r="I35" i="28"/>
  <c r="J35" i="28"/>
  <c r="K35" i="28"/>
  <c r="L35" i="28"/>
  <c r="M35" i="28"/>
  <c r="N35" i="28"/>
  <c r="O35" i="28"/>
  <c r="P35" i="28"/>
  <c r="Q35" i="28"/>
  <c r="R35" i="28"/>
  <c r="H36" i="28"/>
  <c r="I36" i="28"/>
  <c r="J36" i="28"/>
  <c r="K36" i="28"/>
  <c r="L36" i="28"/>
  <c r="M36" i="28"/>
  <c r="N36" i="28"/>
  <c r="O36" i="28"/>
  <c r="P36" i="28"/>
  <c r="Q36" i="28"/>
  <c r="R36" i="28"/>
  <c r="H37" i="28"/>
  <c r="I37" i="28"/>
  <c r="J37" i="28"/>
  <c r="K37" i="28"/>
  <c r="L37" i="28"/>
  <c r="M37" i="28"/>
  <c r="N37" i="28"/>
  <c r="O37" i="28"/>
  <c r="P37" i="28"/>
  <c r="Q37" i="28"/>
  <c r="R37" i="28"/>
  <c r="D6" i="34"/>
  <c r="E6" i="34"/>
  <c r="F6" i="34"/>
  <c r="G6" i="34"/>
  <c r="H6" i="34"/>
  <c r="I6" i="34"/>
  <c r="J6" i="34"/>
  <c r="K6" i="34"/>
  <c r="L6" i="34"/>
  <c r="M6" i="34"/>
  <c r="N6" i="34"/>
  <c r="D7" i="34"/>
  <c r="E7" i="34"/>
  <c r="F7" i="34"/>
  <c r="G7" i="34"/>
  <c r="H7" i="34"/>
  <c r="I7" i="34"/>
  <c r="J7" i="34"/>
  <c r="K7" i="34"/>
  <c r="L7" i="34"/>
  <c r="M7" i="34"/>
  <c r="N7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D11" i="34"/>
  <c r="E11" i="34"/>
  <c r="F11" i="34"/>
  <c r="G11" i="34"/>
  <c r="H11" i="34"/>
  <c r="I11" i="34"/>
  <c r="J11" i="34"/>
  <c r="K11" i="34"/>
  <c r="L11" i="34"/>
  <c r="M11" i="34"/>
  <c r="N11" i="34"/>
  <c r="D12" i="34"/>
  <c r="E12" i="34"/>
  <c r="F12" i="34"/>
  <c r="G12" i="34"/>
  <c r="H12" i="34"/>
  <c r="I12" i="34"/>
  <c r="J12" i="34"/>
  <c r="K12" i="34"/>
  <c r="L12" i="34"/>
  <c r="M12" i="34"/>
  <c r="N12" i="34"/>
  <c r="D13" i="34"/>
  <c r="E13" i="34"/>
  <c r="F13" i="34"/>
  <c r="G13" i="34"/>
  <c r="H13" i="34"/>
  <c r="I13" i="34"/>
  <c r="J13" i="34"/>
  <c r="K13" i="34"/>
  <c r="L13" i="34"/>
  <c r="M13" i="34"/>
  <c r="N13" i="34"/>
  <c r="D14" i="34"/>
  <c r="E14" i="34"/>
  <c r="F14" i="34"/>
  <c r="G14" i="34"/>
  <c r="H14" i="34"/>
  <c r="I14" i="34"/>
  <c r="J14" i="34"/>
  <c r="K14" i="34"/>
  <c r="L14" i="34"/>
  <c r="M14" i="34"/>
  <c r="N14" i="34"/>
  <c r="C18" i="34"/>
  <c r="D18" i="34"/>
  <c r="E18" i="34"/>
  <c r="F18" i="34"/>
  <c r="G18" i="34"/>
  <c r="H18" i="34"/>
  <c r="I18" i="34"/>
  <c r="J18" i="34"/>
  <c r="K18" i="34"/>
  <c r="L18" i="34"/>
  <c r="M18" i="34"/>
  <c r="N18" i="34"/>
  <c r="C20" i="34"/>
  <c r="D20" i="34"/>
  <c r="E20" i="34"/>
  <c r="F20" i="34"/>
  <c r="G20" i="34"/>
  <c r="H20" i="34"/>
  <c r="I20" i="34"/>
  <c r="J20" i="34"/>
  <c r="K20" i="34"/>
  <c r="L20" i="34"/>
  <c r="M20" i="34"/>
  <c r="N20" i="34"/>
  <c r="D23" i="34"/>
  <c r="E23" i="34"/>
  <c r="F23" i="34"/>
  <c r="G23" i="34"/>
  <c r="H23" i="34"/>
  <c r="I23" i="34"/>
  <c r="J23" i="34"/>
  <c r="K23" i="34"/>
  <c r="L23" i="34"/>
  <c r="M23" i="34"/>
  <c r="N23" i="34"/>
  <c r="D24" i="34"/>
  <c r="E24" i="34"/>
  <c r="F24" i="34"/>
  <c r="G24" i="34"/>
  <c r="H24" i="34"/>
  <c r="I24" i="34"/>
  <c r="J24" i="34"/>
  <c r="K24" i="34"/>
  <c r="L24" i="34"/>
  <c r="M24" i="34"/>
  <c r="N24" i="34"/>
  <c r="D25" i="34"/>
  <c r="E25" i="34"/>
  <c r="F25" i="34"/>
  <c r="G25" i="34"/>
  <c r="H25" i="34"/>
  <c r="I25" i="34"/>
  <c r="J25" i="34"/>
  <c r="K25" i="34"/>
  <c r="L25" i="34"/>
  <c r="M25" i="34"/>
  <c r="N25" i="34"/>
  <c r="D27" i="34"/>
  <c r="E27" i="34"/>
  <c r="F27" i="34"/>
  <c r="G27" i="34"/>
  <c r="H27" i="34"/>
  <c r="I27" i="34"/>
  <c r="J27" i="34"/>
  <c r="K27" i="34"/>
  <c r="L27" i="34"/>
  <c r="M27" i="34"/>
  <c r="N27" i="34"/>
  <c r="D30" i="34"/>
  <c r="E30" i="34"/>
  <c r="F30" i="34"/>
  <c r="G30" i="34"/>
  <c r="H30" i="34"/>
  <c r="I30" i="34"/>
  <c r="J30" i="34"/>
  <c r="K30" i="34"/>
  <c r="L30" i="34"/>
  <c r="M30" i="34"/>
  <c r="N30" i="34"/>
  <c r="I4" i="30"/>
  <c r="J4" i="30"/>
  <c r="K4" i="30"/>
  <c r="L4" i="30"/>
  <c r="M4" i="30"/>
  <c r="N4" i="30"/>
  <c r="O4" i="30"/>
  <c r="P4" i="30"/>
  <c r="I5" i="30"/>
  <c r="J5" i="30"/>
  <c r="K5" i="30"/>
  <c r="L5" i="30"/>
  <c r="M5" i="30"/>
  <c r="N5" i="30"/>
  <c r="O5" i="30"/>
  <c r="P5" i="30"/>
  <c r="I6" i="30"/>
  <c r="J6" i="30"/>
  <c r="K6" i="30"/>
  <c r="L6" i="30"/>
  <c r="M6" i="30"/>
  <c r="N6" i="30"/>
  <c r="O6" i="30"/>
  <c r="P6" i="30"/>
  <c r="I7" i="30"/>
  <c r="J7" i="30"/>
  <c r="K7" i="30"/>
  <c r="L7" i="30"/>
  <c r="M7" i="30"/>
  <c r="N7" i="30"/>
  <c r="O7" i="30"/>
  <c r="P7" i="30"/>
  <c r="I13" i="30"/>
  <c r="J13" i="30"/>
  <c r="K13" i="30"/>
  <c r="L13" i="30"/>
  <c r="M13" i="30"/>
  <c r="N13" i="30"/>
  <c r="O13" i="30"/>
  <c r="P13" i="30"/>
  <c r="I14" i="30"/>
  <c r="J14" i="30"/>
  <c r="K14" i="30"/>
  <c r="L14" i="30"/>
  <c r="M14" i="30"/>
  <c r="N14" i="30"/>
  <c r="O14" i="30"/>
  <c r="P14" i="30"/>
  <c r="I15" i="30"/>
  <c r="J15" i="30"/>
  <c r="K15" i="30"/>
  <c r="L15" i="30"/>
  <c r="M15" i="30"/>
  <c r="N15" i="30"/>
  <c r="O15" i="30"/>
  <c r="P15" i="30"/>
  <c r="I16" i="30"/>
  <c r="J16" i="30"/>
  <c r="K16" i="30"/>
  <c r="L16" i="30"/>
  <c r="M16" i="30"/>
  <c r="N16" i="30"/>
  <c r="O16" i="30"/>
  <c r="P16" i="30"/>
  <c r="I21" i="30"/>
  <c r="J21" i="30"/>
  <c r="K21" i="30"/>
  <c r="L21" i="30"/>
  <c r="M21" i="30"/>
  <c r="N21" i="30"/>
  <c r="O21" i="30"/>
  <c r="J23" i="30"/>
  <c r="K23" i="30"/>
  <c r="L23" i="30"/>
  <c r="M23" i="30"/>
  <c r="N23" i="30"/>
  <c r="O23" i="30"/>
  <c r="J27" i="30"/>
  <c r="K27" i="30"/>
  <c r="L27" i="30"/>
  <c r="M27" i="30"/>
  <c r="N27" i="30"/>
  <c r="O27" i="30"/>
  <c r="I28" i="30"/>
  <c r="J28" i="30"/>
  <c r="K28" i="30"/>
  <c r="L28" i="30"/>
  <c r="M28" i="30"/>
  <c r="N28" i="30"/>
  <c r="O28" i="30"/>
  <c r="I32" i="30"/>
  <c r="J32" i="30"/>
  <c r="K32" i="30"/>
  <c r="L32" i="30"/>
  <c r="M32" i="30"/>
  <c r="N32" i="30"/>
  <c r="O32" i="30"/>
  <c r="I33" i="30"/>
  <c r="J33" i="30"/>
  <c r="K33" i="30"/>
  <c r="L33" i="30"/>
  <c r="M33" i="30"/>
  <c r="N33" i="30"/>
  <c r="O33" i="30"/>
  <c r="I34" i="30"/>
  <c r="J34" i="30"/>
  <c r="K34" i="30"/>
  <c r="L34" i="30"/>
  <c r="M34" i="30"/>
  <c r="N34" i="30"/>
  <c r="O34" i="30"/>
  <c r="I35" i="30"/>
  <c r="J35" i="30"/>
  <c r="K35" i="30"/>
  <c r="L35" i="30"/>
  <c r="M35" i="30"/>
  <c r="N35" i="30"/>
  <c r="O35" i="30"/>
  <c r="I36" i="30"/>
  <c r="J36" i="30"/>
  <c r="K36" i="30"/>
  <c r="L36" i="30"/>
  <c r="M36" i="30"/>
  <c r="N36" i="30"/>
  <c r="O36" i="30"/>
  <c r="K37" i="30"/>
  <c r="L37" i="30"/>
  <c r="M37" i="30"/>
  <c r="N37" i="30"/>
  <c r="O37" i="30"/>
  <c r="C38" i="30"/>
  <c r="I43" i="30"/>
  <c r="J43" i="30"/>
  <c r="K43" i="30"/>
  <c r="L43" i="30"/>
  <c r="M43" i="30"/>
  <c r="N43" i="30"/>
  <c r="O43" i="30"/>
  <c r="K44" i="30"/>
  <c r="L44" i="30"/>
  <c r="M44" i="30"/>
  <c r="N44" i="30"/>
  <c r="O44" i="30"/>
  <c r="K45" i="30"/>
  <c r="L45" i="30"/>
  <c r="M45" i="30"/>
  <c r="N45" i="30"/>
  <c r="O45" i="30"/>
  <c r="K46" i="30"/>
  <c r="L46" i="30"/>
  <c r="M46" i="30"/>
  <c r="N46" i="30"/>
  <c r="O46" i="30"/>
  <c r="I52" i="30"/>
  <c r="J52" i="30"/>
  <c r="K52" i="30"/>
  <c r="L52" i="30"/>
  <c r="M52" i="30"/>
  <c r="N52" i="30"/>
  <c r="O52" i="30"/>
  <c r="I55" i="30"/>
  <c r="J55" i="30"/>
  <c r="K55" i="30"/>
  <c r="L55" i="30"/>
  <c r="M55" i="30"/>
  <c r="N55" i="30"/>
  <c r="O55" i="30"/>
  <c r="I57" i="30"/>
  <c r="J57" i="30"/>
  <c r="K57" i="30"/>
  <c r="L57" i="30"/>
  <c r="M57" i="30"/>
  <c r="N57" i="30"/>
  <c r="O57" i="30"/>
  <c r="I62" i="30"/>
  <c r="O62" i="30"/>
  <c r="I64" i="30"/>
  <c r="O64" i="30"/>
  <c r="I65" i="30"/>
  <c r="I66" i="30"/>
  <c r="O66" i="30"/>
  <c r="I67" i="30"/>
  <c r="I68" i="30"/>
  <c r="O68" i="30"/>
  <c r="I69" i="30"/>
  <c r="O69" i="30"/>
  <c r="I70" i="30"/>
  <c r="O70" i="30"/>
  <c r="I73" i="30"/>
  <c r="O73" i="30"/>
  <c r="I74" i="30"/>
  <c r="O74" i="30"/>
  <c r="I75" i="30"/>
  <c r="O75" i="30"/>
  <c r="I78" i="30"/>
  <c r="O78" i="30"/>
  <c r="I84" i="30"/>
  <c r="O84" i="30"/>
  <c r="I86" i="30"/>
  <c r="O86" i="30"/>
  <c r="I87" i="30"/>
  <c r="O87" i="30"/>
  <c r="I88" i="30"/>
  <c r="O88" i="30"/>
  <c r="I92" i="30"/>
  <c r="O92" i="30"/>
  <c r="I93" i="30"/>
  <c r="O93" i="30"/>
  <c r="I94" i="30"/>
  <c r="O94" i="30"/>
  <c r="I96" i="30"/>
  <c r="O96" i="30"/>
  <c r="I98" i="30"/>
  <c r="O98" i="30"/>
  <c r="I100" i="30"/>
  <c r="O100" i="30"/>
  <c r="I101" i="30"/>
  <c r="O101" i="30"/>
  <c r="I102" i="30"/>
  <c r="O102" i="30"/>
  <c r="I105" i="30"/>
  <c r="O105" i="30"/>
  <c r="I115" i="30"/>
  <c r="O115" i="30"/>
  <c r="I116" i="30"/>
  <c r="O116" i="30"/>
  <c r="I120" i="30"/>
  <c r="J120" i="30"/>
  <c r="K120" i="30"/>
  <c r="L120" i="30"/>
  <c r="M120" i="30"/>
  <c r="N120" i="30"/>
  <c r="O120" i="30"/>
  <c r="I121" i="30"/>
  <c r="J121" i="30"/>
  <c r="K121" i="30"/>
  <c r="L121" i="30"/>
  <c r="M121" i="30"/>
  <c r="N121" i="30"/>
  <c r="O121" i="30"/>
  <c r="I123" i="30"/>
  <c r="J123" i="30"/>
  <c r="K123" i="30"/>
  <c r="L123" i="30"/>
  <c r="M123" i="30"/>
  <c r="N123" i="30"/>
  <c r="O123" i="30"/>
  <c r="I125" i="30"/>
  <c r="J125" i="30"/>
  <c r="K125" i="30"/>
  <c r="L125" i="30"/>
  <c r="M125" i="30"/>
  <c r="N125" i="30"/>
  <c r="O125" i="30"/>
  <c r="I126" i="30"/>
  <c r="J126" i="30"/>
  <c r="K126" i="30"/>
  <c r="L126" i="30"/>
  <c r="M126" i="30"/>
  <c r="N126" i="30"/>
  <c r="O126" i="30"/>
  <c r="I129" i="30"/>
  <c r="J129" i="30"/>
  <c r="K129" i="30"/>
  <c r="L129" i="30"/>
  <c r="M129" i="30"/>
  <c r="N129" i="30"/>
  <c r="O129" i="30"/>
  <c r="J135" i="30"/>
  <c r="K135" i="30"/>
  <c r="L135" i="30"/>
  <c r="M135" i="30"/>
  <c r="N135" i="30"/>
  <c r="O135" i="30"/>
  <c r="I137" i="30"/>
  <c r="J137" i="30"/>
  <c r="K137" i="30"/>
  <c r="L137" i="30"/>
  <c r="M137" i="30"/>
  <c r="N137" i="30"/>
  <c r="O137" i="30"/>
  <c r="I140" i="30"/>
  <c r="J140" i="30"/>
  <c r="K140" i="30"/>
  <c r="L140" i="30"/>
  <c r="M140" i="30"/>
  <c r="N140" i="30"/>
  <c r="O140" i="30"/>
  <c r="I141" i="30"/>
  <c r="J141" i="30"/>
  <c r="K141" i="30"/>
  <c r="L141" i="30"/>
  <c r="M141" i="30"/>
  <c r="N141" i="30"/>
  <c r="O141" i="30"/>
  <c r="I168" i="30"/>
  <c r="J168" i="30"/>
  <c r="K168" i="30"/>
  <c r="L168" i="30"/>
  <c r="M168" i="30"/>
  <c r="N168" i="30"/>
  <c r="O168" i="30"/>
  <c r="I169" i="30"/>
  <c r="J169" i="30"/>
  <c r="K169" i="30"/>
  <c r="L169" i="30"/>
  <c r="M169" i="30"/>
  <c r="N169" i="30"/>
  <c r="O169" i="30"/>
  <c r="I171" i="30"/>
  <c r="J171" i="30"/>
  <c r="K171" i="30"/>
  <c r="L171" i="30"/>
  <c r="M171" i="30"/>
  <c r="N171" i="30"/>
  <c r="O171" i="30"/>
  <c r="I173" i="30"/>
  <c r="J173" i="30"/>
  <c r="K173" i="30"/>
  <c r="L173" i="30"/>
  <c r="M173" i="30"/>
  <c r="N173" i="30"/>
  <c r="O173" i="30"/>
  <c r="I174" i="30"/>
  <c r="J174" i="30"/>
  <c r="K174" i="30"/>
  <c r="L174" i="30"/>
  <c r="M174" i="30"/>
  <c r="N174" i="30"/>
  <c r="O174" i="30"/>
  <c r="I177" i="30"/>
  <c r="J177" i="30"/>
  <c r="K177" i="30"/>
  <c r="L177" i="30"/>
  <c r="M177" i="30"/>
  <c r="N177" i="30"/>
  <c r="O177" i="30"/>
  <c r="J183" i="30"/>
  <c r="K183" i="30"/>
  <c r="L183" i="30"/>
  <c r="M183" i="30"/>
  <c r="N183" i="30"/>
  <c r="O183" i="30"/>
  <c r="I185" i="30"/>
  <c r="J185" i="30"/>
  <c r="K185" i="30"/>
  <c r="L185" i="30"/>
  <c r="M185" i="30"/>
  <c r="N185" i="30"/>
  <c r="O185" i="30"/>
  <c r="I188" i="30"/>
  <c r="J188" i="30"/>
  <c r="K188" i="30"/>
  <c r="L188" i="30"/>
  <c r="M188" i="30"/>
  <c r="N188" i="30"/>
  <c r="O188" i="30"/>
  <c r="I189" i="30"/>
  <c r="J189" i="30"/>
  <c r="K189" i="30"/>
  <c r="L189" i="30"/>
  <c r="M189" i="30"/>
  <c r="N189" i="30"/>
  <c r="O189" i="30"/>
  <c r="G5" i="1"/>
  <c r="H5" i="1"/>
  <c r="I5" i="1"/>
  <c r="J5" i="1"/>
  <c r="K5" i="1"/>
  <c r="L5" i="1"/>
  <c r="M5" i="1"/>
  <c r="N5" i="1"/>
  <c r="O5" i="1"/>
  <c r="P5" i="1"/>
  <c r="Q5" i="1"/>
  <c r="G6" i="1"/>
  <c r="H6" i="1"/>
  <c r="I6" i="1"/>
  <c r="J6" i="1"/>
  <c r="K6" i="1"/>
  <c r="L6" i="1"/>
  <c r="M6" i="1"/>
  <c r="N6" i="1"/>
  <c r="O6" i="1"/>
  <c r="P6" i="1"/>
  <c r="Q6" i="1"/>
  <c r="G7" i="1"/>
  <c r="H7" i="1"/>
  <c r="I7" i="1"/>
  <c r="J7" i="1"/>
  <c r="K7" i="1"/>
  <c r="L7" i="1"/>
  <c r="M7" i="1"/>
  <c r="N7" i="1"/>
  <c r="O7" i="1"/>
  <c r="P7" i="1"/>
  <c r="Q7" i="1"/>
  <c r="G8" i="1"/>
  <c r="H8" i="1"/>
  <c r="I8" i="1"/>
  <c r="J8" i="1"/>
  <c r="K8" i="1"/>
  <c r="L8" i="1"/>
  <c r="M8" i="1"/>
  <c r="N8" i="1"/>
  <c r="O8" i="1"/>
  <c r="P8" i="1"/>
  <c r="Q8" i="1"/>
  <c r="G10" i="1"/>
  <c r="H10" i="1"/>
  <c r="I10" i="1"/>
  <c r="J10" i="1"/>
  <c r="K10" i="1"/>
  <c r="L10" i="1"/>
  <c r="M10" i="1"/>
  <c r="N10" i="1"/>
  <c r="O10" i="1"/>
  <c r="P10" i="1"/>
  <c r="Q10" i="1"/>
  <c r="G22" i="1"/>
  <c r="H22" i="1"/>
  <c r="I22" i="1"/>
  <c r="J22" i="1"/>
  <c r="K22" i="1"/>
  <c r="L22" i="1"/>
  <c r="M22" i="1"/>
  <c r="N22" i="1"/>
  <c r="O22" i="1"/>
  <c r="P22" i="1"/>
  <c r="Q22" i="1"/>
  <c r="G25" i="1"/>
  <c r="H25" i="1"/>
  <c r="I25" i="1"/>
  <c r="J25" i="1"/>
  <c r="K25" i="1"/>
  <c r="L25" i="1"/>
  <c r="M25" i="1"/>
  <c r="N25" i="1"/>
  <c r="O25" i="1"/>
  <c r="P25" i="1"/>
  <c r="Q25" i="1"/>
  <c r="G26" i="1"/>
  <c r="H26" i="1"/>
  <c r="I26" i="1"/>
  <c r="J26" i="1"/>
  <c r="K26" i="1"/>
  <c r="L26" i="1"/>
  <c r="M26" i="1"/>
  <c r="N26" i="1"/>
  <c r="O26" i="1"/>
  <c r="P26" i="1"/>
  <c r="Q26" i="1"/>
  <c r="G6" i="3"/>
  <c r="H6" i="3"/>
  <c r="I6" i="3"/>
  <c r="J6" i="3"/>
  <c r="K6" i="3"/>
  <c r="L6" i="3"/>
  <c r="M6" i="3"/>
  <c r="N6" i="3"/>
  <c r="O6" i="3"/>
  <c r="P6" i="3"/>
  <c r="Q6" i="3"/>
  <c r="G8" i="3"/>
  <c r="H8" i="3"/>
  <c r="I8" i="3"/>
  <c r="J8" i="3"/>
  <c r="K8" i="3"/>
  <c r="L8" i="3"/>
  <c r="M8" i="3"/>
  <c r="N8" i="3"/>
  <c r="O8" i="3"/>
  <c r="P8" i="3"/>
  <c r="Q8" i="3"/>
  <c r="G10" i="3"/>
  <c r="H10" i="3"/>
  <c r="I10" i="3"/>
  <c r="J10" i="3"/>
  <c r="K10" i="3"/>
  <c r="L10" i="3"/>
  <c r="M10" i="3"/>
  <c r="N10" i="3"/>
  <c r="O10" i="3"/>
  <c r="P10" i="3"/>
  <c r="Q10" i="3"/>
  <c r="G28" i="3"/>
  <c r="H28" i="3"/>
  <c r="I28" i="3"/>
  <c r="J28" i="3"/>
  <c r="K28" i="3"/>
  <c r="L28" i="3"/>
  <c r="M28" i="3"/>
  <c r="N28" i="3"/>
  <c r="O28" i="3"/>
  <c r="P28" i="3"/>
  <c r="Q28" i="3"/>
  <c r="H29" i="3"/>
  <c r="I29" i="3"/>
  <c r="J29" i="3"/>
  <c r="K29" i="3"/>
  <c r="L29" i="3"/>
  <c r="M29" i="3"/>
  <c r="N29" i="3"/>
  <c r="O29" i="3"/>
  <c r="P29" i="3"/>
  <c r="Q29" i="3"/>
  <c r="G41" i="3"/>
  <c r="H41" i="3"/>
  <c r="I41" i="3"/>
  <c r="J41" i="3"/>
  <c r="K41" i="3"/>
  <c r="L41" i="3"/>
  <c r="M41" i="3"/>
  <c r="N41" i="3"/>
  <c r="O41" i="3"/>
  <c r="P41" i="3"/>
  <c r="Q41" i="3"/>
  <c r="H42" i="3"/>
  <c r="I42" i="3"/>
  <c r="J42" i="3"/>
  <c r="K42" i="3"/>
  <c r="L42" i="3"/>
  <c r="M42" i="3"/>
  <c r="N42" i="3"/>
  <c r="O42" i="3"/>
  <c r="P42" i="3"/>
  <c r="Q42" i="3"/>
  <c r="G52" i="3"/>
  <c r="H52" i="3"/>
  <c r="I52" i="3"/>
  <c r="J52" i="3"/>
  <c r="K52" i="3"/>
  <c r="L52" i="3"/>
  <c r="M52" i="3"/>
  <c r="N52" i="3"/>
  <c r="O52" i="3"/>
  <c r="P52" i="3"/>
  <c r="Q52" i="3"/>
  <c r="G69" i="3"/>
  <c r="H69" i="3"/>
  <c r="I69" i="3"/>
  <c r="J69" i="3"/>
  <c r="K69" i="3"/>
  <c r="L69" i="3"/>
  <c r="M69" i="3"/>
  <c r="N69" i="3"/>
  <c r="O69" i="3"/>
  <c r="P69" i="3"/>
  <c r="Q69" i="3"/>
  <c r="H70" i="3"/>
  <c r="I70" i="3"/>
  <c r="J70" i="3"/>
  <c r="K70" i="3"/>
  <c r="L70" i="3"/>
  <c r="M70" i="3"/>
  <c r="N70" i="3"/>
  <c r="O70" i="3"/>
  <c r="P70" i="3"/>
  <c r="Q70" i="3"/>
  <c r="G83" i="3"/>
  <c r="H83" i="3"/>
  <c r="I83" i="3"/>
  <c r="J83" i="3"/>
  <c r="K83" i="3"/>
  <c r="L83" i="3"/>
  <c r="M83" i="3"/>
  <c r="N83" i="3"/>
  <c r="O83" i="3"/>
  <c r="P83" i="3"/>
  <c r="Q83" i="3"/>
  <c r="H84" i="3"/>
  <c r="I84" i="3"/>
  <c r="J84" i="3"/>
  <c r="K84" i="3"/>
  <c r="L84" i="3"/>
  <c r="M84" i="3"/>
  <c r="N84" i="3"/>
  <c r="O84" i="3"/>
  <c r="P84" i="3"/>
  <c r="Q84" i="3"/>
  <c r="G94" i="3"/>
  <c r="H94" i="3"/>
  <c r="I94" i="3"/>
  <c r="J94" i="3"/>
  <c r="K94" i="3"/>
  <c r="L94" i="3"/>
  <c r="M94" i="3"/>
  <c r="N94" i="3"/>
  <c r="O94" i="3"/>
  <c r="P94" i="3"/>
  <c r="Q94" i="3"/>
  <c r="G154" i="3"/>
  <c r="H154" i="3"/>
  <c r="I154" i="3"/>
  <c r="J154" i="3"/>
  <c r="K154" i="3"/>
  <c r="L154" i="3"/>
  <c r="M154" i="3"/>
  <c r="N154" i="3"/>
  <c r="O154" i="3"/>
  <c r="P154" i="3"/>
  <c r="Q154" i="3"/>
  <c r="H155" i="3"/>
  <c r="I155" i="3"/>
  <c r="J155" i="3"/>
  <c r="K155" i="3"/>
  <c r="L155" i="3"/>
  <c r="M155" i="3"/>
  <c r="N155" i="3"/>
  <c r="O155" i="3"/>
  <c r="P155" i="3"/>
  <c r="Q155" i="3"/>
  <c r="G165" i="3"/>
  <c r="H165" i="3"/>
  <c r="I165" i="3"/>
  <c r="J165" i="3"/>
  <c r="K165" i="3"/>
  <c r="L165" i="3"/>
  <c r="M165" i="3"/>
  <c r="N165" i="3"/>
  <c r="O165" i="3"/>
  <c r="P165" i="3"/>
  <c r="Q165" i="3"/>
  <c r="G201" i="3"/>
  <c r="H201" i="3"/>
  <c r="I201" i="3"/>
  <c r="J201" i="3"/>
  <c r="K201" i="3"/>
  <c r="L201" i="3"/>
  <c r="M201" i="3"/>
  <c r="N201" i="3"/>
  <c r="O201" i="3"/>
  <c r="P201" i="3"/>
  <c r="Q201" i="3"/>
  <c r="H202" i="3"/>
  <c r="I202" i="3"/>
  <c r="J202" i="3"/>
  <c r="K202" i="3"/>
  <c r="L202" i="3"/>
  <c r="M202" i="3"/>
  <c r="N202" i="3"/>
  <c r="O202" i="3"/>
  <c r="P202" i="3"/>
  <c r="Q202" i="3"/>
  <c r="G212" i="3"/>
  <c r="H212" i="3"/>
  <c r="I212" i="3"/>
  <c r="J212" i="3"/>
  <c r="K212" i="3"/>
  <c r="L212" i="3"/>
  <c r="M212" i="3"/>
  <c r="N212" i="3"/>
  <c r="O212" i="3"/>
  <c r="P212" i="3"/>
  <c r="Q212" i="3"/>
  <c r="G228" i="3"/>
  <c r="H228" i="3"/>
  <c r="I228" i="3"/>
  <c r="J228" i="3"/>
  <c r="K228" i="3"/>
  <c r="L228" i="3"/>
  <c r="M228" i="3"/>
  <c r="N228" i="3"/>
  <c r="O228" i="3"/>
  <c r="P228" i="3"/>
  <c r="Q228" i="3"/>
  <c r="H229" i="3"/>
  <c r="I229" i="3"/>
  <c r="J229" i="3"/>
  <c r="K229" i="3"/>
  <c r="L229" i="3"/>
  <c r="M229" i="3"/>
  <c r="N229" i="3"/>
  <c r="O229" i="3"/>
  <c r="P229" i="3"/>
  <c r="Q229" i="3"/>
  <c r="G239" i="3"/>
  <c r="H239" i="3"/>
  <c r="I239" i="3"/>
  <c r="J239" i="3"/>
  <c r="K239" i="3"/>
  <c r="L239" i="3"/>
  <c r="M239" i="3"/>
  <c r="N239" i="3"/>
  <c r="O239" i="3"/>
  <c r="P239" i="3"/>
  <c r="Q239" i="3"/>
  <c r="G13" i="29"/>
  <c r="H13" i="29"/>
  <c r="I13" i="29"/>
  <c r="J13" i="29"/>
  <c r="K13" i="29"/>
  <c r="L13" i="29"/>
  <c r="M13" i="29"/>
  <c r="N13" i="29"/>
  <c r="O13" i="29"/>
  <c r="P13" i="29"/>
  <c r="Q13" i="29"/>
  <c r="G14" i="29"/>
  <c r="H14" i="29"/>
  <c r="I14" i="29"/>
  <c r="J14" i="29"/>
  <c r="K14" i="29"/>
  <c r="L14" i="29"/>
  <c r="M14" i="29"/>
  <c r="N14" i="29"/>
  <c r="O14" i="29"/>
  <c r="P14" i="29"/>
  <c r="Q14" i="29"/>
  <c r="G17" i="29"/>
  <c r="H17" i="29"/>
  <c r="I17" i="29"/>
  <c r="J17" i="29"/>
  <c r="K17" i="29"/>
  <c r="L17" i="29"/>
  <c r="M17" i="29"/>
  <c r="N17" i="29"/>
  <c r="O17" i="29"/>
  <c r="P17" i="29"/>
  <c r="Q17" i="29"/>
  <c r="G20" i="29"/>
  <c r="H20" i="29"/>
  <c r="I20" i="29"/>
  <c r="J20" i="29"/>
  <c r="K20" i="29"/>
  <c r="L20" i="29"/>
  <c r="M20" i="29"/>
  <c r="N20" i="29"/>
  <c r="O20" i="29"/>
  <c r="P20" i="29"/>
  <c r="Q20" i="29"/>
  <c r="G21" i="29"/>
  <c r="H21" i="29"/>
  <c r="I21" i="29"/>
  <c r="J21" i="29"/>
  <c r="K21" i="29"/>
  <c r="L21" i="29"/>
  <c r="M21" i="29"/>
  <c r="N21" i="29"/>
  <c r="O21" i="29"/>
  <c r="P21" i="29"/>
  <c r="Q21" i="29"/>
  <c r="G25" i="29"/>
  <c r="H25" i="29"/>
  <c r="I25" i="29"/>
  <c r="J25" i="29"/>
  <c r="K25" i="29"/>
  <c r="L25" i="29"/>
  <c r="M25" i="29"/>
  <c r="N25" i="29"/>
  <c r="O25" i="29"/>
  <c r="P25" i="29"/>
  <c r="Q25" i="29"/>
  <c r="G27" i="29"/>
  <c r="H27" i="29"/>
  <c r="I27" i="29"/>
  <c r="J27" i="29"/>
  <c r="K27" i="29"/>
  <c r="L27" i="29"/>
  <c r="M27" i="29"/>
  <c r="N27" i="29"/>
  <c r="O27" i="29"/>
  <c r="P27" i="29"/>
  <c r="Q27" i="29"/>
  <c r="G29" i="29"/>
  <c r="H29" i="29"/>
  <c r="I29" i="29"/>
  <c r="J29" i="29"/>
  <c r="K29" i="29"/>
  <c r="L29" i="29"/>
  <c r="M29" i="29"/>
  <c r="N29" i="29"/>
  <c r="O29" i="29"/>
  <c r="P29" i="29"/>
  <c r="Q29" i="29"/>
  <c r="G30" i="29"/>
  <c r="H30" i="29"/>
  <c r="I30" i="29"/>
  <c r="J30" i="29"/>
  <c r="K30" i="29"/>
  <c r="L30" i="29"/>
  <c r="M30" i="29"/>
  <c r="N30" i="29"/>
  <c r="O30" i="29"/>
  <c r="P30" i="29"/>
  <c r="Q30" i="29"/>
  <c r="G31" i="29"/>
  <c r="H31" i="29"/>
  <c r="I31" i="29"/>
  <c r="J31" i="29"/>
  <c r="K31" i="29"/>
  <c r="L31" i="29"/>
  <c r="M31" i="29"/>
  <c r="N31" i="29"/>
  <c r="O31" i="29"/>
  <c r="P31" i="29"/>
  <c r="Q31" i="29"/>
  <c r="G32" i="29"/>
  <c r="H32" i="29"/>
  <c r="I32" i="29"/>
  <c r="J32" i="29"/>
  <c r="K32" i="29"/>
  <c r="L32" i="29"/>
  <c r="M32" i="29"/>
  <c r="N32" i="29"/>
  <c r="O32" i="29"/>
  <c r="P32" i="29"/>
  <c r="Q32" i="29"/>
  <c r="G34" i="29"/>
  <c r="H34" i="29"/>
  <c r="I34" i="29"/>
  <c r="J34" i="29"/>
  <c r="K34" i="29"/>
  <c r="L34" i="29"/>
  <c r="M34" i="29"/>
  <c r="N34" i="29"/>
  <c r="O34" i="29"/>
  <c r="P34" i="29"/>
  <c r="Q34" i="29"/>
  <c r="G36" i="29"/>
  <c r="H36" i="29"/>
  <c r="I36" i="29"/>
  <c r="J36" i="29"/>
  <c r="K36" i="29"/>
  <c r="L36" i="29"/>
  <c r="M36" i="29"/>
  <c r="N36" i="29"/>
  <c r="O36" i="29"/>
  <c r="P36" i="29"/>
  <c r="Q36" i="29"/>
  <c r="H38" i="29"/>
  <c r="I38" i="29"/>
  <c r="J38" i="29"/>
  <c r="K38" i="29"/>
  <c r="L38" i="29"/>
  <c r="M38" i="29"/>
  <c r="N38" i="29"/>
  <c r="O38" i="29"/>
  <c r="P38" i="29"/>
  <c r="Q38" i="29"/>
  <c r="G40" i="29"/>
  <c r="H40" i="29"/>
  <c r="I40" i="29"/>
  <c r="J40" i="29"/>
  <c r="K40" i="29"/>
  <c r="L40" i="29"/>
  <c r="M40" i="29"/>
  <c r="N40" i="29"/>
  <c r="O40" i="29"/>
  <c r="P40" i="29"/>
  <c r="Q40" i="29"/>
  <c r="G43" i="29"/>
  <c r="H43" i="29"/>
  <c r="I43" i="29"/>
  <c r="J43" i="29"/>
  <c r="K43" i="29"/>
  <c r="L43" i="29"/>
  <c r="M43" i="29"/>
  <c r="N43" i="29"/>
  <c r="O43" i="29"/>
  <c r="P43" i="29"/>
  <c r="Q43" i="29"/>
  <c r="G47" i="29"/>
  <c r="H47" i="29"/>
  <c r="I47" i="29"/>
  <c r="J47" i="29"/>
  <c r="K47" i="29"/>
  <c r="L47" i="29"/>
  <c r="M47" i="29"/>
  <c r="N47" i="29"/>
  <c r="O47" i="29"/>
  <c r="P47" i="29"/>
  <c r="Q47" i="29"/>
  <c r="G49" i="29"/>
  <c r="H49" i="29"/>
  <c r="I49" i="29"/>
  <c r="J49" i="29"/>
  <c r="K49" i="29"/>
  <c r="L49" i="29"/>
  <c r="M49" i="29"/>
  <c r="N49" i="29"/>
  <c r="O49" i="29"/>
  <c r="P49" i="29"/>
  <c r="Q49" i="29"/>
  <c r="G50" i="29"/>
  <c r="H50" i="29"/>
  <c r="I50" i="29"/>
  <c r="J50" i="29"/>
  <c r="K50" i="29"/>
  <c r="L50" i="29"/>
  <c r="M50" i="29"/>
  <c r="N50" i="29"/>
  <c r="O50" i="29"/>
  <c r="P50" i="29"/>
  <c r="Q50" i="29"/>
  <c r="G51" i="29"/>
  <c r="H51" i="29"/>
  <c r="I51" i="29"/>
  <c r="J51" i="29"/>
  <c r="K51" i="29"/>
  <c r="L51" i="29"/>
  <c r="M51" i="29"/>
  <c r="N51" i="29"/>
  <c r="O51" i="29"/>
  <c r="P51" i="29"/>
  <c r="Q51" i="29"/>
  <c r="G53" i="29"/>
  <c r="H53" i="29"/>
  <c r="I53" i="29"/>
  <c r="J53" i="29"/>
  <c r="K53" i="29"/>
  <c r="L53" i="29"/>
  <c r="M53" i="29"/>
  <c r="N53" i="29"/>
  <c r="O53" i="29"/>
  <c r="P53" i="29"/>
  <c r="Q53" i="29"/>
  <c r="G54" i="29"/>
  <c r="H54" i="29"/>
  <c r="I54" i="29"/>
  <c r="J54" i="29"/>
  <c r="K54" i="29"/>
  <c r="L54" i="29"/>
  <c r="M54" i="29"/>
  <c r="N54" i="29"/>
  <c r="O54" i="29"/>
  <c r="P54" i="29"/>
  <c r="Q54" i="29"/>
  <c r="G55" i="29"/>
  <c r="H55" i="29"/>
  <c r="I55" i="29"/>
  <c r="J55" i="29"/>
  <c r="K55" i="29"/>
  <c r="L55" i="29"/>
  <c r="M55" i="29"/>
  <c r="N55" i="29"/>
  <c r="O55" i="29"/>
  <c r="P55" i="29"/>
  <c r="Q55" i="29"/>
  <c r="G56" i="29"/>
  <c r="H56" i="29"/>
  <c r="I56" i="29"/>
  <c r="J56" i="29"/>
  <c r="K56" i="29"/>
  <c r="L56" i="29"/>
  <c r="M56" i="29"/>
  <c r="N56" i="29"/>
  <c r="O56" i="29"/>
  <c r="P56" i="29"/>
  <c r="Q56" i="29"/>
  <c r="G4" i="4"/>
  <c r="H4" i="4"/>
  <c r="I4" i="4"/>
  <c r="J4" i="4"/>
  <c r="K4" i="4"/>
  <c r="L4" i="4"/>
  <c r="M4" i="4"/>
  <c r="N4" i="4"/>
  <c r="O4" i="4"/>
  <c r="P4" i="4"/>
  <c r="Q4" i="4"/>
  <c r="G5" i="4"/>
  <c r="H5" i="4"/>
  <c r="I5" i="4"/>
  <c r="J5" i="4"/>
  <c r="K5" i="4"/>
  <c r="L5" i="4"/>
  <c r="M5" i="4"/>
  <c r="N5" i="4"/>
  <c r="O5" i="4"/>
  <c r="P5" i="4"/>
  <c r="Q5" i="4"/>
  <c r="G6" i="4"/>
  <c r="H6" i="4"/>
  <c r="I6" i="4"/>
  <c r="J6" i="4"/>
  <c r="K6" i="4"/>
  <c r="L6" i="4"/>
  <c r="M6" i="4"/>
  <c r="N6" i="4"/>
  <c r="O6" i="4"/>
  <c r="P6" i="4"/>
  <c r="Q6" i="4"/>
  <c r="G7" i="4"/>
  <c r="H7" i="4"/>
  <c r="I7" i="4"/>
  <c r="J7" i="4"/>
  <c r="K7" i="4"/>
  <c r="L7" i="4"/>
  <c r="M7" i="4"/>
  <c r="N7" i="4"/>
  <c r="O7" i="4"/>
  <c r="P7" i="4"/>
  <c r="Q7" i="4"/>
  <c r="G8" i="4"/>
  <c r="H8" i="4"/>
  <c r="I8" i="4"/>
  <c r="J8" i="4"/>
  <c r="K8" i="4"/>
  <c r="L8" i="4"/>
  <c r="M8" i="4"/>
  <c r="N8" i="4"/>
  <c r="O8" i="4"/>
  <c r="P8" i="4"/>
  <c r="Q8" i="4"/>
  <c r="F10" i="4"/>
  <c r="G10" i="4"/>
  <c r="H10" i="4"/>
  <c r="I10" i="4"/>
  <c r="J10" i="4"/>
  <c r="K10" i="4"/>
  <c r="L10" i="4"/>
  <c r="M10" i="4"/>
  <c r="N10" i="4"/>
  <c r="O10" i="4"/>
  <c r="P10" i="4"/>
  <c r="Q10" i="4"/>
  <c r="F12" i="4"/>
  <c r="G12" i="4"/>
  <c r="H12" i="4"/>
  <c r="I12" i="4"/>
  <c r="J12" i="4"/>
  <c r="K12" i="4"/>
  <c r="L12" i="4"/>
  <c r="M12" i="4"/>
  <c r="N12" i="4"/>
  <c r="O12" i="4"/>
  <c r="P12" i="4"/>
  <c r="Q12" i="4"/>
  <c r="F16" i="4"/>
  <c r="G16" i="4"/>
  <c r="H16" i="4"/>
  <c r="I16" i="4"/>
  <c r="J16" i="4"/>
  <c r="K16" i="4"/>
  <c r="L16" i="4"/>
  <c r="M16" i="4"/>
  <c r="N16" i="4"/>
  <c r="O16" i="4"/>
  <c r="P16" i="4"/>
  <c r="Q16" i="4"/>
  <c r="F17" i="4"/>
  <c r="G17" i="4"/>
  <c r="H17" i="4"/>
  <c r="I17" i="4"/>
  <c r="J17" i="4"/>
  <c r="K17" i="4"/>
  <c r="L17" i="4"/>
  <c r="M17" i="4"/>
  <c r="N17" i="4"/>
  <c r="O17" i="4"/>
  <c r="P17" i="4"/>
  <c r="Q17" i="4"/>
  <c r="F18" i="4"/>
  <c r="G18" i="4"/>
  <c r="H18" i="4"/>
  <c r="I18" i="4"/>
  <c r="J18" i="4"/>
  <c r="K18" i="4"/>
  <c r="L18" i="4"/>
  <c r="M18" i="4"/>
  <c r="N18" i="4"/>
  <c r="O18" i="4"/>
  <c r="P18" i="4"/>
  <c r="Q18" i="4"/>
  <c r="F21" i="4"/>
  <c r="G21" i="4"/>
  <c r="H21" i="4"/>
  <c r="I21" i="4"/>
  <c r="J21" i="4"/>
  <c r="K21" i="4"/>
  <c r="L21" i="4"/>
  <c r="M21" i="4"/>
  <c r="N21" i="4"/>
  <c r="O21" i="4"/>
  <c r="P21" i="4"/>
  <c r="Q21" i="4"/>
  <c r="F22" i="4"/>
  <c r="G22" i="4"/>
  <c r="H22" i="4"/>
  <c r="I22" i="4"/>
  <c r="J22" i="4"/>
  <c r="K22" i="4"/>
  <c r="L22" i="4"/>
  <c r="M22" i="4"/>
  <c r="N22" i="4"/>
  <c r="O22" i="4"/>
  <c r="P22" i="4"/>
  <c r="Q22" i="4"/>
  <c r="F23" i="4"/>
  <c r="G23" i="4"/>
  <c r="H23" i="4"/>
  <c r="I23" i="4"/>
  <c r="J23" i="4"/>
  <c r="K23" i="4"/>
  <c r="L23" i="4"/>
  <c r="M23" i="4"/>
  <c r="N23" i="4"/>
  <c r="O23" i="4"/>
  <c r="P23" i="4"/>
  <c r="Q23" i="4"/>
  <c r="F25" i="4"/>
  <c r="G25" i="4"/>
  <c r="H25" i="4"/>
  <c r="I25" i="4"/>
  <c r="J25" i="4"/>
  <c r="K25" i="4"/>
  <c r="L25" i="4"/>
  <c r="M25" i="4"/>
  <c r="N25" i="4"/>
  <c r="O25" i="4"/>
  <c r="P25" i="4"/>
  <c r="Q25" i="4"/>
  <c r="G28" i="4"/>
  <c r="H28" i="4"/>
  <c r="I28" i="4"/>
  <c r="J28" i="4"/>
  <c r="K28" i="4"/>
  <c r="L28" i="4"/>
  <c r="M28" i="4"/>
  <c r="N28" i="4"/>
  <c r="O28" i="4"/>
  <c r="P28" i="4"/>
  <c r="Q28" i="4"/>
  <c r="G29" i="4"/>
  <c r="H29" i="4"/>
  <c r="I29" i="4"/>
  <c r="J29" i="4"/>
  <c r="K29" i="4"/>
  <c r="L29" i="4"/>
  <c r="M29" i="4"/>
  <c r="N29" i="4"/>
  <c r="O29" i="4"/>
  <c r="P29" i="4"/>
  <c r="Q29" i="4"/>
  <c r="G31" i="4"/>
  <c r="H31" i="4"/>
  <c r="I31" i="4"/>
  <c r="J31" i="4"/>
  <c r="K31" i="4"/>
  <c r="L31" i="4"/>
  <c r="M31" i="4"/>
  <c r="N31" i="4"/>
  <c r="O31" i="4"/>
  <c r="P31" i="4"/>
  <c r="Q31" i="4"/>
  <c r="F34" i="4"/>
  <c r="G34" i="4"/>
  <c r="H34" i="4"/>
  <c r="I34" i="4"/>
  <c r="J34" i="4"/>
  <c r="K34" i="4"/>
  <c r="L34" i="4"/>
  <c r="M34" i="4"/>
  <c r="N34" i="4"/>
  <c r="O34" i="4"/>
  <c r="P34" i="4"/>
  <c r="Q34" i="4"/>
  <c r="F35" i="4"/>
  <c r="G35" i="4"/>
  <c r="H35" i="4"/>
  <c r="I35" i="4"/>
  <c r="J35" i="4"/>
  <c r="K35" i="4"/>
  <c r="L35" i="4"/>
  <c r="M35" i="4"/>
  <c r="N35" i="4"/>
  <c r="O35" i="4"/>
  <c r="P35" i="4"/>
  <c r="Q35" i="4"/>
  <c r="F36" i="4"/>
  <c r="G36" i="4"/>
  <c r="H36" i="4"/>
  <c r="I36" i="4"/>
  <c r="J36" i="4"/>
  <c r="K36" i="4"/>
  <c r="L36" i="4"/>
  <c r="M36" i="4"/>
  <c r="N36" i="4"/>
  <c r="O36" i="4"/>
  <c r="P36" i="4"/>
  <c r="Q36" i="4"/>
  <c r="G45" i="4"/>
  <c r="H45" i="4"/>
  <c r="I45" i="4"/>
  <c r="J45" i="4"/>
  <c r="K45" i="4"/>
  <c r="L45" i="4"/>
  <c r="M45" i="4"/>
  <c r="N45" i="4"/>
  <c r="O45" i="4"/>
  <c r="P45" i="4"/>
  <c r="Q45" i="4"/>
  <c r="F46" i="4"/>
  <c r="G46" i="4"/>
  <c r="H46" i="4"/>
  <c r="I46" i="4"/>
  <c r="J46" i="4"/>
  <c r="K46" i="4"/>
  <c r="L46" i="4"/>
  <c r="M46" i="4"/>
  <c r="N46" i="4"/>
  <c r="O46" i="4"/>
  <c r="P46" i="4"/>
  <c r="Q46" i="4"/>
  <c r="F47" i="4"/>
  <c r="G47" i="4"/>
  <c r="H47" i="4"/>
  <c r="I47" i="4"/>
  <c r="J47" i="4"/>
  <c r="K47" i="4"/>
  <c r="L47" i="4"/>
  <c r="M47" i="4"/>
  <c r="N47" i="4"/>
  <c r="O47" i="4"/>
  <c r="P47" i="4"/>
  <c r="Q47" i="4"/>
  <c r="F48" i="4"/>
  <c r="G48" i="4"/>
  <c r="F49" i="4"/>
  <c r="G49" i="4"/>
  <c r="H49" i="4"/>
  <c r="I49" i="4"/>
  <c r="J49" i="4"/>
  <c r="K49" i="4"/>
  <c r="L49" i="4"/>
  <c r="M49" i="4"/>
  <c r="N49" i="4"/>
  <c r="O49" i="4"/>
  <c r="P49" i="4"/>
  <c r="Q49" i="4"/>
  <c r="F50" i="4"/>
  <c r="G50" i="4"/>
  <c r="F51" i="4"/>
  <c r="G51" i="4"/>
  <c r="H51" i="4"/>
  <c r="I51" i="4"/>
  <c r="J51" i="4"/>
  <c r="K51" i="4"/>
  <c r="L51" i="4"/>
  <c r="M51" i="4"/>
  <c r="N51" i="4"/>
  <c r="O51" i="4"/>
  <c r="P51" i="4"/>
  <c r="Q51" i="4"/>
  <c r="F53" i="4"/>
  <c r="G53" i="4"/>
  <c r="H53" i="4"/>
  <c r="I53" i="4"/>
  <c r="J53" i="4"/>
  <c r="K53" i="4"/>
  <c r="L53" i="4"/>
  <c r="M53" i="4"/>
  <c r="N53" i="4"/>
  <c r="O53" i="4"/>
  <c r="P53" i="4"/>
  <c r="Q5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Ammofos-Maxam</author>
  </authors>
  <commentList>
    <comment ref="C7" authorId="0" shapeId="0" xr:uid="{00000000-0006-0000-1600-000001000000}">
      <text>
        <r>
          <rPr>
            <b/>
            <sz val="9"/>
            <color indexed="81"/>
            <rFont val="Tahoma"/>
            <family val="2"/>
            <charset val="204"/>
          </rPr>
          <t>Ammofos-Maxam:</t>
        </r>
        <r>
          <rPr>
            <sz val="9"/>
            <color indexed="81"/>
            <rFont val="Tahoma"/>
            <family val="2"/>
            <charset val="204"/>
          </rPr>
          <t xml:space="preserve">
norms: VC 10/12/10
</t>
        </r>
      </text>
    </comment>
    <comment ref="K7" authorId="0" shapeId="0" xr:uid="{00000000-0006-0000-16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Current Situation:
2 + 2 reactors in EFK2 and EFK3 working continuosly at 85% efficiency. Consumption of PhosAcid per ton of Ammofos is 1,045
After Project:
1 reactor will be modernize achieving 93% efficiency and will increase its capacity till 30% of total PhosAcid. Consumption of PhosAcid per ton of Ammofos will remain the same
</t>
        </r>
      </text>
    </comment>
    <comment ref="G10" authorId="0" shapeId="0" xr:uid="{00000000-0006-0000-1600-000003000000}">
      <text>
        <r>
          <rPr>
            <b/>
            <sz val="8"/>
            <color indexed="81"/>
            <rFont val="Tahoma"/>
            <family val="2"/>
            <charset val="204"/>
          </rPr>
          <t>In 2011 the production of Ammofos used 5% of low grade Phos Rock (MCK) which allowed to increase the production of Ammofos but also increase the consumption of Sulfuric Acid.</t>
        </r>
      </text>
    </comment>
    <comment ref="H10" authorId="0" shapeId="0" xr:uid="{00000000-0006-0000-1600-000004000000}">
      <text>
        <r>
          <rPr>
            <b/>
            <sz val="8"/>
            <color indexed="81"/>
            <rFont val="Tahoma"/>
            <family val="2"/>
            <charset val="204"/>
          </rPr>
          <t>In 2012 we go on using low grade phosphate rock (MCK) in the production of Ammofos which increases the consumption of Sulfuric Acid</t>
        </r>
      </text>
    </comment>
    <comment ref="K10" authorId="0" shapeId="0" xr:uid="{00000000-0006-0000-1600-000005000000}">
      <text>
        <r>
          <rPr>
            <b/>
            <sz val="8"/>
            <color indexed="81"/>
            <rFont val="Tahoma"/>
            <family val="2"/>
            <charset val="204"/>
          </rPr>
          <t xml:space="preserve">In 2015, we stop using low grade phos rock (MCK) in the production of Ammofos which reduce the consmption fo Sulfuric Acid to the previous level of 2010  </t>
        </r>
      </text>
    </comment>
    <comment ref="G23" authorId="0" shapeId="0" xr:uid="{00000000-0006-0000-1600-000006000000}">
      <text>
        <r>
          <rPr>
            <b/>
            <sz val="8"/>
            <color indexed="81"/>
            <rFont val="Tahoma"/>
            <family val="2"/>
            <charset val="204"/>
          </rPr>
          <t>In 2011 the abovementioned effect when using low grade phos rock in the production of Ammofos affected aso the production of Suprefos becasue it uses the same phosphoric acid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Ammofos-Maxam</author>
  </authors>
  <commentList>
    <comment ref="D75" authorId="0" shapeId="0" xr:uid="{00000000-0006-0000-1700-000001000000}">
      <text>
        <r>
          <rPr>
            <b/>
            <sz val="9"/>
            <color indexed="81"/>
            <rFont val="Tahoma"/>
            <family val="2"/>
            <charset val="204"/>
          </rPr>
          <t>Ammofos-Maxam:</t>
        </r>
        <r>
          <rPr>
            <sz val="9"/>
            <color indexed="81"/>
            <rFont val="Tahoma"/>
            <family val="2"/>
            <charset val="204"/>
          </rPr>
          <t xml:space="preserve">
penalties, losses on sales of tangible asset, losses on wooden board</t>
        </r>
      </text>
    </comment>
  </commentList>
</comments>
</file>

<file path=xl/sharedStrings.xml><?xml version="1.0" encoding="utf-8"?>
<sst xmlns="http://schemas.openxmlformats.org/spreadsheetml/2006/main" count="2034" uniqueCount="751">
  <si>
    <t>COGS</t>
  </si>
  <si>
    <t>EBIT</t>
  </si>
  <si>
    <t>PFN</t>
  </si>
  <si>
    <t>COGS ABB</t>
  </si>
  <si>
    <t>delta stock</t>
  </si>
  <si>
    <t>EBITDA</t>
  </si>
  <si>
    <t>Sales of fertilizer</t>
  </si>
  <si>
    <t>TOTAL TURNOVER</t>
  </si>
  <si>
    <t>INDUSTRIAL MARGIN</t>
  </si>
  <si>
    <t>Sales expenses</t>
  </si>
  <si>
    <t>G&amp;A expenses</t>
  </si>
  <si>
    <t>other expenses</t>
  </si>
  <si>
    <t>depreciation</t>
  </si>
  <si>
    <t>EBT</t>
  </si>
  <si>
    <t>CIT</t>
  </si>
  <si>
    <t>tangible fixed asset</t>
  </si>
  <si>
    <t>intangible asset</t>
  </si>
  <si>
    <t>financial fixed asset</t>
  </si>
  <si>
    <t>stock</t>
  </si>
  <si>
    <t>total stock</t>
  </si>
  <si>
    <t>account receivable</t>
  </si>
  <si>
    <t>other credit</t>
  </si>
  <si>
    <t>cash and bank</t>
  </si>
  <si>
    <t>period adjustment</t>
  </si>
  <si>
    <t>ASSETS</t>
  </si>
  <si>
    <t>TOTAL ASSETS</t>
  </si>
  <si>
    <t>TOTAL FIXED ASSETS</t>
  </si>
  <si>
    <t>TOTAL SHORT TERM ASSETS</t>
  </si>
  <si>
    <t>EQUITY AND LIABILITIES</t>
  </si>
  <si>
    <t>share capital</t>
  </si>
  <si>
    <t>reserves</t>
  </si>
  <si>
    <t>income of the period</t>
  </si>
  <si>
    <t>TOTAL EQUITY</t>
  </si>
  <si>
    <t>bank overdrafts</t>
  </si>
  <si>
    <t>bank loans</t>
  </si>
  <si>
    <t>supplier</t>
  </si>
  <si>
    <t>taxes</t>
  </si>
  <si>
    <t>social security</t>
  </si>
  <si>
    <t>other debt</t>
  </si>
  <si>
    <t>TOTAL LIABILITIES</t>
  </si>
  <si>
    <t>export</t>
  </si>
  <si>
    <t>labour</t>
  </si>
  <si>
    <t>break up of periodical expenses and financial activity</t>
  </si>
  <si>
    <t>(million sums)</t>
  </si>
  <si>
    <t>administrative expenses</t>
  </si>
  <si>
    <t>Salaries and wages managerial staff</t>
  </si>
  <si>
    <t>Deductions for social security</t>
  </si>
  <si>
    <t>Automobiles maintenance</t>
  </si>
  <si>
    <t>Material expenses</t>
  </si>
  <si>
    <t>Electricity</t>
  </si>
  <si>
    <t>Communication services</t>
  </si>
  <si>
    <t>Third parties' services</t>
  </si>
  <si>
    <t>Depreciation of main assets</t>
  </si>
  <si>
    <t>Travel expenses</t>
  </si>
  <si>
    <t>Representative expenses</t>
  </si>
  <si>
    <t>Waster supply expenses</t>
  </si>
  <si>
    <t>Other (support units)</t>
  </si>
  <si>
    <t>TOTAL:</t>
  </si>
  <si>
    <t>sales expenses</t>
  </si>
  <si>
    <t>Quality control expenses</t>
  </si>
  <si>
    <t>custom declaration services</t>
  </si>
  <si>
    <t>Carriage packaging and storage expenses</t>
  </si>
  <si>
    <t>Customs examination</t>
  </si>
  <si>
    <t>Customs procedures</t>
  </si>
  <si>
    <t>Marketing and advertisement expenses</t>
  </si>
  <si>
    <t>modernization of Packaging machine</t>
  </si>
  <si>
    <t>Railway expenses</t>
  </si>
  <si>
    <t xml:space="preserve">Wages of sales staff </t>
  </si>
  <si>
    <t>Deductions to social insurance</t>
  </si>
  <si>
    <t>commissions</t>
  </si>
  <si>
    <t>Brockerage commissions and other services</t>
  </si>
  <si>
    <t>other</t>
  </si>
  <si>
    <t>operational expenses</t>
  </si>
  <si>
    <t>Training and re-training expenses</t>
  </si>
  <si>
    <t>Salaries and social security</t>
  </si>
  <si>
    <t>Materials</t>
  </si>
  <si>
    <t>Depreciation</t>
  </si>
  <si>
    <t>Auxiliary workshops' services</t>
  </si>
  <si>
    <t>Incapability payments</t>
  </si>
  <si>
    <t>Postage services</t>
  </si>
  <si>
    <t>Maternal leave of absence</t>
  </si>
  <si>
    <t>Money assistance</t>
  </si>
  <si>
    <t>canteene</t>
  </si>
  <si>
    <t>Banking services</t>
  </si>
  <si>
    <t>Auditing services</t>
  </si>
  <si>
    <t>Audit services in accordance with IAS</t>
  </si>
  <si>
    <t>Bonuses</t>
  </si>
  <si>
    <t>Legal expenses</t>
  </si>
  <si>
    <t>Labour Security expenses</t>
  </si>
  <si>
    <t>Production Security expenses</t>
  </si>
  <si>
    <t>Trade Unions</t>
  </si>
  <si>
    <t>Quality Management System (ISO)</t>
  </si>
  <si>
    <t>Internal audit</t>
  </si>
  <si>
    <t>Other expenses</t>
  </si>
  <si>
    <t>Research and development expenses</t>
  </si>
  <si>
    <t>Catering for employees</t>
  </si>
  <si>
    <t>Farm maintenance expenses</t>
  </si>
  <si>
    <t>Expenses in accordance with article 12</t>
  </si>
  <si>
    <t>Loss from grain production</t>
  </si>
  <si>
    <t>Total operational expenses</t>
  </si>
  <si>
    <t>Taxes</t>
  </si>
  <si>
    <t>Deductions to Uzgostandard</t>
  </si>
  <si>
    <t>Payments for use of underground water</t>
  </si>
  <si>
    <t>Property tax</t>
  </si>
  <si>
    <t>Tax for land</t>
  </si>
  <si>
    <t>Pension fund</t>
  </si>
  <si>
    <t>School development fund</t>
  </si>
  <si>
    <t>Environmental tax</t>
  </si>
  <si>
    <t>taxes based on turnover</t>
  </si>
  <si>
    <t>Total</t>
  </si>
  <si>
    <t>other indirect taxes</t>
  </si>
  <si>
    <t>ammofos</t>
  </si>
  <si>
    <t>suprefos</t>
  </si>
  <si>
    <t>ASP</t>
  </si>
  <si>
    <t>total</t>
  </si>
  <si>
    <t>exchange rate</t>
  </si>
  <si>
    <t>FIXES ASSET</t>
  </si>
  <si>
    <t>TOTAL CIT</t>
  </si>
  <si>
    <t>PL income</t>
  </si>
  <si>
    <t>AR decrease/increase</t>
  </si>
  <si>
    <t>AP increase/decrease</t>
  </si>
  <si>
    <t>period cash flow</t>
  </si>
  <si>
    <t>FINANCIAL POSITION</t>
  </si>
  <si>
    <t>A/Liquid ammonia</t>
  </si>
  <si>
    <t>Б\Phosphoric concentrate 28%</t>
  </si>
  <si>
    <t>Б\Phosphoric flour (мтк) 21%</t>
  </si>
  <si>
    <t>Б\Phosphoric flour (мск) 18,4%</t>
  </si>
  <si>
    <t>В\Sulphuric acid, total</t>
  </si>
  <si>
    <t>2. Auxiliary materials</t>
  </si>
  <si>
    <t>а) Electricity</t>
  </si>
  <si>
    <t>б) Natural gas</t>
  </si>
  <si>
    <t>Raw materials</t>
  </si>
  <si>
    <t>sulphur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</si>
  <si>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</si>
  <si>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</si>
  <si>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</si>
  <si>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</si>
  <si>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</si>
  <si>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</si>
  <si>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</si>
  <si>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</si>
  <si>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</si>
  <si>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L</t>
  </si>
  <si>
    <t>M</t>
  </si>
  <si>
    <t>N</t>
  </si>
  <si>
    <t>O</t>
  </si>
  <si>
    <t>Compressed air</t>
  </si>
  <si>
    <t>Reused water</t>
  </si>
  <si>
    <t>Industrial water</t>
  </si>
  <si>
    <t>Process steam (vapour)</t>
  </si>
  <si>
    <t>PRODUCT</t>
  </si>
  <si>
    <t>raw mat</t>
  </si>
  <si>
    <t>SA</t>
  </si>
  <si>
    <t>consumo totale</t>
  </si>
  <si>
    <t>costo unit mp</t>
  </si>
  <si>
    <t>costo totale mp</t>
  </si>
  <si>
    <t>summary by product</t>
  </si>
  <si>
    <t>summary by raw material</t>
  </si>
  <si>
    <t>self produced</t>
  </si>
  <si>
    <t>bought</t>
  </si>
  <si>
    <t>ammofos 2-3</t>
  </si>
  <si>
    <t>workshop</t>
  </si>
  <si>
    <t>cost</t>
  </si>
  <si>
    <t>amortizations</t>
  </si>
  <si>
    <t>services</t>
  </si>
  <si>
    <t>PRODUCTION FIXED COST</t>
  </si>
  <si>
    <t>others</t>
  </si>
  <si>
    <t>sulphuric acid</t>
  </si>
  <si>
    <t>compressed air</t>
  </si>
  <si>
    <t>reused water</t>
  </si>
  <si>
    <t>industrial water</t>
  </si>
  <si>
    <t>steam</t>
  </si>
  <si>
    <t>variable cost (rm+utilities)</t>
  </si>
  <si>
    <t>adj +</t>
  </si>
  <si>
    <t>adj /</t>
  </si>
  <si>
    <t>base</t>
  </si>
  <si>
    <t>auxiliary material</t>
  </si>
  <si>
    <t>financing in usd</t>
  </si>
  <si>
    <t>financing in UZS</t>
  </si>
  <si>
    <t>reimboursment in usd</t>
  </si>
  <si>
    <t>reimboursment in UZS</t>
  </si>
  <si>
    <t>total financed</t>
  </si>
  <si>
    <t>total reimborsed</t>
  </si>
  <si>
    <t>. Ammofos</t>
  </si>
  <si>
    <t>. Suprefos</t>
  </si>
  <si>
    <t xml:space="preserve"> nat state</t>
  </si>
  <si>
    <t>. Sulphuric acid</t>
  </si>
  <si>
    <t xml:space="preserve"> conversion factor</t>
  </si>
  <si>
    <t>export sales price in usd</t>
  </si>
  <si>
    <t>production in tons</t>
  </si>
  <si>
    <t>tons of ammofos</t>
  </si>
  <si>
    <t>tons of suprefos</t>
  </si>
  <si>
    <t>cost per ton</t>
  </si>
  <si>
    <t>conversion factor</t>
  </si>
  <si>
    <t>TOTAL SALES IN P2O5</t>
  </si>
  <si>
    <t>X</t>
  </si>
  <si>
    <t>intangible fixed asset</t>
  </si>
  <si>
    <t>opening balance</t>
  </si>
  <si>
    <t>purchase</t>
  </si>
  <si>
    <t>closing balance</t>
  </si>
  <si>
    <t>accum.depre open.bal</t>
  </si>
  <si>
    <t>accum.depre closing bal</t>
  </si>
  <si>
    <t>net, opening balance</t>
  </si>
  <si>
    <t>net, closing balance</t>
  </si>
  <si>
    <t>%</t>
  </si>
  <si>
    <t>description</t>
  </si>
  <si>
    <t>accumulated depreciation</t>
  </si>
  <si>
    <t>theoritical depreciation</t>
  </si>
  <si>
    <t>actual (yearly) depreciation</t>
  </si>
  <si>
    <t>…….</t>
  </si>
  <si>
    <t>DETAIL OF INVESTMENTS</t>
  </si>
  <si>
    <t>(put only one amount per line)</t>
  </si>
  <si>
    <t>EXCHANGE RATE UZS/USD</t>
  </si>
  <si>
    <t>exchange rate loss</t>
  </si>
  <si>
    <t>AR</t>
  </si>
  <si>
    <t>number of days</t>
  </si>
  <si>
    <t>sales to TAO</t>
  </si>
  <si>
    <t>total AR</t>
  </si>
  <si>
    <t>stock rotation</t>
  </si>
  <si>
    <t>summary</t>
  </si>
  <si>
    <t>personell expenses</t>
  </si>
  <si>
    <t>. Production asset</t>
  </si>
  <si>
    <t>. Other asset</t>
  </si>
  <si>
    <t>. New investments</t>
  </si>
  <si>
    <t>pumps</t>
  </si>
  <si>
    <t>instruments</t>
  </si>
  <si>
    <t>filters</t>
  </si>
  <si>
    <t>alloyed steel</t>
  </si>
  <si>
    <t>other assets</t>
  </si>
  <si>
    <t>other assets (replacements)</t>
  </si>
  <si>
    <t>production</t>
  </si>
  <si>
    <t>commercial</t>
  </si>
  <si>
    <t>administrative</t>
  </si>
  <si>
    <t>% on sales</t>
  </si>
  <si>
    <t>% on ebit</t>
  </si>
  <si>
    <t>cost of personell by department</t>
  </si>
  <si>
    <t>. materials &amp; utilities</t>
  </si>
  <si>
    <t>. Other costs</t>
  </si>
  <si>
    <t>PAYABLE</t>
  </si>
  <si>
    <t>personell</t>
  </si>
  <si>
    <t>other debtors</t>
  </si>
  <si>
    <t>total other debtors</t>
  </si>
  <si>
    <t>………..</t>
  </si>
  <si>
    <t>VAT</t>
  </si>
  <si>
    <t>net in uzs</t>
  </si>
  <si>
    <t>PRICE INCREASE</t>
  </si>
  <si>
    <t xml:space="preserve"> at current exchange rate</t>
  </si>
  <si>
    <t>E1</t>
  </si>
  <si>
    <t>Sulphuric acid AKMC</t>
  </si>
  <si>
    <t>salaries &amp; SS</t>
  </si>
  <si>
    <t>other costs</t>
  </si>
  <si>
    <t>total needs</t>
  </si>
  <si>
    <t>price self produced</t>
  </si>
  <si>
    <t>price bough</t>
  </si>
  <si>
    <t>average price</t>
  </si>
  <si>
    <t>S</t>
  </si>
  <si>
    <t>Road  development fund</t>
  </si>
  <si>
    <t>cost of ammofos</t>
  </si>
  <si>
    <t>total RM+util cost</t>
  </si>
  <si>
    <t>total indirect cost</t>
  </si>
  <si>
    <t>. Of which: Ammofos</t>
  </si>
  <si>
    <t>total cost Ammofos</t>
  </si>
  <si>
    <t>mark-up</t>
  </si>
  <si>
    <t>sales price</t>
  </si>
  <si>
    <t>depreciation of production asset</t>
  </si>
  <si>
    <t>coefficient</t>
  </si>
  <si>
    <t>cash flow for debt service</t>
  </si>
  <si>
    <t>principle+interest</t>
  </si>
  <si>
    <t>debt service coverage ratio</t>
  </si>
  <si>
    <t>commitment fee</t>
  </si>
  <si>
    <t>principle</t>
  </si>
  <si>
    <t>domestic</t>
  </si>
  <si>
    <t>tot domestic</t>
  </si>
  <si>
    <t>tot export</t>
  </si>
  <si>
    <t>Total Sales</t>
  </si>
  <si>
    <t>rate USD</t>
  </si>
  <si>
    <t>rate UZS</t>
  </si>
  <si>
    <t>total financial expenses</t>
  </si>
  <si>
    <t>consumption per unit</t>
  </si>
  <si>
    <t>ADB FIN</t>
  </si>
  <si>
    <t>net flow in USD</t>
  </si>
  <si>
    <t>net flow in UZS</t>
  </si>
  <si>
    <t>on principal</t>
  </si>
  <si>
    <t>on payment</t>
  </si>
  <si>
    <t>tot exchange rate loss</t>
  </si>
  <si>
    <t>net in USD</t>
  </si>
  <si>
    <t xml:space="preserve"> at historical exchange rate</t>
  </si>
  <si>
    <t>SUMMARY LONG TERM LOANS</t>
  </si>
  <si>
    <t>SUMMARY OTHER  LOANS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</si>
  <si>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</si>
  <si>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</si>
  <si>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</si>
  <si>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</si>
  <si>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</si>
  <si>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</si>
  <si>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</si>
  <si>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</si>
  <si>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</si>
  <si>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</si>
  <si>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LOAN4</t>
  </si>
  <si>
    <t>LOAN5</t>
  </si>
  <si>
    <t>LOAN6</t>
  </si>
  <si>
    <t>LOAN7</t>
  </si>
  <si>
    <t>LOAN8</t>
  </si>
  <si>
    <t>LOAN9</t>
  </si>
  <si>
    <t>LOAN10</t>
  </si>
  <si>
    <t>LOAN11</t>
  </si>
  <si>
    <t>LOAN12</t>
  </si>
  <si>
    <t>Installed Capacity for Drying &amp; Granulation</t>
  </si>
  <si>
    <t>export sales price</t>
  </si>
  <si>
    <t>margin</t>
  </si>
  <si>
    <t>In Million UZS. (.) is thousand</t>
  </si>
  <si>
    <t>Other operating income</t>
  </si>
  <si>
    <t>Increase TURNOVER over previous year</t>
  </si>
  <si>
    <t>Increase COGS over previous year</t>
  </si>
  <si>
    <t>Increase INDUSTRIAL MARGIN over previous year</t>
  </si>
  <si>
    <t>Increase EBITDA over previous year</t>
  </si>
  <si>
    <t>Increase EBIT over previous year</t>
  </si>
  <si>
    <t>NET PROFIT (NET LOSS)</t>
  </si>
  <si>
    <t>Other Income</t>
  </si>
  <si>
    <t>Total Operating Costs</t>
  </si>
  <si>
    <t>Taxes on sales</t>
  </si>
  <si>
    <t>Amortization</t>
  </si>
  <si>
    <t>Depreciation &amp; Amortization</t>
  </si>
  <si>
    <t>Financial income/(expenses)</t>
  </si>
  <si>
    <t>Extraordinary Income</t>
  </si>
  <si>
    <t>Extraordinary Expenses</t>
  </si>
  <si>
    <t>Extraordinary Results, net</t>
  </si>
  <si>
    <t>Total Stock</t>
  </si>
  <si>
    <t>Intangible Assets</t>
  </si>
  <si>
    <t>Tangible Fixed Assets</t>
  </si>
  <si>
    <t>Financial Fixed Assets</t>
  </si>
  <si>
    <t>Accounts Receivable</t>
  </si>
  <si>
    <t>Other Credits</t>
  </si>
  <si>
    <t>Short Term Deposits</t>
  </si>
  <si>
    <t>Cash and Bank Equivalents</t>
  </si>
  <si>
    <t>Exchange Rate Losses</t>
  </si>
  <si>
    <t>Stock increase/decrease</t>
  </si>
  <si>
    <t>Other Short Term Receivable</t>
  </si>
  <si>
    <t>Other Short Term Liabilities</t>
  </si>
  <si>
    <t>Investments</t>
  </si>
  <si>
    <t>Divestments</t>
  </si>
  <si>
    <t>Bank Loan</t>
  </si>
  <si>
    <t>Loan Repayment</t>
  </si>
  <si>
    <t>Capital Increase</t>
  </si>
  <si>
    <t>Dividends Paid</t>
  </si>
  <si>
    <t>Cash flow from Operating Activities</t>
  </si>
  <si>
    <t>Cash Flow from Investing Activities</t>
  </si>
  <si>
    <t>Cash Flow from Financing Activities</t>
  </si>
  <si>
    <t>Total Cash Flow</t>
  </si>
  <si>
    <t>Initial Debt</t>
  </si>
  <si>
    <t>Final Debt</t>
  </si>
  <si>
    <t>Cash and Cash Equivalents</t>
  </si>
  <si>
    <t>Bank Overdraft</t>
  </si>
  <si>
    <t>Net Financial Position</t>
  </si>
  <si>
    <t>Financial Expenses</t>
  </si>
  <si>
    <t>Long Term Debt</t>
  </si>
  <si>
    <t>Short Term Debt Beginning</t>
  </si>
  <si>
    <t>Investment Cash Flow</t>
  </si>
  <si>
    <t>Total Interest</t>
  </si>
  <si>
    <t>TOTAL LIABILITIES AND EQUITY</t>
  </si>
  <si>
    <t>TOTAL CURRENT ASSETS</t>
  </si>
  <si>
    <t>Short Term Depositis</t>
  </si>
  <si>
    <t>Results 2009-2010</t>
  </si>
  <si>
    <t>after investment in SA</t>
  </si>
  <si>
    <t>Variation</t>
  </si>
  <si>
    <t>P&amp;L</t>
  </si>
  <si>
    <t>Mln. USD</t>
  </si>
  <si>
    <t>% sales</t>
  </si>
  <si>
    <t>Sales</t>
  </si>
  <si>
    <t>Gross Margin</t>
  </si>
  <si>
    <t>Net Profit</t>
  </si>
  <si>
    <t>WORKING CAPITAL</t>
  </si>
  <si>
    <t>Stocks</t>
  </si>
  <si>
    <t>Accounts Payable</t>
  </si>
  <si>
    <t>CASH FLOW</t>
  </si>
  <si>
    <t>Net Cash Generation</t>
  </si>
  <si>
    <t>Cash &amp; Cash Equivalents</t>
  </si>
  <si>
    <t>Long Term Financial Debt</t>
  </si>
  <si>
    <t>Results FY 2012-2013</t>
  </si>
  <si>
    <t>after investment in PA</t>
  </si>
  <si>
    <t>Export Price Variation</t>
  </si>
  <si>
    <t>ASSUMPTIONS</t>
  </si>
  <si>
    <t>Interest Rate UZS deposits</t>
  </si>
  <si>
    <t>Interest Rate UZS Bank  Overdraft</t>
  </si>
  <si>
    <t>Interest Rate USD Loan</t>
  </si>
  <si>
    <t>Exchange Rate USD/UZS</t>
  </si>
  <si>
    <t>Inflation Rate</t>
  </si>
  <si>
    <r>
      <t>Production  in P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 xml:space="preserve"> (Ktons)</t>
    </r>
  </si>
  <si>
    <r>
      <t>Domestic Supply P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 xml:space="preserve">  (Ktons)</t>
    </r>
  </si>
  <si>
    <r>
      <t>Export of P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 xml:space="preserve">  (Ktons)</t>
    </r>
  </si>
  <si>
    <t>Suprefos</t>
  </si>
  <si>
    <t>Ammofos</t>
  </si>
  <si>
    <t>Production Mix (Natural State)</t>
  </si>
  <si>
    <r>
      <t>Production Mix (P2O5</t>
    </r>
    <r>
      <rPr>
        <b/>
        <sz val="10"/>
        <color indexed="9"/>
        <rFont val="Arial"/>
        <family val="2"/>
      </rPr>
      <t>)</t>
    </r>
  </si>
  <si>
    <t>ADB LOAN 1</t>
  </si>
  <si>
    <t>Domestic Sales</t>
  </si>
  <si>
    <t>Exports</t>
  </si>
  <si>
    <t>TOTAL SALES (in Million UZS)</t>
  </si>
  <si>
    <r>
      <t>TOTAL SALES (in tons P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O</t>
    </r>
    <r>
      <rPr>
        <vertAlign val="subscript"/>
        <sz val="12"/>
        <rFont val="Times New Roman"/>
        <family val="1"/>
      </rPr>
      <t>5</t>
    </r>
    <r>
      <rPr>
        <sz val="12"/>
        <rFont val="Times New Roman"/>
        <family val="1"/>
      </rPr>
      <t>)</t>
    </r>
  </si>
  <si>
    <t>cash flow from investing activities</t>
  </si>
  <si>
    <t>interests on L/T debt</t>
  </si>
  <si>
    <t>ADB DSCR</t>
  </si>
  <si>
    <t>Cash flow from operating activities</t>
  </si>
  <si>
    <t>Add back interest (only payment)</t>
  </si>
  <si>
    <t>CAPEX</t>
  </si>
  <si>
    <t>Cash available for debt service</t>
  </si>
  <si>
    <t>Debt serivice</t>
  </si>
  <si>
    <t>Interest payment</t>
  </si>
  <si>
    <t>Repayment of the L/T debt</t>
  </si>
  <si>
    <t xml:space="preserve">Cash flow from financing </t>
  </si>
  <si>
    <t>L/T loan borrowing</t>
  </si>
  <si>
    <t>DSCR</t>
  </si>
  <si>
    <t>Interest coverage ratio</t>
  </si>
  <si>
    <t>Cash flow after debt serivice</t>
  </si>
  <si>
    <t>Capital increase</t>
  </si>
  <si>
    <t>Dividends</t>
  </si>
  <si>
    <t>Exess cash (Decr/inc in B-OD or deposit)</t>
  </si>
  <si>
    <t>Ratios</t>
  </si>
  <si>
    <t>Difference</t>
  </si>
  <si>
    <t>Total turnover</t>
  </si>
  <si>
    <t>Not profit</t>
  </si>
  <si>
    <t>Total cash flow</t>
  </si>
  <si>
    <t>D/E ratio</t>
  </si>
  <si>
    <t>Debt (LT loan +Bank OD)/EBITDA</t>
  </si>
  <si>
    <t>Debt service</t>
  </si>
  <si>
    <t>Average DSCR</t>
  </si>
  <si>
    <t>ROE</t>
  </si>
  <si>
    <t>ROA</t>
  </si>
  <si>
    <t xml:space="preserve">Financial (In thousand US$) </t>
  </si>
  <si>
    <t>Net cash (Cash-bank OD)</t>
  </si>
  <si>
    <t>Base Case ASSUMPTIONS</t>
  </si>
  <si>
    <t xml:space="preserve">Tax rate increase (CIT=13% &amp; Tax based Turn over=3.5%) </t>
  </si>
  <si>
    <t>Increase rate from the base case</t>
  </si>
  <si>
    <t>DSCR (including new borrowing)         Min=</t>
  </si>
  <si>
    <t>Iuput area</t>
  </si>
  <si>
    <t>Other minor costs</t>
  </si>
  <si>
    <t>Exchange rate (USD/SUM)</t>
  </si>
  <si>
    <t>Revenue in USD (thousand)</t>
  </si>
  <si>
    <t>50% of the revenue in USD</t>
  </si>
  <si>
    <t>Cash flow befere DS in USD</t>
  </si>
  <si>
    <t>LT loan borrowing</t>
  </si>
  <si>
    <t>Revenue in UZS</t>
  </si>
  <si>
    <t>50% of export revenue (converted in UZS)</t>
  </si>
  <si>
    <t>Total revenue in UZS</t>
  </si>
  <si>
    <t>COGC</t>
  </si>
  <si>
    <t>Total OPEX+othe income</t>
  </si>
  <si>
    <t>Cash flow in UZS (in UZS million)</t>
  </si>
  <si>
    <t>Cash flow (In USD thousand)</t>
  </si>
  <si>
    <t>Corporate Income Tax</t>
  </si>
  <si>
    <t>Cash flow from operation</t>
  </si>
  <si>
    <t>Net working capital</t>
  </si>
  <si>
    <t>Total excess cash flow (USD+UZS)</t>
  </si>
  <si>
    <t>dif</t>
  </si>
  <si>
    <t>Toreve</t>
  </si>
  <si>
    <t>Excess Cash in UZS before dividends</t>
  </si>
  <si>
    <t>Excess Cash in UZS after dividends</t>
  </si>
  <si>
    <t>Turnover in UZS</t>
  </si>
  <si>
    <t>Diff</t>
  </si>
  <si>
    <t>Total CF in USD</t>
  </si>
  <si>
    <t>Total base</t>
  </si>
  <si>
    <t>Dif in UZS</t>
  </si>
  <si>
    <t>Dif in USD</t>
  </si>
  <si>
    <t>CF from operation in UZS</t>
  </si>
  <si>
    <t>Actual CF from operation in UZS</t>
  </si>
  <si>
    <t xml:space="preserve">PL </t>
  </si>
  <si>
    <t>Ave annual growth rate *</t>
  </si>
  <si>
    <t>Total revenues</t>
  </si>
  <si>
    <t>Total operating costs</t>
  </si>
  <si>
    <t>Net proft</t>
  </si>
  <si>
    <t>Total Fixed Assets</t>
  </si>
  <si>
    <t>Total Current Assets</t>
  </si>
  <si>
    <t>Total Equity</t>
  </si>
  <si>
    <t>Total Liability</t>
  </si>
  <si>
    <t>Cash flow from operations</t>
  </si>
  <si>
    <t>CAPEX and other investments</t>
  </si>
  <si>
    <t>Cash flow from financing activities</t>
  </si>
  <si>
    <t>Bank loan</t>
  </si>
  <si>
    <t>Bank Loan repayment</t>
  </si>
  <si>
    <t>Dividends paid</t>
  </si>
  <si>
    <t>Tota cash flow</t>
  </si>
  <si>
    <t>COGS/Total Revenue</t>
  </si>
  <si>
    <t>Operating costs/Total Revenue</t>
  </si>
  <si>
    <t>In thousand USD</t>
  </si>
  <si>
    <t>Actual</t>
  </si>
  <si>
    <t>Forecast</t>
  </si>
  <si>
    <t>Profit and loss</t>
  </si>
  <si>
    <t>Balance sheet</t>
  </si>
  <si>
    <t>Cash flow</t>
  </si>
  <si>
    <t>MARKET</t>
  </si>
  <si>
    <t>CONSUMPTION</t>
  </si>
  <si>
    <t>TONS</t>
  </si>
  <si>
    <t>USD/TON</t>
  </si>
  <si>
    <t>AFGANISTAN</t>
  </si>
  <si>
    <t>AMM</t>
  </si>
  <si>
    <t>SUP</t>
  </si>
  <si>
    <t>TUKMENISTAN</t>
  </si>
  <si>
    <t>KAZKAHSTAN</t>
  </si>
  <si>
    <t>UKRAINE</t>
  </si>
  <si>
    <t>KIRGIZSTAN</t>
  </si>
  <si>
    <t>EASTERN EUROPE</t>
  </si>
  <si>
    <t>TOTAL</t>
  </si>
  <si>
    <t>MAP</t>
  </si>
  <si>
    <t>BALTIC COUNTRIES</t>
  </si>
  <si>
    <t>SOUTH ASIA</t>
  </si>
  <si>
    <t>TOTAL COGS</t>
  </si>
  <si>
    <t>tons of MAP</t>
  </si>
  <si>
    <t>one time cost</t>
  </si>
  <si>
    <t>million UZS</t>
  </si>
  <si>
    <t>M UZS</t>
  </si>
  <si>
    <t>SALES to TAO (in  K tons)</t>
  </si>
  <si>
    <t>PRICE (UZS/kg)</t>
  </si>
  <si>
    <t>SALES to TAO ( M UZS)</t>
  </si>
  <si>
    <t>other domestic sales in  K tons</t>
  </si>
  <si>
    <t>sales price in KG</t>
  </si>
  <si>
    <t>other domestic sales in M UZS</t>
  </si>
  <si>
    <t>export sales in  K tons</t>
  </si>
  <si>
    <t>export sales in M UZS</t>
  </si>
  <si>
    <t>TOTAL SALES IN  K TONS</t>
  </si>
  <si>
    <t>TOTAL SALES IN  M SUMS</t>
  </si>
  <si>
    <t>TOTAL SALES in M UZS</t>
  </si>
  <si>
    <t>UZS/ton</t>
  </si>
  <si>
    <t>cost per kg</t>
  </si>
  <si>
    <t>K Tons produced (natural)</t>
  </si>
  <si>
    <t>In K USD. (.) is thousand</t>
  </si>
  <si>
    <t>contingencies 2011</t>
  </si>
  <si>
    <t>contingencies 2012</t>
  </si>
  <si>
    <t>contingencies 2013</t>
  </si>
  <si>
    <t>of which:</t>
  </si>
  <si>
    <t xml:space="preserve"> - project</t>
  </si>
  <si>
    <t xml:space="preserve">  </t>
  </si>
  <si>
    <t xml:space="preserve"> - contingencies and other project costs</t>
  </si>
  <si>
    <t>. NPK</t>
  </si>
  <si>
    <t xml:space="preserve"> conversion factor (max)</t>
  </si>
  <si>
    <t>U</t>
  </si>
  <si>
    <t>UREA</t>
  </si>
  <si>
    <t>Urea</t>
  </si>
  <si>
    <t>urea</t>
  </si>
  <si>
    <t>POTASH</t>
  </si>
  <si>
    <t>P</t>
  </si>
  <si>
    <t>NPK 15-15-15</t>
  </si>
  <si>
    <t>total production capacity</t>
  </si>
  <si>
    <t>check consistency prod/sales</t>
  </si>
  <si>
    <t>max amount</t>
  </si>
  <si>
    <t>sa</t>
  </si>
  <si>
    <t>own</t>
  </si>
  <si>
    <t>coating oil</t>
  </si>
  <si>
    <t>defoamer</t>
  </si>
  <si>
    <t>NPK</t>
  </si>
  <si>
    <t>SALES in UZS</t>
  </si>
  <si>
    <t>SALES in natural Tons</t>
  </si>
  <si>
    <t>sales in P2O5</t>
  </si>
  <si>
    <t>Industrial margin</t>
  </si>
  <si>
    <t>COMPANY</t>
  </si>
  <si>
    <t>Percentages</t>
  </si>
  <si>
    <t>CRITERIUM</t>
  </si>
  <si>
    <t>direct production costs</t>
  </si>
  <si>
    <t>P&amp;L AMMOFOX-MAXAM NPK PRODUCTION</t>
  </si>
  <si>
    <t>taxes on sales</t>
  </si>
  <si>
    <t>NPV</t>
  </si>
  <si>
    <t>accumulated</t>
  </si>
  <si>
    <t>IRR</t>
  </si>
  <si>
    <t>cash flow</t>
  </si>
  <si>
    <t>discounted cash flow</t>
  </si>
  <si>
    <t>overhead per ton</t>
  </si>
  <si>
    <t>production cost (industrial cost)</t>
  </si>
  <si>
    <t>overhead (production)</t>
  </si>
  <si>
    <t>other materials</t>
  </si>
  <si>
    <t>fines</t>
  </si>
  <si>
    <t>cash from export</t>
  </si>
  <si>
    <t>cash from domestic sales</t>
  </si>
  <si>
    <t>total cash -in</t>
  </si>
  <si>
    <t>purchase of raw materials</t>
  </si>
  <si>
    <t>. labor</t>
  </si>
  <si>
    <t>sales tax &amp; ot. Tax</t>
  </si>
  <si>
    <t>salaries</t>
  </si>
  <si>
    <t>social security &amp; PIT</t>
  </si>
  <si>
    <t>gas &amp; electricity</t>
  </si>
  <si>
    <t>total priority payments</t>
  </si>
  <si>
    <t>other payments</t>
  </si>
  <si>
    <t>balance</t>
  </si>
  <si>
    <t>total cash out</t>
  </si>
  <si>
    <t>Exchange Rate GAINS &amp; dividends</t>
  </si>
  <si>
    <t>Export ratio</t>
  </si>
  <si>
    <t>Net debt at EOD</t>
  </si>
  <si>
    <t>* Average annual growth rate from 2010 to 2018.</t>
  </si>
  <si>
    <t>Ind margin/turnover</t>
  </si>
  <si>
    <t>Receivable/Sales (Days)</t>
  </si>
  <si>
    <t>Stock/COGS (Days)</t>
  </si>
  <si>
    <t>Payable/COGC (Days)</t>
  </si>
  <si>
    <t>Net Working Capital (Receibable-(Stock+Payable))</t>
  </si>
  <si>
    <t>UZS million</t>
  </si>
  <si>
    <t>NWC/Sales (Days)</t>
  </si>
  <si>
    <t>Year</t>
  </si>
  <si>
    <t>Short term deposit</t>
  </si>
  <si>
    <t xml:space="preserve">Bank OD </t>
  </si>
  <si>
    <t>Cash</t>
  </si>
  <si>
    <t xml:space="preserve">Project debt outstanding </t>
  </si>
  <si>
    <t>Net debt conputation</t>
  </si>
  <si>
    <t>Cash surplus of the year</t>
  </si>
  <si>
    <t>Cash sweep of the year</t>
  </si>
  <si>
    <t>Cash sweep accumulated</t>
  </si>
  <si>
    <t>Project debt after cash sweep</t>
  </si>
  <si>
    <t>Cash sweep</t>
  </si>
  <si>
    <t>Exchange reconciliation</t>
  </si>
  <si>
    <t>2011-18</t>
  </si>
  <si>
    <t>Intrest expenses</t>
  </si>
  <si>
    <t>Exchange loss/gain</t>
  </si>
  <si>
    <t>Exchange reate 2,000 @ 2011</t>
  </si>
  <si>
    <t>Exchange reate 1,500 @ 2011</t>
  </si>
  <si>
    <t>insurance</t>
  </si>
  <si>
    <t>non resident &amp; other taxes</t>
  </si>
  <si>
    <t>non deductible VAT</t>
  </si>
  <si>
    <t>. Cost of TOLLING</t>
  </si>
  <si>
    <t>local bank</t>
  </si>
  <si>
    <t>personnel expenses increase</t>
  </si>
  <si>
    <t>TRADITIONAL PRODUCTS</t>
  </si>
  <si>
    <t>USD</t>
  </si>
  <si>
    <t>AMM Tolling</t>
  </si>
  <si>
    <r>
      <t>P</t>
    </r>
    <r>
      <rPr>
        <vertAlign val="subscript"/>
        <sz val="9"/>
        <color rgb="FF0070C0"/>
        <rFont val="Arial"/>
        <family val="2"/>
        <charset val="204"/>
      </rPr>
      <t>2</t>
    </r>
    <r>
      <rPr>
        <sz val="9"/>
        <color rgb="FF0070C0"/>
        <rFont val="Arial"/>
        <family val="2"/>
        <charset val="204"/>
      </rPr>
      <t>O</t>
    </r>
    <r>
      <rPr>
        <vertAlign val="subscript"/>
        <sz val="9"/>
        <color rgb="FF0070C0"/>
        <rFont val="Arial"/>
        <family val="2"/>
        <charset val="204"/>
      </rPr>
      <t>5</t>
    </r>
  </si>
  <si>
    <t>TAJIKISTAN</t>
  </si>
  <si>
    <t>CENTRAL ASIA</t>
  </si>
  <si>
    <r>
      <t>P</t>
    </r>
    <r>
      <rPr>
        <b/>
        <vertAlign val="subscript"/>
        <sz val="9"/>
        <color rgb="FF0070C0"/>
        <rFont val="Arial"/>
        <family val="2"/>
        <charset val="204"/>
      </rPr>
      <t>2</t>
    </r>
    <r>
      <rPr>
        <b/>
        <sz val="9"/>
        <color rgb="FF0070C0"/>
        <rFont val="Arial"/>
        <family val="2"/>
        <charset val="204"/>
      </rPr>
      <t>O</t>
    </r>
    <r>
      <rPr>
        <b/>
        <vertAlign val="subscript"/>
        <sz val="9"/>
        <color rgb="FF0070C0"/>
        <rFont val="Arial"/>
        <family val="2"/>
        <charset val="204"/>
      </rPr>
      <t>5</t>
    </r>
  </si>
  <si>
    <t>Belorussia</t>
  </si>
  <si>
    <t>Bulgaria</t>
  </si>
  <si>
    <t>Georgia</t>
  </si>
  <si>
    <t>Hungary</t>
  </si>
  <si>
    <t>Serbia</t>
  </si>
  <si>
    <t>Poland</t>
  </si>
  <si>
    <t>Romania</t>
  </si>
  <si>
    <t xml:space="preserve">Slovakia </t>
  </si>
  <si>
    <t>Moldavia</t>
  </si>
  <si>
    <t>Estonia</t>
  </si>
  <si>
    <t>Lithuania</t>
  </si>
  <si>
    <t>UAE</t>
  </si>
  <si>
    <t>Iran</t>
  </si>
  <si>
    <t>Turkey</t>
  </si>
  <si>
    <t>CHINA</t>
  </si>
  <si>
    <t>ASIA</t>
  </si>
  <si>
    <t>BRASIL</t>
  </si>
  <si>
    <t>RUSSIA</t>
  </si>
  <si>
    <t>ARMENIA</t>
  </si>
  <si>
    <t>EGYPT</t>
  </si>
  <si>
    <t>ITALY</t>
  </si>
  <si>
    <t>OTHERS</t>
  </si>
  <si>
    <t>TOTAL (ACC TO SALES DPT)</t>
  </si>
  <si>
    <t>Mln UZS</t>
  </si>
  <si>
    <t>INDIA</t>
  </si>
  <si>
    <t>PAKISTAN</t>
  </si>
  <si>
    <t>price increase on international markets</t>
  </si>
  <si>
    <t>cost of suprefos</t>
  </si>
  <si>
    <t>. of which suprefos</t>
  </si>
  <si>
    <t>total cost suprefos</t>
  </si>
  <si>
    <t>K tons produces</t>
  </si>
  <si>
    <t>mark up</t>
  </si>
  <si>
    <t>export in  K USD</t>
  </si>
  <si>
    <t xml:space="preserve">In K USD. </t>
  </si>
  <si>
    <t>in  K USD</t>
  </si>
  <si>
    <t>coolers</t>
  </si>
  <si>
    <t>phosphoric acid revamping</t>
  </si>
  <si>
    <t>Local bank 1</t>
  </si>
  <si>
    <t>local bank 2</t>
  </si>
  <si>
    <t>npk production</t>
  </si>
  <si>
    <t>sulphuric acid revamping</t>
  </si>
  <si>
    <t>ebit/sales</t>
  </si>
  <si>
    <t>industrial margin/sales</t>
  </si>
  <si>
    <t>days of stock</t>
  </si>
  <si>
    <t>purchases</t>
  </si>
  <si>
    <t>days of payment</t>
  </si>
  <si>
    <t>suppliers RM</t>
  </si>
  <si>
    <t>production services</t>
  </si>
  <si>
    <t>other services</t>
  </si>
  <si>
    <t>total services</t>
  </si>
  <si>
    <t>providers</t>
  </si>
  <si>
    <t>total suppliers</t>
  </si>
  <si>
    <t>total comsumption</t>
  </si>
  <si>
    <t>total cost RM</t>
  </si>
  <si>
    <t>foreign currency difference</t>
  </si>
  <si>
    <t>tax claim adjustment</t>
  </si>
  <si>
    <t>year profit/(loss)</t>
  </si>
  <si>
    <t>dividends</t>
  </si>
  <si>
    <t>asset revaluation</t>
  </si>
  <si>
    <t>tax claim settlement</t>
  </si>
  <si>
    <t>out of period cost</t>
  </si>
  <si>
    <t>check</t>
  </si>
  <si>
    <t>investment obligation</t>
  </si>
  <si>
    <t>asset write off</t>
  </si>
  <si>
    <t>cash &amp; cash equivalent</t>
  </si>
  <si>
    <t>declared</t>
  </si>
  <si>
    <t>paid</t>
  </si>
  <si>
    <t>flag (true=paid; false=declared)</t>
  </si>
  <si>
    <t>other financial income (dividends)</t>
  </si>
  <si>
    <t>industrial cost per kg</t>
  </si>
  <si>
    <t>Total Fertilizers (including others)</t>
  </si>
  <si>
    <t xml:space="preserve">Total Fertilizers (including others) </t>
  </si>
  <si>
    <t>adjustment to COGS (including stock variation)</t>
  </si>
  <si>
    <t>Capital Increase (investment obligation in equity)</t>
  </si>
  <si>
    <t>ACCOUNTS PAYABLES</t>
  </si>
  <si>
    <t>% of payables</t>
  </si>
  <si>
    <t>total payables</t>
  </si>
  <si>
    <t>net balance</t>
  </si>
  <si>
    <t>payables</t>
  </si>
  <si>
    <t>in P2O5</t>
  </si>
  <si>
    <t>receivables - suppliers</t>
  </si>
  <si>
    <t>trade working capital (net)</t>
  </si>
  <si>
    <t>accounts receivables</t>
  </si>
  <si>
    <t>total working capital</t>
  </si>
  <si>
    <t>b</t>
  </si>
  <si>
    <t>sales NPK in natural Ktons</t>
  </si>
  <si>
    <t xml:space="preserve"> </t>
  </si>
  <si>
    <t>Cro$atia</t>
  </si>
  <si>
    <t>L$atvia</t>
  </si>
  <si>
    <t>M$aterial SBM</t>
  </si>
  <si>
    <t>p2o5 ammofos+suprefos</t>
  </si>
  <si>
    <t>p2o5 npk</t>
  </si>
  <si>
    <t>export in p2o5</t>
  </si>
  <si>
    <t>delta</t>
  </si>
  <si>
    <t>mark-up commodity exchange</t>
  </si>
  <si>
    <t>sale price commodity exchange</t>
  </si>
  <si>
    <t>mark up commodity exchange on monopolistic products</t>
  </si>
  <si>
    <t>increase of sales in commodity exchange</t>
  </si>
  <si>
    <t>cogs</t>
  </si>
  <si>
    <t>Sponsorship</t>
  </si>
  <si>
    <t>Material help</t>
  </si>
  <si>
    <t>losses from auxiliary productions</t>
  </si>
  <si>
    <t>cost of non productive units</t>
  </si>
  <si>
    <t>Cotton picking campaign</t>
  </si>
  <si>
    <t>country5</t>
  </si>
  <si>
    <t>country6</t>
  </si>
  <si>
    <t>NPK 16-16-16</t>
  </si>
  <si>
    <t>NPK 10-26-26</t>
  </si>
  <si>
    <t>NPK 10-20-20</t>
  </si>
  <si>
    <t>NPK 13-13-21</t>
  </si>
  <si>
    <t>THAILAND</t>
  </si>
  <si>
    <t>MALASYA</t>
  </si>
  <si>
    <t>VIETNAM</t>
  </si>
  <si>
    <t>REST OF SOUTH ASIA</t>
  </si>
  <si>
    <t>REST OF SOUTH EAST ASIA</t>
  </si>
  <si>
    <t>LITUANIA</t>
  </si>
  <si>
    <t>LATVIA</t>
  </si>
  <si>
    <t>ESTONIA</t>
  </si>
  <si>
    <t>CENTRAL &amp; WESTERN EUROPE</t>
  </si>
  <si>
    <t>BASE</t>
  </si>
  <si>
    <t>NPK 00-00-00</t>
  </si>
  <si>
    <t>Number of Personnel</t>
  </si>
  <si>
    <t>ebidta</t>
  </si>
  <si>
    <t>P&amp;L  ACTUAL 2007-2011 AND PROJECTIONS 2012-2023</t>
  </si>
  <si>
    <t>P&amp;L ClientM ACTUAL 2007-2011 AND PROJECTIONS 2012-2023</t>
  </si>
  <si>
    <t>BS Client ACTUAL 2007 - 2011 AND PROJECTIONS 2012-2023</t>
  </si>
  <si>
    <t>CF Client, ACTUAL 2008-2011 AND PROJECTIONS 2012-2023</t>
  </si>
  <si>
    <t>DSCR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</si>
</sst>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#,##0.0"/>
    <numFmt numFmtId="165" formatCode="0.0%"/>
    <numFmt numFmtId="166" formatCode="0.0"/>
    <numFmt numFmtId="167" formatCode="#,##0,;\(#,##0,\)"/>
    <numFmt numFmtId="168" formatCode="_-* #,##0_-;\-* #,##0_-;_-* &quot;-&quot;??_-;_-@_-"/>
    <numFmt numFmtId="169" formatCode="#,##0.000"/>
    <numFmt numFmtId="170" formatCode="0.000"/>
    <numFmt numFmtId="171" formatCode="_(* #,##0_);_(* \(#,##0\);_(* &quot;-&quot;??_);_(@_)"/>
    <numFmt numFmtId="172" formatCode="_-* #,##0.0_-;\-* #,##0.0_-;_-* &quot;-&quot;??_-;_-@_-"/>
    <numFmt numFmtId="173" formatCode="#"/>
    <numFmt numFmtId="174" formatCode="0.000%"/>
  </numFmts>
  <fonts count="126" x14ac:knownFonts="1">
    <font>
      <sz val="12"/>
      <name val="Times New Roman"/>
    </font>
    <font>
      <sz val="12"/>
      <name val="Times New Roman"/>
      <family val="1"/>
    </font>
    <font>
      <sz val="8"/>
      <name val="Times New Roman"/>
      <family val="1"/>
    </font>
    <font>
      <sz val="12"/>
      <color indexed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i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0"/>
      <name val="Bookman Old Style"/>
      <family val="1"/>
      <charset val="204"/>
    </font>
    <font>
      <sz val="11"/>
      <name val="Bookman Old Style"/>
      <family val="1"/>
      <charset val="204"/>
    </font>
    <font>
      <b/>
      <sz val="10"/>
      <name val="Bookman Old Style"/>
      <family val="1"/>
      <charset val="204"/>
    </font>
    <font>
      <b/>
      <u val="double"/>
      <sz val="12"/>
      <name val="Times New Roman"/>
      <family val="1"/>
    </font>
    <font>
      <sz val="12"/>
      <name val="Times New Roman"/>
      <family val="1"/>
      <charset val="204"/>
    </font>
    <font>
      <sz val="10"/>
      <name val="Times New Roman"/>
      <family val="1"/>
    </font>
    <font>
      <b/>
      <i/>
      <sz val="10"/>
      <name val="Bookman Old Style"/>
      <family val="1"/>
      <charset val="204"/>
    </font>
    <font>
      <b/>
      <i/>
      <u/>
      <sz val="10"/>
      <name val="Bookman Old Style"/>
      <family val="1"/>
      <charset val="204"/>
    </font>
    <font>
      <sz val="10"/>
      <color indexed="10"/>
      <name val="Bookman Old Style"/>
      <family val="1"/>
      <charset val="204"/>
    </font>
    <font>
      <sz val="16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b/>
      <sz val="10"/>
      <name val="Bookman Old Style"/>
      <family val="1"/>
    </font>
    <font>
      <b/>
      <sz val="12"/>
      <name val="Times New Roman"/>
      <family val="1"/>
      <charset val="204"/>
    </font>
    <font>
      <u/>
      <sz val="12"/>
      <name val="Times New Roman"/>
      <family val="1"/>
      <charset val="204"/>
    </font>
    <font>
      <sz val="14"/>
      <name val="Times New Roman"/>
      <family val="1"/>
      <charset val="204"/>
    </font>
    <font>
      <i/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i/>
      <sz val="9"/>
      <name val="Times New Roman"/>
      <family val="1"/>
      <charset val="204"/>
    </font>
    <font>
      <sz val="14"/>
      <name val="Times New Roman"/>
      <family val="1"/>
    </font>
    <font>
      <sz val="12"/>
      <name val="Times New Roman"/>
      <family val="1"/>
      <charset val="204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i/>
      <sz val="9"/>
      <name val="Arial"/>
      <family val="2"/>
    </font>
    <font>
      <vertAlign val="subscript"/>
      <sz val="12"/>
      <name val="Times New Roman"/>
      <family val="1"/>
    </font>
    <font>
      <vertAlign val="subscript"/>
      <sz val="10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Times New Roman"/>
      <family val="1"/>
      <charset val="204"/>
    </font>
    <font>
      <sz val="12"/>
      <color indexed="56"/>
      <name val="Times New Roman"/>
      <family val="1"/>
    </font>
    <font>
      <b/>
      <sz val="12"/>
      <color indexed="10"/>
      <name val="Times New Roman"/>
      <family val="1"/>
    </font>
    <font>
      <sz val="11"/>
      <color indexed="60"/>
      <name val="Times New Roman"/>
      <family val="1"/>
    </font>
    <font>
      <sz val="12"/>
      <color indexed="17"/>
      <name val="Times New Roman"/>
      <family val="1"/>
    </font>
    <font>
      <sz val="12"/>
      <color indexed="56"/>
      <name val="Times New Roman"/>
      <family val="1"/>
    </font>
    <font>
      <sz val="12"/>
      <color indexed="13"/>
      <name val="Times New Roman"/>
      <family val="1"/>
    </font>
    <font>
      <b/>
      <sz val="14"/>
      <color indexed="13"/>
      <name val="Times New Roman"/>
      <family val="1"/>
    </font>
    <font>
      <sz val="16"/>
      <color indexed="17"/>
      <name val="Times New Roman"/>
      <family val="1"/>
    </font>
    <font>
      <sz val="12"/>
      <color indexed="62"/>
      <name val="Times New Roman"/>
      <family val="1"/>
    </font>
    <font>
      <sz val="12"/>
      <color indexed="10"/>
      <name val="Times New Roman"/>
      <family val="1"/>
    </font>
    <font>
      <sz val="11"/>
      <color indexed="10"/>
      <name val="Times New Roman"/>
      <family val="1"/>
    </font>
    <font>
      <sz val="10"/>
      <color indexed="10"/>
      <name val="Times New Roman"/>
      <family val="1"/>
    </font>
    <font>
      <sz val="12"/>
      <color indexed="9"/>
      <name val="Times New Roman"/>
      <family val="1"/>
    </font>
    <font>
      <sz val="11"/>
      <color indexed="13"/>
      <name val="Times New Roman"/>
      <family val="1"/>
    </font>
    <font>
      <sz val="12"/>
      <color indexed="30"/>
      <name val="Times New Roman"/>
      <family val="1"/>
    </font>
    <font>
      <b/>
      <sz val="12"/>
      <color indexed="8"/>
      <name val="Times New Roman"/>
      <family val="1"/>
    </font>
    <font>
      <b/>
      <sz val="11"/>
      <color indexed="56"/>
      <name val="Times New Roman"/>
      <family val="1"/>
    </font>
    <font>
      <sz val="12"/>
      <color indexed="40"/>
      <name val="Times New Roman"/>
      <family val="1"/>
      <charset val="204"/>
    </font>
    <font>
      <b/>
      <sz val="12"/>
      <color indexed="40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b/>
      <sz val="14"/>
      <color indexed="9"/>
      <name val="Times New Roman"/>
      <family val="1"/>
    </font>
    <font>
      <sz val="10"/>
      <color indexed="60"/>
      <name val="Arial"/>
      <family val="2"/>
    </font>
    <font>
      <sz val="10"/>
      <color indexed="17"/>
      <name val="Arial"/>
      <family val="2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Times New Roman"/>
      <family val="1"/>
    </font>
    <font>
      <b/>
      <sz val="16"/>
      <color indexed="9"/>
      <name val="Times New Roman"/>
      <family val="1"/>
      <charset val="204"/>
    </font>
    <font>
      <b/>
      <sz val="12"/>
      <color indexed="9"/>
      <name val="Times New Roman"/>
      <family val="1"/>
      <charset val="204"/>
    </font>
    <font>
      <sz val="12"/>
      <color indexed="9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sz val="8"/>
      <name val="Times New Roman"/>
      <family val="1"/>
      <charset val="204"/>
    </font>
    <font>
      <b/>
      <sz val="9"/>
      <color indexed="9"/>
      <name val="Arial"/>
      <family val="2"/>
    </font>
    <font>
      <sz val="11"/>
      <name val="Arial"/>
      <family val="2"/>
      <charset val="204"/>
    </font>
    <font>
      <sz val="8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2"/>
      <color indexed="10"/>
      <name val="Times New Roman"/>
      <family val="1"/>
    </font>
    <font>
      <sz val="12"/>
      <color indexed="10"/>
      <name val="Times New Roman"/>
      <family val="1"/>
      <charset val="204"/>
    </font>
    <font>
      <sz val="16"/>
      <name val="Times New Roman"/>
      <family val="1"/>
      <charset val="204"/>
    </font>
    <font>
      <sz val="16"/>
      <color indexed="10"/>
      <name val="Times New Roman"/>
      <family val="1"/>
      <charset val="204"/>
    </font>
    <font>
      <b/>
      <sz val="14"/>
      <color indexed="56"/>
      <name val="Times New Roman"/>
      <family val="1"/>
      <charset val="204"/>
    </font>
    <font>
      <sz val="9"/>
      <color indexed="9"/>
      <name val="Times New Roman"/>
      <family val="1"/>
      <charset val="204"/>
    </font>
    <font>
      <b/>
      <sz val="14"/>
      <color indexed="9"/>
      <name val="Times New Roman"/>
      <family val="1"/>
    </font>
    <font>
      <sz val="14"/>
      <color indexed="30"/>
      <name val="Times New Roman"/>
      <family val="1"/>
    </font>
    <font>
      <b/>
      <sz val="16"/>
      <name val="Times New Roman"/>
      <family val="1"/>
      <charset val="204"/>
    </font>
    <font>
      <sz val="10"/>
      <name val="Times New Roman"/>
      <family val="1"/>
      <charset val="204"/>
    </font>
    <font>
      <sz val="12"/>
      <name val="Times New Roman"/>
      <family val="1"/>
    </font>
    <font>
      <sz val="8"/>
      <name val="Times New Roman"/>
      <family val="1"/>
    </font>
    <font>
      <sz val="10"/>
      <name val="Arial"/>
      <family val="2"/>
      <charset val="204"/>
    </font>
    <font>
      <b/>
      <sz val="14"/>
      <name val="Arial"/>
      <family val="2"/>
    </font>
    <font>
      <sz val="12"/>
      <name val="Times New Roman"/>
      <family val="1"/>
    </font>
    <font>
      <sz val="12"/>
      <color rgb="FF9C0006"/>
      <name val="Times New Roman"/>
      <family val="2"/>
    </font>
    <font>
      <sz val="12"/>
      <color rgb="FF006100"/>
      <name val="Times New Roman"/>
      <family val="2"/>
    </font>
    <font>
      <sz val="9"/>
      <color rgb="FF0070C0"/>
      <name val="Arial"/>
      <family val="2"/>
      <charset val="204"/>
    </font>
    <font>
      <b/>
      <sz val="9"/>
      <color rgb="FF0070C0"/>
      <name val="Arial"/>
      <family val="2"/>
      <charset val="204"/>
    </font>
    <font>
      <sz val="9"/>
      <color rgb="FFFFFF00"/>
      <name val="Arial"/>
      <family val="2"/>
      <charset val="204"/>
    </font>
    <font>
      <vertAlign val="subscript"/>
      <sz val="9"/>
      <color rgb="FF0070C0"/>
      <name val="Arial"/>
      <family val="2"/>
      <charset val="204"/>
    </font>
    <font>
      <sz val="9"/>
      <color theme="4"/>
      <name val="Arial"/>
      <family val="2"/>
      <charset val="204"/>
    </font>
    <font>
      <sz val="9"/>
      <color rgb="FFFF0000"/>
      <name val="Arial"/>
      <family val="2"/>
      <charset val="204"/>
    </font>
    <font>
      <b/>
      <vertAlign val="subscript"/>
      <sz val="9"/>
      <color rgb="FF0070C0"/>
      <name val="Arial"/>
      <family val="2"/>
      <charset val="204"/>
    </font>
    <font>
      <b/>
      <sz val="9"/>
      <color theme="4"/>
      <name val="Arial"/>
      <family val="2"/>
      <charset val="204"/>
    </font>
    <font>
      <sz val="9"/>
      <color rgb="FFCC0099"/>
      <name val="Arial"/>
      <family val="2"/>
      <charset val="204"/>
    </font>
    <font>
      <b/>
      <sz val="9"/>
      <color rgb="FFFF0000"/>
      <name val="Arial"/>
      <family val="2"/>
      <charset val="204"/>
    </font>
    <font>
      <i/>
      <sz val="9"/>
      <color rgb="FF0070C0"/>
      <name val="Arial"/>
      <family val="2"/>
      <charset val="204"/>
    </font>
    <font>
      <sz val="9"/>
      <color theme="0"/>
      <name val="Arial"/>
      <family val="2"/>
      <charset val="204"/>
    </font>
    <font>
      <b/>
      <sz val="8"/>
      <color indexed="81"/>
      <name val="Tahoma"/>
      <family val="2"/>
      <charset val="204"/>
    </font>
    <font>
      <sz val="11"/>
      <name val="Times New Roman"/>
      <family val="1"/>
      <charset val="204"/>
    </font>
    <font>
      <sz val="12"/>
      <color rgb="FFFF0000"/>
      <name val="Times New Roman"/>
      <family val="1"/>
    </font>
    <font>
      <sz val="12"/>
      <color theme="0"/>
      <name val="Times New Roman"/>
      <family val="1"/>
      <charset val="204"/>
    </font>
    <font>
      <sz val="12"/>
      <color theme="0"/>
      <name val="Times New Roman"/>
      <family val="1"/>
    </font>
    <font>
      <sz val="11"/>
      <color rgb="FF00B05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b/>
      <sz val="12"/>
      <color rgb="FFFF0000"/>
      <name val="Times New Roman"/>
      <family val="1"/>
    </font>
    <font>
      <sz val="9"/>
      <name val="Times New Roman"/>
      <family val="1"/>
      <charset val="204"/>
    </font>
    <font>
      <sz val="9"/>
      <color rgb="FF9C0006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2"/>
      <color rgb="FFFFFF00"/>
      <name val="Times New Roman"/>
      <family val="1"/>
      <charset val="204"/>
    </font>
    <font>
      <b/>
      <sz val="11"/>
      <color indexed="10"/>
      <name val="Bookman Old Style"/>
      <family val="1"/>
      <charset val="204"/>
    </font>
    <font>
      <sz val="10"/>
      <color theme="3" tint="0.39997558519241921"/>
      <name val="Arial"/>
      <family val="2"/>
    </font>
    <font>
      <sz val="16"/>
      <color rgb="FFFF0000"/>
      <name val="Arial"/>
      <family val="2"/>
      <charset val="204"/>
    </font>
    <font>
      <sz val="9"/>
      <name val="Arial"/>
      <family val="2"/>
      <charset val="204"/>
    </font>
    <font>
      <sz val="10"/>
      <color theme="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darkTrellis"/>
    </fill>
    <fill>
      <patternFill patternType="solid">
        <fgColor indexed="1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6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94" fillId="20" borderId="0" applyNumberFormat="0" applyBorder="0" applyAlignment="0" applyProtection="0"/>
    <xf numFmtId="43" fontId="9" fillId="0" borderId="0" applyFont="0" applyFill="0" applyBorder="0" applyAlignment="0" applyProtection="0"/>
    <xf numFmtId="0" fontId="95" fillId="21" borderId="0" applyNumberFormat="0" applyBorder="0" applyAlignment="0" applyProtection="0"/>
    <xf numFmtId="0" fontId="75" fillId="0" borderId="0"/>
    <xf numFmtId="0" fontId="89" fillId="0" borderId="0"/>
    <xf numFmtId="0" fontId="8" fillId="0" borderId="0"/>
    <xf numFmtId="9" fontId="1" fillId="0" borderId="0" applyFont="0" applyFill="0" applyBorder="0" applyAlignment="0" applyProtection="0"/>
  </cellStyleXfs>
  <cellXfs count="777">
    <xf numFmtId="0" fontId="0" fillId="0" borderId="0" xfId="0"/>
    <xf numFmtId="3" fontId="0" fillId="0" borderId="0" xfId="0" applyNumberFormat="1"/>
    <xf numFmtId="0" fontId="3" fillId="0" borderId="0" xfId="0" applyFont="1"/>
    <xf numFmtId="9" fontId="0" fillId="0" borderId="0" xfId="7" applyFont="1"/>
    <xf numFmtId="164" fontId="0" fillId="0" borderId="0" xfId="0" applyNumberFormat="1"/>
    <xf numFmtId="0" fontId="4" fillId="0" borderId="0" xfId="0" applyFont="1"/>
    <xf numFmtId="3" fontId="3" fillId="0" borderId="0" xfId="0" applyNumberFormat="1" applyFont="1"/>
    <xf numFmtId="9" fontId="0" fillId="0" borderId="0" xfId="0" applyNumberFormat="1"/>
    <xf numFmtId="3" fontId="4" fillId="0" borderId="0" xfId="0" applyNumberFormat="1" applyFont="1"/>
    <xf numFmtId="166" fontId="0" fillId="0" borderId="0" xfId="0" applyNumberFormat="1"/>
    <xf numFmtId="1" fontId="0" fillId="0" borderId="0" xfId="0" applyNumberFormat="1"/>
    <xf numFmtId="3" fontId="4" fillId="0" borderId="1" xfId="0" applyNumberFormat="1" applyFont="1" applyBorder="1"/>
    <xf numFmtId="0" fontId="5" fillId="0" borderId="0" xfId="0" applyFont="1"/>
    <xf numFmtId="165" fontId="0" fillId="0" borderId="0" xfId="7" applyNumberFormat="1" applyFont="1"/>
    <xf numFmtId="0" fontId="0" fillId="0" borderId="2" xfId="0" applyBorder="1"/>
    <xf numFmtId="0" fontId="0" fillId="0" borderId="1" xfId="0" applyBorder="1"/>
    <xf numFmtId="0" fontId="4" fillId="0" borderId="1" xfId="0" applyFont="1" applyBorder="1"/>
    <xf numFmtId="0" fontId="4" fillId="0" borderId="4" xfId="0" applyFont="1" applyBorder="1"/>
    <xf numFmtId="3" fontId="0" fillId="0" borderId="5" xfId="0" applyNumberFormat="1" applyBorder="1"/>
    <xf numFmtId="3" fontId="4" fillId="0" borderId="6" xfId="0" applyNumberFormat="1" applyFont="1" applyBorder="1"/>
    <xf numFmtId="3" fontId="4" fillId="0" borderId="2" xfId="0" applyNumberFormat="1" applyFont="1" applyBorder="1"/>
    <xf numFmtId="0" fontId="6" fillId="0" borderId="1" xfId="0" applyFont="1" applyBorder="1"/>
    <xf numFmtId="3" fontId="6" fillId="0" borderId="1" xfId="0" applyNumberFormat="1" applyFont="1" applyBorder="1"/>
    <xf numFmtId="3" fontId="0" fillId="0" borderId="7" xfId="0" applyNumberFormat="1" applyBorder="1"/>
    <xf numFmtId="3" fontId="0" fillId="0" borderId="8" xfId="0" applyNumberFormat="1" applyBorder="1"/>
    <xf numFmtId="165" fontId="0" fillId="0" borderId="0" xfId="0" applyNumberFormat="1"/>
    <xf numFmtId="0" fontId="1" fillId="0" borderId="0" xfId="0" applyFont="1"/>
    <xf numFmtId="0" fontId="10" fillId="0" borderId="9" xfId="0" applyFont="1" applyBorder="1"/>
    <xf numFmtId="0" fontId="10" fillId="0" borderId="0" xfId="0" applyFont="1"/>
    <xf numFmtId="0" fontId="12" fillId="0" borderId="9" xfId="0" applyFont="1" applyBorder="1"/>
    <xf numFmtId="0" fontId="10" fillId="0" borderId="10" xfId="0" applyFont="1" applyBorder="1"/>
    <xf numFmtId="0" fontId="13" fillId="0" borderId="0" xfId="0" applyFont="1"/>
    <xf numFmtId="0" fontId="1" fillId="0" borderId="4" xfId="0" applyFont="1" applyBorder="1"/>
    <xf numFmtId="168" fontId="10" fillId="0" borderId="0" xfId="2" applyNumberFormat="1" applyFont="1"/>
    <xf numFmtId="168" fontId="10" fillId="0" borderId="9" xfId="2" applyNumberFormat="1" applyFont="1" applyBorder="1" applyAlignment="1">
      <alignment horizontal="right"/>
    </xf>
    <xf numFmtId="168" fontId="10" fillId="0" borderId="0" xfId="2" applyNumberFormat="1" applyFont="1" applyAlignment="1">
      <alignment horizontal="right"/>
    </xf>
    <xf numFmtId="168" fontId="10" fillId="0" borderId="10" xfId="2" applyNumberFormat="1" applyFont="1" applyBorder="1" applyAlignment="1">
      <alignment horizontal="right"/>
    </xf>
    <xf numFmtId="0" fontId="11" fillId="0" borderId="0" xfId="0" applyFont="1"/>
    <xf numFmtId="3" fontId="42" fillId="0" borderId="0" xfId="0" applyNumberFormat="1" applyFont="1"/>
    <xf numFmtId="3" fontId="14" fillId="0" borderId="0" xfId="0" applyNumberFormat="1" applyFont="1"/>
    <xf numFmtId="169" fontId="43" fillId="0" borderId="0" xfId="0" applyNumberFormat="1" applyFont="1"/>
    <xf numFmtId="0" fontId="12" fillId="0" borderId="0" xfId="0" applyFont="1"/>
    <xf numFmtId="167" fontId="15" fillId="0" borderId="0" xfId="0" applyNumberFormat="1" applyFont="1"/>
    <xf numFmtId="0" fontId="15" fillId="0" borderId="0" xfId="0" applyFont="1"/>
    <xf numFmtId="0" fontId="12" fillId="0" borderId="0" xfId="0" applyFont="1" applyAlignment="1">
      <alignment horizontal="center"/>
    </xf>
    <xf numFmtId="0" fontId="16" fillId="0" borderId="9" xfId="0" applyFont="1" applyBorder="1"/>
    <xf numFmtId="168" fontId="12" fillId="0" borderId="9" xfId="2" applyNumberFormat="1" applyFont="1" applyBorder="1" applyAlignment="1">
      <alignment horizontal="center"/>
    </xf>
    <xf numFmtId="0" fontId="17" fillId="0" borderId="9" xfId="0" applyFont="1" applyBorder="1"/>
    <xf numFmtId="168" fontId="12" fillId="0" borderId="9" xfId="2" quotePrefix="1" applyNumberFormat="1" applyFont="1" applyBorder="1" applyAlignment="1">
      <alignment horizontal="right"/>
    </xf>
    <xf numFmtId="0" fontId="10" fillId="2" borderId="9" xfId="0" applyFont="1" applyFill="1" applyBorder="1"/>
    <xf numFmtId="168" fontId="10" fillId="2" borderId="9" xfId="2" applyNumberFormat="1" applyFont="1" applyFill="1" applyBorder="1" applyAlignment="1">
      <alignment horizontal="right"/>
    </xf>
    <xf numFmtId="0" fontId="18" fillId="0" borderId="9" xfId="0" applyFont="1" applyBorder="1"/>
    <xf numFmtId="168" fontId="12" fillId="0" borderId="9" xfId="2" applyNumberFormat="1" applyFont="1" applyBorder="1" applyAlignment="1">
      <alignment horizontal="right"/>
    </xf>
    <xf numFmtId="0" fontId="16" fillId="0" borderId="0" xfId="0" applyFont="1"/>
    <xf numFmtId="168" fontId="12" fillId="0" borderId="0" xfId="2" applyNumberFormat="1" applyFont="1" applyBorder="1" applyAlignment="1">
      <alignment horizontal="right"/>
    </xf>
    <xf numFmtId="168" fontId="15" fillId="0" borderId="0" xfId="2" applyNumberFormat="1" applyFont="1"/>
    <xf numFmtId="9" fontId="15" fillId="0" borderId="0" xfId="0" applyNumberFormat="1" applyFont="1"/>
    <xf numFmtId="14" fontId="0" fillId="0" borderId="0" xfId="0" applyNumberFormat="1"/>
    <xf numFmtId="0" fontId="44" fillId="0" borderId="0" xfId="0" applyFont="1"/>
    <xf numFmtId="0" fontId="45" fillId="0" borderId="0" xfId="0" applyFont="1"/>
    <xf numFmtId="0" fontId="19" fillId="0" borderId="0" xfId="0" applyFont="1"/>
    <xf numFmtId="170" fontId="0" fillId="0" borderId="0" xfId="0" applyNumberFormat="1"/>
    <xf numFmtId="0" fontId="0" fillId="3" borderId="0" xfId="0" applyFill="1"/>
    <xf numFmtId="0" fontId="46" fillId="0" borderId="0" xfId="0" applyFont="1"/>
    <xf numFmtId="0" fontId="0" fillId="2" borderId="0" xfId="0" applyFill="1"/>
    <xf numFmtId="0" fontId="0" fillId="4" borderId="0" xfId="0" applyFill="1"/>
    <xf numFmtId="0" fontId="47" fillId="5" borderId="0" xfId="0" applyFont="1" applyFill="1"/>
    <xf numFmtId="0" fontId="48" fillId="5" borderId="0" xfId="0" applyFont="1" applyFill="1"/>
    <xf numFmtId="0" fontId="49" fillId="0" borderId="0" xfId="0" applyFont="1"/>
    <xf numFmtId="0" fontId="20" fillId="0" borderId="0" xfId="0" applyFont="1"/>
    <xf numFmtId="0" fontId="1" fillId="0" borderId="11" xfId="0" applyFont="1" applyBorder="1"/>
    <xf numFmtId="170" fontId="1" fillId="0" borderId="0" xfId="0" applyNumberFormat="1" applyFont="1"/>
    <xf numFmtId="3" fontId="1" fillId="0" borderId="0" xfId="0" applyNumberFormat="1" applyFont="1"/>
    <xf numFmtId="9" fontId="1" fillId="0" borderId="0" xfId="0" applyNumberFormat="1" applyFont="1"/>
    <xf numFmtId="2" fontId="0" fillId="3" borderId="0" xfId="0" applyNumberFormat="1" applyFill="1"/>
    <xf numFmtId="3" fontId="46" fillId="0" borderId="0" xfId="0" applyNumberFormat="1" applyFont="1"/>
    <xf numFmtId="0" fontId="43" fillId="2" borderId="0" xfId="0" applyFont="1" applyFill="1"/>
    <xf numFmtId="0" fontId="0" fillId="0" borderId="7" xfId="0" applyBorder="1"/>
    <xf numFmtId="170" fontId="0" fillId="0" borderId="7" xfId="0" applyNumberFormat="1" applyBorder="1"/>
    <xf numFmtId="166" fontId="44" fillId="0" borderId="7" xfId="0" applyNumberFormat="1" applyFont="1" applyBorder="1"/>
    <xf numFmtId="0" fontId="1" fillId="0" borderId="13" xfId="0" applyFont="1" applyBorder="1" applyAlignment="1">
      <alignment horizontal="left" indent="1"/>
    </xf>
    <xf numFmtId="0" fontId="0" fillId="0" borderId="6" xfId="0" applyBorder="1"/>
    <xf numFmtId="166" fontId="44" fillId="0" borderId="6" xfId="0" applyNumberFormat="1" applyFont="1" applyBorder="1"/>
    <xf numFmtId="170" fontId="0" fillId="0" borderId="6" xfId="0" applyNumberFormat="1" applyBorder="1"/>
    <xf numFmtId="0" fontId="1" fillId="0" borderId="0" xfId="0" applyFont="1" applyAlignment="1">
      <alignment horizontal="left" indent="1"/>
    </xf>
    <xf numFmtId="166" fontId="44" fillId="0" borderId="0" xfId="0" applyNumberFormat="1" applyFont="1"/>
    <xf numFmtId="0" fontId="6" fillId="0" borderId="0" xfId="0" applyFont="1" applyAlignment="1">
      <alignment horizontal="left"/>
    </xf>
    <xf numFmtId="0" fontId="51" fillId="0" borderId="2" xfId="0" applyFont="1" applyBorder="1" applyAlignment="1">
      <alignment horizontal="left" indent="2"/>
    </xf>
    <xf numFmtId="9" fontId="52" fillId="0" borderId="0" xfId="7" applyFont="1" applyBorder="1"/>
    <xf numFmtId="0" fontId="4" fillId="3" borderId="0" xfId="0" applyFont="1" applyFill="1"/>
    <xf numFmtId="0" fontId="4" fillId="2" borderId="0" xfId="0" applyFont="1" applyFill="1"/>
    <xf numFmtId="0" fontId="51" fillId="0" borderId="0" xfId="0" applyFont="1"/>
    <xf numFmtId="0" fontId="53" fillId="0" borderId="0" xfId="0" applyFont="1"/>
    <xf numFmtId="0" fontId="22" fillId="0" borderId="0" xfId="0" applyFont="1"/>
    <xf numFmtId="167" fontId="22" fillId="0" borderId="0" xfId="0" applyNumberFormat="1" applyFont="1"/>
    <xf numFmtId="0" fontId="23" fillId="0" borderId="0" xfId="0" applyFont="1" applyAlignment="1">
      <alignment horizontal="center"/>
    </xf>
    <xf numFmtId="0" fontId="12" fillId="0" borderId="0" xfId="2" applyNumberFormat="1" applyFont="1"/>
    <xf numFmtId="0" fontId="94" fillId="20" borderId="9" xfId="1" applyBorder="1"/>
    <xf numFmtId="168" fontId="94" fillId="20" borderId="9" xfId="1" applyNumberFormat="1" applyBorder="1" applyAlignment="1">
      <alignment horizontal="right"/>
    </xf>
    <xf numFmtId="3" fontId="54" fillId="0" borderId="0" xfId="0" applyNumberFormat="1" applyFont="1"/>
    <xf numFmtId="2" fontId="0" fillId="0" borderId="0" xfId="0" applyNumberFormat="1"/>
    <xf numFmtId="3" fontId="21" fillId="3" borderId="0" xfId="0" applyNumberFormat="1" applyFont="1" applyFill="1"/>
    <xf numFmtId="3" fontId="21" fillId="0" borderId="0" xfId="0" applyNumberFormat="1" applyFont="1"/>
    <xf numFmtId="3" fontId="55" fillId="5" borderId="0" xfId="0" applyNumberFormat="1" applyFont="1" applyFill="1"/>
    <xf numFmtId="164" fontId="1" fillId="0" borderId="0" xfId="0" applyNumberFormat="1" applyFont="1"/>
    <xf numFmtId="0" fontId="0" fillId="2" borderId="0" xfId="0" applyFill="1" applyAlignment="1">
      <alignment horizontal="center"/>
    </xf>
    <xf numFmtId="9" fontId="4" fillId="0" borderId="0" xfId="7" applyFont="1" applyAlignment="1">
      <alignment horizontal="center"/>
    </xf>
    <xf numFmtId="3" fontId="0" fillId="2" borderId="0" xfId="0" applyNumberFormat="1" applyFill="1"/>
    <xf numFmtId="3" fontId="4" fillId="2" borderId="0" xfId="0" applyNumberFormat="1" applyFont="1" applyFill="1"/>
    <xf numFmtId="0" fontId="56" fillId="0" borderId="0" xfId="0" applyFont="1"/>
    <xf numFmtId="3" fontId="56" fillId="0" borderId="0" xfId="0" applyNumberFormat="1" applyFont="1"/>
    <xf numFmtId="9" fontId="56" fillId="0" borderId="0" xfId="7" applyFont="1"/>
    <xf numFmtId="0" fontId="57" fillId="6" borderId="0" xfId="0" applyFont="1" applyFill="1"/>
    <xf numFmtId="3" fontId="51" fillId="2" borderId="0" xfId="0" applyNumberFormat="1" applyFont="1" applyFill="1"/>
    <xf numFmtId="2" fontId="51" fillId="0" borderId="0" xfId="0" applyNumberFormat="1" applyFont="1"/>
    <xf numFmtId="0" fontId="21" fillId="0" borderId="0" xfId="0" applyFont="1"/>
    <xf numFmtId="168" fontId="15" fillId="0" borderId="0" xfId="0" applyNumberFormat="1" applyFont="1"/>
    <xf numFmtId="168" fontId="21" fillId="0" borderId="0" xfId="0" applyNumberFormat="1" applyFont="1"/>
    <xf numFmtId="167" fontId="21" fillId="0" borderId="0" xfId="0" applyNumberFormat="1" applyFont="1"/>
    <xf numFmtId="3" fontId="43" fillId="2" borderId="0" xfId="1" applyNumberFormat="1" applyFont="1" applyFill="1"/>
    <xf numFmtId="3" fontId="43" fillId="2" borderId="0" xfId="0" applyNumberFormat="1" applyFont="1" applyFill="1"/>
    <xf numFmtId="168" fontId="23" fillId="0" borderId="9" xfId="2" applyNumberFormat="1" applyFont="1" applyBorder="1" applyAlignment="1">
      <alignment horizontal="right"/>
    </xf>
    <xf numFmtId="0" fontId="56" fillId="2" borderId="0" xfId="0" applyFont="1" applyFill="1"/>
    <xf numFmtId="9" fontId="56" fillId="2" borderId="0" xfId="7" applyFont="1" applyFill="1"/>
    <xf numFmtId="3" fontId="56" fillId="2" borderId="0" xfId="0" applyNumberFormat="1" applyFont="1" applyFill="1"/>
    <xf numFmtId="9" fontId="15" fillId="0" borderId="0" xfId="7" applyFont="1"/>
    <xf numFmtId="0" fontId="6" fillId="0" borderId="0" xfId="0" applyFont="1"/>
    <xf numFmtId="0" fontId="0" fillId="0" borderId="9" xfId="0" applyBorder="1"/>
    <xf numFmtId="0" fontId="4" fillId="0" borderId="9" xfId="0" applyFont="1" applyBorder="1" applyAlignment="1">
      <alignment vertical="center"/>
    </xf>
    <xf numFmtId="0" fontId="1" fillId="0" borderId="9" xfId="0" applyFont="1" applyBorder="1"/>
    <xf numFmtId="3" fontId="0" fillId="0" borderId="9" xfId="0" applyNumberFormat="1" applyBorder="1"/>
    <xf numFmtId="0" fontId="4" fillId="0" borderId="9" xfId="0" applyFont="1" applyBorder="1"/>
    <xf numFmtId="3" fontId="4" fillId="0" borderId="9" xfId="0" applyNumberFormat="1" applyFont="1" applyBorder="1"/>
    <xf numFmtId="0" fontId="21" fillId="0" borderId="9" xfId="0" applyFont="1" applyBorder="1"/>
    <xf numFmtId="9" fontId="21" fillId="0" borderId="9" xfId="7" applyFont="1" applyBorder="1"/>
    <xf numFmtId="0" fontId="50" fillId="0" borderId="0" xfId="0" applyFont="1"/>
    <xf numFmtId="3" fontId="50" fillId="0" borderId="0" xfId="0" applyNumberFormat="1" applyFont="1"/>
    <xf numFmtId="3" fontId="1" fillId="0" borderId="6" xfId="0" applyNumberFormat="1" applyFont="1" applyBorder="1"/>
    <xf numFmtId="3" fontId="94" fillId="20" borderId="0" xfId="1" applyNumberFormat="1"/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9" fontId="51" fillId="2" borderId="0" xfId="0" applyNumberFormat="1" applyFont="1" applyFill="1"/>
    <xf numFmtId="0" fontId="51" fillId="2" borderId="0" xfId="0" applyFont="1" applyFill="1"/>
    <xf numFmtId="9" fontId="51" fillId="0" borderId="0" xfId="7" applyFont="1"/>
    <xf numFmtId="9" fontId="42" fillId="0" borderId="0" xfId="7" applyFont="1"/>
    <xf numFmtId="168" fontId="0" fillId="0" borderId="0" xfId="2" applyNumberFormat="1" applyFont="1"/>
    <xf numFmtId="168" fontId="4" fillId="0" borderId="0" xfId="2" applyNumberFormat="1" applyFont="1"/>
    <xf numFmtId="168" fontId="3" fillId="0" borderId="0" xfId="2" applyNumberFormat="1" applyFont="1"/>
    <xf numFmtId="9" fontId="15" fillId="0" borderId="0" xfId="7" applyFont="1" applyBorder="1"/>
    <xf numFmtId="0" fontId="24" fillId="0" borderId="0" xfId="0" applyFont="1"/>
    <xf numFmtId="0" fontId="24" fillId="0" borderId="11" xfId="0" applyFont="1" applyBorder="1"/>
    <xf numFmtId="0" fontId="24" fillId="0" borderId="7" xfId="0" applyFont="1" applyBorder="1"/>
    <xf numFmtId="0" fontId="25" fillId="0" borderId="2" xfId="0" applyFont="1" applyBorder="1" applyAlignment="1">
      <alignment horizontal="left" indent="1"/>
    </xf>
    <xf numFmtId="3" fontId="59" fillId="0" borderId="0" xfId="0" applyNumberFormat="1" applyFont="1"/>
    <xf numFmtId="0" fontId="24" fillId="0" borderId="2" xfId="0" applyFont="1" applyBorder="1"/>
    <xf numFmtId="3" fontId="60" fillId="0" borderId="0" xfId="0" applyNumberFormat="1" applyFont="1"/>
    <xf numFmtId="3" fontId="24" fillId="0" borderId="0" xfId="0" applyNumberFormat="1" applyFont="1"/>
    <xf numFmtId="3" fontId="24" fillId="0" borderId="5" xfId="0" applyNumberFormat="1" applyFont="1" applyBorder="1"/>
    <xf numFmtId="0" fontId="59" fillId="0" borderId="0" xfId="0" applyFont="1"/>
    <xf numFmtId="0" fontId="26" fillId="0" borderId="2" xfId="0" applyFont="1" applyBorder="1"/>
    <xf numFmtId="0" fontId="24" fillId="0" borderId="13" xfId="0" applyFont="1" applyBorder="1"/>
    <xf numFmtId="0" fontId="24" fillId="0" borderId="6" xfId="0" applyFont="1" applyBorder="1"/>
    <xf numFmtId="3" fontId="24" fillId="0" borderId="6" xfId="0" applyNumberFormat="1" applyFont="1" applyBorder="1"/>
    <xf numFmtId="0" fontId="61" fillId="0" borderId="0" xfId="0" applyFont="1"/>
    <xf numFmtId="0" fontId="14" fillId="0" borderId="0" xfId="0" applyFont="1"/>
    <xf numFmtId="0" fontId="14" fillId="0" borderId="11" xfId="0" applyFont="1" applyBorder="1"/>
    <xf numFmtId="0" fontId="14" fillId="0" borderId="2" xfId="0" applyFont="1" applyBorder="1"/>
    <xf numFmtId="3" fontId="14" fillId="0" borderId="0" xfId="2" applyNumberFormat="1" applyFont="1" applyFill="1" applyBorder="1"/>
    <xf numFmtId="0" fontId="14" fillId="0" borderId="13" xfId="0" applyFont="1" applyBorder="1"/>
    <xf numFmtId="0" fontId="14" fillId="0" borderId="6" xfId="0" applyFont="1" applyBorder="1"/>
    <xf numFmtId="0" fontId="14" fillId="0" borderId="7" xfId="0" applyFont="1" applyBorder="1"/>
    <xf numFmtId="0" fontId="14" fillId="7" borderId="0" xfId="0" applyFont="1" applyFill="1"/>
    <xf numFmtId="0" fontId="0" fillId="7" borderId="0" xfId="0" applyFill="1"/>
    <xf numFmtId="0" fontId="14" fillId="0" borderId="4" xfId="0" applyFont="1" applyBorder="1"/>
    <xf numFmtId="3" fontId="27" fillId="0" borderId="6" xfId="0" applyNumberFormat="1" applyFont="1" applyBorder="1" applyAlignment="1">
      <alignment horizontal="right"/>
    </xf>
    <xf numFmtId="9" fontId="7" fillId="0" borderId="6" xfId="7" applyFont="1" applyBorder="1"/>
    <xf numFmtId="3" fontId="6" fillId="0" borderId="7" xfId="0" applyNumberFormat="1" applyFont="1" applyBorder="1"/>
    <xf numFmtId="3" fontId="29" fillId="0" borderId="6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 vertical="center"/>
    </xf>
    <xf numFmtId="3" fontId="20" fillId="0" borderId="1" xfId="0" applyNumberFormat="1" applyFont="1" applyBorder="1"/>
    <xf numFmtId="3" fontId="1" fillId="9" borderId="0" xfId="0" applyNumberFormat="1" applyFont="1" applyFill="1"/>
    <xf numFmtId="3" fontId="30" fillId="0" borderId="0" xfId="0" applyNumberFormat="1" applyFont="1"/>
    <xf numFmtId="3" fontId="19" fillId="0" borderId="0" xfId="0" applyNumberFormat="1" applyFont="1"/>
    <xf numFmtId="1" fontId="43" fillId="0" borderId="1" xfId="0" applyNumberFormat="1" applyFont="1" applyBorder="1"/>
    <xf numFmtId="0" fontId="32" fillId="0" borderId="15" xfId="0" applyFont="1" applyBorder="1" applyAlignment="1">
      <alignment horizontal="center" wrapText="1"/>
    </xf>
    <xf numFmtId="0" fontId="32" fillId="0" borderId="16" xfId="0" applyFont="1" applyBorder="1" applyAlignment="1">
      <alignment horizontal="center" wrapText="1"/>
    </xf>
    <xf numFmtId="0" fontId="34" fillId="0" borderId="16" xfId="0" applyFont="1" applyBorder="1" applyAlignment="1">
      <alignment horizontal="center" wrapText="1"/>
    </xf>
    <xf numFmtId="0" fontId="32" fillId="0" borderId="17" xfId="0" applyFont="1" applyBorder="1" applyAlignment="1">
      <alignment horizontal="center" wrapText="1"/>
    </xf>
    <xf numFmtId="0" fontId="33" fillId="0" borderId="16" xfId="0" applyFont="1" applyBorder="1" applyAlignment="1">
      <alignment horizontal="justify" vertical="top" wrapText="1"/>
    </xf>
    <xf numFmtId="0" fontId="33" fillId="0" borderId="17" xfId="0" applyFont="1" applyBorder="1" applyAlignment="1">
      <alignment horizontal="right" vertical="top" wrapText="1"/>
    </xf>
    <xf numFmtId="9" fontId="33" fillId="0" borderId="17" xfId="0" applyNumberFormat="1" applyFont="1" applyBorder="1" applyAlignment="1">
      <alignment horizontal="right" vertical="top" wrapText="1"/>
    </xf>
    <xf numFmtId="9" fontId="35" fillId="0" borderId="17" xfId="0" applyNumberFormat="1" applyFont="1" applyBorder="1" applyAlignment="1">
      <alignment horizontal="right" vertical="top" wrapText="1"/>
    </xf>
    <xf numFmtId="0" fontId="33" fillId="0" borderId="17" xfId="0" applyFont="1" applyBorder="1" applyAlignment="1">
      <alignment horizontal="center" wrapText="1"/>
    </xf>
    <xf numFmtId="0" fontId="8" fillId="0" borderId="0" xfId="0" applyFont="1"/>
    <xf numFmtId="0" fontId="39" fillId="0" borderId="11" xfId="0" applyFont="1" applyBorder="1" applyAlignment="1">
      <alignment horizontal="left"/>
    </xf>
    <xf numFmtId="0" fontId="8" fillId="0" borderId="7" xfId="0" applyFont="1" applyBorder="1"/>
    <xf numFmtId="166" fontId="63" fillId="0" borderId="7" xfId="0" applyNumberFormat="1" applyFont="1" applyBorder="1"/>
    <xf numFmtId="0" fontId="8" fillId="0" borderId="2" xfId="0" applyFont="1" applyBorder="1"/>
    <xf numFmtId="166" fontId="8" fillId="0" borderId="0" xfId="3" applyNumberFormat="1" applyFont="1" applyFill="1" applyBorder="1"/>
    <xf numFmtId="166" fontId="8" fillId="0" borderId="0" xfId="0" applyNumberFormat="1" applyFont="1"/>
    <xf numFmtId="0" fontId="8" fillId="0" borderId="13" xfId="0" applyFont="1" applyBorder="1"/>
    <xf numFmtId="0" fontId="8" fillId="0" borderId="6" xfId="0" applyFont="1" applyBorder="1"/>
    <xf numFmtId="166" fontId="8" fillId="0" borderId="6" xfId="0" applyNumberFormat="1" applyFont="1" applyBorder="1"/>
    <xf numFmtId="0" fontId="65" fillId="8" borderId="0" xfId="0" applyFont="1" applyFill="1" applyAlignment="1">
      <alignment horizontal="left" vertical="center"/>
    </xf>
    <xf numFmtId="0" fontId="66" fillId="8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8" fillId="0" borderId="18" xfId="0" applyFont="1" applyBorder="1" applyAlignment="1">
      <alignment vertical="center"/>
    </xf>
    <xf numFmtId="0" fontId="8" fillId="0" borderId="0" xfId="0" applyFont="1" applyAlignment="1">
      <alignment vertical="center"/>
    </xf>
    <xf numFmtId="9" fontId="8" fillId="0" borderId="0" xfId="0" applyNumberFormat="1" applyFont="1" applyAlignment="1">
      <alignment vertical="center"/>
    </xf>
    <xf numFmtId="0" fontId="8" fillId="0" borderId="18" xfId="0" applyFont="1" applyBorder="1"/>
    <xf numFmtId="9" fontId="8" fillId="0" borderId="0" xfId="0" applyNumberFormat="1" applyFont="1"/>
    <xf numFmtId="169" fontId="67" fillId="0" borderId="0" xfId="0" applyNumberFormat="1" applyFont="1"/>
    <xf numFmtId="0" fontId="8" fillId="9" borderId="0" xfId="0" applyFont="1" applyFill="1"/>
    <xf numFmtId="0" fontId="8" fillId="0" borderId="20" xfId="0" applyFont="1" applyBorder="1"/>
    <xf numFmtId="0" fontId="8" fillId="0" borderId="21" xfId="0" applyFont="1" applyBorder="1"/>
    <xf numFmtId="0" fontId="65" fillId="8" borderId="22" xfId="0" applyFont="1" applyFill="1" applyBorder="1" applyAlignment="1">
      <alignment horizontal="left" vertical="center"/>
    </xf>
    <xf numFmtId="0" fontId="66" fillId="8" borderId="23" xfId="0" applyFont="1" applyFill="1" applyBorder="1" applyAlignment="1">
      <alignment vertical="center"/>
    </xf>
    <xf numFmtId="3" fontId="62" fillId="8" borderId="24" xfId="0" applyNumberFormat="1" applyFont="1" applyFill="1" applyBorder="1" applyAlignment="1">
      <alignment vertical="center"/>
    </xf>
    <xf numFmtId="3" fontId="54" fillId="8" borderId="25" xfId="0" applyNumberFormat="1" applyFont="1" applyFill="1" applyBorder="1"/>
    <xf numFmtId="9" fontId="54" fillId="8" borderId="25" xfId="7" applyFont="1" applyFill="1" applyBorder="1"/>
    <xf numFmtId="3" fontId="54" fillId="8" borderId="26" xfId="0" applyNumberFormat="1" applyFont="1" applyFill="1" applyBorder="1"/>
    <xf numFmtId="3" fontId="28" fillId="0" borderId="27" xfId="0" applyNumberFormat="1" applyFont="1" applyBorder="1" applyAlignment="1">
      <alignment horizontal="center"/>
    </xf>
    <xf numFmtId="0" fontId="6" fillId="0" borderId="28" xfId="0" applyFont="1" applyBorder="1" applyAlignment="1">
      <alignment horizontal="center" vertical="center"/>
    </xf>
    <xf numFmtId="3" fontId="0" fillId="0" borderId="18" xfId="0" applyNumberFormat="1" applyBorder="1"/>
    <xf numFmtId="3" fontId="5" fillId="0" borderId="18" xfId="0" applyNumberFormat="1" applyFont="1" applyBorder="1"/>
    <xf numFmtId="3" fontId="1" fillId="0" borderId="18" xfId="0" applyNumberFormat="1" applyFont="1" applyBorder="1"/>
    <xf numFmtId="3" fontId="6" fillId="0" borderId="29" xfId="0" applyNumberFormat="1" applyFont="1" applyBorder="1"/>
    <xf numFmtId="3" fontId="29" fillId="0" borderId="30" xfId="0" applyNumberFormat="1" applyFont="1" applyBorder="1" applyAlignment="1">
      <alignment horizontal="right"/>
    </xf>
    <xf numFmtId="3" fontId="27" fillId="0" borderId="30" xfId="0" applyNumberFormat="1" applyFont="1" applyBorder="1" applyAlignment="1">
      <alignment horizontal="right"/>
    </xf>
    <xf numFmtId="3" fontId="4" fillId="0" borderId="18" xfId="0" applyNumberFormat="1" applyFont="1" applyBorder="1"/>
    <xf numFmtId="3" fontId="20" fillId="0" borderId="31" xfId="0" applyNumberFormat="1" applyFont="1" applyBorder="1"/>
    <xf numFmtId="3" fontId="20" fillId="0" borderId="32" xfId="0" applyNumberFormat="1" applyFont="1" applyBorder="1"/>
    <xf numFmtId="3" fontId="68" fillId="8" borderId="18" xfId="0" applyNumberFormat="1" applyFont="1" applyFill="1" applyBorder="1" applyAlignment="1">
      <alignment vertical="center"/>
    </xf>
    <xf numFmtId="3" fontId="54" fillId="8" borderId="0" xfId="0" applyNumberFormat="1" applyFont="1" applyFill="1"/>
    <xf numFmtId="9" fontId="54" fillId="8" borderId="0" xfId="7" applyFont="1" applyFill="1" applyBorder="1"/>
    <xf numFmtId="3" fontId="6" fillId="0" borderId="27" xfId="0" applyNumberFormat="1" applyFont="1" applyBorder="1"/>
    <xf numFmtId="3" fontId="20" fillId="0" borderId="27" xfId="0" applyNumberFormat="1" applyFont="1" applyBorder="1"/>
    <xf numFmtId="0" fontId="0" fillId="0" borderId="27" xfId="0" applyBorder="1"/>
    <xf numFmtId="0" fontId="0" fillId="0" borderId="18" xfId="0" applyBorder="1"/>
    <xf numFmtId="0" fontId="1" fillId="0" borderId="18" xfId="0" applyFont="1" applyBorder="1"/>
    <xf numFmtId="0" fontId="4" fillId="0" borderId="27" xfId="0" applyFont="1" applyBorder="1"/>
    <xf numFmtId="0" fontId="6" fillId="0" borderId="27" xfId="0" applyFont="1" applyBorder="1"/>
    <xf numFmtId="0" fontId="4" fillId="0" borderId="18" xfId="0" applyFont="1" applyBorder="1"/>
    <xf numFmtId="0" fontId="4" fillId="0" borderId="30" xfId="0" applyFont="1" applyBorder="1"/>
    <xf numFmtId="0" fontId="1" fillId="0" borderId="29" xfId="0" applyFont="1" applyBorder="1"/>
    <xf numFmtId="0" fontId="4" fillId="0" borderId="31" xfId="0" applyFont="1" applyBorder="1"/>
    <xf numFmtId="3" fontId="4" fillId="0" borderId="32" xfId="0" applyNumberFormat="1" applyFont="1" applyBorder="1"/>
    <xf numFmtId="0" fontId="69" fillId="8" borderId="24" xfId="0" applyFont="1" applyFill="1" applyBorder="1"/>
    <xf numFmtId="0" fontId="70" fillId="8" borderId="25" xfId="0" applyFont="1" applyFill="1" applyBorder="1"/>
    <xf numFmtId="0" fontId="14" fillId="0" borderId="18" xfId="0" applyFont="1" applyBorder="1"/>
    <xf numFmtId="0" fontId="24" fillId="0" borderId="18" xfId="0" applyFont="1" applyBorder="1"/>
    <xf numFmtId="0" fontId="14" fillId="0" borderId="20" xfId="0" applyFont="1" applyBorder="1"/>
    <xf numFmtId="0" fontId="14" fillId="0" borderId="21" xfId="0" applyFont="1" applyBorder="1"/>
    <xf numFmtId="0" fontId="71" fillId="7" borderId="0" xfId="0" applyFont="1" applyFill="1"/>
    <xf numFmtId="164" fontId="42" fillId="0" borderId="0" xfId="0" applyNumberFormat="1" applyFont="1"/>
    <xf numFmtId="0" fontId="72" fillId="0" borderId="1" xfId="0" applyFont="1" applyBorder="1"/>
    <xf numFmtId="0" fontId="61" fillId="0" borderId="18" xfId="0" applyFont="1" applyBorder="1"/>
    <xf numFmtId="3" fontId="61" fillId="0" borderId="0" xfId="0" applyNumberFormat="1" applyFont="1"/>
    <xf numFmtId="0" fontId="61" fillId="0" borderId="4" xfId="0" applyFont="1" applyBorder="1"/>
    <xf numFmtId="0" fontId="61" fillId="0" borderId="0" xfId="0" applyFont="1" applyAlignment="1">
      <alignment horizontal="left" indent="1"/>
    </xf>
    <xf numFmtId="165" fontId="61" fillId="0" borderId="0" xfId="0" applyNumberFormat="1" applyFont="1"/>
    <xf numFmtId="0" fontId="72" fillId="0" borderId="4" xfId="0" applyFont="1" applyBorder="1"/>
    <xf numFmtId="0" fontId="24" fillId="0" borderId="1" xfId="0" applyFont="1" applyBorder="1"/>
    <xf numFmtId="0" fontId="14" fillId="0" borderId="27" xfId="0" applyFont="1" applyBorder="1"/>
    <xf numFmtId="0" fontId="14" fillId="0" borderId="1" xfId="0" applyFont="1" applyBorder="1"/>
    <xf numFmtId="0" fontId="24" fillId="0" borderId="27" xfId="0" applyFont="1" applyBorder="1"/>
    <xf numFmtId="0" fontId="41" fillId="0" borderId="27" xfId="0" applyFont="1" applyBorder="1"/>
    <xf numFmtId="0" fontId="41" fillId="0" borderId="1" xfId="0" applyFont="1" applyBorder="1"/>
    <xf numFmtId="0" fontId="14" fillId="0" borderId="29" xfId="0" applyFont="1" applyBorder="1"/>
    <xf numFmtId="3" fontId="14" fillId="0" borderId="7" xfId="0" applyNumberFormat="1" applyFont="1" applyBorder="1"/>
    <xf numFmtId="0" fontId="24" fillId="0" borderId="31" xfId="0" applyFont="1" applyBorder="1"/>
    <xf numFmtId="3" fontId="24" fillId="0" borderId="32" xfId="0" applyNumberFormat="1" applyFont="1" applyBorder="1"/>
    <xf numFmtId="0" fontId="41" fillId="0" borderId="0" xfId="0" applyFont="1"/>
    <xf numFmtId="2" fontId="41" fillId="0" borderId="0" xfId="7" applyNumberFormat="1" applyFont="1"/>
    <xf numFmtId="3" fontId="0" fillId="7" borderId="0" xfId="0" applyNumberFormat="1" applyFill="1"/>
    <xf numFmtId="164" fontId="0" fillId="7" borderId="0" xfId="0" applyNumberFormat="1" applyFill="1"/>
    <xf numFmtId="9" fontId="72" fillId="0" borderId="0" xfId="0" applyNumberFormat="1" applyFont="1"/>
    <xf numFmtId="9" fontId="1" fillId="7" borderId="0" xfId="7" applyFont="1" applyFill="1"/>
    <xf numFmtId="9" fontId="58" fillId="7" borderId="0" xfId="7" applyFont="1" applyFill="1"/>
    <xf numFmtId="9" fontId="0" fillId="10" borderId="0" xfId="7" applyFont="1" applyFill="1"/>
    <xf numFmtId="165" fontId="0" fillId="10" borderId="0" xfId="7" applyNumberFormat="1" applyFont="1" applyFill="1"/>
    <xf numFmtId="0" fontId="61" fillId="9" borderId="0" xfId="0" applyFont="1" applyFill="1"/>
    <xf numFmtId="165" fontId="61" fillId="9" borderId="0" xfId="0" applyNumberFormat="1" applyFont="1" applyFill="1"/>
    <xf numFmtId="168" fontId="0" fillId="9" borderId="0" xfId="2" applyNumberFormat="1" applyFont="1" applyFill="1"/>
    <xf numFmtId="3" fontId="0" fillId="9" borderId="0" xfId="0" applyNumberFormat="1" applyFill="1"/>
    <xf numFmtId="0" fontId="0" fillId="9" borderId="0" xfId="0" applyFill="1"/>
    <xf numFmtId="0" fontId="14" fillId="9" borderId="18" xfId="0" applyFont="1" applyFill="1" applyBorder="1"/>
    <xf numFmtId="0" fontId="14" fillId="9" borderId="0" xfId="0" applyFont="1" applyFill="1"/>
    <xf numFmtId="3" fontId="14" fillId="9" borderId="0" xfId="0" applyNumberFormat="1" applyFont="1" applyFill="1"/>
    <xf numFmtId="0" fontId="24" fillId="9" borderId="33" xfId="0" applyFont="1" applyFill="1" applyBorder="1"/>
    <xf numFmtId="0" fontId="24" fillId="9" borderId="23" xfId="0" applyFont="1" applyFill="1" applyBorder="1"/>
    <xf numFmtId="3" fontId="24" fillId="9" borderId="23" xfId="0" applyNumberFormat="1" applyFont="1" applyFill="1" applyBorder="1"/>
    <xf numFmtId="164" fontId="0" fillId="0" borderId="34" xfId="0" applyNumberFormat="1" applyBorder="1"/>
    <xf numFmtId="168" fontId="0" fillId="0" borderId="0" xfId="2" applyNumberFormat="1" applyFont="1" applyBorder="1"/>
    <xf numFmtId="172" fontId="0" fillId="0" borderId="0" xfId="2" applyNumberFormat="1" applyFont="1" applyBorder="1"/>
    <xf numFmtId="9" fontId="0" fillId="0" borderId="0" xfId="7" applyFont="1" applyBorder="1"/>
    <xf numFmtId="9" fontId="0" fillId="0" borderId="21" xfId="7" applyFont="1" applyBorder="1"/>
    <xf numFmtId="0" fontId="8" fillId="9" borderId="21" xfId="0" applyFont="1" applyFill="1" applyBorder="1"/>
    <xf numFmtId="9" fontId="95" fillId="11" borderId="0" xfId="3" applyNumberFormat="1" applyFill="1"/>
    <xf numFmtId="10" fontId="95" fillId="11" borderId="0" xfId="3" applyNumberFormat="1" applyFill="1"/>
    <xf numFmtId="0" fontId="65" fillId="8" borderId="23" xfId="0" applyFont="1" applyFill="1" applyBorder="1" applyAlignment="1">
      <alignment horizontal="left" vertical="center"/>
    </xf>
    <xf numFmtId="0" fontId="4" fillId="0" borderId="34" xfId="0" applyFont="1" applyBorder="1"/>
    <xf numFmtId="0" fontId="0" fillId="11" borderId="1" xfId="0" applyFill="1" applyBorder="1"/>
    <xf numFmtId="0" fontId="0" fillId="11" borderId="0" xfId="0" applyFill="1"/>
    <xf numFmtId="3" fontId="0" fillId="11" borderId="0" xfId="0" applyNumberFormat="1" applyFill="1"/>
    <xf numFmtId="3" fontId="0" fillId="11" borderId="1" xfId="0" applyNumberFormat="1" applyFill="1" applyBorder="1"/>
    <xf numFmtId="0" fontId="0" fillId="11" borderId="0" xfId="0" applyFill="1" applyAlignment="1">
      <alignment horizontal="left" indent="1"/>
    </xf>
    <xf numFmtId="0" fontId="0" fillId="11" borderId="1" xfId="0" applyFill="1" applyBorder="1" applyAlignment="1">
      <alignment horizontal="left"/>
    </xf>
    <xf numFmtId="172" fontId="0" fillId="11" borderId="1" xfId="2" applyNumberFormat="1" applyFont="1" applyFill="1" applyBorder="1"/>
    <xf numFmtId="168" fontId="0" fillId="11" borderId="1" xfId="2" applyNumberFormat="1" applyFont="1" applyFill="1" applyBorder="1"/>
    <xf numFmtId="0" fontId="0" fillId="11" borderId="0" xfId="0" applyFill="1" applyAlignment="1">
      <alignment horizontal="left"/>
    </xf>
    <xf numFmtId="172" fontId="0" fillId="11" borderId="0" xfId="2" applyNumberFormat="1" applyFont="1" applyFill="1"/>
    <xf numFmtId="168" fontId="0" fillId="11" borderId="0" xfId="2" applyNumberFormat="1" applyFont="1" applyFill="1"/>
    <xf numFmtId="0" fontId="0" fillId="11" borderId="7" xfId="0" applyFill="1" applyBorder="1"/>
    <xf numFmtId="172" fontId="0" fillId="11" borderId="7" xfId="2" applyNumberFormat="1" applyFont="1" applyFill="1" applyBorder="1"/>
    <xf numFmtId="0" fontId="0" fillId="11" borderId="6" xfId="0" applyFill="1" applyBorder="1" applyAlignment="1">
      <alignment horizontal="left"/>
    </xf>
    <xf numFmtId="172" fontId="0" fillId="11" borderId="6" xfId="2" applyNumberFormat="1" applyFont="1" applyFill="1" applyBorder="1"/>
    <xf numFmtId="0" fontId="0" fillId="11" borderId="6" xfId="0" applyFill="1" applyBorder="1"/>
    <xf numFmtId="0" fontId="1" fillId="11" borderId="0" xfId="0" applyFont="1" applyFill="1"/>
    <xf numFmtId="165" fontId="0" fillId="11" borderId="0" xfId="0" applyNumberFormat="1" applyFill="1"/>
    <xf numFmtId="0" fontId="61" fillId="11" borderId="0" xfId="0" applyFont="1" applyFill="1"/>
    <xf numFmtId="165" fontId="61" fillId="11" borderId="0" xfId="0" applyNumberFormat="1" applyFont="1" applyFill="1"/>
    <xf numFmtId="0" fontId="14" fillId="2" borderId="18" xfId="0" applyFont="1" applyFill="1" applyBorder="1"/>
    <xf numFmtId="0" fontId="14" fillId="2" borderId="0" xfId="0" applyFont="1" applyFill="1"/>
    <xf numFmtId="3" fontId="14" fillId="2" borderId="0" xfId="0" applyNumberFormat="1" applyFont="1" applyFill="1"/>
    <xf numFmtId="3" fontId="14" fillId="2" borderId="19" xfId="0" applyNumberFormat="1" applyFont="1" applyFill="1" applyBorder="1"/>
    <xf numFmtId="168" fontId="31" fillId="11" borderId="0" xfId="2" applyNumberFormat="1" applyFont="1" applyFill="1"/>
    <xf numFmtId="168" fontId="31" fillId="11" borderId="1" xfId="2" applyNumberFormat="1" applyFont="1" applyFill="1" applyBorder="1"/>
    <xf numFmtId="172" fontId="31" fillId="11" borderId="0" xfId="2" applyNumberFormat="1" applyFont="1" applyFill="1"/>
    <xf numFmtId="0" fontId="0" fillId="2" borderId="1" xfId="0" applyFill="1" applyBorder="1"/>
    <xf numFmtId="3" fontId="0" fillId="2" borderId="1" xfId="0" applyNumberFormat="1" applyFill="1" applyBorder="1"/>
    <xf numFmtId="0" fontId="0" fillId="2" borderId="0" xfId="0" applyFill="1" applyAlignment="1">
      <alignment horizontal="left" indent="1"/>
    </xf>
    <xf numFmtId="0" fontId="0" fillId="2" borderId="1" xfId="0" applyFill="1" applyBorder="1" applyAlignment="1">
      <alignment horizontal="left"/>
    </xf>
    <xf numFmtId="172" fontId="31" fillId="2" borderId="1" xfId="2" applyNumberFormat="1" applyFont="1" applyFill="1" applyBorder="1"/>
    <xf numFmtId="168" fontId="31" fillId="2" borderId="1" xfId="2" applyNumberFormat="1" applyFont="1" applyFill="1" applyBorder="1"/>
    <xf numFmtId="0" fontId="0" fillId="2" borderId="7" xfId="0" applyFill="1" applyBorder="1"/>
    <xf numFmtId="172" fontId="31" fillId="2" borderId="7" xfId="2" applyNumberFormat="1" applyFont="1" applyFill="1" applyBorder="1"/>
    <xf numFmtId="0" fontId="0" fillId="2" borderId="6" xfId="0" applyFill="1" applyBorder="1" applyAlignment="1">
      <alignment horizontal="left"/>
    </xf>
    <xf numFmtId="172" fontId="31" fillId="2" borderId="6" xfId="2" applyNumberFormat="1" applyFont="1" applyFill="1" applyBorder="1"/>
    <xf numFmtId="0" fontId="0" fillId="2" borderId="0" xfId="0" applyFill="1" applyAlignment="1">
      <alignment horizontal="left"/>
    </xf>
    <xf numFmtId="172" fontId="31" fillId="2" borderId="0" xfId="2" applyNumberFormat="1" applyFont="1" applyFill="1"/>
    <xf numFmtId="172" fontId="31" fillId="11" borderId="1" xfId="2" applyNumberFormat="1" applyFont="1" applyFill="1" applyBorder="1"/>
    <xf numFmtId="168" fontId="0" fillId="0" borderId="0" xfId="0" applyNumberFormat="1"/>
    <xf numFmtId="171" fontId="0" fillId="0" borderId="0" xfId="0" applyNumberFormat="1"/>
    <xf numFmtId="0" fontId="0" fillId="5" borderId="0" xfId="0" applyFill="1" applyAlignment="1">
      <alignment horizontal="left"/>
    </xf>
    <xf numFmtId="172" fontId="31" fillId="5" borderId="0" xfId="2" applyNumberFormat="1" applyFont="1" applyFill="1"/>
    <xf numFmtId="0" fontId="0" fillId="5" borderId="0" xfId="0" applyFill="1"/>
    <xf numFmtId="168" fontId="31" fillId="5" borderId="0" xfId="2" applyNumberFormat="1" applyFont="1" applyFill="1"/>
    <xf numFmtId="0" fontId="75" fillId="0" borderId="0" xfId="4" applyAlignment="1">
      <alignment horizontal="left" indent="1"/>
    </xf>
    <xf numFmtId="0" fontId="75" fillId="0" borderId="0" xfId="4"/>
    <xf numFmtId="0" fontId="75" fillId="12" borderId="1" xfId="4" applyFill="1" applyBorder="1"/>
    <xf numFmtId="0" fontId="75" fillId="0" borderId="1" xfId="4" applyBorder="1"/>
    <xf numFmtId="3" fontId="75" fillId="0" borderId="0" xfId="4" applyNumberFormat="1"/>
    <xf numFmtId="165" fontId="75" fillId="0" borderId="0" xfId="7" applyNumberFormat="1" applyFont="1"/>
    <xf numFmtId="0" fontId="75" fillId="0" borderId="6" xfId="4" applyBorder="1"/>
    <xf numFmtId="0" fontId="75" fillId="0" borderId="0" xfId="4" applyAlignment="1">
      <alignment horizontal="right"/>
    </xf>
    <xf numFmtId="0" fontId="75" fillId="8" borderId="9" xfId="4" applyFill="1" applyBorder="1" applyAlignment="1">
      <alignment horizontal="center"/>
    </xf>
    <xf numFmtId="165" fontId="75" fillId="0" borderId="0" xfId="7" applyNumberFormat="1" applyFont="1" applyFill="1" applyBorder="1"/>
    <xf numFmtId="0" fontId="75" fillId="0" borderId="7" xfId="4" applyBorder="1"/>
    <xf numFmtId="0" fontId="75" fillId="8" borderId="35" xfId="4" applyFill="1" applyBorder="1" applyAlignment="1">
      <alignment horizontal="center"/>
    </xf>
    <xf numFmtId="9" fontId="24" fillId="0" borderId="0" xfId="7" applyFont="1" applyBorder="1"/>
    <xf numFmtId="0" fontId="24" fillId="0" borderId="4" xfId="0" applyFont="1" applyBorder="1"/>
    <xf numFmtId="0" fontId="42" fillId="0" borderId="0" xfId="0" applyFont="1"/>
    <xf numFmtId="0" fontId="24" fillId="15" borderId="0" xfId="0" applyFont="1" applyFill="1"/>
    <xf numFmtId="164" fontId="42" fillId="5" borderId="0" xfId="0" applyNumberFormat="1" applyFont="1" applyFill="1"/>
    <xf numFmtId="3" fontId="0" fillId="5" borderId="0" xfId="0" applyNumberFormat="1" applyFill="1"/>
    <xf numFmtId="3" fontId="79" fillId="0" borderId="1" xfId="0" applyNumberFormat="1" applyFont="1" applyBorder="1"/>
    <xf numFmtId="3" fontId="80" fillId="0" borderId="0" xfId="0" applyNumberFormat="1" applyFont="1"/>
    <xf numFmtId="0" fontId="6" fillId="0" borderId="1" xfId="0" applyFont="1" applyBorder="1" applyAlignment="1">
      <alignment horizontal="right" vertical="center"/>
    </xf>
    <xf numFmtId="0" fontId="6" fillId="0" borderId="28" xfId="0" applyFont="1" applyBorder="1" applyAlignment="1">
      <alignment horizontal="right" vertical="center"/>
    </xf>
    <xf numFmtId="164" fontId="6" fillId="0" borderId="7" xfId="0" applyNumberFormat="1" applyFont="1" applyBorder="1"/>
    <xf numFmtId="164" fontId="4" fillId="0" borderId="6" xfId="0" applyNumberFormat="1" applyFont="1" applyBorder="1"/>
    <xf numFmtId="164" fontId="14" fillId="0" borderId="0" xfId="0" applyNumberFormat="1" applyFont="1"/>
    <xf numFmtId="164" fontId="24" fillId="0" borderId="0" xfId="0" applyNumberFormat="1" applyFont="1"/>
    <xf numFmtId="164" fontId="4" fillId="0" borderId="0" xfId="0" applyNumberFormat="1" applyFont="1"/>
    <xf numFmtId="164" fontId="20" fillId="0" borderId="32" xfId="0" applyNumberFormat="1" applyFont="1" applyBorder="1"/>
    <xf numFmtId="164" fontId="61" fillId="0" borderId="0" xfId="0" applyNumberFormat="1" applyFont="1"/>
    <xf numFmtId="164" fontId="72" fillId="0" borderId="1" xfId="0" applyNumberFormat="1" applyFont="1" applyBorder="1"/>
    <xf numFmtId="164" fontId="61" fillId="11" borderId="0" xfId="0" applyNumberFormat="1" applyFont="1" applyFill="1"/>
    <xf numFmtId="164" fontId="61" fillId="9" borderId="0" xfId="0" applyNumberFormat="1" applyFont="1" applyFill="1"/>
    <xf numFmtId="164" fontId="0" fillId="11" borderId="1" xfId="0" applyNumberFormat="1" applyFill="1" applyBorder="1"/>
    <xf numFmtId="164" fontId="0" fillId="11" borderId="0" xfId="0" applyNumberFormat="1" applyFill="1"/>
    <xf numFmtId="164" fontId="0" fillId="16" borderId="0" xfId="0" applyNumberFormat="1" applyFill="1"/>
    <xf numFmtId="164" fontId="0" fillId="11" borderId="1" xfId="2" applyNumberFormat="1" applyFont="1" applyFill="1" applyBorder="1"/>
    <xf numFmtId="164" fontId="0" fillId="11" borderId="0" xfId="2" applyNumberFormat="1" applyFont="1" applyFill="1"/>
    <xf numFmtId="0" fontId="14" fillId="0" borderId="9" xfId="0" applyFont="1" applyBorder="1"/>
    <xf numFmtId="164" fontId="42" fillId="2" borderId="0" xfId="0" applyNumberFormat="1" applyFont="1" applyFill="1"/>
    <xf numFmtId="164" fontId="42" fillId="17" borderId="0" xfId="0" applyNumberFormat="1" applyFont="1" applyFill="1"/>
    <xf numFmtId="3" fontId="6" fillId="0" borderId="8" xfId="0" applyNumberFormat="1" applyFont="1" applyBorder="1"/>
    <xf numFmtId="3" fontId="7" fillId="0" borderId="6" xfId="7" applyNumberFormat="1" applyFont="1" applyBorder="1"/>
    <xf numFmtId="3" fontId="4" fillId="0" borderId="5" xfId="0" applyNumberFormat="1" applyFont="1" applyBorder="1"/>
    <xf numFmtId="3" fontId="20" fillId="0" borderId="36" xfId="0" applyNumberFormat="1" applyFont="1" applyBorder="1"/>
    <xf numFmtId="9" fontId="7" fillId="0" borderId="14" xfId="7" applyFont="1" applyBorder="1"/>
    <xf numFmtId="9" fontId="50" fillId="0" borderId="0" xfId="0" applyNumberFormat="1" applyFont="1"/>
    <xf numFmtId="3" fontId="0" fillId="0" borderId="6" xfId="0" applyNumberFormat="1" applyBorder="1"/>
    <xf numFmtId="0" fontId="24" fillId="0" borderId="3" xfId="0" applyFont="1" applyBorder="1"/>
    <xf numFmtId="3" fontId="24" fillId="0" borderId="1" xfId="0" applyNumberFormat="1" applyFont="1" applyBorder="1"/>
    <xf numFmtId="0" fontId="3" fillId="0" borderId="2" xfId="0" applyFont="1" applyBorder="1" applyAlignment="1">
      <alignment horizontal="left" indent="2"/>
    </xf>
    <xf numFmtId="0" fontId="81" fillId="2" borderId="0" xfId="0" applyFont="1" applyFill="1"/>
    <xf numFmtId="3" fontId="42" fillId="3" borderId="0" xfId="0" applyNumberFormat="1" applyFont="1" applyFill="1"/>
    <xf numFmtId="170" fontId="14" fillId="0" borderId="0" xfId="0" applyNumberFormat="1" applyFont="1"/>
    <xf numFmtId="9" fontId="14" fillId="0" borderId="0" xfId="0" applyNumberFormat="1" applyFont="1"/>
    <xf numFmtId="12" fontId="42" fillId="0" borderId="0" xfId="0" applyNumberFormat="1" applyFont="1"/>
    <xf numFmtId="1" fontId="81" fillId="2" borderId="0" xfId="0" applyNumberFormat="1" applyFont="1" applyFill="1"/>
    <xf numFmtId="9" fontId="21" fillId="0" borderId="0" xfId="7" applyFont="1"/>
    <xf numFmtId="10" fontId="0" fillId="0" borderId="0" xfId="7" applyNumberFormat="1" applyFont="1"/>
    <xf numFmtId="0" fontId="82" fillId="2" borderId="0" xfId="0" applyFont="1" applyFill="1"/>
    <xf numFmtId="3" fontId="83" fillId="0" borderId="0" xfId="0" applyNumberFormat="1" applyFont="1"/>
    <xf numFmtId="0" fontId="0" fillId="0" borderId="12" xfId="0" applyBorder="1"/>
    <xf numFmtId="3" fontId="0" fillId="0" borderId="12" xfId="0" applyNumberFormat="1" applyBorder="1"/>
    <xf numFmtId="3" fontId="0" fillId="5" borderId="12" xfId="0" applyNumberFormat="1" applyFill="1" applyBorder="1"/>
    <xf numFmtId="3" fontId="84" fillId="0" borderId="0" xfId="0" applyNumberFormat="1" applyFont="1"/>
    <xf numFmtId="3" fontId="62" fillId="8" borderId="0" xfId="0" applyNumberFormat="1" applyFont="1" applyFill="1" applyAlignment="1">
      <alignment vertical="center"/>
    </xf>
    <xf numFmtId="3" fontId="28" fillId="0" borderId="1" xfId="0" applyNumberFormat="1" applyFont="1" applyBorder="1" applyAlignment="1">
      <alignment horizontal="center"/>
    </xf>
    <xf numFmtId="1" fontId="47" fillId="5" borderId="0" xfId="0" applyNumberFormat="1" applyFont="1" applyFill="1"/>
    <xf numFmtId="3" fontId="85" fillId="0" borderId="29" xfId="0" applyNumberFormat="1" applyFont="1" applyBorder="1"/>
    <xf numFmtId="0" fontId="24" fillId="0" borderId="9" xfId="0" applyFont="1" applyBorder="1"/>
    <xf numFmtId="3" fontId="14" fillId="0" borderId="9" xfId="0" applyNumberFormat="1" applyFont="1" applyBorder="1"/>
    <xf numFmtId="3" fontId="1" fillId="0" borderId="9" xfId="0" applyNumberFormat="1" applyFont="1" applyBorder="1"/>
    <xf numFmtId="0" fontId="87" fillId="0" borderId="9" xfId="0" applyFont="1" applyBorder="1"/>
    <xf numFmtId="9" fontId="87" fillId="0" borderId="9" xfId="0" applyNumberFormat="1" applyFont="1" applyBorder="1"/>
    <xf numFmtId="3" fontId="0" fillId="0" borderId="29" xfId="0" applyNumberFormat="1" applyBorder="1"/>
    <xf numFmtId="3" fontId="5" fillId="0" borderId="0" xfId="0" applyNumberFormat="1" applyFont="1"/>
    <xf numFmtId="166" fontId="64" fillId="0" borderId="0" xfId="3" applyNumberFormat="1" applyFont="1" applyFill="1" applyBorder="1"/>
    <xf numFmtId="3" fontId="94" fillId="5" borderId="0" xfId="1" applyNumberFormat="1" applyFill="1"/>
    <xf numFmtId="0" fontId="14" fillId="0" borderId="12" xfId="0" applyFont="1" applyBorder="1"/>
    <xf numFmtId="0" fontId="24" fillId="0" borderId="12" xfId="0" applyFont="1" applyBorder="1"/>
    <xf numFmtId="3" fontId="24" fillId="0" borderId="12" xfId="0" applyNumberFormat="1" applyFont="1" applyBorder="1"/>
    <xf numFmtId="0" fontId="24" fillId="0" borderId="37" xfId="0" applyFont="1" applyBorder="1"/>
    <xf numFmtId="3" fontId="24" fillId="0" borderId="37" xfId="0" applyNumberFormat="1" applyFont="1" applyBorder="1"/>
    <xf numFmtId="9" fontId="88" fillId="0" borderId="0" xfId="7" applyFont="1"/>
    <xf numFmtId="0" fontId="1" fillId="9" borderId="0" xfId="0" applyFont="1" applyFill="1"/>
    <xf numFmtId="166" fontId="0" fillId="11" borderId="7" xfId="2" applyNumberFormat="1" applyFont="1" applyFill="1" applyBorder="1"/>
    <xf numFmtId="166" fontId="0" fillId="11" borderId="6" xfId="2" applyNumberFormat="1" applyFont="1" applyFill="1" applyBorder="1"/>
    <xf numFmtId="165" fontId="8" fillId="0" borderId="0" xfId="0" applyNumberFormat="1" applyFont="1"/>
    <xf numFmtId="0" fontId="75" fillId="8" borderId="9" xfId="4" applyFill="1" applyBorder="1"/>
    <xf numFmtId="0" fontId="75" fillId="0" borderId="9" xfId="4" applyBorder="1"/>
    <xf numFmtId="9" fontId="75" fillId="0" borderId="9" xfId="7" applyFont="1" applyFill="1" applyBorder="1"/>
    <xf numFmtId="9" fontId="75" fillId="0" borderId="9" xfId="7" applyFont="1" applyBorder="1"/>
    <xf numFmtId="164" fontId="75" fillId="0" borderId="9" xfId="4" applyNumberFormat="1" applyBorder="1"/>
    <xf numFmtId="0" fontId="75" fillId="8" borderId="38" xfId="4" applyFill="1" applyBorder="1"/>
    <xf numFmtId="0" fontId="75" fillId="8" borderId="39" xfId="4" applyFill="1" applyBorder="1"/>
    <xf numFmtId="0" fontId="75" fillId="8" borderId="40" xfId="4" applyFill="1" applyBorder="1"/>
    <xf numFmtId="0" fontId="75" fillId="0" borderId="40" xfId="4" applyBorder="1" applyAlignment="1">
      <alignment horizontal="left" indent="1"/>
    </xf>
    <xf numFmtId="9" fontId="75" fillId="0" borderId="35" xfId="7" applyFont="1" applyFill="1" applyBorder="1"/>
    <xf numFmtId="9" fontId="75" fillId="0" borderId="35" xfId="7" applyFont="1" applyBorder="1"/>
    <xf numFmtId="164" fontId="75" fillId="0" borderId="35" xfId="4" applyNumberFormat="1" applyBorder="1"/>
    <xf numFmtId="0" fontId="75" fillId="0" borderId="41" xfId="4" applyBorder="1" applyAlignment="1">
      <alignment horizontal="left" indent="1"/>
    </xf>
    <xf numFmtId="164" fontId="75" fillId="0" borderId="42" xfId="4" applyNumberFormat="1" applyBorder="1"/>
    <xf numFmtId="164" fontId="75" fillId="0" borderId="43" xfId="4" applyNumberFormat="1" applyBorder="1"/>
    <xf numFmtId="3" fontId="75" fillId="0" borderId="9" xfId="4" applyNumberFormat="1" applyBorder="1"/>
    <xf numFmtId="0" fontId="75" fillId="0" borderId="40" xfId="4" applyBorder="1"/>
    <xf numFmtId="165" fontId="75" fillId="0" borderId="35" xfId="7" applyNumberFormat="1" applyFont="1" applyBorder="1"/>
    <xf numFmtId="0" fontId="75" fillId="0" borderId="41" xfId="4" applyBorder="1"/>
    <xf numFmtId="0" fontId="75" fillId="0" borderId="42" xfId="4" applyBorder="1"/>
    <xf numFmtId="3" fontId="75" fillId="0" borderId="42" xfId="4" applyNumberFormat="1" applyBorder="1"/>
    <xf numFmtId="165" fontId="75" fillId="0" borderId="43" xfId="7" applyNumberFormat="1" applyFont="1" applyBorder="1"/>
    <xf numFmtId="0" fontId="75" fillId="0" borderId="41" xfId="4" applyBorder="1" applyAlignment="1">
      <alignment horizontal="left"/>
    </xf>
    <xf numFmtId="3" fontId="0" fillId="0" borderId="1" xfId="0" applyNumberFormat="1" applyBorder="1"/>
    <xf numFmtId="0" fontId="0" fillId="0" borderId="1" xfId="2" applyNumberFormat="1" applyFont="1" applyFill="1" applyBorder="1"/>
    <xf numFmtId="0" fontId="89" fillId="0" borderId="0" xfId="0" applyFont="1"/>
    <xf numFmtId="0" fontId="89" fillId="2" borderId="0" xfId="0" applyFont="1" applyFill="1"/>
    <xf numFmtId="165" fontId="61" fillId="0" borderId="0" xfId="7" applyNumberFormat="1" applyFont="1"/>
    <xf numFmtId="0" fontId="8" fillId="9" borderId="18" xfId="0" applyFont="1" applyFill="1" applyBorder="1"/>
    <xf numFmtId="9" fontId="8" fillId="9" borderId="0" xfId="7" applyFont="1" applyFill="1" applyBorder="1"/>
    <xf numFmtId="168" fontId="8" fillId="9" borderId="0" xfId="2" applyNumberFormat="1" applyFont="1" applyFill="1" applyBorder="1"/>
    <xf numFmtId="9" fontId="8" fillId="9" borderId="34" xfId="0" applyNumberFormat="1" applyFont="1" applyFill="1" applyBorder="1"/>
    <xf numFmtId="43" fontId="91" fillId="18" borderId="0" xfId="2" applyFont="1" applyFill="1"/>
    <xf numFmtId="43" fontId="91" fillId="18" borderId="0" xfId="2" applyFont="1" applyFill="1" applyAlignment="1">
      <alignment horizontal="right" vertical="top" wrapText="1"/>
    </xf>
    <xf numFmtId="3" fontId="8" fillId="18" borderId="0" xfId="5" applyNumberFormat="1" applyFont="1" applyFill="1"/>
    <xf numFmtId="0" fontId="0" fillId="18" borderId="0" xfId="0" applyFill="1"/>
    <xf numFmtId="10" fontId="8" fillId="18" borderId="0" xfId="5" applyNumberFormat="1" applyFont="1" applyFill="1" applyAlignment="1">
      <alignment vertical="center"/>
    </xf>
    <xf numFmtId="10" fontId="8" fillId="18" borderId="0" xfId="7" applyNumberFormat="1" applyFont="1" applyFill="1" applyAlignment="1">
      <alignment vertical="center"/>
    </xf>
    <xf numFmtId="0" fontId="8" fillId="9" borderId="18" xfId="0" applyFont="1" applyFill="1" applyBorder="1" applyAlignment="1">
      <alignment vertical="center"/>
    </xf>
    <xf numFmtId="0" fontId="8" fillId="9" borderId="0" xfId="0" applyFont="1" applyFill="1" applyAlignment="1">
      <alignment vertical="center"/>
    </xf>
    <xf numFmtId="9" fontId="8" fillId="9" borderId="0" xfId="0" applyNumberFormat="1" applyFont="1" applyFill="1" applyAlignment="1">
      <alignment vertical="center"/>
    </xf>
    <xf numFmtId="0" fontId="0" fillId="9" borderId="0" xfId="0" applyFill="1" applyAlignment="1">
      <alignment vertical="center"/>
    </xf>
    <xf numFmtId="3" fontId="8" fillId="9" borderId="0" xfId="0" applyNumberFormat="1" applyFont="1" applyFill="1"/>
    <xf numFmtId="166" fontId="8" fillId="9" borderId="0" xfId="0" applyNumberFormat="1" applyFont="1" applyFill="1"/>
    <xf numFmtId="9" fontId="8" fillId="18" borderId="0" xfId="5" applyNumberFormat="1" applyFont="1" applyFill="1" applyAlignment="1">
      <alignment vertical="center"/>
    </xf>
    <xf numFmtId="165" fontId="8" fillId="9" borderId="0" xfId="7" applyNumberFormat="1" applyFont="1" applyFill="1" applyBorder="1"/>
    <xf numFmtId="2" fontId="75" fillId="0" borderId="42" xfId="4" applyNumberFormat="1" applyBorder="1"/>
    <xf numFmtId="168" fontId="91" fillId="18" borderId="0" xfId="2" applyNumberFormat="1" applyFont="1" applyFill="1" applyAlignment="1">
      <alignment horizontal="right" vertical="top" wrapText="1"/>
    </xf>
    <xf numFmtId="0" fontId="8" fillId="18" borderId="18" xfId="0" applyFont="1" applyFill="1" applyBorder="1"/>
    <xf numFmtId="165" fontId="8" fillId="2" borderId="44" xfId="0" applyNumberFormat="1" applyFont="1" applyFill="1" applyBorder="1"/>
    <xf numFmtId="166" fontId="8" fillId="11" borderId="34" xfId="0" applyNumberFormat="1" applyFont="1" applyFill="1" applyBorder="1"/>
    <xf numFmtId="0" fontId="74" fillId="8" borderId="25" xfId="0" applyFont="1" applyFill="1" applyBorder="1" applyAlignment="1">
      <alignment horizontal="left" vertical="center" wrapText="1"/>
    </xf>
    <xf numFmtId="165" fontId="8" fillId="2" borderId="45" xfId="0" applyNumberFormat="1" applyFont="1" applyFill="1" applyBorder="1"/>
    <xf numFmtId="165" fontId="8" fillId="2" borderId="46" xfId="0" applyNumberFormat="1" applyFont="1" applyFill="1" applyBorder="1"/>
    <xf numFmtId="10" fontId="8" fillId="19" borderId="0" xfId="7" applyNumberFormat="1" applyFont="1" applyFill="1"/>
    <xf numFmtId="0" fontId="75" fillId="12" borderId="9" xfId="4" applyFill="1" applyBorder="1"/>
    <xf numFmtId="0" fontId="34" fillId="12" borderId="9" xfId="4" applyFont="1" applyFill="1" applyBorder="1"/>
    <xf numFmtId="0" fontId="34" fillId="12" borderId="9" xfId="4" applyFont="1" applyFill="1" applyBorder="1" applyAlignment="1">
      <alignment horizontal="center"/>
    </xf>
    <xf numFmtId="0" fontId="75" fillId="0" borderId="0" xfId="4" applyAlignment="1">
      <alignment horizontal="left"/>
    </xf>
    <xf numFmtId="0" fontId="34" fillId="0" borderId="0" xfId="4" applyFont="1" applyAlignment="1">
      <alignment horizontal="left"/>
    </xf>
    <xf numFmtId="172" fontId="75" fillId="0" borderId="9" xfId="2" applyNumberFormat="1" applyFont="1" applyBorder="1"/>
    <xf numFmtId="9" fontId="75" fillId="2" borderId="9" xfId="4" applyNumberFormat="1" applyFill="1" applyBorder="1"/>
    <xf numFmtId="9" fontId="8" fillId="2" borderId="34" xfId="0" applyNumberFormat="1" applyFont="1" applyFill="1" applyBorder="1"/>
    <xf numFmtId="172" fontId="75" fillId="0" borderId="9" xfId="4" applyNumberFormat="1" applyBorder="1"/>
    <xf numFmtId="172" fontId="75" fillId="12" borderId="9" xfId="4" applyNumberFormat="1" applyFill="1" applyBorder="1"/>
    <xf numFmtId="165" fontId="8" fillId="0" borderId="0" xfId="7" applyNumberFormat="1" applyFont="1" applyBorder="1"/>
    <xf numFmtId="168" fontId="8" fillId="0" borderId="0" xfId="0" applyNumberFormat="1" applyFont="1"/>
    <xf numFmtId="168" fontId="91" fillId="18" borderId="0" xfId="2" applyNumberFormat="1" applyFont="1" applyFill="1"/>
    <xf numFmtId="168" fontId="91" fillId="0" borderId="0" xfId="2" applyNumberFormat="1" applyFont="1" applyFill="1" applyAlignment="1">
      <alignment horizontal="right" vertical="top" wrapText="1"/>
    </xf>
    <xf numFmtId="0" fontId="92" fillId="9" borderId="22" xfId="0" applyFont="1" applyFill="1" applyBorder="1" applyAlignment="1">
      <alignment horizontal="left" vertical="center"/>
    </xf>
    <xf numFmtId="0" fontId="92" fillId="9" borderId="23" xfId="0" applyFont="1" applyFill="1" applyBorder="1" applyAlignment="1">
      <alignment horizontal="left" vertical="center"/>
    </xf>
    <xf numFmtId="0" fontId="40" fillId="9" borderId="23" xfId="0" applyFont="1" applyFill="1" applyBorder="1" applyAlignment="1">
      <alignment vertical="center"/>
    </xf>
    <xf numFmtId="0" fontId="89" fillId="9" borderId="0" xfId="0" applyFont="1" applyFill="1"/>
    <xf numFmtId="165" fontId="93" fillId="22" borderId="0" xfId="7" applyNumberFormat="1" applyFont="1" applyFill="1"/>
    <xf numFmtId="168" fontId="75" fillId="0" borderId="0" xfId="2" applyNumberFormat="1" applyFont="1"/>
    <xf numFmtId="0" fontId="75" fillId="22" borderId="0" xfId="4" applyFill="1"/>
    <xf numFmtId="168" fontId="75" fillId="22" borderId="0" xfId="2" applyNumberFormat="1" applyFont="1" applyFill="1"/>
    <xf numFmtId="165" fontId="75" fillId="22" borderId="0" xfId="7" applyNumberFormat="1" applyFont="1" applyFill="1"/>
    <xf numFmtId="3" fontId="75" fillId="0" borderId="0" xfId="4" applyNumberFormat="1" applyAlignment="1">
      <alignment horizontal="left" indent="2"/>
    </xf>
    <xf numFmtId="3" fontId="75" fillId="22" borderId="0" xfId="4" applyNumberFormat="1" applyFill="1" applyAlignment="1">
      <alignment horizontal="left" indent="2"/>
    </xf>
    <xf numFmtId="3" fontId="75" fillId="22" borderId="0" xfId="4" applyNumberFormat="1" applyFill="1"/>
    <xf numFmtId="168" fontId="75" fillId="0" borderId="0" xfId="4" applyNumberFormat="1"/>
    <xf numFmtId="0" fontId="34" fillId="22" borderId="0" xfId="4" applyFont="1" applyFill="1"/>
    <xf numFmtId="0" fontId="75" fillId="23" borderId="0" xfId="4" applyFill="1"/>
    <xf numFmtId="168" fontId="75" fillId="23" borderId="0" xfId="4" applyNumberFormat="1" applyFill="1"/>
    <xf numFmtId="0" fontId="42" fillId="0" borderId="0" xfId="0" applyFont="1" applyAlignment="1">
      <alignment vertical="center"/>
    </xf>
    <xf numFmtId="3" fontId="0" fillId="24" borderId="0" xfId="0" applyNumberFormat="1" applyFill="1"/>
    <xf numFmtId="1" fontId="7" fillId="0" borderId="6" xfId="7" applyNumberFormat="1" applyFont="1" applyBorder="1"/>
    <xf numFmtId="164" fontId="42" fillId="24" borderId="0" xfId="0" applyNumberFormat="1" applyFont="1" applyFill="1"/>
    <xf numFmtId="3" fontId="14" fillId="5" borderId="0" xfId="0" applyNumberFormat="1" applyFont="1" applyFill="1"/>
    <xf numFmtId="3" fontId="14" fillId="0" borderId="18" xfId="0" applyNumberFormat="1" applyFont="1" applyBorder="1"/>
    <xf numFmtId="3" fontId="94" fillId="24" borderId="0" xfId="1" applyNumberFormat="1" applyFill="1"/>
    <xf numFmtId="0" fontId="96" fillId="0" borderId="0" xfId="0" applyFont="1"/>
    <xf numFmtId="0" fontId="97" fillId="0" borderId="0" xfId="0" applyFont="1" applyAlignment="1">
      <alignment horizontal="center" vertical="center"/>
    </xf>
    <xf numFmtId="0" fontId="97" fillId="0" borderId="4" xfId="0" applyFont="1" applyBorder="1" applyAlignment="1">
      <alignment vertical="center"/>
    </xf>
    <xf numFmtId="0" fontId="97" fillId="0" borderId="1" xfId="0" applyFont="1" applyBorder="1" applyAlignment="1">
      <alignment vertical="center"/>
    </xf>
    <xf numFmtId="0" fontId="97" fillId="12" borderId="11" xfId="0" applyFont="1" applyFill="1" applyBorder="1" applyAlignment="1">
      <alignment horizontal="center" vertical="center"/>
    </xf>
    <xf numFmtId="0" fontId="97" fillId="13" borderId="7" xfId="0" applyFont="1" applyFill="1" applyBorder="1" applyAlignment="1">
      <alignment horizontal="center" vertical="center"/>
    </xf>
    <xf numFmtId="0" fontId="97" fillId="13" borderId="8" xfId="0" applyFont="1" applyFill="1" applyBorder="1" applyAlignment="1">
      <alignment horizontal="center" vertical="center"/>
    </xf>
    <xf numFmtId="0" fontId="97" fillId="12" borderId="7" xfId="0" applyFont="1" applyFill="1" applyBorder="1" applyAlignment="1">
      <alignment horizontal="center" vertical="center"/>
    </xf>
    <xf numFmtId="3" fontId="96" fillId="0" borderId="0" xfId="0" applyNumberFormat="1" applyFont="1"/>
    <xf numFmtId="3" fontId="96" fillId="12" borderId="2" xfId="0" applyNumberFormat="1" applyFont="1" applyFill="1" applyBorder="1"/>
    <xf numFmtId="3" fontId="96" fillId="13" borderId="0" xfId="0" applyNumberFormat="1" applyFont="1" applyFill="1"/>
    <xf numFmtId="4" fontId="96" fillId="13" borderId="5" xfId="0" applyNumberFormat="1" applyFont="1" applyFill="1" applyBorder="1"/>
    <xf numFmtId="3" fontId="96" fillId="12" borderId="0" xfId="0" applyNumberFormat="1" applyFont="1" applyFill="1"/>
    <xf numFmtId="3" fontId="98" fillId="12" borderId="2" xfId="0" applyNumberFormat="1" applyFont="1" applyFill="1" applyBorder="1"/>
    <xf numFmtId="3" fontId="96" fillId="12" borderId="13" xfId="0" applyNumberFormat="1" applyFont="1" applyFill="1" applyBorder="1"/>
    <xf numFmtId="3" fontId="96" fillId="13" borderId="6" xfId="0" applyNumberFormat="1" applyFont="1" applyFill="1" applyBorder="1"/>
    <xf numFmtId="4" fontId="96" fillId="13" borderId="14" xfId="0" applyNumberFormat="1" applyFont="1" applyFill="1" applyBorder="1"/>
    <xf numFmtId="3" fontId="100" fillId="12" borderId="2" xfId="0" applyNumberFormat="1" applyFont="1" applyFill="1" applyBorder="1"/>
    <xf numFmtId="3" fontId="101" fillId="12" borderId="2" xfId="0" applyNumberFormat="1" applyFont="1" applyFill="1" applyBorder="1"/>
    <xf numFmtId="9" fontId="96" fillId="13" borderId="6" xfId="0" applyNumberFormat="1" applyFont="1" applyFill="1" applyBorder="1"/>
    <xf numFmtId="9" fontId="96" fillId="13" borderId="0" xfId="0" applyNumberFormat="1" applyFont="1" applyFill="1"/>
    <xf numFmtId="3" fontId="97" fillId="0" borderId="25" xfId="0" applyNumberFormat="1" applyFont="1" applyBorder="1"/>
    <xf numFmtId="3" fontId="97" fillId="12" borderId="51" xfId="0" applyNumberFormat="1" applyFont="1" applyFill="1" applyBorder="1"/>
    <xf numFmtId="3" fontId="97" fillId="13" borderId="25" xfId="0" applyNumberFormat="1" applyFont="1" applyFill="1" applyBorder="1"/>
    <xf numFmtId="4" fontId="97" fillId="13" borderId="52" xfId="0" applyNumberFormat="1" applyFont="1" applyFill="1" applyBorder="1"/>
    <xf numFmtId="3" fontId="97" fillId="12" borderId="25" xfId="0" applyNumberFormat="1" applyFont="1" applyFill="1" applyBorder="1"/>
    <xf numFmtId="3" fontId="97" fillId="0" borderId="0" xfId="0" applyNumberFormat="1" applyFont="1"/>
    <xf numFmtId="3" fontId="97" fillId="12" borderId="0" xfId="0" applyNumberFormat="1" applyFont="1" applyFill="1"/>
    <xf numFmtId="3" fontId="97" fillId="13" borderId="0" xfId="0" applyNumberFormat="1" applyFont="1" applyFill="1"/>
    <xf numFmtId="4" fontId="97" fillId="13" borderId="5" xfId="0" applyNumberFormat="1" applyFont="1" applyFill="1" applyBorder="1"/>
    <xf numFmtId="3" fontId="97" fillId="12" borderId="2" xfId="0" applyNumberFormat="1" applyFont="1" applyFill="1" applyBorder="1"/>
    <xf numFmtId="3" fontId="97" fillId="0" borderId="21" xfId="0" applyNumberFormat="1" applyFont="1" applyBorder="1"/>
    <xf numFmtId="3" fontId="97" fillId="12" borderId="53" xfId="0" applyNumberFormat="1" applyFont="1" applyFill="1" applyBorder="1"/>
    <xf numFmtId="9" fontId="97" fillId="13" borderId="21" xfId="0" applyNumberFormat="1" applyFont="1" applyFill="1" applyBorder="1"/>
    <xf numFmtId="4" fontId="97" fillId="13" borderId="54" xfId="0" applyNumberFormat="1" applyFont="1" applyFill="1" applyBorder="1"/>
    <xf numFmtId="3" fontId="97" fillId="12" borderId="21" xfId="0" applyNumberFormat="1" applyFont="1" applyFill="1" applyBorder="1"/>
    <xf numFmtId="0" fontId="97" fillId="0" borderId="0" xfId="0" applyFont="1"/>
    <xf numFmtId="3" fontId="103" fillId="12" borderId="2" xfId="0" applyNumberFormat="1" applyFont="1" applyFill="1" applyBorder="1"/>
    <xf numFmtId="3" fontId="97" fillId="13" borderId="21" xfId="0" applyNumberFormat="1" applyFont="1" applyFill="1" applyBorder="1"/>
    <xf numFmtId="3" fontId="104" fillId="12" borderId="2" xfId="0" applyNumberFormat="1" applyFont="1" applyFill="1" applyBorder="1"/>
    <xf numFmtId="3" fontId="96" fillId="12" borderId="6" xfId="0" applyNumberFormat="1" applyFont="1" applyFill="1" applyBorder="1"/>
    <xf numFmtId="4" fontId="97" fillId="13" borderId="25" xfId="0" applyNumberFormat="1" applyFont="1" applyFill="1" applyBorder="1"/>
    <xf numFmtId="4" fontId="97" fillId="13" borderId="0" xfId="0" applyNumberFormat="1" applyFont="1" applyFill="1"/>
    <xf numFmtId="4" fontId="97" fillId="13" borderId="21" xfId="0" applyNumberFormat="1" applyFont="1" applyFill="1" applyBorder="1"/>
    <xf numFmtId="3" fontId="105" fillId="13" borderId="25" xfId="0" applyNumberFormat="1" applyFont="1" applyFill="1" applyBorder="1"/>
    <xf numFmtId="3" fontId="105" fillId="12" borderId="25" xfId="0" applyNumberFormat="1" applyFont="1" applyFill="1" applyBorder="1"/>
    <xf numFmtId="3" fontId="105" fillId="12" borderId="51" xfId="0" applyNumberFormat="1" applyFont="1" applyFill="1" applyBorder="1"/>
    <xf numFmtId="3" fontId="103" fillId="13" borderId="0" xfId="0" applyNumberFormat="1" applyFont="1" applyFill="1"/>
    <xf numFmtId="3" fontId="103" fillId="13" borderId="21" xfId="0" applyNumberFormat="1" applyFont="1" applyFill="1" applyBorder="1"/>
    <xf numFmtId="0" fontId="96" fillId="0" borderId="5" xfId="0" applyFont="1" applyBorder="1"/>
    <xf numFmtId="0" fontId="97" fillId="0" borderId="25" xfId="0" applyFont="1" applyBorder="1"/>
    <xf numFmtId="0" fontId="97" fillId="25" borderId="55" xfId="0" applyFont="1" applyFill="1" applyBorder="1" applyAlignment="1">
      <alignment vertical="center"/>
    </xf>
    <xf numFmtId="0" fontId="97" fillId="25" borderId="56" xfId="0" applyFont="1" applyFill="1" applyBorder="1" applyAlignment="1">
      <alignment vertical="center"/>
    </xf>
    <xf numFmtId="0" fontId="97" fillId="25" borderId="57" xfId="0" applyFont="1" applyFill="1" applyBorder="1" applyAlignment="1">
      <alignment vertical="center"/>
    </xf>
    <xf numFmtId="0" fontId="97" fillId="25" borderId="58" xfId="0" applyFont="1" applyFill="1" applyBorder="1" applyAlignment="1">
      <alignment vertical="center"/>
    </xf>
    <xf numFmtId="3" fontId="96" fillId="25" borderId="8" xfId="0" applyNumberFormat="1" applyFont="1" applyFill="1" applyBorder="1"/>
    <xf numFmtId="0" fontId="96" fillId="25" borderId="0" xfId="0" applyFont="1" applyFill="1"/>
    <xf numFmtId="4" fontId="96" fillId="25" borderId="10" xfId="0" applyNumberFormat="1" applyFont="1" applyFill="1" applyBorder="1"/>
    <xf numFmtId="4" fontId="96" fillId="25" borderId="59" xfId="0" applyNumberFormat="1" applyFont="1" applyFill="1" applyBorder="1"/>
    <xf numFmtId="3" fontId="96" fillId="25" borderId="5" xfId="0" applyNumberFormat="1" applyFont="1" applyFill="1" applyBorder="1"/>
    <xf numFmtId="4" fontId="96" fillId="25" borderId="12" xfId="0" applyNumberFormat="1" applyFont="1" applyFill="1" applyBorder="1"/>
    <xf numFmtId="4" fontId="96" fillId="25" borderId="60" xfId="0" applyNumberFormat="1" applyFont="1" applyFill="1" applyBorder="1"/>
    <xf numFmtId="170" fontId="96" fillId="25" borderId="0" xfId="0" applyNumberFormat="1" applyFont="1" applyFill="1"/>
    <xf numFmtId="0" fontId="97" fillId="0" borderId="21" xfId="0" applyFont="1" applyBorder="1"/>
    <xf numFmtId="3" fontId="97" fillId="25" borderId="54" xfId="0" applyNumberFormat="1" applyFont="1" applyFill="1" applyBorder="1"/>
    <xf numFmtId="169" fontId="97" fillId="25" borderId="21" xfId="0" applyNumberFormat="1" applyFont="1" applyFill="1" applyBorder="1"/>
    <xf numFmtId="4" fontId="97" fillId="25" borderId="61" xfId="0" applyNumberFormat="1" applyFont="1" applyFill="1" applyBorder="1"/>
    <xf numFmtId="4" fontId="97" fillId="25" borderId="62" xfId="0" applyNumberFormat="1" applyFont="1" applyFill="1" applyBorder="1"/>
    <xf numFmtId="0" fontId="97" fillId="0" borderId="0" xfId="0" applyFont="1" applyAlignment="1">
      <alignment horizontal="center" vertical="center" wrapText="1"/>
    </xf>
    <xf numFmtId="169" fontId="96" fillId="0" borderId="0" xfId="0" applyNumberFormat="1" applyFont="1"/>
    <xf numFmtId="4" fontId="96" fillId="0" borderId="0" xfId="0" applyNumberFormat="1" applyFont="1"/>
    <xf numFmtId="0" fontId="97" fillId="0" borderId="3" xfId="0" applyFont="1" applyBorder="1" applyAlignment="1">
      <alignment vertical="center"/>
    </xf>
    <xf numFmtId="3" fontId="96" fillId="0" borderId="8" xfId="0" applyNumberFormat="1" applyFont="1" applyBorder="1"/>
    <xf numFmtId="3" fontId="96" fillId="12" borderId="7" xfId="0" applyNumberFormat="1" applyFont="1" applyFill="1" applyBorder="1"/>
    <xf numFmtId="3" fontId="96" fillId="13" borderId="8" xfId="0" applyNumberFormat="1" applyFont="1" applyFill="1" applyBorder="1"/>
    <xf numFmtId="3" fontId="96" fillId="13" borderId="7" xfId="0" applyNumberFormat="1" applyFont="1" applyFill="1" applyBorder="1"/>
    <xf numFmtId="3" fontId="96" fillId="12" borderId="11" xfId="0" applyNumberFormat="1" applyFont="1" applyFill="1" applyBorder="1"/>
    <xf numFmtId="3" fontId="96" fillId="0" borderId="5" xfId="0" applyNumberFormat="1" applyFont="1" applyBorder="1"/>
    <xf numFmtId="3" fontId="96" fillId="13" borderId="5" xfId="0" applyNumberFormat="1" applyFont="1" applyFill="1" applyBorder="1"/>
    <xf numFmtId="0" fontId="106" fillId="0" borderId="14" xfId="0" applyFont="1" applyBorder="1"/>
    <xf numFmtId="3" fontId="96" fillId="13" borderId="14" xfId="0" applyNumberFormat="1" applyFont="1" applyFill="1" applyBorder="1"/>
    <xf numFmtId="3" fontId="96" fillId="0" borderId="7" xfId="0" applyNumberFormat="1" applyFont="1" applyBorder="1"/>
    <xf numFmtId="0" fontId="106" fillId="0" borderId="6" xfId="0" applyFont="1" applyBorder="1"/>
    <xf numFmtId="0" fontId="97" fillId="0" borderId="4" xfId="0" applyFont="1" applyBorder="1"/>
    <xf numFmtId="1" fontId="97" fillId="0" borderId="4" xfId="0" applyNumberFormat="1" applyFont="1" applyBorder="1" applyAlignment="1">
      <alignment vertical="center"/>
    </xf>
    <xf numFmtId="3" fontId="96" fillId="0" borderId="1" xfId="0" applyNumberFormat="1" applyFont="1" applyBorder="1"/>
    <xf numFmtId="3" fontId="96" fillId="0" borderId="3" xfId="0" applyNumberFormat="1" applyFont="1" applyBorder="1"/>
    <xf numFmtId="1" fontId="97" fillId="0" borderId="1" xfId="0" applyNumberFormat="1" applyFont="1" applyBorder="1" applyAlignment="1">
      <alignment vertical="center"/>
    </xf>
    <xf numFmtId="1" fontId="97" fillId="0" borderId="3" xfId="0" applyNumberFormat="1" applyFont="1" applyBorder="1" applyAlignment="1">
      <alignment vertical="center"/>
    </xf>
    <xf numFmtId="0" fontId="96" fillId="0" borderId="4" xfId="0" applyFont="1" applyBorder="1"/>
    <xf numFmtId="3" fontId="96" fillId="0" borderId="9" xfId="0" applyNumberFormat="1" applyFont="1" applyBorder="1"/>
    <xf numFmtId="3" fontId="96" fillId="7" borderId="9" xfId="0" applyNumberFormat="1" applyFont="1" applyFill="1" applyBorder="1"/>
    <xf numFmtId="3" fontId="96" fillId="14" borderId="9" xfId="0" applyNumberFormat="1" applyFont="1" applyFill="1" applyBorder="1"/>
    <xf numFmtId="9" fontId="96" fillId="0" borderId="0" xfId="0" applyNumberFormat="1" applyFont="1"/>
    <xf numFmtId="1" fontId="96" fillId="0" borderId="0" xfId="0" applyNumberFormat="1" applyFont="1"/>
    <xf numFmtId="2" fontId="96" fillId="25" borderId="0" xfId="0" applyNumberFormat="1" applyFont="1" applyFill="1"/>
    <xf numFmtId="2" fontId="97" fillId="13" borderId="21" xfId="0" applyNumberFormat="1" applyFont="1" applyFill="1" applyBorder="1"/>
    <xf numFmtId="2" fontId="96" fillId="0" borderId="0" xfId="0" applyNumberFormat="1" applyFont="1"/>
    <xf numFmtId="2" fontId="97" fillId="0" borderId="1" xfId="0" applyNumberFormat="1" applyFont="1" applyBorder="1" applyAlignment="1">
      <alignment vertical="center"/>
    </xf>
    <xf numFmtId="2" fontId="97" fillId="13" borderId="7" xfId="0" applyNumberFormat="1" applyFont="1" applyFill="1" applyBorder="1" applyAlignment="1">
      <alignment horizontal="center" vertical="center"/>
    </xf>
    <xf numFmtId="2" fontId="96" fillId="13" borderId="0" xfId="0" applyNumberFormat="1" applyFont="1" applyFill="1"/>
    <xf numFmtId="2" fontId="96" fillId="13" borderId="6" xfId="0" applyNumberFormat="1" applyFont="1" applyFill="1" applyBorder="1"/>
    <xf numFmtId="2" fontId="97" fillId="13" borderId="25" xfId="0" applyNumberFormat="1" applyFont="1" applyFill="1" applyBorder="1"/>
    <xf numFmtId="2" fontId="97" fillId="13" borderId="0" xfId="0" applyNumberFormat="1" applyFont="1" applyFill="1"/>
    <xf numFmtId="2" fontId="97" fillId="25" borderId="56" xfId="0" applyNumberFormat="1" applyFont="1" applyFill="1" applyBorder="1" applyAlignment="1">
      <alignment vertical="center"/>
    </xf>
    <xf numFmtId="2" fontId="97" fillId="25" borderId="21" xfId="0" applyNumberFormat="1" applyFont="1" applyFill="1" applyBorder="1"/>
    <xf numFmtId="2" fontId="97" fillId="13" borderId="8" xfId="0" applyNumberFormat="1" applyFont="1" applyFill="1" applyBorder="1" applyAlignment="1">
      <alignment horizontal="center" vertical="center"/>
    </xf>
    <xf numFmtId="2" fontId="96" fillId="13" borderId="8" xfId="0" applyNumberFormat="1" applyFont="1" applyFill="1" applyBorder="1"/>
    <xf numFmtId="2" fontId="96" fillId="13" borderId="5" xfId="0" applyNumberFormat="1" applyFont="1" applyFill="1" applyBorder="1"/>
    <xf numFmtId="2" fontId="96" fillId="13" borderId="14" xfId="0" applyNumberFormat="1" applyFont="1" applyFill="1" applyBorder="1"/>
    <xf numFmtId="2" fontId="96" fillId="7" borderId="9" xfId="0" applyNumberFormat="1" applyFont="1" applyFill="1" applyBorder="1"/>
    <xf numFmtId="2" fontId="96" fillId="14" borderId="9" xfId="0" applyNumberFormat="1" applyFont="1" applyFill="1" applyBorder="1"/>
    <xf numFmtId="1" fontId="96" fillId="13" borderId="0" xfId="0" applyNumberFormat="1" applyFont="1" applyFill="1"/>
    <xf numFmtId="1" fontId="97" fillId="13" borderId="25" xfId="0" applyNumberFormat="1" applyFont="1" applyFill="1" applyBorder="1"/>
    <xf numFmtId="0" fontId="1" fillId="26" borderId="0" xfId="0" applyFont="1" applyFill="1" applyAlignment="1">
      <alignment horizontal="center"/>
    </xf>
    <xf numFmtId="9" fontId="107" fillId="23" borderId="0" xfId="0" applyNumberFormat="1" applyFont="1" applyFill="1"/>
    <xf numFmtId="9" fontId="14" fillId="0" borderId="32" xfId="7" applyFont="1" applyBorder="1"/>
    <xf numFmtId="9" fontId="109" fillId="0" borderId="0" xfId="7" applyFont="1"/>
    <xf numFmtId="3" fontId="41" fillId="0" borderId="1" xfId="0" applyNumberFormat="1" applyFont="1" applyBorder="1"/>
    <xf numFmtId="3" fontId="14" fillId="0" borderId="6" xfId="0" applyNumberFormat="1" applyFont="1" applyBorder="1"/>
    <xf numFmtId="3" fontId="4" fillId="22" borderId="0" xfId="0" applyNumberFormat="1" applyFont="1" applyFill="1"/>
    <xf numFmtId="170" fontId="110" fillId="0" borderId="0" xfId="0" applyNumberFormat="1" applyFont="1"/>
    <xf numFmtId="0" fontId="111" fillId="0" borderId="0" xfId="0" applyFont="1"/>
    <xf numFmtId="3" fontId="112" fillId="0" borderId="0" xfId="0" applyNumberFormat="1" applyFont="1"/>
    <xf numFmtId="3" fontId="86" fillId="0" borderId="0" xfId="0" applyNumberFormat="1" applyFont="1"/>
    <xf numFmtId="3" fontId="1" fillId="2" borderId="0" xfId="0" applyNumberFormat="1" applyFont="1" applyFill="1"/>
    <xf numFmtId="3" fontId="0" fillId="23" borderId="0" xfId="0" applyNumberFormat="1" applyFill="1"/>
    <xf numFmtId="9" fontId="0" fillId="0" borderId="6" xfId="7" applyFont="1" applyBorder="1"/>
    <xf numFmtId="3" fontId="14" fillId="0" borderId="63" xfId="0" applyNumberFormat="1" applyFont="1" applyBorder="1" applyAlignment="1">
      <alignment horizontal="right"/>
    </xf>
    <xf numFmtId="3" fontId="14" fillId="0" borderId="13" xfId="0" applyNumberFormat="1" applyFont="1" applyBorder="1" applyAlignment="1">
      <alignment horizontal="right"/>
    </xf>
    <xf numFmtId="168" fontId="0" fillId="0" borderId="0" xfId="2" applyNumberFormat="1" applyFont="1" applyFill="1"/>
    <xf numFmtId="3" fontId="113" fillId="0" borderId="0" xfId="0" applyNumberFormat="1" applyFont="1"/>
    <xf numFmtId="1" fontId="41" fillId="0" borderId="0" xfId="7" applyNumberFormat="1" applyFont="1"/>
    <xf numFmtId="9" fontId="53" fillId="0" borderId="0" xfId="7" applyFont="1"/>
    <xf numFmtId="0" fontId="65" fillId="8" borderId="24" xfId="0" applyFont="1" applyFill="1" applyBorder="1" applyAlignment="1">
      <alignment horizontal="left" vertical="center"/>
    </xf>
    <xf numFmtId="0" fontId="66" fillId="8" borderId="25" xfId="0" applyFont="1" applyFill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9" fontId="8" fillId="0" borderId="7" xfId="0" applyNumberFormat="1" applyFont="1" applyBorder="1" applyAlignment="1">
      <alignment vertical="center"/>
    </xf>
    <xf numFmtId="165" fontId="8" fillId="18" borderId="7" xfId="5" applyNumberFormat="1" applyFont="1" applyFill="1" applyBorder="1" applyAlignment="1">
      <alignment vertical="center"/>
    </xf>
    <xf numFmtId="0" fontId="8" fillId="9" borderId="2" xfId="0" applyFont="1" applyFill="1" applyBorder="1" applyAlignment="1">
      <alignment vertical="center"/>
    </xf>
    <xf numFmtId="165" fontId="8" fillId="18" borderId="0" xfId="5" applyNumberFormat="1" applyFont="1" applyFill="1" applyAlignment="1">
      <alignment vertical="center"/>
    </xf>
    <xf numFmtId="0" fontId="8" fillId="9" borderId="2" xfId="0" applyFont="1" applyFill="1" applyBorder="1"/>
    <xf numFmtId="0" fontId="41" fillId="0" borderId="18" xfId="0" applyFont="1" applyBorder="1"/>
    <xf numFmtId="3" fontId="41" fillId="0" borderId="0" xfId="0" applyNumberFormat="1" applyFont="1"/>
    <xf numFmtId="169" fontId="0" fillId="0" borderId="0" xfId="0" applyNumberFormat="1"/>
    <xf numFmtId="169" fontId="88" fillId="0" borderId="0" xfId="0" applyNumberFormat="1" applyFont="1"/>
    <xf numFmtId="9" fontId="0" fillId="23" borderId="0" xfId="0" applyNumberFormat="1" applyFill="1"/>
    <xf numFmtId="9" fontId="0" fillId="23" borderId="0" xfId="7" applyFont="1" applyFill="1"/>
    <xf numFmtId="3" fontId="14" fillId="23" borderId="0" xfId="0" applyNumberFormat="1" applyFont="1" applyFill="1"/>
    <xf numFmtId="0" fontId="114" fillId="0" borderId="18" xfId="0" applyFont="1" applyBorder="1"/>
    <xf numFmtId="0" fontId="114" fillId="0" borderId="0" xfId="0" applyFont="1"/>
    <xf numFmtId="2" fontId="114" fillId="0" borderId="0" xfId="0" applyNumberFormat="1" applyFont="1"/>
    <xf numFmtId="3" fontId="115" fillId="0" borderId="0" xfId="0" applyNumberFormat="1" applyFont="1"/>
    <xf numFmtId="3" fontId="116" fillId="0" borderId="6" xfId="0" applyNumberFormat="1" applyFont="1" applyBorder="1"/>
    <xf numFmtId="3" fontId="94" fillId="20" borderId="0" xfId="1" applyNumberFormat="1" applyBorder="1"/>
    <xf numFmtId="0" fontId="88" fillId="0" borderId="18" xfId="0" applyFont="1" applyBorder="1"/>
    <xf numFmtId="0" fontId="28" fillId="0" borderId="0" xfId="0" applyFont="1"/>
    <xf numFmtId="3" fontId="28" fillId="0" borderId="0" xfId="0" applyNumberFormat="1" applyFont="1"/>
    <xf numFmtId="3" fontId="88" fillId="0" borderId="6" xfId="0" applyNumberFormat="1" applyFont="1" applyBorder="1"/>
    <xf numFmtId="3" fontId="88" fillId="0" borderId="0" xfId="0" applyNumberFormat="1" applyFont="1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69" fillId="8" borderId="0" xfId="0" applyFont="1" applyFill="1" applyAlignment="1">
      <alignment horizontal="center"/>
    </xf>
    <xf numFmtId="3" fontId="24" fillId="9" borderId="0" xfId="0" applyNumberFormat="1" applyFont="1" applyFill="1"/>
    <xf numFmtId="0" fontId="70" fillId="8" borderId="0" xfId="0" applyFont="1" applyFill="1"/>
    <xf numFmtId="9" fontId="1" fillId="23" borderId="0" xfId="0" applyNumberFormat="1" applyFont="1" applyFill="1"/>
    <xf numFmtId="0" fontId="117" fillId="0" borderId="18" xfId="0" applyFont="1" applyBorder="1"/>
    <xf numFmtId="0" fontId="117" fillId="0" borderId="0" xfId="0" applyFont="1"/>
    <xf numFmtId="3" fontId="117" fillId="0" borderId="0" xfId="0" applyNumberFormat="1" applyFont="1"/>
    <xf numFmtId="3" fontId="118" fillId="20" borderId="0" xfId="1" applyNumberFormat="1" applyFont="1" applyBorder="1"/>
    <xf numFmtId="164" fontId="0" fillId="24" borderId="0" xfId="0" applyNumberFormat="1" applyFill="1"/>
    <xf numFmtId="166" fontId="0" fillId="24" borderId="0" xfId="0" applyNumberFormat="1" applyFill="1"/>
    <xf numFmtId="1" fontId="8" fillId="0" borderId="21" xfId="0" applyNumberFormat="1" applyFont="1" applyBorder="1"/>
    <xf numFmtId="1" fontId="8" fillId="9" borderId="21" xfId="0" applyNumberFormat="1" applyFont="1" applyFill="1" applyBorder="1"/>
    <xf numFmtId="1" fontId="8" fillId="5" borderId="21" xfId="0" applyNumberFormat="1" applyFont="1" applyFill="1" applyBorder="1"/>
    <xf numFmtId="1" fontId="8" fillId="9" borderId="0" xfId="0" applyNumberFormat="1" applyFont="1" applyFill="1"/>
    <xf numFmtId="0" fontId="119" fillId="0" borderId="0" xfId="0" applyFont="1"/>
    <xf numFmtId="0" fontId="29" fillId="0" borderId="0" xfId="0" applyFont="1"/>
    <xf numFmtId="9" fontId="24" fillId="23" borderId="0" xfId="0" applyNumberFormat="1" applyFont="1" applyFill="1"/>
    <xf numFmtId="10" fontId="96" fillId="0" borderId="0" xfId="7" applyNumberFormat="1" applyFont="1"/>
    <xf numFmtId="0" fontId="97" fillId="27" borderId="0" xfId="0" applyFont="1" applyFill="1" applyAlignment="1">
      <alignment horizontal="center" vertical="center" wrapText="1"/>
    </xf>
    <xf numFmtId="3" fontId="96" fillId="27" borderId="0" xfId="0" applyNumberFormat="1" applyFont="1" applyFill="1"/>
    <xf numFmtId="169" fontId="96" fillId="27" borderId="0" xfId="0" applyNumberFormat="1" applyFont="1" applyFill="1"/>
    <xf numFmtId="4" fontId="96" fillId="27" borderId="0" xfId="0" applyNumberFormat="1" applyFont="1" applyFill="1"/>
    <xf numFmtId="2" fontId="96" fillId="27" borderId="0" xfId="0" applyNumberFormat="1" applyFont="1" applyFill="1"/>
    <xf numFmtId="9" fontId="96" fillId="27" borderId="0" xfId="7" applyFont="1" applyFill="1" applyBorder="1"/>
    <xf numFmtId="166" fontId="81" fillId="2" borderId="0" xfId="0" applyNumberFormat="1" applyFont="1" applyFill="1"/>
    <xf numFmtId="9" fontId="105" fillId="27" borderId="0" xfId="7" applyFont="1" applyFill="1" applyBorder="1"/>
    <xf numFmtId="9" fontId="120" fillId="24" borderId="0" xfId="0" applyNumberFormat="1" applyFont="1" applyFill="1"/>
    <xf numFmtId="3" fontId="8" fillId="24" borderId="0" xfId="0" applyNumberFormat="1" applyFont="1" applyFill="1"/>
    <xf numFmtId="173" fontId="0" fillId="0" borderId="0" xfId="0" applyNumberFormat="1"/>
    <xf numFmtId="0" fontId="121" fillId="28" borderId="9" xfId="0" applyFont="1" applyFill="1" applyBorder="1"/>
    <xf numFmtId="174" fontId="15" fillId="0" borderId="0" xfId="7" applyNumberFormat="1" applyFont="1"/>
    <xf numFmtId="3" fontId="15" fillId="0" borderId="0" xfId="0" applyNumberFormat="1" applyFont="1"/>
    <xf numFmtId="1" fontId="15" fillId="0" borderId="0" xfId="0" applyNumberFormat="1" applyFont="1"/>
    <xf numFmtId="9" fontId="8" fillId="0" borderId="0" xfId="7" applyFont="1"/>
    <xf numFmtId="0" fontId="122" fillId="0" borderId="2" xfId="0" applyFont="1" applyBorder="1"/>
    <xf numFmtId="0" fontId="123" fillId="22" borderId="0" xfId="0" applyFont="1" applyFill="1"/>
    <xf numFmtId="9" fontId="96" fillId="0" borderId="0" xfId="7" applyFont="1"/>
    <xf numFmtId="9" fontId="124" fillId="0" borderId="0" xfId="7" applyFont="1"/>
    <xf numFmtId="9" fontId="97" fillId="0" borderId="0" xfId="7" applyFont="1"/>
    <xf numFmtId="9" fontId="96" fillId="0" borderId="0" xfId="7" applyFont="1" applyBorder="1"/>
    <xf numFmtId="1" fontId="105" fillId="22" borderId="0" xfId="0" applyNumberFormat="1" applyFont="1" applyFill="1"/>
    <xf numFmtId="9" fontId="125" fillId="0" borderId="0" xfId="0" applyNumberFormat="1" applyFont="1"/>
    <xf numFmtId="9" fontId="125" fillId="9" borderId="0" xfId="7" applyFont="1" applyFill="1" applyBorder="1"/>
    <xf numFmtId="0" fontId="96" fillId="22" borderId="0" xfId="0" applyFont="1" applyFill="1"/>
    <xf numFmtId="3" fontId="96" fillId="22" borderId="0" xfId="0" applyNumberFormat="1" applyFont="1" applyFill="1"/>
    <xf numFmtId="3" fontId="97" fillId="22" borderId="0" xfId="0" applyNumberFormat="1" applyFont="1" applyFill="1"/>
    <xf numFmtId="0" fontId="97" fillId="22" borderId="0" xfId="0" applyFont="1" applyFill="1"/>
    <xf numFmtId="0" fontId="75" fillId="8" borderId="47" xfId="4" applyFill="1" applyBorder="1" applyAlignment="1">
      <alignment horizontal="center" wrapText="1"/>
    </xf>
    <xf numFmtId="0" fontId="75" fillId="8" borderId="35" xfId="4" applyFill="1" applyBorder="1" applyAlignment="1">
      <alignment horizontal="center" wrapText="1"/>
    </xf>
    <xf numFmtId="0" fontId="75" fillId="8" borderId="39" xfId="4" applyFill="1" applyBorder="1" applyAlignment="1">
      <alignment horizontal="center"/>
    </xf>
    <xf numFmtId="0" fontId="75" fillId="8" borderId="47" xfId="4" applyFill="1" applyBorder="1" applyAlignment="1">
      <alignment horizontal="center"/>
    </xf>
    <xf numFmtId="0" fontId="32" fillId="0" borderId="48" xfId="0" applyFont="1" applyBorder="1" applyAlignment="1">
      <alignment horizontal="center" wrapText="1"/>
    </xf>
    <xf numFmtId="0" fontId="32" fillId="0" borderId="49" xfId="0" applyFont="1" applyBorder="1" applyAlignment="1">
      <alignment horizontal="center" wrapText="1"/>
    </xf>
    <xf numFmtId="0" fontId="32" fillId="0" borderId="50" xfId="0" applyFont="1" applyBorder="1" applyAlignment="1">
      <alignment horizontal="center" wrapText="1"/>
    </xf>
    <xf numFmtId="0" fontId="32" fillId="0" borderId="17" xfId="0" applyFont="1" applyBorder="1" applyAlignment="1">
      <alignment horizontal="center" wrapText="1"/>
    </xf>
    <xf numFmtId="0" fontId="32" fillId="0" borderId="15" xfId="0" applyFont="1" applyBorder="1" applyAlignment="1">
      <alignment horizontal="center" wrapText="1"/>
    </xf>
    <xf numFmtId="0" fontId="32" fillId="0" borderId="16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69" fillId="8" borderId="11" xfId="0" applyFont="1" applyFill="1" applyBorder="1" applyAlignment="1">
      <alignment horizontal="center"/>
    </xf>
    <xf numFmtId="0" fontId="69" fillId="8" borderId="7" xfId="0" applyFont="1" applyFill="1" applyBorder="1" applyAlignment="1">
      <alignment horizontal="center"/>
    </xf>
    <xf numFmtId="0" fontId="69" fillId="8" borderId="8" xfId="0" applyFont="1" applyFill="1" applyBorder="1" applyAlignment="1">
      <alignment horizontal="center"/>
    </xf>
    <xf numFmtId="3" fontId="97" fillId="0" borderId="24" xfId="0" applyNumberFormat="1" applyFont="1" applyBorder="1" applyAlignment="1">
      <alignment horizontal="center" vertical="center" wrapText="1"/>
    </xf>
    <xf numFmtId="3" fontId="97" fillId="0" borderId="18" xfId="0" applyNumberFormat="1" applyFont="1" applyBorder="1" applyAlignment="1">
      <alignment horizontal="center" vertical="center" wrapText="1"/>
    </xf>
    <xf numFmtId="0" fontId="97" fillId="0" borderId="20" xfId="0" applyFont="1" applyBorder="1" applyAlignment="1">
      <alignment horizontal="center" vertical="center" wrapText="1"/>
    </xf>
    <xf numFmtId="3" fontId="96" fillId="0" borderId="0" xfId="0" applyNumberFormat="1" applyFont="1" applyAlignment="1">
      <alignment horizontal="center" vertical="center"/>
    </xf>
    <xf numFmtId="0" fontId="96" fillId="0" borderId="0" xfId="0" applyFont="1" applyAlignment="1">
      <alignment horizontal="center" vertical="center"/>
    </xf>
    <xf numFmtId="3" fontId="97" fillId="0" borderId="18" xfId="0" applyNumberFormat="1" applyFont="1" applyBorder="1" applyAlignment="1">
      <alignment horizontal="center" vertical="center"/>
    </xf>
    <xf numFmtId="0" fontId="97" fillId="0" borderId="20" xfId="0" applyFont="1" applyBorder="1" applyAlignment="1">
      <alignment horizontal="center" vertical="center"/>
    </xf>
    <xf numFmtId="0" fontId="96" fillId="0" borderId="0" xfId="0" applyFont="1" applyAlignment="1">
      <alignment horizontal="center" vertical="center" wrapText="1"/>
    </xf>
    <xf numFmtId="3" fontId="96" fillId="0" borderId="11" xfId="0" applyNumberFormat="1" applyFont="1" applyBorder="1" applyAlignment="1">
      <alignment horizontal="center" vertical="center"/>
    </xf>
    <xf numFmtId="0" fontId="96" fillId="0" borderId="2" xfId="0" applyFont="1" applyBorder="1" applyAlignment="1">
      <alignment horizontal="center" vertical="center"/>
    </xf>
    <xf numFmtId="3" fontId="96" fillId="0" borderId="2" xfId="0" applyNumberFormat="1" applyFont="1" applyBorder="1" applyAlignment="1">
      <alignment horizontal="center" vertical="center"/>
    </xf>
    <xf numFmtId="0" fontId="96" fillId="0" borderId="13" xfId="0" applyFont="1" applyBorder="1" applyAlignment="1">
      <alignment horizontal="center" vertical="center"/>
    </xf>
    <xf numFmtId="3" fontId="96" fillId="0" borderId="11" xfId="0" applyNumberFormat="1" applyFont="1" applyBorder="1" applyAlignment="1">
      <alignment horizontal="center" vertical="center" wrapText="1"/>
    </xf>
    <xf numFmtId="0" fontId="96" fillId="0" borderId="2" xfId="0" applyFont="1" applyBorder="1" applyAlignment="1">
      <alignment horizontal="center" vertical="center" wrapText="1"/>
    </xf>
    <xf numFmtId="3" fontId="96" fillId="0" borderId="2" xfId="0" applyNumberFormat="1" applyFont="1" applyBorder="1" applyAlignment="1">
      <alignment horizontal="center" vertical="center" wrapText="1"/>
    </xf>
    <xf numFmtId="0" fontId="96" fillId="0" borderId="13" xfId="0" applyFont="1" applyBorder="1" applyAlignment="1">
      <alignment horizontal="center" vertical="center" wrapText="1"/>
    </xf>
    <xf numFmtId="0" fontId="97" fillId="0" borderId="24" xfId="0" applyFont="1" applyBorder="1" applyAlignment="1">
      <alignment horizontal="center" vertical="center" wrapText="1"/>
    </xf>
    <xf numFmtId="0" fontId="97" fillId="0" borderId="18" xfId="0" applyFont="1" applyBorder="1" applyAlignment="1">
      <alignment horizontal="center" vertical="center" wrapText="1"/>
    </xf>
    <xf numFmtId="0" fontId="97" fillId="27" borderId="0" xfId="0" applyFont="1" applyFill="1" applyAlignment="1">
      <alignment horizontal="center" vertical="center" wrapText="1"/>
    </xf>
    <xf numFmtId="0" fontId="14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8">
    <cellStyle name="Bad" xfId="1" builtinId="27"/>
    <cellStyle name="Comma" xfId="2" builtinId="3"/>
    <cellStyle name="Good" xfId="3" builtinId="26"/>
    <cellStyle name="Normal" xfId="0" builtinId="0"/>
    <cellStyle name="Normal_CRP data" xfId="4" xr:uid="{00000000-0005-0000-0000-000004000000}"/>
    <cellStyle name="Normal_Sheet1" xfId="5" xr:uid="{00000000-0005-0000-0000-000005000000}"/>
    <cellStyle name="Normale_negozi" xfId="6" xr:uid="{00000000-0005-0000-0000-000006000000}"/>
    <cellStyle name="Percent" xfId="7" builtinId="5"/>
  </cellStyles>
  <dxfs count="31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ru-RU">
                <a:latin typeface="Arial" pitchFamily="34" charset="0"/>
                <a:cs typeface="Arial" pitchFamily="34" charset="0"/>
              </a:defRPr>
            </a:pPr>
            <a:r>
              <a:rPr lang="en-US">
                <a:latin typeface="Arial" pitchFamily="34" charset="0"/>
                <a:cs typeface="Arial" pitchFamily="34" charset="0"/>
              </a:rPr>
              <a:t>SALES </a:t>
            </a:r>
            <a:r>
              <a:rPr lang="en-US" sz="1200">
                <a:latin typeface="Arial" pitchFamily="34" charset="0"/>
                <a:cs typeface="Arial" pitchFamily="34" charset="0"/>
              </a:rPr>
              <a:t>(UZS Millions)</a:t>
            </a:r>
          </a:p>
        </c:rich>
      </c:tx>
      <c:layout>
        <c:manualLayout>
          <c:xMode val="edge"/>
          <c:yMode val="edge"/>
          <c:x val="2.3590332458442689E-2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055096237970255"/>
          <c:y val="0.22546296296296556"/>
          <c:w val="0.82889348206475233"/>
          <c:h val="0.621227034120735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Pt>
            <c:idx val="4"/>
            <c:invertIfNegative val="0"/>
            <c:bubble3D val="0"/>
            <c:spPr>
              <a:solidFill>
                <a:schemeClr val="accent1"/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13F3-4966-9AC7-7D36FBD2A39C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13F3-4966-9AC7-7D36FBD2A39C}"/>
              </c:ext>
            </c:extLst>
          </c:dPt>
          <c:dLbls>
            <c:dLbl>
              <c:idx val="0"/>
              <c:layout>
                <c:manualLayout>
                  <c:x val="0"/>
                  <c:y val="1.5302218821729151E-2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solidFill>
                          <a:sysClr val="windowText" lastClr="000000"/>
                        </a:solidFill>
                      </a:rPr>
                      <a:t>54,843</a:t>
                    </a:r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13F3-4966-9AC7-7D36FBD2A39C}"/>
                </c:ext>
              </c:extLst>
            </c:dLbl>
            <c:dLbl>
              <c:idx val="1"/>
              <c:layout>
                <c:manualLayout>
                  <c:x val="2.7778425669245021E-3"/>
                  <c:y val="-6.5140862747933093E-3"/>
                </c:manualLayout>
              </c:layout>
              <c:tx>
                <c:rich>
                  <a:bodyPr/>
                  <a:lstStyle/>
                  <a:p>
                    <a:pPr algn="ctr" rtl="0">
                      <a:defRPr lang="en-US" sz="800" b="1" i="0" u="none" strike="noStrike" kern="1200" baseline="0">
                        <a:solidFill>
                          <a:sysClr val="windowText" lastClr="000000"/>
                        </a:solidFill>
                        <a:latin typeface="Arial" pitchFamily="34" charset="0"/>
                        <a:ea typeface="+mn-ea"/>
                        <a:cs typeface="Arial" pitchFamily="34" charset="0"/>
                      </a:defRPr>
                    </a:pPr>
                    <a:r>
                      <a:rPr lang="en-US" sz="800" b="1" i="0" u="none" strike="noStrike" kern="1200" baseline="0">
                        <a:solidFill>
                          <a:sysClr val="windowText" lastClr="000000"/>
                        </a:solidFill>
                        <a:latin typeface="Arial" pitchFamily="34" charset="0"/>
                        <a:ea typeface="+mn-ea"/>
                        <a:cs typeface="Arial" pitchFamily="34" charset="0"/>
                      </a:rPr>
                      <a:t>122,722</a:t>
                    </a:r>
                    <a:endParaRPr lang="en-US" sz="1000" b="1" i="0" u="none" strike="noStrike" kern="1200" baseline="0">
                      <a:solidFill>
                        <a:sysClr val="windowText" lastClr="000000"/>
                      </a:solidFill>
                      <a:latin typeface="Arial" pitchFamily="34" charset="0"/>
                      <a:ea typeface="+mn-ea"/>
                      <a:cs typeface="Arial" pitchFamily="34" charset="0"/>
                    </a:endParaRPr>
                  </a:p>
                </c:rich>
              </c:tx>
              <c:spPr>
                <a:scene3d>
                  <a:camera prst="orthographicFront"/>
                  <a:lightRig rig="threePt" dir="t"/>
                </a:scene3d>
                <a:sp3d>
                  <a:bevelT/>
                </a:sp3d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13F3-4966-9AC7-7D36FBD2A39C}"/>
                </c:ext>
              </c:extLst>
            </c:dLbl>
            <c:dLbl>
              <c:idx val="2"/>
              <c:layout>
                <c:manualLayout>
                  <c:x val="2.7777777777778958E-3"/>
                  <c:y val="1.3888524351123137E-2"/>
                </c:manualLayout>
              </c:layout>
              <c:tx>
                <c:rich>
                  <a:bodyPr/>
                  <a:lstStyle/>
                  <a:p>
                    <a:pPr algn="ctr" rtl="0">
                      <a:defRPr lang="en-US" sz="800" b="1" i="0" u="none" strike="noStrike" kern="1200" baseline="0">
                        <a:solidFill>
                          <a:sysClr val="windowText" lastClr="000000"/>
                        </a:solidFill>
                        <a:latin typeface="Arial" pitchFamily="34" charset="0"/>
                        <a:ea typeface="+mn-ea"/>
                        <a:cs typeface="Arial" pitchFamily="34" charset="0"/>
                      </a:defRPr>
                    </a:pPr>
                    <a:r>
                      <a:rPr lang="en-US" sz="800" b="1" i="0" u="none" strike="noStrike" kern="1200" baseline="0">
                        <a:solidFill>
                          <a:sysClr val="windowText" lastClr="000000"/>
                        </a:solidFill>
                        <a:latin typeface="Arial" pitchFamily="34" charset="0"/>
                        <a:ea typeface="+mn-ea"/>
                        <a:cs typeface="Arial" pitchFamily="34" charset="0"/>
                      </a:rPr>
                      <a:t>74,234</a:t>
                    </a:r>
                    <a:endParaRPr lang="en-US" sz="1000" b="1" i="0" u="none" strike="noStrike" kern="1200" baseline="0">
                      <a:solidFill>
                        <a:sysClr val="windowText" lastClr="000000"/>
                      </a:solidFill>
                      <a:latin typeface="Arial" pitchFamily="34" charset="0"/>
                      <a:ea typeface="+mn-ea"/>
                      <a:cs typeface="Arial" pitchFamily="34" charset="0"/>
                    </a:endParaRPr>
                  </a:p>
                </c:rich>
              </c:tx>
              <c:spPr>
                <a:scene3d>
                  <a:camera prst="orthographicFront"/>
                  <a:lightRig rig="threePt" dir="t"/>
                </a:scene3d>
                <a:sp3d>
                  <a:bevelT/>
                </a:sp3d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13F3-4966-9AC7-7D36FBD2A39C}"/>
                </c:ext>
              </c:extLst>
            </c:dLbl>
            <c:dLbl>
              <c:idx val="3"/>
              <c:layout>
                <c:manualLayout>
                  <c:x val="5.5554662810006501E-3"/>
                  <c:y val="4.6292650918636005E-3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solidFill>
                          <a:sysClr val="windowText" lastClr="000000"/>
                        </a:solidFill>
                      </a:rPr>
                      <a:t>175,241</a:t>
                    </a:r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13F3-4966-9AC7-7D36FBD2A39C}"/>
                </c:ext>
              </c:extLst>
            </c:dLbl>
            <c:dLbl>
              <c:idx val="4"/>
              <c:layout>
                <c:manualLayout>
                  <c:x val="-8.3454741873402515E-4"/>
                  <c:y val="-3.861219719378995E-2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solidFill>
                          <a:sysClr val="windowText" lastClr="000000"/>
                        </a:solidFill>
                      </a:rPr>
                      <a:t>165,793</a:t>
                    </a:r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13F3-4966-9AC7-7D36FBD2A39C}"/>
                </c:ext>
              </c:extLst>
            </c:dLbl>
            <c:dLbl>
              <c:idx val="5"/>
              <c:layout>
                <c:manualLayout>
                  <c:x val="0"/>
                  <c:y val="2.040295842897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F3-4966-9AC7-7D36FBD2A39C}"/>
                </c:ext>
              </c:extLst>
            </c:dLbl>
            <c:dLbl>
              <c:idx val="9"/>
              <c:layout>
                <c:manualLayout>
                  <c:x val="0"/>
                  <c:y val="-5.10073960724305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3F3-4966-9AC7-7D36FBD2A39C}"/>
                </c:ext>
              </c:extLst>
            </c:dLbl>
            <c:dLbl>
              <c:idx val="10"/>
              <c:layout>
                <c:manualLayout>
                  <c:x val="0"/>
                  <c:y val="-1.020147921448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3F3-4966-9AC7-7D36FBD2A39C}"/>
                </c:ext>
              </c:extLst>
            </c:dLbl>
            <c:dLbl>
              <c:idx val="11"/>
              <c:layout>
                <c:manualLayout>
                  <c:x val="0"/>
                  <c:y val="-2.040295842897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3F3-4966-9AC7-7D36FBD2A39C}"/>
                </c:ext>
              </c:extLst>
            </c:dLbl>
            <c:dLbl>
              <c:idx val="12"/>
              <c:layout>
                <c:manualLayout>
                  <c:x val="0"/>
                  <c:y val="-2.040295842897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3F3-4966-9AC7-7D36FBD2A39C}"/>
                </c:ext>
              </c:extLst>
            </c:dLbl>
            <c:dLbl>
              <c:idx val="13"/>
              <c:layout>
                <c:manualLayout>
                  <c:x val="0"/>
                  <c:y val="-2.040295842897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3F3-4966-9AC7-7D36FBD2A39C}"/>
                </c:ext>
              </c:extLst>
            </c:dLbl>
            <c:dLbl>
              <c:idx val="14"/>
              <c:layout>
                <c:manualLayout>
                  <c:x val="0"/>
                  <c:y val="-1.020147921448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3F3-4966-9AC7-7D36FBD2A39C}"/>
                </c:ext>
              </c:extLst>
            </c:dLbl>
            <c:dLbl>
              <c:idx val="15"/>
              <c:layout>
                <c:manualLayout>
                  <c:x val="0"/>
                  <c:y val="-1.020147921448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3F3-4966-9AC7-7D36FBD2A39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3F3-4966-9AC7-7D36FBD2A39C}"/>
                </c:ext>
              </c:extLst>
            </c:dLbl>
            <c:spPr>
              <a:scene3d>
                <a:camera prst="orthographicFront"/>
                <a:lightRig rig="threePt" dir="t"/>
              </a:scene3d>
              <a:sp3d>
                <a:bevelT/>
              </a:sp3d>
            </c:spPr>
            <c:txPr>
              <a:bodyPr/>
              <a:lstStyle/>
              <a:p>
                <a:pPr>
                  <a:defRPr lang="ru-RU" sz="800" b="1">
                    <a:solidFill>
                      <a:sysClr val="windowText" lastClr="000000"/>
                    </a:solidFill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PL!$B$2:$Q$2</c:f>
              <c:numCache>
                <c:formatCode>General</c:formatCod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PL!$B$6:$Q$6</c:f>
              <c:numCache>
                <c:formatCode>#,##0</c:formatCode>
                <c:ptCount val="16"/>
                <c:pt idx="0">
                  <c:v>93540</c:v>
                </c:pt>
                <c:pt idx="1">
                  <c:v>122720</c:v>
                </c:pt>
                <c:pt idx="2">
                  <c:v>74235</c:v>
                </c:pt>
                <c:pt idx="3">
                  <c:v>175240</c:v>
                </c:pt>
                <c:pt idx="4">
                  <c:v>165793</c:v>
                </c:pt>
                <c:pt idx="5">
                  <c:v>184112.34970816696</c:v>
                </c:pt>
                <c:pt idx="6">
                  <c:v>214935.45988046331</c:v>
                </c:pt>
                <c:pt idx="7">
                  <c:v>286720.0965422705</c:v>
                </c:pt>
                <c:pt idx="8">
                  <c:v>365762.0691850282</c:v>
                </c:pt>
                <c:pt idx="9">
                  <c:v>414283.97964417131</c:v>
                </c:pt>
                <c:pt idx="10">
                  <c:v>469632.46360265452</c:v>
                </c:pt>
                <c:pt idx="11">
                  <c:v>532478.08200490766</c:v>
                </c:pt>
                <c:pt idx="12">
                  <c:v>603928.38007726171</c:v>
                </c:pt>
                <c:pt idx="13">
                  <c:v>685345.09736836527</c:v>
                </c:pt>
                <c:pt idx="14">
                  <c:v>777712.83720306773</c:v>
                </c:pt>
                <c:pt idx="15">
                  <c:v>883589.61938773829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3F3-4966-9AC7-7D36FBD2A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310592"/>
        <c:axId val="225312128"/>
      </c:barChart>
      <c:catAx>
        <c:axId val="22531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ru-RU" sz="800"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25312128"/>
        <c:crosses val="autoZero"/>
        <c:auto val="1"/>
        <c:lblAlgn val="ctr"/>
        <c:lblOffset val="100"/>
        <c:noMultiLvlLbl val="0"/>
      </c:catAx>
      <c:valAx>
        <c:axId val="2253121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ru-RU"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2531059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1166" l="0.70000000000000062" r="0.70000000000000062" t="0.750000000000011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ru-RU">
                <a:latin typeface="Arial" pitchFamily="34" charset="0"/>
                <a:cs typeface="Arial" pitchFamily="34" charset="0"/>
              </a:defRPr>
            </a:pPr>
            <a:r>
              <a:rPr lang="en-US">
                <a:latin typeface="Arial" pitchFamily="34" charset="0"/>
                <a:cs typeface="Arial" pitchFamily="34" charset="0"/>
              </a:rPr>
              <a:t>EBITDA </a:t>
            </a:r>
            <a:r>
              <a:rPr lang="en-US" sz="1200">
                <a:latin typeface="Arial" pitchFamily="34" charset="0"/>
                <a:cs typeface="Arial" pitchFamily="34" charset="0"/>
              </a:rPr>
              <a:t>(UZS Millions)</a:t>
            </a:r>
          </a:p>
        </c:rich>
      </c:tx>
      <c:layout>
        <c:manualLayout>
          <c:xMode val="edge"/>
          <c:yMode val="edge"/>
          <c:x val="2.3590332458442689E-2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055096237970255"/>
          <c:y val="0.22546296296296556"/>
          <c:w val="0.82889348206475233"/>
          <c:h val="0.621227034120735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Pt>
            <c:idx val="4"/>
            <c:invertIfNegative val="0"/>
            <c:bubble3D val="0"/>
            <c:spPr>
              <a:solidFill>
                <a:schemeClr val="accent1"/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D051-4681-99C0-F1B14B9648F0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D051-4681-99C0-F1B14B9648F0}"/>
              </c:ext>
            </c:extLst>
          </c:dPt>
          <c:dLbls>
            <c:numFmt formatCode="#,##0_);\(#,##0\)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PL!$B$2:$Q$2</c:f>
              <c:numCache>
                <c:formatCode>General</c:formatCod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PL!$B$20:$Q$20</c:f>
              <c:numCache>
                <c:formatCode>#,##0</c:formatCode>
                <c:ptCount val="16"/>
                <c:pt idx="0">
                  <c:v>3880</c:v>
                </c:pt>
                <c:pt idx="1">
                  <c:v>41026.016000000003</c:v>
                </c:pt>
                <c:pt idx="2">
                  <c:v>4962</c:v>
                </c:pt>
                <c:pt idx="3">
                  <c:v>17488.019796232016</c:v>
                </c:pt>
                <c:pt idx="4">
                  <c:v>14599.244999999999</c:v>
                </c:pt>
                <c:pt idx="5">
                  <c:v>18602.817637371139</c:v>
                </c:pt>
                <c:pt idx="6">
                  <c:v>16773.168671911277</c:v>
                </c:pt>
                <c:pt idx="7">
                  <c:v>31251.445628243382</c:v>
                </c:pt>
                <c:pt idx="8">
                  <c:v>48408.69585875723</c:v>
                </c:pt>
                <c:pt idx="9">
                  <c:v>54422.1240623876</c:v>
                </c:pt>
                <c:pt idx="10">
                  <c:v>60970.207696552105</c:v>
                </c:pt>
                <c:pt idx="11">
                  <c:v>67724.489867077165</c:v>
                </c:pt>
                <c:pt idx="12">
                  <c:v>74607.074299694621</c:v>
                </c:pt>
                <c:pt idx="13">
                  <c:v>81553.985717666597</c:v>
                </c:pt>
                <c:pt idx="14">
                  <c:v>87893.945125689439</c:v>
                </c:pt>
                <c:pt idx="15">
                  <c:v>94208.405581004874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51-4681-99C0-F1B14B964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541568"/>
        <c:axId val="226543104"/>
      </c:barChart>
      <c:catAx>
        <c:axId val="22654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ru-RU" sz="800"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26543104"/>
        <c:crosses val="autoZero"/>
        <c:auto val="1"/>
        <c:lblAlgn val="ctr"/>
        <c:lblOffset val="100"/>
        <c:noMultiLvlLbl val="0"/>
      </c:catAx>
      <c:valAx>
        <c:axId val="2265431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ru-RU"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2654156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1166" l="0.70000000000000062" r="0.70000000000000062" t="0.750000000000011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Geography of Exports</a:t>
            </a:r>
          </a:p>
          <a:p>
            <a:pPr>
              <a:defRPr sz="1600"/>
            </a:pPr>
            <a:r>
              <a:rPr lang="en-US" sz="1600"/>
              <a:t>Mln. USD</a:t>
            </a:r>
          </a:p>
        </c:rich>
      </c:tx>
      <c:overlay val="1"/>
    </c:title>
    <c:autoTitleDeleted val="0"/>
    <c:view3D>
      <c:rotX val="20"/>
      <c:rotY val="4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0104253623380015E-2"/>
          <c:y val="0.16263881522581697"/>
          <c:w val="0.85996109375649465"/>
          <c:h val="0.551832238586756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'break down export'!$A$27:$A$31</c:f>
              <c:strCache>
                <c:ptCount val="1"/>
                <c:pt idx="0">
                  <c:v>CENTRAL ASIA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numRef>
              <c:f>'break down export'!$BJ$2:$BZ$2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export'!$BJ$31:$BZ$31</c:f>
              <c:numCache>
                <c:formatCode>General</c:formatCode>
                <c:ptCount val="17"/>
                <c:pt idx="0">
                  <c:v>2.1719916499999998</c:v>
                </c:pt>
                <c:pt idx="1">
                  <c:v>4.6656485700000001</c:v>
                </c:pt>
                <c:pt idx="2">
                  <c:v>7.2198965000000008</c:v>
                </c:pt>
                <c:pt idx="3">
                  <c:v>5.6495740999999988</c:v>
                </c:pt>
                <c:pt idx="4">
                  <c:v>3.1779120000000001</c:v>
                </c:pt>
                <c:pt idx="5">
                  <c:v>7.028684000000001</c:v>
                </c:pt>
                <c:pt idx="6">
                  <c:v>7.7331770000000004</c:v>
                </c:pt>
                <c:pt idx="7">
                  <c:v>8.8215280000000007</c:v>
                </c:pt>
                <c:pt idx="8">
                  <c:v>7.7060710000000006</c:v>
                </c:pt>
                <c:pt idx="9">
                  <c:v>6.377243</c:v>
                </c:pt>
                <c:pt idx="10">
                  <c:v>6.5636229999999998</c:v>
                </c:pt>
                <c:pt idx="11">
                  <c:v>6.7607569999999999</c:v>
                </c:pt>
                <c:pt idx="12">
                  <c:v>6.9677609999999994</c:v>
                </c:pt>
                <c:pt idx="13">
                  <c:v>7.1749860000000005</c:v>
                </c:pt>
                <c:pt idx="14">
                  <c:v>7.3852599999999997</c:v>
                </c:pt>
                <c:pt idx="15">
                  <c:v>7.6133300000000004</c:v>
                </c:pt>
                <c:pt idx="16">
                  <c:v>7.8444490000000009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B-4D05-8816-9ACE3A5D58ED}"/>
            </c:ext>
          </c:extLst>
        </c:ser>
        <c:ser>
          <c:idx val="1"/>
          <c:order val="1"/>
          <c:tx>
            <c:strRef>
              <c:f>'break down export'!$A$32:$A$36</c:f>
              <c:strCache>
                <c:ptCount val="1"/>
                <c:pt idx="0">
                  <c:v>UKRAINE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'break down export'!$BJ$2:$BZ$2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export'!$BJ$36:$BZ$36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2.8145477999999997</c:v>
                </c:pt>
                <c:pt idx="3">
                  <c:v>1.6430498</c:v>
                </c:pt>
                <c:pt idx="4">
                  <c:v>3.8220399999999999</c:v>
                </c:pt>
                <c:pt idx="5">
                  <c:v>9.3033920000000006</c:v>
                </c:pt>
                <c:pt idx="6">
                  <c:v>10.3306</c:v>
                </c:pt>
                <c:pt idx="7">
                  <c:v>11.765072</c:v>
                </c:pt>
                <c:pt idx="8">
                  <c:v>10.261539000000001</c:v>
                </c:pt>
                <c:pt idx="9">
                  <c:v>8.4756479999999996</c:v>
                </c:pt>
                <c:pt idx="10">
                  <c:v>8.7405120000000007</c:v>
                </c:pt>
                <c:pt idx="11">
                  <c:v>9.005376</c:v>
                </c:pt>
                <c:pt idx="12">
                  <c:v>9.2702399999999994</c:v>
                </c:pt>
                <c:pt idx="13">
                  <c:v>9.5351040000000005</c:v>
                </c:pt>
                <c:pt idx="14">
                  <c:v>9.8330760000000001</c:v>
                </c:pt>
                <c:pt idx="15">
                  <c:v>10.131048</c:v>
                </c:pt>
                <c:pt idx="16">
                  <c:v>10.42902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B-4D05-8816-9ACE3A5D58ED}"/>
            </c:ext>
          </c:extLst>
        </c:ser>
        <c:ser>
          <c:idx val="2"/>
          <c:order val="2"/>
          <c:tx>
            <c:strRef>
              <c:f>'break down export'!$A$87:$A$91</c:f>
              <c:strCache>
                <c:ptCount val="1"/>
                <c:pt idx="0">
                  <c:v>EASTERN EUROPE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cat>
            <c:numRef>
              <c:f>'break down export'!$BJ$2:$BZ$2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export'!$BJ$91:$BZ$91</c:f>
              <c:numCache>
                <c:formatCode>General</c:formatCode>
                <c:ptCount val="17"/>
                <c:pt idx="0">
                  <c:v>0</c:v>
                </c:pt>
                <c:pt idx="1">
                  <c:v>9.6103205999999997</c:v>
                </c:pt>
                <c:pt idx="2">
                  <c:v>28.664549580000003</c:v>
                </c:pt>
                <c:pt idx="3">
                  <c:v>2.6791571499999995</c:v>
                </c:pt>
                <c:pt idx="4">
                  <c:v>21.086040300000001</c:v>
                </c:pt>
                <c:pt idx="5">
                  <c:v>21.896457150000003</c:v>
                </c:pt>
                <c:pt idx="6">
                  <c:v>22.370675000000002</c:v>
                </c:pt>
                <c:pt idx="7">
                  <c:v>25.485427999999999</c:v>
                </c:pt>
                <c:pt idx="8">
                  <c:v>22.248875000000002</c:v>
                </c:pt>
                <c:pt idx="9">
                  <c:v>18.404938000000001</c:v>
                </c:pt>
                <c:pt idx="10">
                  <c:v>18.966512000000002</c:v>
                </c:pt>
                <c:pt idx="11">
                  <c:v>19.528086000000002</c:v>
                </c:pt>
                <c:pt idx="12">
                  <c:v>20.116019999999999</c:v>
                </c:pt>
                <c:pt idx="13">
                  <c:v>20.713744999999999</c:v>
                </c:pt>
                <c:pt idx="14">
                  <c:v>21.344386</c:v>
                </c:pt>
                <c:pt idx="15">
                  <c:v>21.984818000000001</c:v>
                </c:pt>
                <c:pt idx="16">
                  <c:v>22.645585000000001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B-4D05-8816-9ACE3A5D58ED}"/>
            </c:ext>
          </c:extLst>
        </c:ser>
        <c:ser>
          <c:idx val="3"/>
          <c:order val="3"/>
          <c:tx>
            <c:strRef>
              <c:f>'break down export'!$A$105:$A$109</c:f>
              <c:strCache>
                <c:ptCount val="1"/>
                <c:pt idx="0">
                  <c:v>BALTIC COUNTRIES</c:v>
                </c:pt>
              </c:strCache>
            </c:strRef>
          </c:tx>
          <c:spPr>
            <a:solidFill>
              <a:srgbClr val="3333FF"/>
            </a:solidFill>
          </c:spPr>
          <c:invertIfNegative val="0"/>
          <c:cat>
            <c:numRef>
              <c:f>'break down export'!$BJ$2:$BZ$2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export'!$BJ$109:$BZ$109</c:f>
              <c:numCache>
                <c:formatCode>General</c:formatCode>
                <c:ptCount val="17"/>
                <c:pt idx="0">
                  <c:v>0</c:v>
                </c:pt>
                <c:pt idx="1">
                  <c:v>0.1089575</c:v>
                </c:pt>
                <c:pt idx="2">
                  <c:v>4.0801789000000008</c:v>
                </c:pt>
                <c:pt idx="3">
                  <c:v>0</c:v>
                </c:pt>
                <c:pt idx="4">
                  <c:v>1.8798914999999998</c:v>
                </c:pt>
                <c:pt idx="5">
                  <c:v>0.61225459999999998</c:v>
                </c:pt>
                <c:pt idx="6">
                  <c:v>1.26</c:v>
                </c:pt>
                <c:pt idx="7">
                  <c:v>1.4366939999999999</c:v>
                </c:pt>
                <c:pt idx="8">
                  <c:v>1.2545980000000001</c:v>
                </c:pt>
                <c:pt idx="9">
                  <c:v>1.0373399999999999</c:v>
                </c:pt>
                <c:pt idx="10">
                  <c:v>1.06898</c:v>
                </c:pt>
                <c:pt idx="11">
                  <c:v>1.1006199999999999</c:v>
                </c:pt>
                <c:pt idx="12">
                  <c:v>1.13452</c:v>
                </c:pt>
                <c:pt idx="13">
                  <c:v>1.16842</c:v>
                </c:pt>
                <c:pt idx="14">
                  <c:v>1.20458</c:v>
                </c:pt>
                <c:pt idx="15">
                  <c:v>1.24074</c:v>
                </c:pt>
                <c:pt idx="16">
                  <c:v>1.2768999999999999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6B-4D05-8816-9ACE3A5D58ED}"/>
            </c:ext>
          </c:extLst>
        </c:ser>
        <c:ser>
          <c:idx val="4"/>
          <c:order val="4"/>
          <c:tx>
            <c:strRef>
              <c:f>'break down export'!$A$122:$A$125</c:f>
              <c:strCache>
                <c:ptCount val="1"/>
                <c:pt idx="0">
                  <c:v>SOUTH ASIA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'break down export'!$BJ$2:$BZ$2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export'!$BJ$125:$BZ$125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0.73696114999999995</c:v>
                </c:pt>
                <c:pt idx="4">
                  <c:v>6.4557839999999995</c:v>
                </c:pt>
                <c:pt idx="5">
                  <c:v>1.4478900000000001</c:v>
                </c:pt>
                <c:pt idx="6">
                  <c:v>1.2450000000000001</c:v>
                </c:pt>
                <c:pt idx="7">
                  <c:v>1.4167860000000001</c:v>
                </c:pt>
                <c:pt idx="8">
                  <c:v>1.2377199999999999</c:v>
                </c:pt>
                <c:pt idx="9">
                  <c:v>1.0237799999999999</c:v>
                </c:pt>
                <c:pt idx="10">
                  <c:v>1.05542</c:v>
                </c:pt>
                <c:pt idx="11">
                  <c:v>1.0870599999999999</c:v>
                </c:pt>
                <c:pt idx="12">
                  <c:v>1.1187</c:v>
                </c:pt>
                <c:pt idx="13">
                  <c:v>1.1526000000000001</c:v>
                </c:pt>
                <c:pt idx="14">
                  <c:v>1.1865000000000001</c:v>
                </c:pt>
                <c:pt idx="15">
                  <c:v>1.2226600000000001</c:v>
                </c:pt>
                <c:pt idx="16">
                  <c:v>1.2588200000000001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6B-4D05-8816-9ACE3A5D58ED}"/>
            </c:ext>
          </c:extLst>
        </c:ser>
        <c:ser>
          <c:idx val="5"/>
          <c:order val="5"/>
          <c:tx>
            <c:strRef>
              <c:f>'break down export'!$A$130:$A$133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rgbClr val="BE12A5"/>
            </a:solidFill>
          </c:spPr>
          <c:invertIfNegative val="0"/>
          <c:cat>
            <c:numRef>
              <c:f>'break down export'!$BJ$2:$BZ$2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export'!$BJ$133:$BZ$133</c:f>
              <c:numCache>
                <c:formatCode>General</c:formatCode>
                <c:ptCount val="17"/>
                <c:pt idx="0">
                  <c:v>1.6425082249999998</c:v>
                </c:pt>
                <c:pt idx="1">
                  <c:v>0.36318209999999995</c:v>
                </c:pt>
                <c:pt idx="2">
                  <c:v>1.2796362000000001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6B-4D05-8816-9ACE3A5D58ED}"/>
            </c:ext>
          </c:extLst>
        </c:ser>
        <c:ser>
          <c:idx val="6"/>
          <c:order val="6"/>
          <c:tx>
            <c:strRef>
              <c:f>'break down export'!$A$155:$A$160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00FFFF"/>
            </a:solidFill>
          </c:spPr>
          <c:invertIfNegative val="0"/>
          <c:cat>
            <c:numRef>
              <c:f>'break down export'!$BJ$2:$BZ$2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export'!$BJ$160:$BZ$160</c:f>
              <c:numCache>
                <c:formatCode>General</c:formatCode>
                <c:ptCount val="17"/>
                <c:pt idx="0">
                  <c:v>0</c:v>
                </c:pt>
                <c:pt idx="1">
                  <c:v>7.5887185000000006</c:v>
                </c:pt>
                <c:pt idx="2">
                  <c:v>4.3022222000000001</c:v>
                </c:pt>
                <c:pt idx="3">
                  <c:v>0.16014600000000001</c:v>
                </c:pt>
                <c:pt idx="4">
                  <c:v>2.9023105999999999</c:v>
                </c:pt>
                <c:pt idx="5">
                  <c:v>0</c:v>
                </c:pt>
                <c:pt idx="6">
                  <c:v>3.5605480000000003</c:v>
                </c:pt>
                <c:pt idx="7">
                  <c:v>4.0602239999999998</c:v>
                </c:pt>
                <c:pt idx="8">
                  <c:v>3.547129</c:v>
                </c:pt>
                <c:pt idx="9">
                  <c:v>2.93445</c:v>
                </c:pt>
                <c:pt idx="10">
                  <c:v>3.025744</c:v>
                </c:pt>
                <c:pt idx="11">
                  <c:v>3.117038</c:v>
                </c:pt>
                <c:pt idx="12">
                  <c:v>3.208332</c:v>
                </c:pt>
                <c:pt idx="13">
                  <c:v>3.3061470000000002</c:v>
                </c:pt>
                <c:pt idx="14">
                  <c:v>3.4039619999999999</c:v>
                </c:pt>
                <c:pt idx="15">
                  <c:v>3.5082979999999999</c:v>
                </c:pt>
                <c:pt idx="16">
                  <c:v>3.6126339999999999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6B-4D05-8816-9ACE3A5D58ED}"/>
            </c:ext>
          </c:extLst>
        </c:ser>
        <c:ser>
          <c:idx val="7"/>
          <c:order val="7"/>
          <c:tx>
            <c:v>NPK UKRAINE</c:v>
          </c:tx>
          <c:invertIfNegative val="0"/>
          <c:cat>
            <c:numRef>
              <c:f>'break down export'!$BJ$2:$BZ$2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export'!$BJ$326:$BZ$326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6.7092999999999998</c:v>
                </c:pt>
                <c:pt idx="9">
                  <c:v>13.8132</c:v>
                </c:pt>
                <c:pt idx="10">
                  <c:v>14.2094</c:v>
                </c:pt>
                <c:pt idx="11">
                  <c:v>14.6426</c:v>
                </c:pt>
                <c:pt idx="12">
                  <c:v>15.075799999999999</c:v>
                </c:pt>
                <c:pt idx="13">
                  <c:v>15.513999999999999</c:v>
                </c:pt>
                <c:pt idx="14">
                  <c:v>15.985799999999999</c:v>
                </c:pt>
                <c:pt idx="15">
                  <c:v>16.460999999999999</c:v>
                </c:pt>
                <c:pt idx="16">
                  <c:v>16.937799999999999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6B-4D05-8816-9ACE3A5D58ED}"/>
            </c:ext>
          </c:extLst>
        </c:ser>
        <c:ser>
          <c:idx val="8"/>
          <c:order val="8"/>
          <c:tx>
            <c:v>NPK CHINA</c:v>
          </c:tx>
          <c:invertIfNegative val="0"/>
          <c:cat>
            <c:numRef>
              <c:f>'break down export'!$BJ$2:$BZ$2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export'!$BJ$327:$BZ$327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2.7888000000000002</c:v>
                </c:pt>
                <c:pt idx="9">
                  <c:v>5.7455999999999996</c:v>
                </c:pt>
                <c:pt idx="10">
                  <c:v>5.9135999999999997</c:v>
                </c:pt>
                <c:pt idx="11">
                  <c:v>6.0983999999999998</c:v>
                </c:pt>
                <c:pt idx="12">
                  <c:v>6.2831999999999999</c:v>
                </c:pt>
                <c:pt idx="13">
                  <c:v>6.468</c:v>
                </c:pt>
                <c:pt idx="14">
                  <c:v>6.6696</c:v>
                </c:pt>
                <c:pt idx="15">
                  <c:v>6.8712</c:v>
                </c:pt>
                <c:pt idx="16">
                  <c:v>7.0728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6B-4D05-8816-9ACE3A5D58ED}"/>
            </c:ext>
          </c:extLst>
        </c:ser>
        <c:ser>
          <c:idx val="9"/>
          <c:order val="9"/>
          <c:tx>
            <c:v>NPK THAILAND</c:v>
          </c:tx>
          <c:invertIfNegative val="0"/>
          <c:cat>
            <c:numRef>
              <c:f>'break down export'!$BJ$2:$BZ$2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export'!$BJ$328:$BZ$328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5.5233499999999998</c:v>
                </c:pt>
                <c:pt idx="9">
                  <c:v>11.367749999999999</c:v>
                </c:pt>
                <c:pt idx="10">
                  <c:v>11.688800000000001</c:v>
                </c:pt>
                <c:pt idx="11">
                  <c:v>12.0387</c:v>
                </c:pt>
                <c:pt idx="12">
                  <c:v>12.3916</c:v>
                </c:pt>
                <c:pt idx="13">
                  <c:v>12.74535</c:v>
                </c:pt>
                <c:pt idx="14">
                  <c:v>13.1271</c:v>
                </c:pt>
                <c:pt idx="15">
                  <c:v>13.512700000000001</c:v>
                </c:pt>
                <c:pt idx="16">
                  <c:v>13.898300000000001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6B-4D05-8816-9ACE3A5D58ED}"/>
            </c:ext>
          </c:extLst>
        </c:ser>
        <c:ser>
          <c:idx val="10"/>
          <c:order val="10"/>
          <c:tx>
            <c:v>NPK MALAYSIA</c:v>
          </c:tx>
          <c:invertIfNegative val="0"/>
          <c:cat>
            <c:numRef>
              <c:f>'break down export'!$BJ$2:$BZ$2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export'!$BJ$329:$BZ$329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0.38639999999999997</c:v>
                </c:pt>
                <c:pt idx="9">
                  <c:v>0.79519999999999991</c:v>
                </c:pt>
                <c:pt idx="10">
                  <c:v>0.81759999999999988</c:v>
                </c:pt>
                <c:pt idx="11">
                  <c:v>0.84223999999999988</c:v>
                </c:pt>
                <c:pt idx="12">
                  <c:v>0.86687999999999976</c:v>
                </c:pt>
                <c:pt idx="13">
                  <c:v>0.89151999999999976</c:v>
                </c:pt>
                <c:pt idx="14">
                  <c:v>0.91839999999999977</c:v>
                </c:pt>
                <c:pt idx="15">
                  <c:v>0.94527999999999979</c:v>
                </c:pt>
                <c:pt idx="16">
                  <c:v>0.9721599999999998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6B-4D05-8816-9ACE3A5D58ED}"/>
            </c:ext>
          </c:extLst>
        </c:ser>
        <c:ser>
          <c:idx val="11"/>
          <c:order val="11"/>
          <c:tx>
            <c:v>NPK VIETNAM</c:v>
          </c:tx>
          <c:invertIfNegative val="0"/>
          <c:cat>
            <c:numRef>
              <c:f>'break down export'!$BJ$2:$BZ$2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export'!$BJ$330:$BZ$330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0.97440000000000004</c:v>
                </c:pt>
                <c:pt idx="9">
                  <c:v>2.0047999999999999</c:v>
                </c:pt>
                <c:pt idx="10">
                  <c:v>2.0608</c:v>
                </c:pt>
                <c:pt idx="11">
                  <c:v>2.1223999999999998</c:v>
                </c:pt>
                <c:pt idx="12">
                  <c:v>2.1840000000000002</c:v>
                </c:pt>
                <c:pt idx="13">
                  <c:v>2.2456</c:v>
                </c:pt>
                <c:pt idx="14">
                  <c:v>2.3128000000000002</c:v>
                </c:pt>
                <c:pt idx="15">
                  <c:v>2.38</c:v>
                </c:pt>
                <c:pt idx="16">
                  <c:v>2.4472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46B-4D05-8816-9ACE3A5D58ED}"/>
            </c:ext>
          </c:extLst>
        </c:ser>
        <c:ser>
          <c:idx val="12"/>
          <c:order val="12"/>
          <c:tx>
            <c:v>NPK INDIA</c:v>
          </c:tx>
          <c:invertIfNegative val="0"/>
          <c:cat>
            <c:numRef>
              <c:f>'break down export'!$BJ$2:$BZ$2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export'!$BJ$332:$BZ$332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5.2459680000000004</c:v>
                </c:pt>
                <c:pt idx="9">
                  <c:v>10.80456</c:v>
                </c:pt>
                <c:pt idx="10">
                  <c:v>11.117184</c:v>
                </c:pt>
                <c:pt idx="11">
                  <c:v>11.457888000000001</c:v>
                </c:pt>
                <c:pt idx="12">
                  <c:v>11.798591999999999</c:v>
                </c:pt>
                <c:pt idx="13">
                  <c:v>12.149903999999999</c:v>
                </c:pt>
                <c:pt idx="14">
                  <c:v>12.518687999999999</c:v>
                </c:pt>
                <c:pt idx="15">
                  <c:v>12.89808</c:v>
                </c:pt>
                <c:pt idx="16">
                  <c:v>13.277471999999999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46B-4D05-8816-9ACE3A5D58ED}"/>
            </c:ext>
          </c:extLst>
        </c:ser>
        <c:ser>
          <c:idx val="13"/>
          <c:order val="13"/>
          <c:tx>
            <c:v>NPK PAKISTAN</c:v>
          </c:tx>
          <c:invertIfNegative val="0"/>
          <c:cat>
            <c:numRef>
              <c:f>'break down export'!$BJ$2:$BZ$2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export'!$BJ$333:$BZ$333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0.34020000000000006</c:v>
                </c:pt>
                <c:pt idx="9">
                  <c:v>0.69984000000000002</c:v>
                </c:pt>
                <c:pt idx="10">
                  <c:v>0.72143999999999997</c:v>
                </c:pt>
                <c:pt idx="11">
                  <c:v>0.74304000000000014</c:v>
                </c:pt>
                <c:pt idx="12">
                  <c:v>0.7646400000000001</c:v>
                </c:pt>
                <c:pt idx="13">
                  <c:v>0.7884000000000001</c:v>
                </c:pt>
                <c:pt idx="14">
                  <c:v>0.8121600000000001</c:v>
                </c:pt>
                <c:pt idx="15">
                  <c:v>0.83592000000000011</c:v>
                </c:pt>
                <c:pt idx="16">
                  <c:v>0.86184000000000005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46B-4D05-8816-9ACE3A5D58ED}"/>
            </c:ext>
          </c:extLst>
        </c:ser>
        <c:ser>
          <c:idx val="14"/>
          <c:order val="14"/>
          <c:tx>
            <c:v>NPK LITHUANIA</c:v>
          </c:tx>
          <c:invertIfNegative val="0"/>
          <c:cat>
            <c:numRef>
              <c:f>'break down export'!$BJ$2:$BZ$2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export'!$BJ$335:$BZ$335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2.3166250000000002</c:v>
                </c:pt>
                <c:pt idx="9">
                  <c:v>4.7786999999999997</c:v>
                </c:pt>
                <c:pt idx="10">
                  <c:v>4.9269499999999997</c:v>
                </c:pt>
                <c:pt idx="11">
                  <c:v>5.0760500000000004</c:v>
                </c:pt>
                <c:pt idx="12">
                  <c:v>5.2281500000000003</c:v>
                </c:pt>
                <c:pt idx="13">
                  <c:v>5.3910999999999998</c:v>
                </c:pt>
                <c:pt idx="14">
                  <c:v>5.5540500000000002</c:v>
                </c:pt>
                <c:pt idx="15">
                  <c:v>5.7280499999999996</c:v>
                </c:pt>
                <c:pt idx="16">
                  <c:v>5.9048499999999997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46B-4D05-8816-9ACE3A5D58ED}"/>
            </c:ext>
          </c:extLst>
        </c:ser>
        <c:ser>
          <c:idx val="15"/>
          <c:order val="15"/>
          <c:tx>
            <c:v>NPK LATVIA</c:v>
          </c:tx>
          <c:invertIfNegative val="0"/>
          <c:cat>
            <c:numRef>
              <c:f>'break down export'!$BJ$2:$BZ$2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export'!$BJ$336:$BZ$336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1.1119250000000001</c:v>
                </c:pt>
                <c:pt idx="9">
                  <c:v>2.2909000000000002</c:v>
                </c:pt>
                <c:pt idx="10">
                  <c:v>2.3579500000000002</c:v>
                </c:pt>
                <c:pt idx="11">
                  <c:v>2.4314499999999999</c:v>
                </c:pt>
                <c:pt idx="12">
                  <c:v>2.50495</c:v>
                </c:pt>
                <c:pt idx="13">
                  <c:v>2.5792999999999999</c:v>
                </c:pt>
                <c:pt idx="14">
                  <c:v>2.6592500000000001</c:v>
                </c:pt>
                <c:pt idx="15">
                  <c:v>2.7400500000000001</c:v>
                </c:pt>
                <c:pt idx="16">
                  <c:v>2.8208500000000001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46B-4D05-8816-9ACE3A5D58ED}"/>
            </c:ext>
          </c:extLst>
        </c:ser>
        <c:ser>
          <c:idx val="17"/>
          <c:order val="16"/>
          <c:tx>
            <c:v>NPK EASTERN EUROPE</c:v>
          </c:tx>
          <c:invertIfNegative val="0"/>
          <c:cat>
            <c:numRef>
              <c:f>'break down export'!$BJ$2:$BZ$2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export'!$BJ$338:$BZ$338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2.4348200000000002</c:v>
                </c:pt>
                <c:pt idx="9">
                  <c:v>5.0105899999999997</c:v>
                </c:pt>
                <c:pt idx="10">
                  <c:v>5.1611399999999996</c:v>
                </c:pt>
                <c:pt idx="11">
                  <c:v>5.3159000000000001</c:v>
                </c:pt>
                <c:pt idx="12">
                  <c:v>5.4706599999999996</c:v>
                </c:pt>
                <c:pt idx="13">
                  <c:v>5.6367700000000003</c:v>
                </c:pt>
                <c:pt idx="14">
                  <c:v>5.8062399999999998</c:v>
                </c:pt>
                <c:pt idx="15">
                  <c:v>5.9774600000000007</c:v>
                </c:pt>
                <c:pt idx="16">
                  <c:v>6.1582800000000013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46B-4D05-8816-9ACE3A5D58ED}"/>
            </c:ext>
          </c:extLst>
        </c:ser>
        <c:ser>
          <c:idx val="18"/>
          <c:order val="17"/>
          <c:tx>
            <c:v>CENTRAL &amp; WESTERN EUROPE</c:v>
          </c:tx>
          <c:invertIfNegative val="0"/>
          <c:cat>
            <c:numRef>
              <c:f>'break down export'!$BJ$2:$BZ$2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export'!$BJ$339:$BZ$339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0.16065000000000004</c:v>
                </c:pt>
                <c:pt idx="9">
                  <c:v>0.33120000000000005</c:v>
                </c:pt>
                <c:pt idx="10">
                  <c:v>0.34110000000000007</c:v>
                </c:pt>
                <c:pt idx="11">
                  <c:v>0.35100000000000003</c:v>
                </c:pt>
                <c:pt idx="12">
                  <c:v>0.36090000000000005</c:v>
                </c:pt>
                <c:pt idx="13">
                  <c:v>0.37170000000000009</c:v>
                </c:pt>
                <c:pt idx="14">
                  <c:v>0.38250000000000006</c:v>
                </c:pt>
                <c:pt idx="15">
                  <c:v>0.39420000000000005</c:v>
                </c:pt>
                <c:pt idx="16">
                  <c:v>0.40590000000000004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46B-4D05-8816-9ACE3A5D5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26638848"/>
        <c:axId val="226648832"/>
        <c:axId val="0"/>
      </c:bar3DChart>
      <c:catAx>
        <c:axId val="226638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26648832"/>
        <c:crossesAt val="0"/>
        <c:auto val="1"/>
        <c:lblAlgn val="ctr"/>
        <c:lblOffset val="100"/>
        <c:noMultiLvlLbl val="0"/>
      </c:catAx>
      <c:valAx>
        <c:axId val="226648832"/>
        <c:scaling>
          <c:orientation val="minMax"/>
          <c:min val="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26638848"/>
        <c:crosses val="autoZero"/>
        <c:crossBetween val="between"/>
        <c:majorUnit val="10"/>
        <c:minorUnit val="1"/>
      </c:valAx>
    </c:plotArea>
    <c:legend>
      <c:legendPos val="b"/>
      <c:layout>
        <c:manualLayout>
          <c:xMode val="edge"/>
          <c:yMode val="edge"/>
          <c:x val="2.9456701429299861E-2"/>
          <c:y val="0.80482912433873222"/>
          <c:w val="0.80275786009444583"/>
          <c:h val="0.16543418888054814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199" l="0.70000000000000062" r="0.70000000000000062" t="0.7500000000000119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Ammount</a:t>
            </a:r>
            <a:r>
              <a:rPr lang="en-US" baseline="0"/>
              <a:t> of Products Exported</a:t>
            </a:r>
          </a:p>
          <a:p>
            <a:pPr>
              <a:defRPr/>
            </a:pPr>
            <a:r>
              <a:rPr lang="en-US" baseline="0"/>
              <a:t>Natural tons</a:t>
            </a:r>
            <a:endParaRPr lang="ru-RU"/>
          </a:p>
        </c:rich>
      </c:tx>
      <c:overlay val="0"/>
    </c:title>
    <c:autoTitleDeleted val="0"/>
    <c:view3D>
      <c:rotX val="5"/>
      <c:rotY val="30"/>
      <c:depthPercent val="100"/>
      <c:rAngAx val="1"/>
    </c:view3D>
    <c:floor>
      <c:thickness val="0"/>
    </c:floor>
    <c:sideWall>
      <c:thickness val="0"/>
      <c:spPr>
        <a:noFill/>
        <a:ln>
          <a:noFill/>
        </a:ln>
      </c:spPr>
    </c:sideWall>
    <c:backWall>
      <c:thickness val="0"/>
      <c:spPr>
        <a:noFill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Ammofos</c:v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numRef>
              <c:f>'break down export'!$CB$2:$CR$2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export'!$CB$163:$CR$163</c:f>
              <c:numCache>
                <c:formatCode>General</c:formatCode>
                <c:ptCount val="17"/>
                <c:pt idx="0">
                  <c:v>0</c:v>
                </c:pt>
                <c:pt idx="1">
                  <c:v>71666.049999999988</c:v>
                </c:pt>
                <c:pt idx="2">
                  <c:v>53415.7</c:v>
                </c:pt>
                <c:pt idx="3">
                  <c:v>20187.75</c:v>
                </c:pt>
                <c:pt idx="4">
                  <c:v>88933.400000000009</c:v>
                </c:pt>
                <c:pt idx="5">
                  <c:v>65897.049999999988</c:v>
                </c:pt>
                <c:pt idx="6">
                  <c:v>65000</c:v>
                </c:pt>
                <c:pt idx="7">
                  <c:v>71885</c:v>
                </c:pt>
                <c:pt idx="8">
                  <c:v>60935</c:v>
                </c:pt>
                <c:pt idx="9">
                  <c:v>48956</c:v>
                </c:pt>
                <c:pt idx="10">
                  <c:v>48956</c:v>
                </c:pt>
                <c:pt idx="11">
                  <c:v>48956</c:v>
                </c:pt>
                <c:pt idx="12">
                  <c:v>48956</c:v>
                </c:pt>
                <c:pt idx="13">
                  <c:v>48956</c:v>
                </c:pt>
                <c:pt idx="14">
                  <c:v>48956</c:v>
                </c:pt>
                <c:pt idx="15">
                  <c:v>48956</c:v>
                </c:pt>
                <c:pt idx="16">
                  <c:v>48956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7-4DDF-AE55-3BCEA90B6D99}"/>
            </c:ext>
          </c:extLst>
        </c:ser>
        <c:ser>
          <c:idx val="1"/>
          <c:order val="1"/>
          <c:tx>
            <c:v>Ammofos (Tolling)</c:v>
          </c:tx>
          <c:spPr>
            <a:solidFill>
              <a:srgbClr val="FFC000"/>
            </a:solidFill>
            <a:ln>
              <a:noFill/>
            </a:ln>
          </c:spPr>
          <c:invertIfNegative val="0"/>
          <c:cat>
            <c:numRef>
              <c:f>'break down export'!$CB$2:$CR$2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export'!$CB$164:$CR$164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28035.059999999998</c:v>
                </c:pt>
                <c:pt idx="3">
                  <c:v>2117.91</c:v>
                </c:pt>
                <c:pt idx="4">
                  <c:v>3084.2</c:v>
                </c:pt>
                <c:pt idx="5">
                  <c:v>7999.2000000000007</c:v>
                </c:pt>
                <c:pt idx="6">
                  <c:v>21740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7-4DDF-AE55-3BCEA90B6D99}"/>
            </c:ext>
          </c:extLst>
        </c:ser>
        <c:ser>
          <c:idx val="2"/>
          <c:order val="2"/>
          <c:tx>
            <c:v>Suprefos</c:v>
          </c:tx>
          <c:spPr>
            <a:solidFill>
              <a:srgbClr val="FF9999"/>
            </a:solidFill>
            <a:ln>
              <a:noFill/>
            </a:ln>
          </c:spPr>
          <c:invertIfNegative val="0"/>
          <c:cat>
            <c:numRef>
              <c:f>'break down export'!$CB$2:$CR$2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export'!$CB$165:$CR$165</c:f>
              <c:numCache>
                <c:formatCode>General</c:formatCode>
                <c:ptCount val="17"/>
                <c:pt idx="0">
                  <c:v>127</c:v>
                </c:pt>
                <c:pt idx="1">
                  <c:v>27980.74</c:v>
                </c:pt>
                <c:pt idx="2">
                  <c:v>43097.599999999999</c:v>
                </c:pt>
                <c:pt idx="3">
                  <c:v>23573</c:v>
                </c:pt>
                <c:pt idx="4">
                  <c:v>39543.300000000003</c:v>
                </c:pt>
                <c:pt idx="5">
                  <c:v>60336.000000000007</c:v>
                </c:pt>
                <c:pt idx="6">
                  <c:v>80000</c:v>
                </c:pt>
                <c:pt idx="7">
                  <c:v>88473</c:v>
                </c:pt>
                <c:pt idx="8">
                  <c:v>74998</c:v>
                </c:pt>
                <c:pt idx="9">
                  <c:v>60251</c:v>
                </c:pt>
                <c:pt idx="10">
                  <c:v>60251</c:v>
                </c:pt>
                <c:pt idx="11">
                  <c:v>60251</c:v>
                </c:pt>
                <c:pt idx="12">
                  <c:v>60251</c:v>
                </c:pt>
                <c:pt idx="13">
                  <c:v>60251</c:v>
                </c:pt>
                <c:pt idx="14">
                  <c:v>60251</c:v>
                </c:pt>
                <c:pt idx="15">
                  <c:v>60251</c:v>
                </c:pt>
                <c:pt idx="16">
                  <c:v>60251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47-4DDF-AE55-3BCEA90B6D99}"/>
            </c:ext>
          </c:extLst>
        </c:ser>
        <c:ser>
          <c:idx val="3"/>
          <c:order val="3"/>
          <c:tx>
            <c:v>ASP</c:v>
          </c:tx>
          <c:spPr>
            <a:solidFill>
              <a:srgbClr val="CC9900"/>
            </a:solidFill>
            <a:ln>
              <a:noFill/>
            </a:ln>
          </c:spPr>
          <c:invertIfNegative val="0"/>
          <c:cat>
            <c:numRef>
              <c:f>'break down export'!$CB$2:$CR$2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export'!$CB$166:$CR$166</c:f>
              <c:numCache>
                <c:formatCode>General</c:formatCode>
                <c:ptCount val="17"/>
                <c:pt idx="0">
                  <c:v>33086.160000000003</c:v>
                </c:pt>
                <c:pt idx="1">
                  <c:v>14856.849999999999</c:v>
                </c:pt>
                <c:pt idx="2">
                  <c:v>7108</c:v>
                </c:pt>
                <c:pt idx="3">
                  <c:v>2000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47-4DDF-AE55-3BCEA90B6D99}"/>
            </c:ext>
          </c:extLst>
        </c:ser>
        <c:ser>
          <c:idx val="4"/>
          <c:order val="4"/>
          <c:tx>
            <c:v>MAP</c:v>
          </c:tx>
          <c:spPr>
            <a:solidFill>
              <a:srgbClr val="FFFF00"/>
            </a:solidFill>
            <a:ln>
              <a:noFill/>
            </a:ln>
          </c:spPr>
          <c:invertIfNegative val="0"/>
          <c:cat>
            <c:numRef>
              <c:f>'break down export'!$CB$2:$CR$2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export'!$CB$167:$CR$167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16260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47-4DDF-AE55-3BCEA90B6D99}"/>
            </c:ext>
          </c:extLst>
        </c:ser>
        <c:ser>
          <c:idx val="5"/>
          <c:order val="5"/>
          <c:tx>
            <c:strRef>
              <c:f>'break down export'!$B$305</c:f>
              <c:strCache>
                <c:ptCount val="1"/>
                <c:pt idx="0">
                  <c:v>NPK 15-15-15</c:v>
                </c:pt>
              </c:strCache>
            </c:strRef>
          </c:tx>
          <c:spPr>
            <a:gradFill>
              <a:gsLst>
                <a:gs pos="0">
                  <a:srgbClr val="CCCCFF"/>
                </a:gs>
                <a:gs pos="17999">
                  <a:srgbClr val="99CCFF"/>
                </a:gs>
                <a:gs pos="36000">
                  <a:srgbClr val="9966FF"/>
                </a:gs>
                <a:gs pos="61000">
                  <a:srgbClr val="CC99FF"/>
                </a:gs>
                <a:gs pos="82001">
                  <a:srgbClr val="99CCFF"/>
                </a:gs>
                <a:gs pos="100000">
                  <a:srgbClr val="CCCCFF"/>
                </a:gs>
              </a:gsLst>
              <a:lin ang="0" scaled="0"/>
            </a:gradFill>
            <a:ln>
              <a:noFill/>
            </a:ln>
          </c:spPr>
          <c:invertIfNegative val="0"/>
          <c:cat>
            <c:numRef>
              <c:f>'break down export'!$CB$2:$CR$2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export'!$CB$305:$CR$305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8000.0000000000009</c:v>
                </c:pt>
                <c:pt idx="9">
                  <c:v>16000.000000000002</c:v>
                </c:pt>
                <c:pt idx="10">
                  <c:v>16000.000000000002</c:v>
                </c:pt>
                <c:pt idx="11">
                  <c:v>16000.000000000002</c:v>
                </c:pt>
                <c:pt idx="12">
                  <c:v>16000.000000000002</c:v>
                </c:pt>
                <c:pt idx="13">
                  <c:v>16000.000000000002</c:v>
                </c:pt>
                <c:pt idx="14">
                  <c:v>16000.000000000002</c:v>
                </c:pt>
                <c:pt idx="15">
                  <c:v>16000.000000000002</c:v>
                </c:pt>
                <c:pt idx="16">
                  <c:v>16000.000000000002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47-4DDF-AE55-3BCEA90B6D99}"/>
            </c:ext>
          </c:extLst>
        </c:ser>
        <c:ser>
          <c:idx val="6"/>
          <c:order val="6"/>
          <c:tx>
            <c:strRef>
              <c:f>'break down export'!$B$306</c:f>
              <c:strCache>
                <c:ptCount val="1"/>
                <c:pt idx="0">
                  <c:v>NPK 16-16-16</c:v>
                </c:pt>
              </c:strCache>
            </c:strRef>
          </c:tx>
          <c:spPr>
            <a:blipFill>
              <a:blip xmlns:r="http://schemas.openxmlformats.org/officeDocument/2006/relationships" r:embed="rId1"/>
              <a:tile tx="0" ty="0" sx="100000" sy="100000" flip="none" algn="tl"/>
            </a:blipFill>
            <a:ln>
              <a:noFill/>
            </a:ln>
          </c:spPr>
          <c:invertIfNegative val="0"/>
          <c:cat>
            <c:numRef>
              <c:f>'break down export'!$CB$2:$CR$2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export'!$CB$306:$CR$306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56000</c:v>
                </c:pt>
                <c:pt idx="9">
                  <c:v>112000</c:v>
                </c:pt>
                <c:pt idx="10">
                  <c:v>112000</c:v>
                </c:pt>
                <c:pt idx="11">
                  <c:v>112000</c:v>
                </c:pt>
                <c:pt idx="12">
                  <c:v>112000</c:v>
                </c:pt>
                <c:pt idx="13">
                  <c:v>112000</c:v>
                </c:pt>
                <c:pt idx="14">
                  <c:v>112000</c:v>
                </c:pt>
                <c:pt idx="15">
                  <c:v>112000</c:v>
                </c:pt>
                <c:pt idx="16">
                  <c:v>112000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47-4DDF-AE55-3BCEA90B6D99}"/>
            </c:ext>
          </c:extLst>
        </c:ser>
        <c:ser>
          <c:idx val="7"/>
          <c:order val="7"/>
          <c:tx>
            <c:strRef>
              <c:f>'break down export'!$B$307</c:f>
              <c:strCache>
                <c:ptCount val="1"/>
                <c:pt idx="0">
                  <c:v>NPK 10-26-26</c:v>
                </c:pt>
              </c:strCache>
            </c:strRef>
          </c:tx>
          <c:spPr>
            <a:blipFill>
              <a:blip xmlns:r="http://schemas.openxmlformats.org/officeDocument/2006/relationships" r:embed="rId2"/>
              <a:tile tx="0" ty="0" sx="100000" sy="100000" flip="none" algn="tl"/>
            </a:blipFill>
            <a:ln>
              <a:noFill/>
            </a:ln>
          </c:spPr>
          <c:invertIfNegative val="0"/>
          <c:cat>
            <c:numRef>
              <c:f>'break down export'!$CB$2:$CR$2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export'!$CB$307:$CR$307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8500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17000</c:v>
                </c:pt>
                <c:pt idx="16">
                  <c:v>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47-4DDF-AE55-3BCEA90B6D99}"/>
            </c:ext>
          </c:extLst>
        </c:ser>
        <c:ser>
          <c:idx val="8"/>
          <c:order val="8"/>
          <c:tx>
            <c:strRef>
              <c:f>'break down export'!$B$308</c:f>
              <c:strCache>
                <c:ptCount val="1"/>
                <c:pt idx="0">
                  <c:v>NPK 10-20-20</c:v>
                </c:pt>
              </c:strCache>
            </c:strRef>
          </c:tx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>
              <a:noFill/>
            </a:ln>
          </c:spPr>
          <c:invertIfNegative val="0"/>
          <c:cat>
            <c:numRef>
              <c:f>'break down export'!$CB$2:$CR$2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export'!$CB$308:$CR$308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4500.0000000000009</c:v>
                </c:pt>
                <c:pt idx="9">
                  <c:v>9000.0000000000018</c:v>
                </c:pt>
                <c:pt idx="10">
                  <c:v>9000.0000000000018</c:v>
                </c:pt>
                <c:pt idx="11">
                  <c:v>9000.0000000000018</c:v>
                </c:pt>
                <c:pt idx="12">
                  <c:v>9000.0000000000018</c:v>
                </c:pt>
                <c:pt idx="13">
                  <c:v>9000.0000000000018</c:v>
                </c:pt>
                <c:pt idx="14">
                  <c:v>9000.0000000000018</c:v>
                </c:pt>
                <c:pt idx="15">
                  <c:v>9000.0000000000018</c:v>
                </c:pt>
                <c:pt idx="16">
                  <c:v>9000.0000000000018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47-4DDF-AE55-3BCEA90B6D99}"/>
            </c:ext>
          </c:extLst>
        </c:ser>
        <c:ser>
          <c:idx val="9"/>
          <c:order val="9"/>
          <c:tx>
            <c:strRef>
              <c:f>'break down export'!$B$309</c:f>
              <c:strCache>
                <c:ptCount val="1"/>
                <c:pt idx="0">
                  <c:v>NPK 13-13-21</c:v>
                </c:pt>
              </c:strCache>
            </c:strRef>
          </c:tx>
          <c:invertIfNegative val="0"/>
          <c:cat>
            <c:numRef>
              <c:f>'break down export'!$CB$2:$CR$2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export'!$CB$309:$CR$309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47-4DDF-AE55-3BCEA90B6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226693888"/>
        <c:axId val="226695424"/>
        <c:axId val="0"/>
      </c:bar3DChart>
      <c:catAx>
        <c:axId val="22669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26695424"/>
        <c:crosses val="autoZero"/>
        <c:auto val="1"/>
        <c:lblAlgn val="ctr"/>
        <c:lblOffset val="100"/>
        <c:noMultiLvlLbl val="0"/>
      </c:catAx>
      <c:valAx>
        <c:axId val="226695424"/>
        <c:scaling>
          <c:orientation val="minMax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2669388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050" b="1"/>
          </a:pPr>
          <a:endParaRPr lang="en-US"/>
        </a:p>
      </c:txPr>
    </c:legend>
    <c:plotVisOnly val="1"/>
    <c:dispBlanksAs val="gap"/>
    <c:showDLblsOverMax val="0"/>
  </c:chart>
  <c:spPr>
    <a:scene3d>
      <a:camera prst="orthographicFront"/>
      <a:lightRig rig="threePt" dir="t"/>
    </a:scene3d>
    <a:sp3d prstMaterial="plastic"/>
  </c:spPr>
  <c:printSettings>
    <c:headerFooter/>
    <c:pageMargins b="0.75000000000000921" l="0.70000000000000062" r="0.70000000000000062" t="0.7500000000000092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ebitda/headcount</c:v>
          </c:tx>
          <c:marker>
            <c:symbol val="none"/>
          </c:marker>
          <c:cat>
            <c:numRef>
              <c:f>Payroll!$B$3:$Q$3</c:f>
              <c:numCache>
                <c:formatCode>General</c:formatCod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Payroll!$B$16:$Q$16</c:f>
              <c:numCache>
                <c:formatCode>0.00</c:formatCode>
                <c:ptCount val="16"/>
                <c:pt idx="0">
                  <c:v>1.3020134228187918</c:v>
                </c:pt>
                <c:pt idx="1">
                  <c:v>13.725666109066578</c:v>
                </c:pt>
                <c:pt idx="2">
                  <c:v>1.6883293637291596</c:v>
                </c:pt>
                <c:pt idx="3">
                  <c:v>5.8566710637079762</c:v>
                </c:pt>
                <c:pt idx="4">
                  <c:v>5.0674227698715724</c:v>
                </c:pt>
                <c:pt idx="5">
                  <c:v>6.2720221299295815</c:v>
                </c:pt>
                <c:pt idx="6">
                  <c:v>5.666611037807864</c:v>
                </c:pt>
                <c:pt idx="7">
                  <c:v>10.557920820352495</c:v>
                </c:pt>
                <c:pt idx="8">
                  <c:v>16.354289141472037</c:v>
                </c:pt>
                <c:pt idx="9">
                  <c:v>18.385852723779596</c:v>
                </c:pt>
                <c:pt idx="10">
                  <c:v>20.598043140727061</c:v>
                </c:pt>
                <c:pt idx="11">
                  <c:v>22.879895225363907</c:v>
                </c:pt>
                <c:pt idx="12">
                  <c:v>25.205092668815752</c:v>
                </c:pt>
                <c:pt idx="13">
                  <c:v>27.55202220191439</c:v>
                </c:pt>
                <c:pt idx="14">
                  <c:v>29.693900380300487</c:v>
                </c:pt>
                <c:pt idx="15">
                  <c:v>31.827164047636781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6-4CF7-8AE3-6B6FB885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707712"/>
        <c:axId val="226729984"/>
      </c:lineChart>
      <c:catAx>
        <c:axId val="22670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6729984"/>
        <c:crosses val="autoZero"/>
        <c:auto val="1"/>
        <c:lblAlgn val="ctr"/>
        <c:lblOffset val="100"/>
        <c:noMultiLvlLbl val="0"/>
      </c:catAx>
      <c:valAx>
        <c:axId val="2267299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26707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304800</xdr:colOff>
      <xdr:row>17</xdr:row>
      <xdr:rowOff>142875</xdr:rowOff>
    </xdr:to>
    <xdr:graphicFrame macro="">
      <xdr:nvGraphicFramePr>
        <xdr:cNvPr id="3" name="1 Gráfico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685799</xdr:colOff>
      <xdr:row>19</xdr:row>
      <xdr:rowOff>0</xdr:rowOff>
    </xdr:from>
    <xdr:to>
      <xdr:col>11</xdr:col>
      <xdr:colOff>142874</xdr:colOff>
      <xdr:row>34</xdr:row>
      <xdr:rowOff>9525</xdr:rowOff>
    </xdr:to>
    <xdr:graphicFrame macro="">
      <xdr:nvGraphicFramePr>
        <xdr:cNvPr id="5" name="1 Gráfico">
          <a:extLst>
            <a:ext uri="{FF2B5EF4-FFF2-40B4-BE49-F238E27FC236}">
              <a16:creationId xmlns:a16="http://schemas.microsoft.com/office/drawing/2014/main" id="{00000000-0008-0000-1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46</xdr:row>
      <xdr:rowOff>0</xdr:rowOff>
    </xdr:from>
    <xdr:to>
      <xdr:col>14</xdr:col>
      <xdr:colOff>311805</xdr:colOff>
      <xdr:row>69</xdr:row>
      <xdr:rowOff>95250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1B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15</xdr:col>
      <xdr:colOff>67237</xdr:colOff>
      <xdr:row>101</xdr:row>
      <xdr:rowOff>137273</xdr:rowOff>
    </xdr:to>
    <xdr:graphicFrame macro="">
      <xdr:nvGraphicFramePr>
        <xdr:cNvPr id="8" name="Диаграмма 2">
          <a:extLst>
            <a:ext uri="{FF2B5EF4-FFF2-40B4-BE49-F238E27FC236}">
              <a16:creationId xmlns:a16="http://schemas.microsoft.com/office/drawing/2014/main" id="{00000000-0008-0000-1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219075</xdr:colOff>
      <xdr:row>105</xdr:row>
      <xdr:rowOff>133350</xdr:rowOff>
    </xdr:from>
    <xdr:to>
      <xdr:col>13</xdr:col>
      <xdr:colOff>285750</xdr:colOff>
      <xdr:row>121</xdr:row>
      <xdr:rowOff>133350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lian/AppData/Local/Temp/controllo%20di%20gestione/simulazione%20production%20cos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"/>
      <sheetName val="ammophos"/>
      <sheetName val="suprephos msk"/>
      <sheetName val="ASP MTK"/>
      <sheetName val="ASP MKFK"/>
      <sheetName val="AS"/>
      <sheetName val="sulfuric acid"/>
      <sheetName val="reused water"/>
      <sheetName val="ind.water"/>
      <sheetName val="steam"/>
      <sheetName val="summary raw mat"/>
      <sheetName val="antimonopol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3">
          <cell r="G13">
            <v>446763.03</v>
          </cell>
          <cell r="P13">
            <v>25834</v>
          </cell>
        </row>
        <row r="14">
          <cell r="P14">
            <v>37079</v>
          </cell>
        </row>
      </sheetData>
      <sheetData sheetId="1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workbookViewId="0">
      <selection activeCell="A5" sqref="A5"/>
    </sheetView>
  </sheetViews>
  <sheetFormatPr defaultRowHeight="15.75" x14ac:dyDescent="0.25"/>
  <cols>
    <col min="1" max="1" width="34.125" customWidth="1"/>
    <col min="2" max="2" width="11.625" customWidth="1"/>
    <col min="3" max="3" width="9.125" bestFit="1" customWidth="1"/>
    <col min="4" max="5" width="9.375" bestFit="1" customWidth="1"/>
    <col min="6" max="6" width="10.5" bestFit="1" customWidth="1"/>
    <col min="7" max="8" width="9.375" bestFit="1" customWidth="1"/>
    <col min="9" max="19" width="10.375" bestFit="1" customWidth="1"/>
  </cols>
  <sheetData>
    <row r="1" spans="1:19" ht="16.5" thickBot="1" x14ac:dyDescent="0.3">
      <c r="A1" s="5"/>
      <c r="B1" s="5"/>
      <c r="C1" s="469"/>
      <c r="D1" s="470"/>
      <c r="E1" s="470"/>
      <c r="F1" s="470"/>
      <c r="G1" s="471"/>
      <c r="H1" s="471"/>
      <c r="I1" s="471"/>
      <c r="J1" s="471"/>
      <c r="K1" s="471"/>
      <c r="L1" s="471"/>
      <c r="M1" s="471"/>
      <c r="N1" s="471"/>
      <c r="O1" s="471"/>
      <c r="P1" s="471"/>
      <c r="Q1" s="471"/>
      <c r="R1" s="471"/>
      <c r="S1" s="471"/>
    </row>
    <row r="2" spans="1:19" ht="18.75" thickBot="1" x14ac:dyDescent="0.3">
      <c r="A2" s="217" t="s">
        <v>431</v>
      </c>
      <c r="B2" s="302"/>
      <c r="C2" s="218">
        <v>2007</v>
      </c>
      <c r="D2" s="218">
        <v>2008</v>
      </c>
      <c r="E2" s="218">
        <v>2009</v>
      </c>
      <c r="F2" s="218">
        <v>2010</v>
      </c>
      <c r="G2" s="218">
        <v>2011</v>
      </c>
      <c r="H2" s="218">
        <v>2012</v>
      </c>
      <c r="I2" s="218">
        <v>2013</v>
      </c>
      <c r="J2" s="218">
        <v>2014</v>
      </c>
      <c r="K2" s="218">
        <v>2015</v>
      </c>
      <c r="L2" s="218">
        <v>2016</v>
      </c>
      <c r="M2" s="218">
        <v>2017</v>
      </c>
      <c r="N2" s="218">
        <v>2018</v>
      </c>
      <c r="O2" s="218">
        <v>2019</v>
      </c>
      <c r="P2" s="218">
        <v>2020</v>
      </c>
      <c r="Q2" s="218">
        <v>2021</v>
      </c>
      <c r="R2" s="218">
        <v>2022</v>
      </c>
      <c r="S2" s="218">
        <v>2023</v>
      </c>
    </row>
    <row r="3" spans="1:19" s="142" customFormat="1" ht="15" customHeight="1" x14ac:dyDescent="0.25">
      <c r="A3" s="208" t="s">
        <v>383</v>
      </c>
      <c r="B3" s="209"/>
      <c r="C3" s="210"/>
      <c r="E3" s="473">
        <v>7.0000000000000007E-2</v>
      </c>
      <c r="F3" s="473">
        <v>7.0000000000000007E-2</v>
      </c>
      <c r="G3" s="474">
        <v>7.0000000000000007E-2</v>
      </c>
      <c r="H3" s="473">
        <v>7.2499999999999995E-2</v>
      </c>
      <c r="I3" s="473">
        <v>7.4999999999999997E-2</v>
      </c>
      <c r="J3" s="473">
        <v>7.7499999999999999E-2</v>
      </c>
      <c r="K3" s="473">
        <v>0.08</v>
      </c>
      <c r="L3" s="473">
        <v>8.2500000000000004E-2</v>
      </c>
      <c r="M3" s="473">
        <v>8.5000000000000006E-2</v>
      </c>
      <c r="N3" s="473">
        <v>8.7499999999999994E-2</v>
      </c>
      <c r="O3" s="473">
        <v>0.09</v>
      </c>
      <c r="P3" s="473">
        <v>0.09</v>
      </c>
      <c r="Q3" s="473">
        <v>0.09</v>
      </c>
      <c r="R3" s="473">
        <v>0.09</v>
      </c>
      <c r="S3" s="473">
        <v>0.09</v>
      </c>
    </row>
    <row r="4" spans="1:19" s="478" customFormat="1" ht="15" customHeight="1" x14ac:dyDescent="0.25">
      <c r="A4" s="475" t="s">
        <v>384</v>
      </c>
      <c r="B4" s="476"/>
      <c r="C4" s="477"/>
      <c r="E4" s="481">
        <v>0.18</v>
      </c>
      <c r="F4" s="481">
        <v>0.18</v>
      </c>
      <c r="G4" s="481">
        <v>0.18</v>
      </c>
      <c r="H4" s="481">
        <v>0.18</v>
      </c>
      <c r="I4" s="481">
        <v>0.18</v>
      </c>
      <c r="J4" s="481">
        <v>0.18</v>
      </c>
      <c r="K4" s="481">
        <v>0.18</v>
      </c>
      <c r="L4" s="481">
        <v>0.18</v>
      </c>
      <c r="M4" s="481">
        <v>0.18</v>
      </c>
      <c r="N4" s="481">
        <v>0.18</v>
      </c>
      <c r="O4" s="481">
        <v>0.18</v>
      </c>
      <c r="P4" s="481">
        <v>0.18</v>
      </c>
      <c r="Q4" s="481">
        <v>0.18</v>
      </c>
      <c r="R4" s="481">
        <v>0.18</v>
      </c>
      <c r="S4" s="481">
        <v>0.18</v>
      </c>
    </row>
    <row r="5" spans="1:19" x14ac:dyDescent="0.25">
      <c r="A5" s="211" t="s">
        <v>385</v>
      </c>
      <c r="B5" s="195"/>
      <c r="C5" s="503"/>
      <c r="D5" s="503"/>
      <c r="E5" s="503"/>
      <c r="F5" s="503"/>
      <c r="G5" s="436">
        <v>6.5000000000000002E-2</v>
      </c>
      <c r="H5" s="436">
        <v>6.5000000000000002E-2</v>
      </c>
      <c r="I5" s="436">
        <v>6.8000000000000005E-2</v>
      </c>
      <c r="J5" s="436">
        <v>6.8000000000000005E-2</v>
      </c>
      <c r="K5" s="436">
        <v>6.8000000000000005E-2</v>
      </c>
      <c r="L5" s="436">
        <v>6.8000000000000005E-2</v>
      </c>
      <c r="M5" s="436">
        <v>6.8000000000000005E-2</v>
      </c>
      <c r="N5" s="436">
        <v>6.8000000000000005E-2</v>
      </c>
      <c r="O5" s="436">
        <v>6.8000000000000005E-2</v>
      </c>
      <c r="P5" s="436">
        <v>6.8000000000000005E-2</v>
      </c>
      <c r="Q5" s="436">
        <v>6.8000000000000005E-2</v>
      </c>
      <c r="R5" s="436">
        <v>6.8000000000000005E-2</v>
      </c>
      <c r="S5" s="436">
        <v>6.8000000000000005E-2</v>
      </c>
    </row>
    <row r="6" spans="1:19" x14ac:dyDescent="0.25">
      <c r="A6" s="211" t="s">
        <v>386</v>
      </c>
      <c r="B6" s="195"/>
      <c r="C6" s="504">
        <v>1263.5</v>
      </c>
      <c r="D6" s="484">
        <v>1319.6</v>
      </c>
      <c r="E6" s="484">
        <v>1465.6</v>
      </c>
      <c r="F6" s="484">
        <v>1587.5</v>
      </c>
      <c r="G6" s="471">
        <v>1714</v>
      </c>
      <c r="H6" s="471">
        <v>1890</v>
      </c>
      <c r="I6" s="471">
        <f t="shared" ref="I6:O6" si="0">H6*(1+10%)</f>
        <v>2079</v>
      </c>
      <c r="J6" s="471">
        <f t="shared" si="0"/>
        <v>2286.9</v>
      </c>
      <c r="K6" s="471">
        <f t="shared" si="0"/>
        <v>2515.59</v>
      </c>
      <c r="L6" s="471">
        <f t="shared" si="0"/>
        <v>2767.1490000000003</v>
      </c>
      <c r="M6" s="471">
        <f t="shared" si="0"/>
        <v>3043.8639000000007</v>
      </c>
      <c r="N6" s="471">
        <f t="shared" si="0"/>
        <v>3348.2502900000009</v>
      </c>
      <c r="O6" s="471">
        <f t="shared" si="0"/>
        <v>3683.0753190000014</v>
      </c>
      <c r="P6" s="471">
        <f t="shared" ref="P6" si="1">O6*(1+10%)</f>
        <v>4051.3828509000018</v>
      </c>
      <c r="Q6" s="471">
        <f t="shared" ref="Q6" si="2">P6*(1+10%)</f>
        <v>4456.5211359900022</v>
      </c>
      <c r="R6" s="471">
        <f t="shared" ref="R6" si="3">Q6*(1+10%)</f>
        <v>4902.1732495890028</v>
      </c>
      <c r="S6" s="471">
        <f t="shared" ref="S6" si="4">R6*(1+10%)</f>
        <v>5392.3905745479033</v>
      </c>
    </row>
    <row r="7" spans="1:19" x14ac:dyDescent="0.25">
      <c r="A7" s="211" t="s">
        <v>381</v>
      </c>
      <c r="B7" s="195"/>
      <c r="C7" s="195"/>
      <c r="D7" s="213">
        <v>0</v>
      </c>
      <c r="E7" s="213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</row>
    <row r="8" spans="1:19" x14ac:dyDescent="0.25">
      <c r="A8" s="211" t="s">
        <v>387</v>
      </c>
      <c r="B8" s="195"/>
      <c r="C8" s="491">
        <v>0.123</v>
      </c>
      <c r="D8" s="491">
        <v>0.127</v>
      </c>
      <c r="E8" s="491">
        <v>0.14000000000000001</v>
      </c>
      <c r="F8" s="491">
        <v>9.4E-2</v>
      </c>
      <c r="G8" s="491">
        <v>0.128</v>
      </c>
      <c r="H8" s="491">
        <v>0.12271</v>
      </c>
      <c r="I8" s="491">
        <v>0.109</v>
      </c>
      <c r="J8" s="491">
        <v>0.11</v>
      </c>
      <c r="K8" s="491">
        <v>0.11</v>
      </c>
      <c r="L8" s="491">
        <v>0.11</v>
      </c>
      <c r="M8" s="491">
        <v>0.11</v>
      </c>
      <c r="N8" s="491">
        <v>0.11</v>
      </c>
      <c r="O8" s="491">
        <v>0.11</v>
      </c>
      <c r="P8" s="491">
        <v>0.11</v>
      </c>
      <c r="Q8" s="491">
        <v>0.11</v>
      </c>
      <c r="R8" s="491">
        <v>0.11</v>
      </c>
      <c r="S8" s="491">
        <v>0.11</v>
      </c>
    </row>
    <row r="9" spans="1:19" x14ac:dyDescent="0.25">
      <c r="A9" s="211" t="s">
        <v>615</v>
      </c>
      <c r="B9" s="195"/>
      <c r="C9" s="195"/>
      <c r="D9" s="195"/>
      <c r="E9" s="212">
        <v>0.15</v>
      </c>
      <c r="F9" s="212">
        <v>0.19</v>
      </c>
      <c r="G9" s="734">
        <v>0.31</v>
      </c>
      <c r="H9" s="212">
        <v>0.2</v>
      </c>
      <c r="I9" s="212">
        <v>0.22</v>
      </c>
      <c r="J9" s="212">
        <f t="shared" ref="J9:O9" si="5">+I9</f>
        <v>0.22</v>
      </c>
      <c r="K9" s="212">
        <f t="shared" si="5"/>
        <v>0.22</v>
      </c>
      <c r="L9" s="212">
        <f t="shared" si="5"/>
        <v>0.22</v>
      </c>
      <c r="M9" s="212">
        <f t="shared" si="5"/>
        <v>0.22</v>
      </c>
      <c r="N9" s="212">
        <f t="shared" si="5"/>
        <v>0.22</v>
      </c>
      <c r="O9" s="212">
        <f t="shared" si="5"/>
        <v>0.22</v>
      </c>
      <c r="P9" s="212">
        <f t="shared" ref="P9" si="6">+O9</f>
        <v>0.22</v>
      </c>
      <c r="Q9" s="212">
        <f t="shared" ref="Q9" si="7">+P9</f>
        <v>0.22</v>
      </c>
      <c r="R9" s="212">
        <f t="shared" ref="R9" si="8">+Q9</f>
        <v>0.22</v>
      </c>
      <c r="S9" s="212">
        <f t="shared" ref="S9" si="9">+R9</f>
        <v>0.22</v>
      </c>
    </row>
    <row r="10" spans="1:19" ht="17.25" thickBot="1" x14ac:dyDescent="0.35">
      <c r="A10" s="215" t="s">
        <v>388</v>
      </c>
      <c r="B10" s="216"/>
      <c r="C10" s="703">
        <v>117.82599999999999</v>
      </c>
      <c r="D10" s="703">
        <v>119.23099999999999</v>
      </c>
      <c r="E10" s="703">
        <v>120.691</v>
      </c>
      <c r="F10" s="704">
        <v>117.023</v>
      </c>
      <c r="G10" s="705">
        <v>113.706</v>
      </c>
      <c r="H10" s="299">
        <v>110</v>
      </c>
      <c r="I10" s="299">
        <v>120</v>
      </c>
      <c r="J10" s="299">
        <f>125-2.5</f>
        <v>122.5</v>
      </c>
      <c r="K10" s="299">
        <f>130-5</f>
        <v>125</v>
      </c>
      <c r="L10" s="299">
        <f t="shared" ref="L10:S10" si="10">130-5</f>
        <v>125</v>
      </c>
      <c r="M10" s="299">
        <f t="shared" si="10"/>
        <v>125</v>
      </c>
      <c r="N10" s="299">
        <f t="shared" si="10"/>
        <v>125</v>
      </c>
      <c r="O10" s="299">
        <f t="shared" si="10"/>
        <v>125</v>
      </c>
      <c r="P10" s="299">
        <f t="shared" si="10"/>
        <v>125</v>
      </c>
      <c r="Q10" s="299">
        <f t="shared" si="10"/>
        <v>125</v>
      </c>
      <c r="R10" s="299">
        <f t="shared" si="10"/>
        <v>125</v>
      </c>
      <c r="S10" s="299">
        <f t="shared" si="10"/>
        <v>125</v>
      </c>
    </row>
    <row r="11" spans="1:19" ht="16.5" thickBot="1" x14ac:dyDescent="0.3">
      <c r="A11" s="215"/>
      <c r="B11" s="195"/>
      <c r="C11" s="195"/>
      <c r="D11" s="502">
        <f t="shared" ref="D11:J11" si="11">D6/C6-1</f>
        <v>4.4400474871388873E-2</v>
      </c>
      <c r="E11" s="502">
        <f t="shared" si="11"/>
        <v>0.11063958775386484</v>
      </c>
      <c r="F11" s="502">
        <f t="shared" si="11"/>
        <v>8.3174126637554746E-2</v>
      </c>
      <c r="G11" s="502">
        <f t="shared" si="11"/>
        <v>7.9685039370078758E-2</v>
      </c>
      <c r="H11" s="502">
        <f t="shared" si="11"/>
        <v>0.10268378063010508</v>
      </c>
      <c r="I11" s="502">
        <f t="shared" si="11"/>
        <v>0.10000000000000009</v>
      </c>
      <c r="J11" s="502">
        <f t="shared" si="11"/>
        <v>0.10000000000000009</v>
      </c>
      <c r="K11" s="502">
        <f>K17/J17-1</f>
        <v>0.10000000000000009</v>
      </c>
      <c r="L11" s="502">
        <f>L17/K17-1</f>
        <v>0.10000000000000009</v>
      </c>
      <c r="M11" s="502">
        <f>M17/L17-1</f>
        <v>0.10000000000000009</v>
      </c>
      <c r="N11" s="502">
        <f>N17/M17-1</f>
        <v>0.10000000000000009</v>
      </c>
      <c r="O11" s="502">
        <f>O17/N17-1</f>
        <v>0.10000000000000009</v>
      </c>
      <c r="P11" s="502">
        <f t="shared" ref="P11:S11" si="12">P17/O17-1</f>
        <v>0.10000000000000009</v>
      </c>
      <c r="Q11" s="502">
        <f t="shared" si="12"/>
        <v>0.10000000000000009</v>
      </c>
      <c r="R11" s="502">
        <f t="shared" si="12"/>
        <v>0.10000000000000009</v>
      </c>
      <c r="S11" s="502">
        <f t="shared" si="12"/>
        <v>0.10000000000000009</v>
      </c>
    </row>
    <row r="12" spans="1:19" ht="16.5" thickBot="1" x14ac:dyDescent="0.3">
      <c r="A12" s="303" t="s">
        <v>435</v>
      </c>
      <c r="B12" s="5"/>
      <c r="F12" s="510">
        <f>(O17/F17)^(1/9)-1</f>
        <v>9.8021295078490223E-2</v>
      </c>
    </row>
    <row r="13" spans="1:19" s="207" customFormat="1" ht="37.5" customHeight="1" thickBot="1" x14ac:dyDescent="0.3">
      <c r="A13" s="217" t="s">
        <v>382</v>
      </c>
      <c r="B13" s="488" t="s">
        <v>433</v>
      </c>
      <c r="C13" s="218">
        <v>2007</v>
      </c>
      <c r="D13" s="218">
        <f>+PL!C2</f>
        <v>2008</v>
      </c>
      <c r="E13" s="218">
        <f>+PL!D2</f>
        <v>2009</v>
      </c>
      <c r="F13" s="218">
        <f>+PL!E2</f>
        <v>2010</v>
      </c>
      <c r="G13" s="218">
        <f>+PL!F2</f>
        <v>2011</v>
      </c>
      <c r="H13" s="218">
        <f>+PL!G2</f>
        <v>2012</v>
      </c>
      <c r="I13" s="218">
        <f>+PL!H2</f>
        <v>2013</v>
      </c>
      <c r="J13" s="218">
        <f>+PL!I2</f>
        <v>2014</v>
      </c>
      <c r="K13" s="218">
        <f>+PL!J2</f>
        <v>2015</v>
      </c>
      <c r="L13" s="218">
        <f>+PL!K2</f>
        <v>2016</v>
      </c>
      <c r="M13" s="218">
        <f>+PL!L2</f>
        <v>2017</v>
      </c>
      <c r="N13" s="218">
        <f>+PL!M2</f>
        <v>2018</v>
      </c>
      <c r="O13" s="218">
        <f>+PL!N2</f>
        <v>2019</v>
      </c>
      <c r="P13" s="218">
        <f>+PL!O2</f>
        <v>2020</v>
      </c>
      <c r="Q13" s="218">
        <f>+PL!P2</f>
        <v>2021</v>
      </c>
      <c r="R13" s="218">
        <f>+PL!Q2</f>
        <v>2022</v>
      </c>
      <c r="S13" s="218" t="e">
        <f>+PL!#REF!</f>
        <v>#REF!</v>
      </c>
    </row>
    <row r="14" spans="1:19" s="207" customFormat="1" ht="22.5" customHeight="1" x14ac:dyDescent="0.2">
      <c r="A14" s="208" t="s">
        <v>383</v>
      </c>
      <c r="B14" s="489">
        <v>0</v>
      </c>
      <c r="C14" s="466">
        <f t="shared" ref="C14:O14" si="13">(1+$B14)*C3</f>
        <v>0</v>
      </c>
      <c r="D14" s="466">
        <f t="shared" si="13"/>
        <v>0</v>
      </c>
      <c r="E14" s="482">
        <f t="shared" si="13"/>
        <v>7.0000000000000007E-2</v>
      </c>
      <c r="F14" s="482">
        <f t="shared" si="13"/>
        <v>7.0000000000000007E-2</v>
      </c>
      <c r="G14" s="482">
        <f t="shared" si="13"/>
        <v>7.0000000000000007E-2</v>
      </c>
      <c r="H14" s="482">
        <f t="shared" si="13"/>
        <v>7.2499999999999995E-2</v>
      </c>
      <c r="I14" s="482">
        <f t="shared" si="13"/>
        <v>7.4999999999999997E-2</v>
      </c>
      <c r="J14" s="482">
        <f t="shared" si="13"/>
        <v>7.7499999999999999E-2</v>
      </c>
      <c r="K14" s="482">
        <f t="shared" si="13"/>
        <v>0.08</v>
      </c>
      <c r="L14" s="482">
        <f t="shared" si="13"/>
        <v>8.2500000000000004E-2</v>
      </c>
      <c r="M14" s="482">
        <f t="shared" si="13"/>
        <v>8.5000000000000006E-2</v>
      </c>
      <c r="N14" s="482">
        <f t="shared" si="13"/>
        <v>8.7499999999999994E-2</v>
      </c>
      <c r="O14" s="482">
        <f t="shared" si="13"/>
        <v>0.09</v>
      </c>
      <c r="P14" s="482">
        <f t="shared" ref="P14:S14" si="14">(1+$B14)*P3</f>
        <v>0.09</v>
      </c>
      <c r="Q14" s="482">
        <f t="shared" si="14"/>
        <v>0.09</v>
      </c>
      <c r="R14" s="482">
        <f t="shared" si="14"/>
        <v>0.09</v>
      </c>
      <c r="S14" s="482">
        <f t="shared" si="14"/>
        <v>0.09</v>
      </c>
    </row>
    <row r="15" spans="1:19" s="207" customFormat="1" ht="22.5" customHeight="1" x14ac:dyDescent="0.2">
      <c r="A15" s="475" t="s">
        <v>384</v>
      </c>
      <c r="B15" s="486">
        <v>0</v>
      </c>
      <c r="C15" s="466">
        <f t="shared" ref="C15:O15" si="15">(1+$B15)*C4</f>
        <v>0</v>
      </c>
      <c r="D15" s="466">
        <f t="shared" si="15"/>
        <v>0</v>
      </c>
      <c r="E15" s="482">
        <f t="shared" si="15"/>
        <v>0.18</v>
      </c>
      <c r="F15" s="482">
        <f t="shared" si="15"/>
        <v>0.18</v>
      </c>
      <c r="G15" s="482">
        <f t="shared" si="15"/>
        <v>0.18</v>
      </c>
      <c r="H15" s="482">
        <f t="shared" si="15"/>
        <v>0.18</v>
      </c>
      <c r="I15" s="482">
        <f t="shared" si="15"/>
        <v>0.18</v>
      </c>
      <c r="J15" s="482">
        <f t="shared" si="15"/>
        <v>0.18</v>
      </c>
      <c r="K15" s="482">
        <f t="shared" si="15"/>
        <v>0.18</v>
      </c>
      <c r="L15" s="482">
        <f t="shared" si="15"/>
        <v>0.18</v>
      </c>
      <c r="M15" s="482">
        <f t="shared" si="15"/>
        <v>0.18</v>
      </c>
      <c r="N15" s="482">
        <f t="shared" si="15"/>
        <v>0.18</v>
      </c>
      <c r="O15" s="482">
        <f t="shared" si="15"/>
        <v>0.18</v>
      </c>
      <c r="P15" s="482">
        <f t="shared" ref="P15:S15" si="16">(1+$B15)*P4</f>
        <v>0.18</v>
      </c>
      <c r="Q15" s="482">
        <f t="shared" si="16"/>
        <v>0.18</v>
      </c>
      <c r="R15" s="482">
        <f t="shared" si="16"/>
        <v>0.18</v>
      </c>
      <c r="S15" s="482">
        <f t="shared" si="16"/>
        <v>0.18</v>
      </c>
    </row>
    <row r="16" spans="1:19" s="287" customFormat="1" ht="15" customHeight="1" x14ac:dyDescent="0.25">
      <c r="A16" s="465" t="s">
        <v>385</v>
      </c>
      <c r="B16" s="486">
        <v>0</v>
      </c>
      <c r="C16" s="466">
        <f>(1+$B16)*C5</f>
        <v>0</v>
      </c>
      <c r="D16" s="466">
        <f>(1+$B16)*D5</f>
        <v>0</v>
      </c>
      <c r="E16" s="482">
        <f t="shared" ref="E16:O16" si="17">(1+$B16)*E5</f>
        <v>0</v>
      </c>
      <c r="F16" s="482">
        <f t="shared" si="17"/>
        <v>0</v>
      </c>
      <c r="G16" s="482">
        <f t="shared" si="17"/>
        <v>6.5000000000000002E-2</v>
      </c>
      <c r="H16" s="482">
        <f t="shared" si="17"/>
        <v>6.5000000000000002E-2</v>
      </c>
      <c r="I16" s="482">
        <f t="shared" si="17"/>
        <v>6.8000000000000005E-2</v>
      </c>
      <c r="J16" s="482">
        <f t="shared" si="17"/>
        <v>6.8000000000000005E-2</v>
      </c>
      <c r="K16" s="482">
        <f t="shared" si="17"/>
        <v>6.8000000000000005E-2</v>
      </c>
      <c r="L16" s="482">
        <f t="shared" si="17"/>
        <v>6.8000000000000005E-2</v>
      </c>
      <c r="M16" s="482">
        <f t="shared" si="17"/>
        <v>6.8000000000000005E-2</v>
      </c>
      <c r="N16" s="482">
        <f t="shared" si="17"/>
        <v>6.8000000000000005E-2</v>
      </c>
      <c r="O16" s="482">
        <f t="shared" si="17"/>
        <v>6.8000000000000005E-2</v>
      </c>
      <c r="P16" s="482">
        <f t="shared" ref="P16:S16" si="18">(1+$B16)*P5</f>
        <v>6.8000000000000005E-2</v>
      </c>
      <c r="Q16" s="482">
        <f t="shared" si="18"/>
        <v>6.8000000000000005E-2</v>
      </c>
      <c r="R16" s="482">
        <f t="shared" si="18"/>
        <v>6.8000000000000005E-2</v>
      </c>
      <c r="S16" s="482">
        <f t="shared" si="18"/>
        <v>6.8000000000000005E-2</v>
      </c>
    </row>
    <row r="17" spans="1:19" s="472" customFormat="1" ht="15" customHeight="1" x14ac:dyDescent="0.25">
      <c r="A17" s="485" t="s">
        <v>386</v>
      </c>
      <c r="B17" s="486">
        <v>0</v>
      </c>
      <c r="C17" s="505">
        <f>C6</f>
        <v>1263.5</v>
      </c>
      <c r="D17" s="505">
        <f>D6</f>
        <v>1319.6</v>
      </c>
      <c r="E17" s="505">
        <f>E6</f>
        <v>1465.6</v>
      </c>
      <c r="F17" s="505">
        <f>F6</f>
        <v>1587.5</v>
      </c>
      <c r="G17" s="505">
        <v>1714</v>
      </c>
      <c r="H17" s="505">
        <v>1890</v>
      </c>
      <c r="I17" s="484">
        <f t="shared" ref="I17:O17" si="19">(1+$B17)*I6</f>
        <v>2079</v>
      </c>
      <c r="J17" s="484">
        <f t="shared" si="19"/>
        <v>2286.9</v>
      </c>
      <c r="K17" s="484">
        <f t="shared" si="19"/>
        <v>2515.59</v>
      </c>
      <c r="L17" s="484">
        <f t="shared" si="19"/>
        <v>2767.1490000000003</v>
      </c>
      <c r="M17" s="484">
        <f t="shared" si="19"/>
        <v>3043.8639000000007</v>
      </c>
      <c r="N17" s="484">
        <f t="shared" si="19"/>
        <v>3348.2502900000009</v>
      </c>
      <c r="O17" s="484">
        <f t="shared" si="19"/>
        <v>3683.0753190000014</v>
      </c>
      <c r="P17" s="484">
        <f t="shared" ref="P17:S17" si="20">(1+$B17)*P6</f>
        <v>4051.3828509000018</v>
      </c>
      <c r="Q17" s="484">
        <f t="shared" si="20"/>
        <v>4456.5211359900022</v>
      </c>
      <c r="R17" s="484">
        <f t="shared" si="20"/>
        <v>4902.1732495890028</v>
      </c>
      <c r="S17" s="484">
        <f t="shared" si="20"/>
        <v>5392.3905745479033</v>
      </c>
    </row>
    <row r="18" spans="1:19" s="287" customFormat="1" ht="15" customHeight="1" x14ac:dyDescent="0.25">
      <c r="A18" s="465" t="s">
        <v>387</v>
      </c>
      <c r="B18" s="486">
        <v>0</v>
      </c>
      <c r="C18" s="466">
        <v>0.123</v>
      </c>
      <c r="D18" s="466">
        <v>0.127</v>
      </c>
      <c r="E18" s="466">
        <v>0.14000000000000001</v>
      </c>
      <c r="F18" s="466">
        <v>9.4E-2</v>
      </c>
      <c r="G18" s="466">
        <v>0.128</v>
      </c>
      <c r="H18" s="466">
        <f t="shared" ref="H18:O18" si="21">(1+$B18)*H8</f>
        <v>0.12271</v>
      </c>
      <c r="I18" s="466">
        <f t="shared" si="21"/>
        <v>0.109</v>
      </c>
      <c r="J18" s="466">
        <f t="shared" si="21"/>
        <v>0.11</v>
      </c>
      <c r="K18" s="466">
        <f t="shared" si="21"/>
        <v>0.11</v>
      </c>
      <c r="L18" s="466">
        <f t="shared" si="21"/>
        <v>0.11</v>
      </c>
      <c r="M18" s="466">
        <f t="shared" si="21"/>
        <v>0.11</v>
      </c>
      <c r="N18" s="466">
        <f t="shared" si="21"/>
        <v>0.11</v>
      </c>
      <c r="O18" s="466">
        <f t="shared" si="21"/>
        <v>0.11</v>
      </c>
      <c r="P18" s="466">
        <f t="shared" ref="P18:S18" si="22">(1+$B18)*P8</f>
        <v>0.11</v>
      </c>
      <c r="Q18" s="466">
        <f t="shared" si="22"/>
        <v>0.11</v>
      </c>
      <c r="R18" s="466">
        <f t="shared" si="22"/>
        <v>0.11</v>
      </c>
      <c r="S18" s="466">
        <f t="shared" si="22"/>
        <v>0.11</v>
      </c>
    </row>
    <row r="19" spans="1:19" s="287" customFormat="1" ht="15" customHeight="1" x14ac:dyDescent="0.25">
      <c r="A19" s="465" t="str">
        <f>+A9</f>
        <v>personnel expenses increase</v>
      </c>
      <c r="B19" s="486">
        <v>0</v>
      </c>
      <c r="C19" s="734">
        <f t="shared" ref="C19:E19" si="23">(1+$B19)*C9</f>
        <v>0</v>
      </c>
      <c r="D19" s="734">
        <f t="shared" si="23"/>
        <v>0</v>
      </c>
      <c r="E19" s="212">
        <f t="shared" si="23"/>
        <v>0.15</v>
      </c>
      <c r="F19" s="212">
        <f t="shared" ref="F19:O19" si="24">(1+$B19)*F9</f>
        <v>0.19</v>
      </c>
      <c r="G19" s="212">
        <f t="shared" si="24"/>
        <v>0.31</v>
      </c>
      <c r="H19" s="466">
        <f t="shared" si="24"/>
        <v>0.2</v>
      </c>
      <c r="I19" s="466">
        <f t="shared" si="24"/>
        <v>0.22</v>
      </c>
      <c r="J19" s="466">
        <f t="shared" si="24"/>
        <v>0.22</v>
      </c>
      <c r="K19" s="466">
        <f t="shared" si="24"/>
        <v>0.22</v>
      </c>
      <c r="L19" s="466">
        <f t="shared" si="24"/>
        <v>0.22</v>
      </c>
      <c r="M19" s="466">
        <f t="shared" si="24"/>
        <v>0.22</v>
      </c>
      <c r="N19" s="466">
        <f t="shared" si="24"/>
        <v>0.22</v>
      </c>
      <c r="O19" s="466">
        <f t="shared" si="24"/>
        <v>0.22</v>
      </c>
      <c r="P19" s="466">
        <f t="shared" ref="P19:S19" si="25">(1+$B19)*P9</f>
        <v>0.22</v>
      </c>
      <c r="Q19" s="466">
        <f t="shared" si="25"/>
        <v>0.22</v>
      </c>
      <c r="R19" s="466">
        <f t="shared" si="25"/>
        <v>0.22</v>
      </c>
      <c r="S19" s="466">
        <f t="shared" si="25"/>
        <v>0.22</v>
      </c>
    </row>
    <row r="20" spans="1:19" s="287" customFormat="1" ht="15" customHeight="1" thickBot="1" x14ac:dyDescent="0.35">
      <c r="A20" s="465" t="s">
        <v>388</v>
      </c>
      <c r="B20" s="490">
        <v>0</v>
      </c>
      <c r="C20" s="467">
        <f>(1+$B20)*C10</f>
        <v>117.82599999999999</v>
      </c>
      <c r="D20" s="467">
        <f>(1+$B20)*D10</f>
        <v>119.23099999999999</v>
      </c>
      <c r="E20" s="467">
        <v>120</v>
      </c>
      <c r="F20" s="467">
        <f t="shared" ref="F20:G20" si="26">(1+$B20)*F10</f>
        <v>117.023</v>
      </c>
      <c r="G20" s="467">
        <f t="shared" si="26"/>
        <v>113.706</v>
      </c>
      <c r="H20" s="467">
        <v>110</v>
      </c>
      <c r="I20" s="299">
        <v>120</v>
      </c>
      <c r="J20" s="299">
        <f>125</f>
        <v>125</v>
      </c>
      <c r="K20" s="299">
        <f>130</f>
        <v>130</v>
      </c>
      <c r="L20" s="299">
        <f>130</f>
        <v>130</v>
      </c>
      <c r="M20" s="299">
        <f>130</f>
        <v>130</v>
      </c>
      <c r="N20" s="299">
        <f>130</f>
        <v>130</v>
      </c>
      <c r="O20" s="299">
        <f>130</f>
        <v>130</v>
      </c>
      <c r="P20" s="299">
        <f>130</f>
        <v>130</v>
      </c>
      <c r="Q20" s="299">
        <f>130</f>
        <v>130</v>
      </c>
      <c r="R20" s="299">
        <f>130</f>
        <v>130</v>
      </c>
      <c r="S20" s="299">
        <f>130</f>
        <v>130</v>
      </c>
    </row>
    <row r="21" spans="1:19" s="287" customFormat="1" ht="15" customHeight="1" thickBot="1" x14ac:dyDescent="0.3">
      <c r="A21" s="465" t="s">
        <v>432</v>
      </c>
      <c r="B21" s="214"/>
      <c r="C21" s="214"/>
      <c r="D21" s="468">
        <v>0</v>
      </c>
      <c r="E21" s="214"/>
      <c r="F21" s="214"/>
      <c r="G21" s="214"/>
      <c r="H21" s="214"/>
      <c r="I21" s="214"/>
      <c r="J21" s="214"/>
      <c r="K21" s="214"/>
      <c r="L21" s="214"/>
      <c r="M21" s="214"/>
      <c r="N21" s="214"/>
      <c r="O21" s="214"/>
      <c r="P21" s="214"/>
      <c r="Q21" s="214"/>
      <c r="R21" s="214"/>
      <c r="S21" s="214"/>
    </row>
    <row r="22" spans="1:19" s="509" customFormat="1" ht="20.100000000000001" customHeight="1" thickBot="1" x14ac:dyDescent="0.3">
      <c r="A22" s="506" t="s">
        <v>429</v>
      </c>
      <c r="B22" s="507"/>
      <c r="C22" s="508">
        <v>2007</v>
      </c>
      <c r="D22" s="508">
        <f>D13</f>
        <v>2008</v>
      </c>
      <c r="E22" s="508">
        <f>E13</f>
        <v>2009</v>
      </c>
      <c r="F22" s="508">
        <f t="shared" ref="F22:O22" si="27">F13</f>
        <v>2010</v>
      </c>
      <c r="G22" s="508">
        <f t="shared" si="27"/>
        <v>2011</v>
      </c>
      <c r="H22" s="508">
        <f t="shared" si="27"/>
        <v>2012</v>
      </c>
      <c r="I22" s="508">
        <f t="shared" si="27"/>
        <v>2013</v>
      </c>
      <c r="J22" s="508">
        <f t="shared" si="27"/>
        <v>2014</v>
      </c>
      <c r="K22" s="508">
        <f t="shared" si="27"/>
        <v>2015</v>
      </c>
      <c r="L22" s="508">
        <f t="shared" si="27"/>
        <v>2016</v>
      </c>
      <c r="M22" s="508">
        <f t="shared" si="27"/>
        <v>2017</v>
      </c>
      <c r="N22" s="508">
        <f t="shared" si="27"/>
        <v>2018</v>
      </c>
      <c r="O22" s="508">
        <f t="shared" si="27"/>
        <v>2019</v>
      </c>
      <c r="P22" s="508">
        <f t="shared" ref="P22:S22" si="28">P13</f>
        <v>2020</v>
      </c>
      <c r="Q22" s="508">
        <f t="shared" si="28"/>
        <v>2021</v>
      </c>
      <c r="R22" s="508">
        <f t="shared" si="28"/>
        <v>2022</v>
      </c>
      <c r="S22" s="508" t="e">
        <f t="shared" si="28"/>
        <v>#REF!</v>
      </c>
    </row>
    <row r="23" spans="1:19" ht="20.100000000000001" customHeight="1" x14ac:dyDescent="0.25">
      <c r="A23" s="211" t="s">
        <v>420</v>
      </c>
      <c r="B23" s="195"/>
      <c r="C23" s="1">
        <f>'PL USD'!B6</f>
        <v>74.032449544914925</v>
      </c>
      <c r="D23" s="1">
        <f>'PL USD'!C6</f>
        <v>92997.878144892398</v>
      </c>
      <c r="E23" s="1">
        <f>'PL USD'!D6</f>
        <v>50651.61026200874</v>
      </c>
      <c r="F23" s="1">
        <f>'PL USD'!E6</f>
        <v>110387.40157480315</v>
      </c>
      <c r="G23" s="1">
        <f>'PL USD'!F6</f>
        <v>96728.704784130678</v>
      </c>
      <c r="H23" s="1">
        <f ca="1">'PL USD'!G6</f>
        <v>97413.941644532781</v>
      </c>
      <c r="I23" s="1">
        <f ca="1">'PL USD'!H6</f>
        <v>103384.05958656245</v>
      </c>
      <c r="J23" s="1">
        <f ca="1">'PL USD'!I6</f>
        <v>125375.00395394224</v>
      </c>
      <c r="K23" s="1">
        <f ca="1">'PL USD'!J6</f>
        <v>145398.12496671884</v>
      </c>
      <c r="L23" s="1">
        <f ca="1">'PL USD'!K6</f>
        <v>149715.09652865503</v>
      </c>
      <c r="M23" s="1">
        <f ca="1">'PL USD'!L6</f>
        <v>154288.25960406917</v>
      </c>
      <c r="N23" s="1">
        <f ca="1">'PL USD'!M6</f>
        <v>159031.74371259668</v>
      </c>
      <c r="O23" s="1">
        <f ca="1">'PL USD'!N6</f>
        <v>163973.94236326273</v>
      </c>
      <c r="P23" s="1">
        <f ca="1">'PL USD'!O6</f>
        <v>169163.2518057675</v>
      </c>
      <c r="Q23" s="1">
        <f ca="1">'PL USD'!P6</f>
        <v>174511.19684419522</v>
      </c>
      <c r="R23" s="1">
        <f ca="1">'PL USD'!Q6</f>
        <v>180244.47003414624</v>
      </c>
      <c r="S23" s="1" t="e">
        <f>'PL USD'!#REF!</f>
        <v>#REF!</v>
      </c>
    </row>
    <row r="24" spans="1:19" ht="20.100000000000001" customHeight="1" x14ac:dyDescent="0.25">
      <c r="A24" s="211" t="s">
        <v>5</v>
      </c>
      <c r="B24" s="195"/>
      <c r="C24" s="1">
        <f>'PL USD'!B20</f>
        <v>6.0210898298377611</v>
      </c>
      <c r="D24" s="1">
        <f>'PL USD'!C20</f>
        <v>31089.736283722345</v>
      </c>
      <c r="E24" s="1">
        <f>'PL USD'!D20</f>
        <v>3385.644104803499</v>
      </c>
      <c r="F24" s="1">
        <f>'PL USD'!E20</f>
        <v>11016.075462193388</v>
      </c>
      <c r="G24" s="1">
        <f>'PL USD'!F20</f>
        <v>8517.6458576429322</v>
      </c>
      <c r="H24" s="1">
        <f ca="1">'PL USD'!G20</f>
        <v>9842.7606546937259</v>
      </c>
      <c r="I24" s="1">
        <f ca="1">'PL USD'!H20</f>
        <v>8067.9021990915417</v>
      </c>
      <c r="J24" s="1">
        <f ca="1">'PL USD'!I20</f>
        <v>13665.418526495865</v>
      </c>
      <c r="K24" s="1">
        <f ca="1">'PL USD'!J20</f>
        <v>19243.476026998549</v>
      </c>
      <c r="L24" s="1">
        <f ca="1">'PL USD'!K20</f>
        <v>19667.218520718459</v>
      </c>
      <c r="M24" s="1">
        <f ca="1">'PL USD'!L20</f>
        <v>20030.530174674423</v>
      </c>
      <c r="N24" s="1">
        <f ca="1">'PL USD'!M20</f>
        <v>20226.830135532411</v>
      </c>
      <c r="O24" s="1">
        <f ca="1">'PL USD'!N20</f>
        <v>20256.733256259151</v>
      </c>
      <c r="P24" s="1">
        <f ca="1">'PL USD'!O20</f>
        <v>20129.913345402467</v>
      </c>
      <c r="Q24" s="1">
        <f ca="1">'PL USD'!P20</f>
        <v>19722.546453527382</v>
      </c>
      <c r="R24" s="1">
        <f ca="1">'PL USD'!Q20</f>
        <v>19217.681788154521</v>
      </c>
      <c r="S24" s="1" t="e">
        <f>'PL USD'!#REF!</f>
        <v>#REF!</v>
      </c>
    </row>
    <row r="25" spans="1:19" ht="20.100000000000001" customHeight="1" x14ac:dyDescent="0.25">
      <c r="A25" s="211" t="s">
        <v>421</v>
      </c>
      <c r="B25" s="195"/>
      <c r="C25" s="1">
        <f>'PL USD'!B36</f>
        <v>5.0531436485951806</v>
      </c>
      <c r="D25" s="1">
        <f>'PL USD'!C36</f>
        <v>26195.059108820853</v>
      </c>
      <c r="E25" s="1">
        <f>'PL USD'!D36</f>
        <v>534.25218340611855</v>
      </c>
      <c r="F25" s="1">
        <f>'PL USD'!E36</f>
        <v>8473.8644552578535</v>
      </c>
      <c r="G25" s="1">
        <f>'PL USD'!F36</f>
        <v>6111.0546601516844</v>
      </c>
      <c r="H25" s="1">
        <f ca="1">'PL USD'!G36</f>
        <v>7043.7647792062153</v>
      </c>
      <c r="I25" s="1">
        <f ca="1">'PL USD'!H36</f>
        <v>5265.5701942868709</v>
      </c>
      <c r="J25" s="1">
        <f ca="1">'PL USD'!I36</f>
        <v>6085.8006343578509</v>
      </c>
      <c r="K25" s="1">
        <f ca="1">'PL USD'!J36</f>
        <v>10957.068934198589</v>
      </c>
      <c r="L25" s="1">
        <f ca="1">'PL USD'!K36</f>
        <v>12556.931598019084</v>
      </c>
      <c r="M25" s="1">
        <f ca="1">'PL USD'!L36</f>
        <v>14024.960641278914</v>
      </c>
      <c r="N25" s="1">
        <f ca="1">'PL USD'!M36</f>
        <v>15324.605427531744</v>
      </c>
      <c r="O25" s="1">
        <f ca="1">'PL USD'!N36</f>
        <v>16451.791172252924</v>
      </c>
      <c r="P25" s="1">
        <f ca="1">'PL USD'!O36</f>
        <v>17576.636876504839</v>
      </c>
      <c r="Q25" s="1">
        <f ca="1">'PL USD'!P36</f>
        <v>18218.172624731022</v>
      </c>
      <c r="R25" s="1">
        <f ca="1">'PL USD'!Q36</f>
        <v>18341.803661706093</v>
      </c>
      <c r="S25" s="1" t="e">
        <f>'PL USD'!#REF!</f>
        <v>#REF!</v>
      </c>
    </row>
    <row r="26" spans="1:19" ht="20.100000000000001" customHeight="1" x14ac:dyDescent="0.25">
      <c r="A26" s="211" t="s">
        <v>406</v>
      </c>
      <c r="B26" s="195"/>
      <c r="C26" s="295"/>
      <c r="D26" s="295">
        <f>'CF USD'!C59</f>
        <v>-6016.9388887577661</v>
      </c>
      <c r="E26" s="295">
        <f>'CF USD'!D59</f>
        <v>-2586.8882603064912</v>
      </c>
      <c r="F26" s="295">
        <f>'CF USD'!E59</f>
        <v>6854.7589434468391</v>
      </c>
      <c r="G26" s="295">
        <f>'CF USD'!F59</f>
        <v>219.10790581778429</v>
      </c>
      <c r="H26" s="295">
        <f ca="1">'CF USD'!G59</f>
        <v>6788.3110005957769</v>
      </c>
      <c r="I26" s="295">
        <f ca="1">'CF USD'!H59</f>
        <v>-20462.341950514136</v>
      </c>
      <c r="J26" s="295">
        <f ca="1">'CF USD'!I59</f>
        <v>3792.8553052806301</v>
      </c>
      <c r="K26" s="295">
        <f ca="1">'CF USD'!J59</f>
        <v>15898.827970743208</v>
      </c>
      <c r="L26" s="295">
        <f ca="1">'CF USD'!K59</f>
        <v>16628.64781863616</v>
      </c>
      <c r="M26" s="295">
        <f ca="1">'CF USD'!L59</f>
        <v>17229.427599986862</v>
      </c>
      <c r="N26" s="295">
        <f ca="1">'CF USD'!M59</f>
        <v>17675.343022320918</v>
      </c>
      <c r="O26" s="295">
        <f ca="1">'CF USD'!N59</f>
        <v>17961.831791786579</v>
      </c>
      <c r="P26" s="295">
        <f ca="1">'CF USD'!O59</f>
        <v>18214.337255170794</v>
      </c>
      <c r="Q26" s="295">
        <f ca="1">'CF USD'!P59</f>
        <v>18402.053027926129</v>
      </c>
      <c r="R26" s="295">
        <f ca="1">'CF USD'!Q59</f>
        <v>18500.150486772927</v>
      </c>
      <c r="S26" s="295" t="e">
        <f>'CF USD'!#REF!</f>
        <v>#REF!</v>
      </c>
    </row>
    <row r="27" spans="1:19" ht="20.100000000000001" customHeight="1" x14ac:dyDescent="0.25">
      <c r="A27" s="211" t="s">
        <v>425</v>
      </c>
      <c r="B27" s="195"/>
      <c r="C27" s="295">
        <f>'CF USD'!B61</f>
        <v>0</v>
      </c>
      <c r="D27" s="295">
        <f>'CF USD'!C61</f>
        <v>-141.98400000000132</v>
      </c>
      <c r="E27" s="295">
        <f>'CF USD'!D61</f>
        <v>-1361</v>
      </c>
      <c r="F27" s="295">
        <f>'CF USD'!E61</f>
        <v>-1251.4330708661416</v>
      </c>
      <c r="G27" s="295">
        <f>'CF USD'!F61</f>
        <v>-706.30708661417327</v>
      </c>
      <c r="H27" s="295">
        <f ca="1">'CF USD'!G61</f>
        <v>-503</v>
      </c>
      <c r="I27" s="295">
        <f ca="1">'CF USD'!H61</f>
        <v>-774.34399999999994</v>
      </c>
      <c r="J27" s="295">
        <f ca="1">'CF USD'!I61</f>
        <v>-1588.3440000000001</v>
      </c>
      <c r="K27" s="295">
        <f ca="1">'CF USD'!J61</f>
        <v>-6020.7312000000002</v>
      </c>
      <c r="L27" s="295">
        <f ca="1">'CF USD'!K61</f>
        <v>-5959.8624000000009</v>
      </c>
      <c r="M27" s="295">
        <f ca="1">'CF USD'!L61</f>
        <v>-5633.4624000000003</v>
      </c>
      <c r="N27" s="295">
        <f ca="1">'CF USD'!M61</f>
        <v>-5307.0623999999998</v>
      </c>
      <c r="O27" s="295">
        <f ca="1">'CF USD'!N61</f>
        <v>-4980.6624000000002</v>
      </c>
      <c r="P27" s="295">
        <f ca="1">'CF USD'!O61</f>
        <v>-265.53119999999984</v>
      </c>
      <c r="Q27" s="295">
        <f ca="1">'CF USD'!P61</f>
        <v>0</v>
      </c>
      <c r="R27" s="295">
        <f ca="1">'CF USD'!Q61</f>
        <v>0</v>
      </c>
      <c r="S27" s="295" t="e">
        <f>'CF USD'!#REF!</f>
        <v>#REF!</v>
      </c>
    </row>
    <row r="28" spans="1:19" ht="20.100000000000001" customHeight="1" x14ac:dyDescent="0.25">
      <c r="A28" s="211" t="s">
        <v>422</v>
      </c>
      <c r="B28" s="195"/>
      <c r="C28" s="1"/>
      <c r="D28" s="1">
        <f>'CF USD'!C26</f>
        <v>-5211.6661442897466</v>
      </c>
      <c r="E28" s="1">
        <f>'CF USD'!D26</f>
        <v>-3024.0345485160988</v>
      </c>
      <c r="F28" s="1">
        <f>'CF USD'!E26</f>
        <v>-1289.2725526161521</v>
      </c>
      <c r="G28" s="1">
        <f>'CF USD'!F26</f>
        <v>-3577.6309194194932</v>
      </c>
      <c r="H28" s="1">
        <f ca="1">'CF USD'!G26</f>
        <v>3545.7871910719678</v>
      </c>
      <c r="I28" s="1">
        <f ca="1">'CF USD'!H26</f>
        <v>1479.3140494858626</v>
      </c>
      <c r="J28" s="1">
        <f ca="1">'CF USD'!I26</f>
        <v>3488.5113052806309</v>
      </c>
      <c r="K28" s="1">
        <f ca="1">'CF USD'!J26</f>
        <v>6558.5691520025666</v>
      </c>
      <c r="L28" s="1">
        <f ca="1">'CF USD'!K26</f>
        <v>4692.2023636187587</v>
      </c>
      <c r="M28" s="1">
        <f ca="1">'CF USD'!L26</f>
        <v>4746.7297828855408</v>
      </c>
      <c r="N28" s="1">
        <f ca="1">'CF USD'!M26</f>
        <v>4718.3020907142509</v>
      </c>
      <c r="O28" s="1">
        <f ca="1">'CF USD'!N26</f>
        <v>4622.2937040419893</v>
      </c>
      <c r="P28" s="1">
        <f ca="1">'CF USD'!O26</f>
        <v>8975.1017793964729</v>
      </c>
      <c r="Q28" s="1">
        <f ca="1">'CF USD'!P26</f>
        <v>8814.7965498325848</v>
      </c>
      <c r="R28" s="1">
        <f ca="1">'CF USD'!Q26</f>
        <v>8562.9654187378273</v>
      </c>
      <c r="S28" s="1" t="e">
        <f>'CF USD'!#REF!</f>
        <v>#REF!</v>
      </c>
    </row>
    <row r="29" spans="1:19" ht="20.100000000000001" customHeight="1" thickBot="1" x14ac:dyDescent="0.3">
      <c r="A29" s="251" t="s">
        <v>430</v>
      </c>
      <c r="B29" s="166"/>
      <c r="C29" s="1">
        <f>'CF USD'!B36+'CF USD'!B37</f>
        <v>1430.1543332014248</v>
      </c>
      <c r="D29" s="1">
        <f>'CF USD'!C36+'CF USD'!C37</f>
        <v>-4538.7349530196607</v>
      </c>
      <c r="E29" s="1">
        <f>'CF USD'!D36+'CF USD'!D37</f>
        <v>-7110.3984716157211</v>
      </c>
      <c r="F29" s="1">
        <f>'CF USD'!E36+'CF USD'!E37</f>
        <v>-958.74015748031479</v>
      </c>
      <c r="G29" s="1">
        <f>'CF USD'!F36+'CF USD'!F37</f>
        <v>-4465.5775962660437</v>
      </c>
      <c r="H29" s="1">
        <f ca="1">'CF USD'!G36+'CF USD'!G37</f>
        <v>-503.94825866348418</v>
      </c>
      <c r="I29" s="1">
        <f ca="1">'CF USD'!H36+'CF USD'!H37</f>
        <v>1021.1792688826997</v>
      </c>
      <c r="J29" s="1">
        <f ca="1">'CF USD'!I36+'CF USD'!I37</f>
        <v>4416.8560951739946</v>
      </c>
      <c r="K29" s="1">
        <f ca="1">'CF USD'!J36+'CF USD'!J37</f>
        <v>10573.892874888017</v>
      </c>
      <c r="L29" s="1">
        <f ca="1">'CF USD'!K36+'CF USD'!K37</f>
        <v>14304.832249880592</v>
      </c>
      <c r="M29" s="1">
        <f ca="1">'CF USD'!L36+'CF USD'!L37</f>
        <v>17751.122737322439</v>
      </c>
      <c r="N29" s="1">
        <f ca="1">'CF USD'!M36+'CF USD'!M37</f>
        <v>20855.686397371013</v>
      </c>
      <c r="O29" s="1">
        <f ca="1">'CF USD'!N36+'CF USD'!N37</f>
        <v>23582.008610742909</v>
      </c>
      <c r="P29" s="1">
        <f ca="1">'CF USD'!O36+'CF USD'!O37</f>
        <v>30413.291425526397</v>
      </c>
      <c r="Q29" s="1">
        <f ca="1">'CF USD'!P36+'CF USD'!P37</f>
        <v>36463.243300311115</v>
      </c>
      <c r="R29" s="1">
        <f ca="1">'CF USD'!Q36+'CF USD'!Q37</f>
        <v>41711.368419020662</v>
      </c>
      <c r="S29" s="1" t="e">
        <f>'CF USD'!#REF!+'CF USD'!#REF!</f>
        <v>#REF!</v>
      </c>
    </row>
    <row r="30" spans="1:19" ht="20.100000000000001" customHeight="1" thickBot="1" x14ac:dyDescent="0.3">
      <c r="A30" s="217" t="s">
        <v>418</v>
      </c>
      <c r="B30" s="302"/>
      <c r="C30" s="218">
        <v>2007</v>
      </c>
      <c r="D30" s="218">
        <v>2008</v>
      </c>
      <c r="E30" s="218">
        <v>2009</v>
      </c>
      <c r="F30" s="218">
        <v>2010</v>
      </c>
      <c r="G30" s="218">
        <v>2011</v>
      </c>
      <c r="H30" s="218">
        <v>2012</v>
      </c>
      <c r="I30" s="218">
        <v>2013</v>
      </c>
      <c r="J30" s="218">
        <v>2014</v>
      </c>
      <c r="K30" s="218">
        <v>2015</v>
      </c>
      <c r="L30" s="218">
        <v>2016</v>
      </c>
      <c r="M30" s="218">
        <v>2017</v>
      </c>
      <c r="N30" s="218">
        <v>2018</v>
      </c>
      <c r="O30" s="218">
        <v>2019</v>
      </c>
      <c r="P30" s="218">
        <v>2019</v>
      </c>
      <c r="Q30" s="218">
        <v>2019</v>
      </c>
      <c r="R30" s="218">
        <v>2019</v>
      </c>
      <c r="S30" s="218">
        <v>2019</v>
      </c>
    </row>
    <row r="31" spans="1:19" ht="16.5" thickBot="1" x14ac:dyDescent="0.3">
      <c r="A31" s="211" t="s">
        <v>412</v>
      </c>
      <c r="B31" s="195"/>
      <c r="C31" s="296"/>
      <c r="D31" s="296"/>
      <c r="E31" s="296"/>
      <c r="F31" s="296"/>
      <c r="G31" s="296"/>
      <c r="H31" s="296"/>
      <c r="I31" s="296"/>
      <c r="J31" s="296">
        <f ca="1">'CF USD'!I76</f>
        <v>2.387930640516557</v>
      </c>
      <c r="K31" s="296">
        <f ca="1">'CF USD'!J76</f>
        <v>2.6406805822427692</v>
      </c>
      <c r="L31" s="296">
        <f ca="1">'CF USD'!K76</f>
        <v>2.7901059961780592</v>
      </c>
      <c r="M31" s="296">
        <f ca="1">'CF USD'!L76</f>
        <v>3.0584082002547599</v>
      </c>
      <c r="N31" s="296">
        <f ca="1">'CF USD'!M76</f>
        <v>3.33053235294933</v>
      </c>
      <c r="O31" s="296">
        <f ca="1">'CF USD'!N76</f>
        <v>3.6063138492957441</v>
      </c>
      <c r="P31" s="296">
        <f ca="1">'CF USD'!O76</f>
        <v>68.5958458183852</v>
      </c>
      <c r="Q31" s="296" t="e">
        <f ca="1">'CF USD'!P76</f>
        <v>#DIV/0!</v>
      </c>
      <c r="R31" s="296" t="e">
        <f ca="1">'CF USD'!Q76</f>
        <v>#DIV/0!</v>
      </c>
      <c r="S31" s="296" t="e">
        <f>'CF USD'!#REF!</f>
        <v>#REF!</v>
      </c>
    </row>
    <row r="32" spans="1:19" ht="16.5" thickBot="1" x14ac:dyDescent="0.3">
      <c r="A32" s="211" t="s">
        <v>426</v>
      </c>
      <c r="B32" s="195"/>
      <c r="C32" s="294">
        <f ca="1">SUM('CF USD'!I59:M59)/-SUM('CF USD'!I61:M61)</f>
        <v>2.9060246428321403</v>
      </c>
      <c r="F32" s="9"/>
    </row>
    <row r="33" spans="1:19" ht="16.5" thickBot="1" x14ac:dyDescent="0.3">
      <c r="A33" s="211" t="s">
        <v>434</v>
      </c>
      <c r="B33" s="487">
        <f ca="1">MIN(J33:N33)</f>
        <v>2.6406805822427692</v>
      </c>
      <c r="C33" s="4"/>
      <c r="F33" s="9"/>
      <c r="H33" s="296">
        <f ca="1">('CF USD'!G59+'CF USD'!G20)/-'CF USD'!G61</f>
        <v>13.495648112516456</v>
      </c>
      <c r="I33" s="296">
        <f ca="1">('CF USD'!H59+'CF USD'!H20)/-'CF USD'!H61</f>
        <v>2.9104093910275806</v>
      </c>
      <c r="J33" s="296">
        <f ca="1">('CF USD'!I59+'CF USD'!I20)/-'CF USD'!I61</f>
        <v>3.1963197552171505</v>
      </c>
      <c r="K33" s="296">
        <f ca="1">('CF USD'!J59+'CF USD'!J20)/-'CF USD'!J61</f>
        <v>2.6406805822427692</v>
      </c>
      <c r="L33" s="296">
        <f ca="1">('CF USD'!K59+'CF USD'!K20)/-'CF USD'!K61</f>
        <v>2.7901059961780592</v>
      </c>
      <c r="M33" s="296">
        <f ca="1">('CF USD'!L59+'CF USD'!L20)/-'CF USD'!L61</f>
        <v>3.0584082002547599</v>
      </c>
    </row>
    <row r="34" spans="1:19" x14ac:dyDescent="0.25">
      <c r="A34" s="211" t="s">
        <v>423</v>
      </c>
      <c r="B34" s="195"/>
      <c r="C34" s="9">
        <f>'BS USD'!B31/'BS USD'!B25</f>
        <v>5.0386434757295691</v>
      </c>
      <c r="D34" s="9">
        <f>'BS USD'!C31/'BS USD'!C25</f>
        <v>1.4600157629930322</v>
      </c>
      <c r="E34" s="9">
        <f>'BS USD'!D31/'BS USD'!D25</f>
        <v>3.3000174385291841</v>
      </c>
      <c r="F34" s="9">
        <f>'BS USD'!E31/'BS USD'!E25</f>
        <v>1.9023681490690671</v>
      </c>
      <c r="G34" s="9">
        <f>'BS USD'!F31/'BS USD'!F25</f>
        <v>2.2465472184476054</v>
      </c>
      <c r="H34" s="9">
        <f ca="1">'BS USD'!G31/'BS USD'!G25</f>
        <v>1.7521540107269766</v>
      </c>
      <c r="I34" s="9">
        <f ca="1">'BS USD'!H31/'BS USD'!H25</f>
        <v>2.2704981520918359</v>
      </c>
      <c r="J34" s="9">
        <f ca="1">'BS USD'!I31/'BS USD'!I25</f>
        <v>2.1214750138242722</v>
      </c>
      <c r="K34" s="9">
        <f ca="1">'BS USD'!J31/'BS USD'!J25</f>
        <v>1.8086703160219901</v>
      </c>
      <c r="L34" s="9">
        <f ca="1">'BS USD'!K31/'BS USD'!K25</f>
        <v>1.6792914961894503</v>
      </c>
      <c r="M34" s="9">
        <f ca="1">'BS USD'!L31/'BS USD'!L25</f>
        <v>1.5305609753133178</v>
      </c>
      <c r="N34" s="9">
        <f ca="1">'BS USD'!M31/'BS USD'!M25</f>
        <v>1.3928398652480396</v>
      </c>
      <c r="O34" s="9">
        <f ca="1">'BS USD'!N31/'BS USD'!N25</f>
        <v>1.2686046444565453</v>
      </c>
      <c r="P34" s="9">
        <f ca="1">'BS USD'!O31/'BS USD'!O25</f>
        <v>1.2597755296125297</v>
      </c>
      <c r="Q34" s="9">
        <f ca="1">'BS USD'!P31/'BS USD'!P25</f>
        <v>1.264265344911774</v>
      </c>
      <c r="R34" s="9">
        <f ca="1">'BS USD'!Q31/'BS USD'!Q25</f>
        <v>1.2864424154081981</v>
      </c>
      <c r="S34" s="9" t="e">
        <f>'BS USD'!#REF!/'BS USD'!#REF!</f>
        <v>#REF!</v>
      </c>
    </row>
    <row r="35" spans="1:19" x14ac:dyDescent="0.25">
      <c r="A35" s="211" t="s">
        <v>424</v>
      </c>
      <c r="B35" s="195"/>
      <c r="C35" s="9">
        <f>SUM('BS USD'!B27:B28)/'PL USD'!B20</f>
        <v>172.19516100050356</v>
      </c>
      <c r="D35" s="9">
        <f>SUM('BS USD'!C27:C28)/'PL USD'!C20</f>
        <v>0.18627971685100359</v>
      </c>
      <c r="E35" s="9">
        <f>SUM('BS USD'!D27:D28)/'PL USD'!D20</f>
        <v>2.8071342200725469</v>
      </c>
      <c r="F35" s="9">
        <f>SUM('BS USD'!E27:E28)/'PL USD'!E20</f>
        <v>0.27796171645730633</v>
      </c>
      <c r="G35" s="9">
        <f>SUM('BS USD'!F27:F28)/'PL USD'!F20</f>
        <v>0.56249484134282335</v>
      </c>
      <c r="H35" s="9">
        <f ca="1">SUM('BS USD'!G27:G28)/'PL USD'!G20</f>
        <v>8.1195345689978826E-2</v>
      </c>
      <c r="I35" s="9">
        <f ca="1">SUM('BS USD'!H27:H28)/'PL USD'!H20</f>
        <v>2.8156018057033281</v>
      </c>
      <c r="J35" s="9">
        <f ca="1">SUM('BS USD'!I27:I28)/'PL USD'!I20</f>
        <v>1.7562579553247071</v>
      </c>
      <c r="K35" s="9">
        <f ca="1">SUM('BS USD'!J27:J28)/'PL USD'!J20</f>
        <v>1.0110855217998118</v>
      </c>
      <c r="L35" s="9">
        <f ca="1">SUM('BS USD'!K27:K28)/'PL USD'!K20</f>
        <v>0.74524010523195106</v>
      </c>
      <c r="M35" s="9">
        <f ca="1">SUM('BS USD'!L27:L28)/'PL USD'!L20</f>
        <v>0.49208882211527444</v>
      </c>
      <c r="N35" s="9">
        <f ca="1">SUM('BS USD'!M27:M28)/'PL USD'!M20</f>
        <v>0.25000457145861599</v>
      </c>
      <c r="O35" s="9">
        <f ca="1">SUM('BS USD'!N27:N28)/'PL USD'!N20</f>
        <v>1.2677266208294024E-2</v>
      </c>
      <c r="P35" s="9">
        <f ca="1">SUM('BS USD'!O27:O28)/'PL USD'!O20</f>
        <v>0</v>
      </c>
      <c r="Q35" s="9">
        <f ca="1">SUM('BS USD'!P27:P28)/'PL USD'!P20</f>
        <v>0</v>
      </c>
      <c r="R35" s="9">
        <f ca="1">SUM('BS USD'!Q27:Q28)/'PL USD'!Q20</f>
        <v>0</v>
      </c>
      <c r="S35" s="9" t="e">
        <f>SUM('BS USD'!#REF!)/'PL USD'!#REF!</f>
        <v>#REF!</v>
      </c>
    </row>
    <row r="36" spans="1:19" x14ac:dyDescent="0.25">
      <c r="A36" s="211" t="s">
        <v>427</v>
      </c>
      <c r="B36" s="195"/>
      <c r="C36" s="297">
        <f>'PL USD'!B36/BS!B25</f>
        <v>3.6774206015538757E-4</v>
      </c>
      <c r="D36" s="297">
        <f>'PL USD'!C36/BS!C25</f>
        <v>0.51961951735342482</v>
      </c>
      <c r="E36" s="297">
        <f>'PL USD'!D36/BS!D25</f>
        <v>1.3309388988966855E-2</v>
      </c>
      <c r="F36" s="297">
        <f>'PL USD'!E36/BS!E25</f>
        <v>0.12692836319494696</v>
      </c>
      <c r="G36" s="297">
        <f>'PL USD'!F36/BS!F25</f>
        <v>9.6397073823137461E-2</v>
      </c>
      <c r="H36" s="297">
        <f ca="1">'PL USD'!G36/BS!G25</f>
        <v>9.7755903667499047E-2</v>
      </c>
      <c r="I36" s="297">
        <f ca="1">'PL USD'!H36/BS!H25</f>
        <v>6.3439272237694591E-2</v>
      </c>
      <c r="J36" s="297">
        <f ca="1">'PL USD'!I36/BS!I25</f>
        <v>6.2792414035108185E-2</v>
      </c>
      <c r="K36" s="297">
        <f ca="1">'PL USD'!J36/BS!J25</f>
        <v>9.4349896625709626E-2</v>
      </c>
      <c r="L36" s="297">
        <f ca="1">'PL USD'!K36/BS!K25</f>
        <v>9.3470521620140509E-2</v>
      </c>
      <c r="M36" s="297">
        <f ca="1">'PL USD'!L36/BS!L25</f>
        <v>8.9798242520582799E-2</v>
      </c>
      <c r="N36" s="297">
        <f ca="1">'PL USD'!M36/BS!M25</f>
        <v>8.4256872054538939E-2</v>
      </c>
      <c r="O36" s="297">
        <f ca="1">'PL USD'!N36/BS!N25</f>
        <v>7.7717749129861596E-2</v>
      </c>
      <c r="P36" s="297">
        <f ca="1">'PL USD'!O36/BS!O25</f>
        <v>7.1293193436631666E-2</v>
      </c>
      <c r="Q36" s="297">
        <f ca="1">'PL USD'!P36/BS!P25</f>
        <v>6.3922506115972583E-2</v>
      </c>
      <c r="R36" s="297">
        <f ca="1">'PL USD'!Q36/BS!Q25</f>
        <v>5.6227854008530594E-2</v>
      </c>
      <c r="S36" s="297" t="e">
        <f>'PL USD'!#REF!/BS!#REF!</f>
        <v>#REF!</v>
      </c>
    </row>
    <row r="37" spans="1:19" ht="16.5" thickBot="1" x14ac:dyDescent="0.3">
      <c r="A37" s="215" t="s">
        <v>428</v>
      </c>
      <c r="B37" s="216"/>
      <c r="C37" s="298">
        <f>'PL USD'!B36/'BS USD'!B34</f>
        <v>7.6944825270246062E-5</v>
      </c>
      <c r="D37" s="298">
        <f>'PL USD'!C36/'BS USD'!C34</f>
        <v>0.2787340015218433</v>
      </c>
      <c r="E37" s="298">
        <f>'PL USD'!D36/'BS USD'!D34</f>
        <v>4.53631827720055E-3</v>
      </c>
      <c r="F37" s="298">
        <f>'PL USD'!E36/'BS USD'!E34</f>
        <v>6.9425639520467569E-2</v>
      </c>
      <c r="G37" s="298">
        <f>'PL USD'!F36/'BS USD'!F34</f>
        <v>5.0892417840016226E-2</v>
      </c>
      <c r="H37" s="298">
        <f ca="1">'PL USD'!G36/'BS USD'!G34</f>
        <v>6.7132384825193736E-2</v>
      </c>
      <c r="I37" s="298">
        <f ca="1">'PL USD'!H36/'BS USD'!H34</f>
        <v>4.0327256391441219E-2</v>
      </c>
      <c r="J37" s="298">
        <f ca="1">'PL USD'!I36/'BS USD'!I34</f>
        <v>4.6003899304837989E-2</v>
      </c>
      <c r="K37" s="298">
        <f ca="1">'PL USD'!J36/'BS USD'!J34</f>
        <v>8.4504662760097493E-2</v>
      </c>
      <c r="L37" s="298">
        <f ca="1">'PL USD'!K36/'BS USD'!K34</f>
        <v>9.6535568119326551E-2</v>
      </c>
      <c r="M37" s="298">
        <f ca="1">'PL USD'!L36/'BS USD'!L34</f>
        <v>0.10801309747220851</v>
      </c>
      <c r="N37" s="298">
        <f ca="1">'PL USD'!M36/'BS USD'!M34</f>
        <v>0.11789890228127167</v>
      </c>
      <c r="O37" s="298">
        <f ca="1">'PL USD'!N36/'BS USD'!N34</f>
        <v>0.12617458953434699</v>
      </c>
      <c r="P37" s="298">
        <f ca="1">'PL USD'!O36/'BS USD'!O34</f>
        <v>0.12781623574248929</v>
      </c>
      <c r="Q37" s="298">
        <f ca="1">'PL USD'!P36/'BS USD'!P34</f>
        <v>0.12581211249318752</v>
      </c>
      <c r="R37" s="298">
        <f ca="1">'PL USD'!Q36/'BS USD'!Q34</f>
        <v>0.12055349026337817</v>
      </c>
      <c r="S37" s="298" t="e">
        <f>'PL USD'!#REF!/'BS USD'!#REF!</f>
        <v>#REF!</v>
      </c>
    </row>
    <row r="43" spans="1:19" x14ac:dyDescent="0.25">
      <c r="C43" s="166"/>
    </row>
  </sheetData>
  <phoneticPr fontId="73" type="noConversion"/>
  <printOptions horizontalCentered="1" headings="1"/>
  <pageMargins left="0.5" right="0.5" top="0.5" bottom="0.5" header="0.3" footer="0.3"/>
  <pageSetup scale="48" fitToHeight="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4"/>
  <sheetViews>
    <sheetView workbookViewId="0">
      <selection activeCell="I22" sqref="I22"/>
    </sheetView>
  </sheetViews>
  <sheetFormatPr defaultRowHeight="15.75" outlineLevelRow="1" x14ac:dyDescent="0.25"/>
  <cols>
    <col min="1" max="1" width="28.625" customWidth="1"/>
    <col min="2" max="2" width="10.125" customWidth="1"/>
    <col min="3" max="3" width="7.5" bestFit="1" customWidth="1"/>
    <col min="4" max="5" width="9.125" bestFit="1" customWidth="1"/>
    <col min="6" max="6" width="9.5" customWidth="1"/>
    <col min="7" max="7" width="9.25" bestFit="1" customWidth="1"/>
    <col min="8" max="8" width="9.5" customWidth="1"/>
    <col min="9" max="11" width="9.25" bestFit="1" customWidth="1"/>
    <col min="12" max="17" width="10.375" bestFit="1" customWidth="1"/>
  </cols>
  <sheetData>
    <row r="1" spans="1:17" s="8" customFormat="1" ht="24.75" customHeight="1" x14ac:dyDescent="0.25">
      <c r="A1" s="219" t="s">
        <v>749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1"/>
      <c r="N1" s="221"/>
      <c r="O1" s="221"/>
      <c r="P1" s="221"/>
      <c r="Q1" s="221"/>
    </row>
    <row r="2" spans="1:17" s="1" customFormat="1" ht="13.5" customHeight="1" x14ac:dyDescent="0.25">
      <c r="A2" s="234" t="s">
        <v>591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6"/>
      <c r="N2" s="236"/>
      <c r="O2" s="236"/>
      <c r="P2" s="236"/>
      <c r="Q2" s="236"/>
    </row>
    <row r="3" spans="1:17" x14ac:dyDescent="0.25">
      <c r="A3" s="239"/>
      <c r="B3" s="15"/>
      <c r="C3" s="16">
        <f>+PL!C2</f>
        <v>2008</v>
      </c>
      <c r="D3" s="16">
        <f>+PL!D2</f>
        <v>2009</v>
      </c>
      <c r="E3" s="16">
        <f>+PL!E2</f>
        <v>2010</v>
      </c>
      <c r="F3" s="16">
        <f>+PL!F2</f>
        <v>2011</v>
      </c>
      <c r="G3" s="16">
        <f>+PL!G2</f>
        <v>2012</v>
      </c>
      <c r="H3" s="16">
        <f>+PL!H2</f>
        <v>2013</v>
      </c>
      <c r="I3" s="16">
        <f>+PL!I2</f>
        <v>2014</v>
      </c>
      <c r="J3" s="16">
        <f>+PL!J2</f>
        <v>2015</v>
      </c>
      <c r="K3" s="16">
        <f>+PL!K2</f>
        <v>2016</v>
      </c>
      <c r="L3" s="16">
        <f>+PL!L2</f>
        <v>2017</v>
      </c>
      <c r="M3" s="16">
        <f>+PL!M2</f>
        <v>2018</v>
      </c>
      <c r="N3" s="16">
        <f>+PL!N2</f>
        <v>2019</v>
      </c>
      <c r="O3" s="16">
        <f>+PL!O2</f>
        <v>2020</v>
      </c>
      <c r="P3" s="16">
        <f>+PL!P2</f>
        <v>2021</v>
      </c>
      <c r="Q3" s="16">
        <f>+PL!Q2</f>
        <v>2022</v>
      </c>
    </row>
    <row r="4" spans="1:17" x14ac:dyDescent="0.25">
      <c r="A4" s="240" t="s">
        <v>118</v>
      </c>
      <c r="C4" s="682">
        <v>34875</v>
      </c>
      <c r="D4" s="682">
        <f>+PL!D36</f>
        <v>870</v>
      </c>
      <c r="E4" s="682">
        <v>14343.259822721853</v>
      </c>
      <c r="F4" s="682">
        <v>11124.372687499997</v>
      </c>
      <c r="G4" s="682">
        <f ca="1">+PL!G36</f>
        <v>13837.715432699748</v>
      </c>
      <c r="H4" s="682">
        <f ca="1">+PL!H36</f>
        <v>10947.120433922366</v>
      </c>
      <c r="I4" s="682">
        <f ca="1">+PL!I36</f>
        <v>13917.617470712958</v>
      </c>
      <c r="J4" s="682">
        <f ca="1">+PL!J36</f>
        <v>27563.49304018058</v>
      </c>
      <c r="K4" s="682">
        <f ca="1">+PL!K36</f>
        <v>34746.900714526942</v>
      </c>
      <c r="L4" s="682">
        <f ca="1">+PL!L36</f>
        <v>42690.071394909668</v>
      </c>
      <c r="M4" s="682">
        <f ca="1">+PL!M36</f>
        <v>51310.614566868753</v>
      </c>
      <c r="N4" s="682">
        <f ca="1">+PL!N36</f>
        <v>60593.186019866858</v>
      </c>
      <c r="O4" s="682">
        <f ca="1">+PL!O36</f>
        <v>71209.685217968261</v>
      </c>
      <c r="P4" s="682">
        <f ca="1">+PL!P36</f>
        <v>81189.671361228247</v>
      </c>
      <c r="Q4" s="682">
        <f ca="1">+PL!Q36</f>
        <v>89914.699259629255</v>
      </c>
    </row>
    <row r="5" spans="1:17" x14ac:dyDescent="0.25">
      <c r="A5" s="241" t="s">
        <v>76</v>
      </c>
      <c r="C5" s="682">
        <v>1334</v>
      </c>
      <c r="D5" s="682">
        <v>1493</v>
      </c>
      <c r="E5" s="682">
        <v>1727.02</v>
      </c>
      <c r="F5" s="682">
        <v>1863.5887500000001</v>
      </c>
      <c r="G5" s="682">
        <f>-PL!G24</f>
        <v>2399</v>
      </c>
      <c r="H5" s="682">
        <f>-PL!H24</f>
        <v>2619.1849999999999</v>
      </c>
      <c r="I5" s="682">
        <f>-PL!I24</f>
        <v>7541.8414000000002</v>
      </c>
      <c r="J5" s="682">
        <f>-PL!J24</f>
        <v>9272.4635699999999</v>
      </c>
      <c r="K5" s="682">
        <f>-PL!K24</f>
        <v>9418.4635699999999</v>
      </c>
      <c r="L5" s="682">
        <f>-PL!L24</f>
        <v>9618.4635699999999</v>
      </c>
      <c r="M5" s="682">
        <f>-PL!M24</f>
        <v>9818.4635699999999</v>
      </c>
      <c r="N5" s="682">
        <f>-PL!N24</f>
        <v>10018.46357</v>
      </c>
      <c r="O5" s="682">
        <f>-PL!O24</f>
        <v>9408.4635699999999</v>
      </c>
      <c r="P5" s="682">
        <f>-PL!P24</f>
        <v>7873.4635700000017</v>
      </c>
      <c r="Q5" s="682">
        <f>-PL!Q24</f>
        <v>7873.4635700000044</v>
      </c>
    </row>
    <row r="6" spans="1:17" x14ac:dyDescent="0.25">
      <c r="A6" s="240"/>
      <c r="C6" s="1">
        <v>36209</v>
      </c>
      <c r="D6" s="1">
        <v>2398.9750000000004</v>
      </c>
      <c r="E6" s="1">
        <v>16070.279822721854</v>
      </c>
      <c r="F6" s="1">
        <v>12987.961437499998</v>
      </c>
      <c r="G6" s="1">
        <f t="shared" ref="G6:N6" ca="1" si="0">+G5+G4</f>
        <v>16236.715432699748</v>
      </c>
      <c r="H6" s="1">
        <f t="shared" ca="1" si="0"/>
        <v>13566.305433922365</v>
      </c>
      <c r="I6" s="1">
        <f t="shared" ca="1" si="0"/>
        <v>21459.458870712959</v>
      </c>
      <c r="J6" s="1">
        <f t="shared" ca="1" si="0"/>
        <v>36835.956610180583</v>
      </c>
      <c r="K6" s="1">
        <f t="shared" ca="1" si="0"/>
        <v>44165.364284526942</v>
      </c>
      <c r="L6" s="1">
        <f t="shared" ca="1" si="0"/>
        <v>52308.534964909668</v>
      </c>
      <c r="M6" s="1">
        <f t="shared" ca="1" si="0"/>
        <v>61129.078136868753</v>
      </c>
      <c r="N6" s="1">
        <f t="shared" ca="1" si="0"/>
        <v>70611.649589866865</v>
      </c>
      <c r="O6" s="1">
        <f t="shared" ref="O6:Q6" ca="1" si="1">+O5+O4</f>
        <v>80618.148787968268</v>
      </c>
      <c r="P6" s="1">
        <f t="shared" ca="1" si="1"/>
        <v>89063.134931228255</v>
      </c>
      <c r="Q6" s="1">
        <f t="shared" ca="1" si="1"/>
        <v>97788.162829629262</v>
      </c>
    </row>
    <row r="7" spans="1:17" x14ac:dyDescent="0.25">
      <c r="A7" s="241" t="s">
        <v>336</v>
      </c>
      <c r="C7" s="1">
        <v>0</v>
      </c>
      <c r="D7" s="1">
        <v>0</v>
      </c>
      <c r="E7" s="1">
        <v>0</v>
      </c>
      <c r="F7" s="1">
        <v>0</v>
      </c>
      <c r="G7" s="1">
        <f>-+Loan!G21</f>
        <v>0</v>
      </c>
      <c r="H7" s="1">
        <f>-+Loan!H21</f>
        <v>0</v>
      </c>
      <c r="I7" s="1">
        <f>-+Loan!I21</f>
        <v>4722.6563999999998</v>
      </c>
      <c r="J7" s="1">
        <f>-+Loan!J21</f>
        <v>5488.5599999999968</v>
      </c>
      <c r="K7" s="1">
        <f>-+Loan!K21</f>
        <v>4894.5331512000057</v>
      </c>
      <c r="L7" s="1">
        <f>-+Loan!L21</f>
        <v>4055.7549463200057</v>
      </c>
      <c r="M7" s="1">
        <f>-+Loan!M21</f>
        <v>3000.2757689520031</v>
      </c>
      <c r="N7" s="1">
        <f>-+Loan!N21</f>
        <v>1693.1432066472007</v>
      </c>
      <c r="O7" s="1">
        <f>-+Loan!O21</f>
        <v>94.581374191920062</v>
      </c>
      <c r="P7" s="1">
        <f>-+Loan!P21</f>
        <v>0</v>
      </c>
      <c r="Q7" s="1">
        <f>-+Loan!Q21</f>
        <v>0</v>
      </c>
    </row>
    <row r="8" spans="1:17" x14ac:dyDescent="0.25">
      <c r="A8" s="240" t="s">
        <v>119</v>
      </c>
      <c r="C8" s="1">
        <v>-33711.833495410552</v>
      </c>
      <c r="D8" s="1">
        <f>+BS!C11-BS!D11</f>
        <v>-7865</v>
      </c>
      <c r="E8" s="1">
        <f>+BS!D11-BS!E11</f>
        <v>-47051</v>
      </c>
      <c r="F8" s="1">
        <f>+BS!E11-BS!F11</f>
        <v>-15749</v>
      </c>
      <c r="G8" s="1">
        <f ca="1">+BS!F11-BS!G11</f>
        <v>5811.417153055052</v>
      </c>
      <c r="H8" s="1">
        <f ca="1">+BS!G11-BS!H11</f>
        <v>-26847.018138745159</v>
      </c>
      <c r="I8" s="1">
        <f ca="1">+BS!H11-BS!I11</f>
        <v>-15936.797717142676</v>
      </c>
      <c r="J8" s="1">
        <f ca="1">+BS!I11-BS!J11</f>
        <v>-8019.0091091290524</v>
      </c>
      <c r="K8" s="1">
        <f ca="1">+BS!J11-BS!K11</f>
        <v>-21205.747921475064</v>
      </c>
      <c r="L8" s="1">
        <f ca="1">+BS!K11-BS!L11</f>
        <v>-23723.155093755486</v>
      </c>
      <c r="M8" s="1">
        <f ca="1">+BS!L11-BS!M11</f>
        <v>-26567.513820655411</v>
      </c>
      <c r="N8" s="1">
        <f ca="1">+BS!M11-BS!N11</f>
        <v>-29784.268336302019</v>
      </c>
      <c r="O8" s="1">
        <f ca="1">+BS!N11-BS!O11</f>
        <v>-40772.898137648357</v>
      </c>
      <c r="P8" s="1">
        <f ca="1">+BS!O11-BS!P11</f>
        <v>-46537.731205522374</v>
      </c>
      <c r="Q8" s="1">
        <f ca="1">+BS!P11-BS!Q11</f>
        <v>-54903.442007488396</v>
      </c>
    </row>
    <row r="9" spans="1:17" x14ac:dyDescent="0.25">
      <c r="A9" s="240" t="s">
        <v>120</v>
      </c>
      <c r="C9" s="1">
        <v>-11366</v>
      </c>
      <c r="D9" s="1">
        <f>+BS!D29-BS!C29</f>
        <v>42741</v>
      </c>
      <c r="E9" s="1">
        <f>+BS!E29-BS!D29</f>
        <v>27209</v>
      </c>
      <c r="F9" s="1">
        <f>+BS!F29-BS!E29</f>
        <v>1896.0000000000146</v>
      </c>
      <c r="G9" s="1">
        <f ca="1">+BS!G29-BS!F29</f>
        <v>2733.5010386528593</v>
      </c>
      <c r="H9" s="1">
        <f ca="1">+BS!H29-BS!G29</f>
        <v>15655.69991887224</v>
      </c>
      <c r="I9" s="1">
        <f ca="1">+BS!I29-BS!H29</f>
        <v>8532.0581030521425</v>
      </c>
      <c r="J9" s="1">
        <f ca="1">+BS!J29-BS!I29</f>
        <v>9235.7264877930284</v>
      </c>
      <c r="K9" s="1">
        <f ca="1">+BS!K29-BS!J29</f>
        <v>22597.078818949114</v>
      </c>
      <c r="L9" s="1">
        <f ca="1">+BS!L29-BS!K29</f>
        <v>22414.782232066442</v>
      </c>
      <c r="M9" s="1">
        <f ca="1">+BS!M29-BS!L29</f>
        <v>25468.489675925171</v>
      </c>
      <c r="N9" s="1">
        <f ca="1">+BS!N29-BS!M29</f>
        <v>28965.240684433898</v>
      </c>
      <c r="O9" s="1">
        <f ca="1">+BS!O29-BS!N29</f>
        <v>40322.591235926666</v>
      </c>
      <c r="P9" s="1">
        <f ca="1">+BS!P29-BS!O29</f>
        <v>46563.442068023898</v>
      </c>
      <c r="Q9" s="1">
        <f ca="1">+BS!Q29-BS!P29</f>
        <v>55536.355470574345</v>
      </c>
    </row>
    <row r="10" spans="1:17" x14ac:dyDescent="0.25">
      <c r="A10" s="241" t="s">
        <v>337</v>
      </c>
      <c r="C10" s="1">
        <v>-8977.9999656948057</v>
      </c>
      <c r="D10" s="1">
        <f>+BS!C10-BS!D10</f>
        <v>-33331.000034305194</v>
      </c>
      <c r="E10" s="1">
        <f>+BS!D10-BS!E10</f>
        <v>31844</v>
      </c>
      <c r="F10" s="1">
        <f>+BS!E10-BS!F10</f>
        <v>5510.999999948308</v>
      </c>
      <c r="G10" s="1">
        <f ca="1">+BS!F10-BS!G10</f>
        <v>1498.6000000516906</v>
      </c>
      <c r="H10" s="1">
        <f ca="1">+BS!G10-BS!H10</f>
        <v>1869.8000281650056</v>
      </c>
      <c r="I10" s="1">
        <f ca="1">+BS!H10-BS!I10</f>
        <v>2604.7396140905184</v>
      </c>
      <c r="J10" s="1">
        <f ca="1">+BS!I10-BS!J10</f>
        <v>-6400.7173786639796</v>
      </c>
      <c r="K10" s="1">
        <f ca="1">+BS!J10-BS!K10</f>
        <v>-6990.3308974740285</v>
      </c>
      <c r="L10" s="1">
        <f ca="1">+BS!K10-BS!L10</f>
        <v>-4738.6271383109852</v>
      </c>
      <c r="M10" s="1">
        <f ca="1">+BS!L10-BS!M10</f>
        <v>-5430.9758552697676</v>
      </c>
      <c r="N10" s="1">
        <f ca="1">+BS!M10-BS!N10</f>
        <v>-6233.9723481318724</v>
      </c>
      <c r="O10" s="1">
        <f ca="1">+BS!N10-BS!O10</f>
        <v>-7166.6930982783015</v>
      </c>
      <c r="P10" s="1">
        <f ca="1">+BS!O10-BS!P10</f>
        <v>-8251.7108625015026</v>
      </c>
      <c r="Q10" s="1">
        <f ca="1">+BS!P10-BS!Q10</f>
        <v>-9516.9134630859917</v>
      </c>
    </row>
    <row r="11" spans="1:17" x14ac:dyDescent="0.25">
      <c r="A11" s="241" t="s">
        <v>338</v>
      </c>
      <c r="C11" s="1">
        <v>0</v>
      </c>
      <c r="D11" s="1">
        <f>+BS!C16-BS!D16+BS!C12-BS!D12</f>
        <v>-2113</v>
      </c>
      <c r="E11" s="1">
        <f>+BS!D16-BS!E16+BS!D12-BS!E12</f>
        <v>1470</v>
      </c>
      <c r="F11" s="1">
        <f>+BS!E16-BS!F16+BS!E12-BS!F12</f>
        <v>-802</v>
      </c>
      <c r="G11" s="1">
        <f>+BS!F16-BS!G16+BS!F12-BS!G12</f>
        <v>1</v>
      </c>
      <c r="H11" s="1">
        <f>+BS!G16-BS!H16+BS!G12-BS!H12</f>
        <v>0</v>
      </c>
      <c r="I11" s="1">
        <f>+BS!H16-BS!I16+BS!H12-BS!I12</f>
        <v>0</v>
      </c>
      <c r="J11" s="1">
        <f>+BS!I16-BS!J16+BS!I12-BS!J12</f>
        <v>0</v>
      </c>
      <c r="K11" s="1">
        <f>+BS!J16-BS!K16+BS!J12-BS!K12</f>
        <v>0</v>
      </c>
      <c r="L11" s="1">
        <f>+BS!K16-BS!L16+BS!K12-BS!L12</f>
        <v>0</v>
      </c>
      <c r="M11" s="1">
        <f>+BS!L16-BS!M16+BS!L12-BS!M12</f>
        <v>0</v>
      </c>
      <c r="N11" s="1">
        <f>+BS!M16-BS!N16+BS!M12-BS!N12</f>
        <v>0</v>
      </c>
      <c r="O11" s="1">
        <f>+BS!N16-BS!O16+BS!N12-BS!O12</f>
        <v>0</v>
      </c>
      <c r="P11" s="1">
        <f>+BS!O16-BS!P16+BS!O12-BS!P12</f>
        <v>0</v>
      </c>
      <c r="Q11" s="1">
        <f>+BS!P16-BS!Q16+BS!P12-BS!Q12</f>
        <v>0</v>
      </c>
    </row>
    <row r="12" spans="1:17" x14ac:dyDescent="0.25">
      <c r="A12" s="241" t="s">
        <v>687</v>
      </c>
      <c r="C12" s="1"/>
      <c r="D12" s="1">
        <f>+BS!C14-BS!D14</f>
        <v>-1640</v>
      </c>
      <c r="E12" s="1">
        <f>+BS!D14-BS!E14</f>
        <v>-46</v>
      </c>
      <c r="F12" s="1">
        <f>+BS!E14-BS!F14</f>
        <v>2766</v>
      </c>
      <c r="G12" s="1">
        <f>+BS!F14-BS!G14</f>
        <v>0</v>
      </c>
      <c r="H12" s="1">
        <f>+BS!G14-BS!H14</f>
        <v>0</v>
      </c>
      <c r="I12" s="1">
        <f>+BS!H14-BS!I14</f>
        <v>0</v>
      </c>
      <c r="J12" s="1">
        <f>+BS!I14-BS!J14</f>
        <v>0</v>
      </c>
      <c r="K12" s="1">
        <f>+BS!J14-BS!K14</f>
        <v>0</v>
      </c>
      <c r="L12" s="1">
        <f>+BS!K14-BS!L14</f>
        <v>0</v>
      </c>
      <c r="M12" s="1">
        <f>+BS!L14-BS!M14</f>
        <v>0</v>
      </c>
      <c r="N12" s="1">
        <f>+BS!M14-BS!N14</f>
        <v>0</v>
      </c>
      <c r="O12" s="1">
        <f>+BS!N14-BS!O14</f>
        <v>0</v>
      </c>
      <c r="P12" s="1">
        <f>+BS!O14-BS!P14</f>
        <v>0</v>
      </c>
      <c r="Q12" s="1">
        <f>+BS!P14-BS!Q14</f>
        <v>0</v>
      </c>
    </row>
    <row r="13" spans="1:17" x14ac:dyDescent="0.25">
      <c r="A13" s="241" t="s">
        <v>339</v>
      </c>
      <c r="C13" s="1">
        <v>9400</v>
      </c>
      <c r="D13" s="1">
        <f>+BS!D30-BS!C30+(BS!D32-BS!C32)*0+D29</f>
        <v>-3061</v>
      </c>
      <c r="E13" s="1">
        <f>+BS!E30-BS!D30+(BS!E32-BS!D32)*0+E29</f>
        <v>-11565</v>
      </c>
      <c r="F13" s="684">
        <f>+BS!F30-BS!E30+(BS!F32-BS!E32)*0+F29-851</f>
        <v>24.979166666667879</v>
      </c>
      <c r="G13" s="1">
        <f>+BS!G30-BS!F30+(BS!G32-BS!F32)*0</f>
        <v>-12200.145833333334</v>
      </c>
      <c r="H13" s="1">
        <f>+BS!H30-BS!G30+BS!H32-BS!G32</f>
        <v>830.70666666666602</v>
      </c>
      <c r="I13" s="1">
        <f>+BS!I30-BS!H30+BS!I32-BS!H32</f>
        <v>965.60333333333347</v>
      </c>
      <c r="J13" s="1">
        <f>+BS!J30-BS!I30+BS!J32-BS!I32</f>
        <v>1137.5533333333333</v>
      </c>
      <c r="K13" s="1">
        <f>+BS!K30-BS!J30+BS!K32-BS!J32</f>
        <v>1343.5366666666669</v>
      </c>
      <c r="L13" s="1">
        <f>+BS!L30-BS!K30+BS!L32-BS!K32</f>
        <v>1589.7966666666653</v>
      </c>
      <c r="M13" s="1">
        <f>+BS!M30-BS!L30+BS!M32-BS!L32</f>
        <v>1884.3466666666682</v>
      </c>
      <c r="N13" s="1">
        <f>+BS!N30-BS!M30+BS!N32-BS!M32</f>
        <v>2237.5933333333323</v>
      </c>
      <c r="O13" s="1">
        <f>+BS!O30-BS!N30+BS!O32-BS!N32</f>
        <v>2662.1500000000033</v>
      </c>
      <c r="P13" s="1">
        <f>+BS!P30-BS!O30+BS!P32-BS!O32</f>
        <v>3172.003333333334</v>
      </c>
      <c r="Q13" s="1">
        <f>+BS!Q30-BS!P30+BS!Q32-BS!P32</f>
        <v>3786.7799999999988</v>
      </c>
    </row>
    <row r="14" spans="1:17" x14ac:dyDescent="0.25">
      <c r="A14" s="242" t="s">
        <v>346</v>
      </c>
      <c r="B14" s="16"/>
      <c r="C14" s="11">
        <v>-8446.8334611053579</v>
      </c>
      <c r="D14" s="11">
        <f>SUM(D6:D13)</f>
        <v>-2870.0250343051957</v>
      </c>
      <c r="E14" s="11">
        <f>SUM(E6:E13)</f>
        <v>17931.279822721852</v>
      </c>
      <c r="F14" s="11">
        <f t="shared" ref="F14:N14" si="2">SUM(F6:F13)</f>
        <v>6634.9406041149887</v>
      </c>
      <c r="G14" s="11">
        <f t="shared" ca="1" si="2"/>
        <v>14081.087791126016</v>
      </c>
      <c r="H14" s="11">
        <f t="shared" ca="1" si="2"/>
        <v>5075.4939088811179</v>
      </c>
      <c r="I14" s="11">
        <f t="shared" ca="1" si="2"/>
        <v>22347.718604046277</v>
      </c>
      <c r="J14" s="11">
        <f t="shared" ca="1" si="2"/>
        <v>38278.06994351391</v>
      </c>
      <c r="K14" s="11">
        <f t="shared" ca="1" si="2"/>
        <v>44804.434102393636</v>
      </c>
      <c r="L14" s="11">
        <f t="shared" ca="1" si="2"/>
        <v>51907.086577896305</v>
      </c>
      <c r="M14" s="11">
        <f t="shared" ca="1" si="2"/>
        <v>59483.700572487418</v>
      </c>
      <c r="N14" s="11">
        <f t="shared" ca="1" si="2"/>
        <v>67489.386129847408</v>
      </c>
      <c r="O14" s="11">
        <f t="shared" ref="O14:Q14" ca="1" si="3">SUM(O6:O13)</f>
        <v>75757.880162160218</v>
      </c>
      <c r="P14" s="11">
        <f t="shared" ca="1" si="3"/>
        <v>84009.138264561596</v>
      </c>
      <c r="Q14" s="11">
        <f t="shared" ca="1" si="3"/>
        <v>92690.942829629217</v>
      </c>
    </row>
    <row r="15" spans="1:17" ht="18" customHeight="1" x14ac:dyDescent="0.25">
      <c r="A15" s="24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5">
      <c r="A16" s="241" t="s">
        <v>340</v>
      </c>
      <c r="C16" s="1">
        <v>0</v>
      </c>
      <c r="D16" s="1">
        <f>-4585+29</f>
        <v>-4556</v>
      </c>
      <c r="E16" s="1">
        <f>-8808-59</f>
        <v>-8867</v>
      </c>
      <c r="F16" s="684">
        <f>(-5304-251)*0-4704</f>
        <v>-4704</v>
      </c>
      <c r="G16" s="1">
        <f>-+Invest!G17</f>
        <v>-2201.85</v>
      </c>
      <c r="H16" s="1">
        <f>-+Invest!H17</f>
        <v>-49226.563999999998</v>
      </c>
      <c r="I16" s="1">
        <f>-+Invest!I17</f>
        <v>-17306.221700000002</v>
      </c>
      <c r="J16" s="1">
        <f>-+Invest!J17</f>
        <v>-2000</v>
      </c>
      <c r="K16" s="1">
        <f>-+Invest!K17</f>
        <v>-2000</v>
      </c>
      <c r="L16" s="1">
        <f>-+Invest!L17</f>
        <v>-2000</v>
      </c>
      <c r="M16" s="1">
        <f>-+Invest!M17</f>
        <v>-2000</v>
      </c>
      <c r="N16" s="1">
        <f>-+Invest!N17</f>
        <v>-2000</v>
      </c>
      <c r="O16" s="1">
        <f>-+Invest!O17</f>
        <v>-2000</v>
      </c>
      <c r="P16" s="1">
        <f>-+Invest!P17</f>
        <v>-2000</v>
      </c>
      <c r="Q16" s="1">
        <f>-+Invest!Q17</f>
        <v>-2000</v>
      </c>
    </row>
    <row r="17" spans="1:17" x14ac:dyDescent="0.25">
      <c r="A17" s="241" t="s">
        <v>341</v>
      </c>
      <c r="C17" s="1">
        <v>319.51881710061099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A18" s="242" t="s">
        <v>347</v>
      </c>
      <c r="B18" s="16"/>
      <c r="C18" s="11">
        <f t="shared" ref="C18:F18" si="4">+C17+C16</f>
        <v>319.51881710061099</v>
      </c>
      <c r="D18" s="11">
        <f t="shared" si="4"/>
        <v>-4556</v>
      </c>
      <c r="E18" s="11">
        <f t="shared" si="4"/>
        <v>-8867</v>
      </c>
      <c r="F18" s="11">
        <f t="shared" si="4"/>
        <v>-4704</v>
      </c>
      <c r="G18" s="11">
        <f t="shared" ref="G18:H18" si="5">+G17+G16</f>
        <v>-2201.85</v>
      </c>
      <c r="H18" s="11">
        <f t="shared" si="5"/>
        <v>-49226.563999999998</v>
      </c>
      <c r="I18" s="11">
        <f t="shared" ref="I18:N18" si="6">+I17+I16</f>
        <v>-17306.221700000002</v>
      </c>
      <c r="J18" s="11">
        <f t="shared" si="6"/>
        <v>-2000</v>
      </c>
      <c r="K18" s="11">
        <f t="shared" si="6"/>
        <v>-2000</v>
      </c>
      <c r="L18" s="11">
        <f t="shared" si="6"/>
        <v>-2000</v>
      </c>
      <c r="M18" s="11">
        <f t="shared" si="6"/>
        <v>-2000</v>
      </c>
      <c r="N18" s="11">
        <f t="shared" si="6"/>
        <v>-2000</v>
      </c>
      <c r="O18" s="11">
        <f t="shared" ref="O18:Q18" si="7">+O17+O16</f>
        <v>-2000</v>
      </c>
      <c r="P18" s="11">
        <f t="shared" si="7"/>
        <v>-2000</v>
      </c>
      <c r="Q18" s="11">
        <f t="shared" si="7"/>
        <v>-2000</v>
      </c>
    </row>
    <row r="19" spans="1:17" ht="9" customHeight="1" x14ac:dyDescent="0.25">
      <c r="A19" s="24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s="241"/>
      <c r="C20" s="75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</row>
    <row r="21" spans="1:17" x14ac:dyDescent="0.25">
      <c r="A21" s="241" t="s">
        <v>342</v>
      </c>
      <c r="C21" s="75"/>
      <c r="D21" s="72">
        <v>215</v>
      </c>
      <c r="E21" s="72">
        <v>0</v>
      </c>
      <c r="F21" s="72"/>
      <c r="G21" s="72">
        <f>+Loan!G5</f>
        <v>0</v>
      </c>
      <c r="H21" s="72">
        <f>+Loan!H5</f>
        <v>47226.563999999998</v>
      </c>
      <c r="I21" s="72">
        <f>+Loan!I5</f>
        <v>2936.3796000000002</v>
      </c>
      <c r="J21" s="72">
        <f>+Loan!J5</f>
        <v>0</v>
      </c>
      <c r="K21" s="72">
        <f>+Loan!K5</f>
        <v>0</v>
      </c>
      <c r="L21" s="72">
        <f>+Loan!L5</f>
        <v>0</v>
      </c>
      <c r="M21" s="72">
        <f>+Loan!M5</f>
        <v>0</v>
      </c>
      <c r="N21" s="72">
        <f>+Loan!N5</f>
        <v>0</v>
      </c>
      <c r="O21" s="72">
        <f>+Loan!O5</f>
        <v>0</v>
      </c>
      <c r="P21" s="72">
        <f>+Loan!P5</f>
        <v>0</v>
      </c>
      <c r="Q21" s="72">
        <f>+Loan!Q5</f>
        <v>0</v>
      </c>
    </row>
    <row r="22" spans="1:17" x14ac:dyDescent="0.25">
      <c r="A22" s="241" t="s">
        <v>343</v>
      </c>
      <c r="C22" s="75"/>
      <c r="D22" s="72">
        <v>0</v>
      </c>
      <c r="E22" s="72">
        <v>-215</v>
      </c>
      <c r="F22" s="72">
        <v>0</v>
      </c>
      <c r="G22" s="72">
        <f>+Loan!G9</f>
        <v>0</v>
      </c>
      <c r="H22" s="72">
        <f>+Loan!H9</f>
        <v>0</v>
      </c>
      <c r="I22" s="72">
        <f>+Loan!I9</f>
        <v>0</v>
      </c>
      <c r="J22" s="72">
        <f>+Loan!J9</f>
        <v>-11428.828487999999</v>
      </c>
      <c r="K22" s="72">
        <f>+Loan!K9</f>
        <v>-13282.315200000003</v>
      </c>
      <c r="L22" s="72">
        <f>+Loan!L9</f>
        <v>-14610.546720000002</v>
      </c>
      <c r="M22" s="72">
        <f>+Loan!M9</f>
        <v>-16071.601392000004</v>
      </c>
      <c r="N22" s="72">
        <f>+Loan!N9</f>
        <v>-17678.761531200005</v>
      </c>
      <c r="O22" s="72">
        <f>+Loan!O9</f>
        <v>-1040.3951161111204</v>
      </c>
      <c r="P22" s="72">
        <f>+Loan!P9</f>
        <v>0</v>
      </c>
      <c r="Q22" s="72">
        <f>+Loan!Q9</f>
        <v>0</v>
      </c>
    </row>
    <row r="23" spans="1:17" x14ac:dyDescent="0.25">
      <c r="A23" s="241" t="s">
        <v>696</v>
      </c>
      <c r="C23" s="75">
        <f>1795*0+1250</f>
        <v>1250</v>
      </c>
      <c r="D23" s="75">
        <f>1720*0+2265</f>
        <v>2265</v>
      </c>
      <c r="E23" s="1">
        <v>3705</v>
      </c>
      <c r="F23" s="1">
        <v>166</v>
      </c>
      <c r="G23" s="1">
        <f>1.17*Assumptions!G6</f>
        <v>2211.2999999999997</v>
      </c>
      <c r="H23" s="75"/>
      <c r="I23" s="75"/>
      <c r="J23" s="75"/>
      <c r="K23" s="75"/>
      <c r="L23" s="75"/>
      <c r="M23" s="75"/>
      <c r="N23" s="75"/>
      <c r="O23" s="75"/>
      <c r="P23" s="75"/>
      <c r="Q23" s="75"/>
    </row>
    <row r="24" spans="1:17" x14ac:dyDescent="0.25">
      <c r="A24" s="241" t="s">
        <v>678</v>
      </c>
      <c r="C24" s="75"/>
      <c r="D24" s="75"/>
      <c r="E24" s="1">
        <v>10946</v>
      </c>
      <c r="F24" s="1"/>
      <c r="G24" s="1"/>
      <c r="H24" s="75"/>
      <c r="I24" s="75"/>
      <c r="J24" s="75"/>
      <c r="K24" s="75"/>
      <c r="L24" s="75"/>
      <c r="M24" s="75"/>
      <c r="N24" s="75"/>
      <c r="O24" s="75"/>
      <c r="P24" s="75"/>
      <c r="Q24" s="75"/>
    </row>
    <row r="25" spans="1:17" x14ac:dyDescent="0.25">
      <c r="A25" s="241" t="s">
        <v>416</v>
      </c>
      <c r="C25" s="75"/>
      <c r="D25" s="137">
        <f>IF($B$29=0,D27,D28)</f>
        <v>-1126</v>
      </c>
      <c r="E25" s="137">
        <f t="shared" ref="E25:G25" si="8">IF($B$29=0,E27,E28)</f>
        <v>-14647</v>
      </c>
      <c r="F25" s="137">
        <f t="shared" si="8"/>
        <v>-5463</v>
      </c>
      <c r="G25" s="137">
        <f t="shared" si="8"/>
        <v>-7389</v>
      </c>
      <c r="H25" s="137">
        <f ca="1">-Assumptions!H9</f>
        <v>0</v>
      </c>
      <c r="I25" s="137">
        <f ca="1">-Assumptions!I9</f>
        <v>0</v>
      </c>
      <c r="J25" s="137">
        <f ca="1">-Assumptions!J9</f>
        <v>-8350.5704824277746</v>
      </c>
      <c r="K25" s="137">
        <f ca="1">-Assumptions!K9</f>
        <v>-16538.095824108346</v>
      </c>
      <c r="L25" s="137">
        <f ca="1">-Assumptions!L9</f>
        <v>-20848.140428716164</v>
      </c>
      <c r="M25" s="137">
        <f ca="1">-Assumptions!M9</f>
        <v>-25614.042836945799</v>
      </c>
      <c r="N25" s="137">
        <f ca="1">-Assumptions!N9</f>
        <v>-30786.368740121252</v>
      </c>
      <c r="O25" s="137">
        <f ca="1">-Assumptions!O9</f>
        <v>-36355.911611920114</v>
      </c>
      <c r="P25" s="137">
        <f ca="1">-Assumptions!P9</f>
        <v>-42725.811130780952</v>
      </c>
      <c r="Q25" s="137">
        <f ca="1">-Assumptions!Q9</f>
        <v>-48713.802816736948</v>
      </c>
    </row>
    <row r="26" spans="1:17" x14ac:dyDescent="0.25">
      <c r="A26" s="242" t="s">
        <v>348</v>
      </c>
      <c r="B26" s="16"/>
      <c r="C26" s="11">
        <v>1795.0000000000039</v>
      </c>
      <c r="D26" s="11">
        <f t="shared" ref="D26:F26" si="9">SUM(D21:D25)</f>
        <v>1354</v>
      </c>
      <c r="E26" s="11">
        <f t="shared" si="9"/>
        <v>-211</v>
      </c>
      <c r="F26" s="11">
        <f t="shared" si="9"/>
        <v>-5297</v>
      </c>
      <c r="G26" s="11">
        <f t="shared" ref="G26:N26" si="10">SUM(G21:G25)</f>
        <v>-5177.7000000000007</v>
      </c>
      <c r="H26" s="11">
        <f t="shared" ca="1" si="10"/>
        <v>47226.563999999998</v>
      </c>
      <c r="I26" s="11">
        <f t="shared" ca="1" si="10"/>
        <v>2936.3796000000002</v>
      </c>
      <c r="J26" s="11">
        <f t="shared" ca="1" si="10"/>
        <v>-19779.398970427774</v>
      </c>
      <c r="K26" s="11">
        <f t="shared" ca="1" si="10"/>
        <v>-29820.411024108347</v>
      </c>
      <c r="L26" s="11">
        <f t="shared" ca="1" si="10"/>
        <v>-35458.68714871617</v>
      </c>
      <c r="M26" s="11">
        <f t="shared" ca="1" si="10"/>
        <v>-41685.644228945806</v>
      </c>
      <c r="N26" s="11">
        <f t="shared" ca="1" si="10"/>
        <v>-48465.130271321257</v>
      </c>
      <c r="O26" s="11">
        <f t="shared" ref="O26:Q26" ca="1" si="11">SUM(O21:O25)</f>
        <v>-37396.306728031232</v>
      </c>
      <c r="P26" s="11">
        <f t="shared" ca="1" si="11"/>
        <v>-42725.811130780952</v>
      </c>
      <c r="Q26" s="11">
        <f t="shared" ca="1" si="11"/>
        <v>-48713.802816736948</v>
      </c>
    </row>
    <row r="27" spans="1:17" hidden="1" outlineLevel="1" x14ac:dyDescent="0.25">
      <c r="A27" s="685" t="s">
        <v>688</v>
      </c>
      <c r="B27" s="686"/>
      <c r="C27" s="687"/>
      <c r="D27" s="688">
        <v>-14023</v>
      </c>
      <c r="E27" s="688">
        <f>-2354*0-2609</f>
        <v>-2609</v>
      </c>
      <c r="F27" s="688">
        <f>-14755</f>
        <v>-14755</v>
      </c>
      <c r="G27" s="688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7" hidden="1" outlineLevel="1" x14ac:dyDescent="0.25">
      <c r="A28" s="685" t="s">
        <v>689</v>
      </c>
      <c r="B28" s="686"/>
      <c r="C28" s="687"/>
      <c r="D28" s="689">
        <v>-1126</v>
      </c>
      <c r="E28" s="689">
        <v>-14647</v>
      </c>
      <c r="F28" s="689">
        <v>-5463</v>
      </c>
      <c r="G28" s="689">
        <f>-7389-3943*0</f>
        <v>-7389</v>
      </c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17" hidden="1" outlineLevel="1" x14ac:dyDescent="0.25">
      <c r="A29" s="251" t="s">
        <v>690</v>
      </c>
      <c r="B29">
        <v>1</v>
      </c>
      <c r="C29" s="1"/>
      <c r="D29" s="1">
        <f>(+D27-D28)*$B$29</f>
        <v>-12897</v>
      </c>
      <c r="E29" s="1">
        <f t="shared" ref="E29:G29" si="12">(+E27-E28)*$B$29</f>
        <v>12038</v>
      </c>
      <c r="F29" s="1">
        <f t="shared" si="12"/>
        <v>-9292</v>
      </c>
      <c r="G29" s="1">
        <f t="shared" si="12"/>
        <v>7389</v>
      </c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collapsed="1" x14ac:dyDescent="0.25">
      <c r="A30" s="24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8.75" x14ac:dyDescent="0.3">
      <c r="A31" s="243" t="s">
        <v>349</v>
      </c>
      <c r="B31" s="21"/>
      <c r="C31" s="22">
        <v>-6332.3146440047431</v>
      </c>
      <c r="D31" s="22">
        <f t="shared" ref="D31:F31" si="13">+D26+D18+D14</f>
        <v>-6072.0250343051957</v>
      </c>
      <c r="E31" s="22">
        <f t="shared" si="13"/>
        <v>8853.2798227218518</v>
      </c>
      <c r="F31" s="22">
        <f t="shared" si="13"/>
        <v>-3366.0593958850113</v>
      </c>
      <c r="G31" s="22">
        <f t="shared" ref="G31:N31" ca="1" si="14">+G26+G18+G14</f>
        <v>6701.5377911260148</v>
      </c>
      <c r="H31" s="22">
        <f t="shared" ca="1" si="14"/>
        <v>3075.4939088811179</v>
      </c>
      <c r="I31" s="22">
        <f t="shared" ca="1" si="14"/>
        <v>7977.8765040462749</v>
      </c>
      <c r="J31" s="22">
        <f t="shared" ca="1" si="14"/>
        <v>16498.670973086137</v>
      </c>
      <c r="K31" s="22">
        <f t="shared" ca="1" si="14"/>
        <v>12984.023078285289</v>
      </c>
      <c r="L31" s="22">
        <f t="shared" ca="1" si="14"/>
        <v>14448.399429180135</v>
      </c>
      <c r="M31" s="22">
        <f t="shared" ca="1" si="14"/>
        <v>15798.056343541612</v>
      </c>
      <c r="N31" s="22">
        <f t="shared" ca="1" si="14"/>
        <v>17024.25585852615</v>
      </c>
      <c r="O31" s="22">
        <f t="shared" ref="O31:Q31" ca="1" si="15">+O26+O18+O14</f>
        <v>36361.573434128986</v>
      </c>
      <c r="P31" s="22">
        <f t="shared" ca="1" si="15"/>
        <v>39283.327133780644</v>
      </c>
      <c r="Q31" s="22">
        <f t="shared" ca="1" si="15"/>
        <v>41977.140012892269</v>
      </c>
    </row>
    <row r="32" spans="1:17" x14ac:dyDescent="0.25">
      <c r="A32" s="240"/>
      <c r="C32" s="674"/>
      <c r="D32" s="675"/>
      <c r="E32" s="675"/>
      <c r="F32" s="675"/>
      <c r="G32" s="675"/>
      <c r="H32" s="675"/>
      <c r="I32" s="675"/>
      <c r="J32" s="675"/>
      <c r="K32" s="675"/>
      <c r="L32" s="675"/>
      <c r="M32" s="675"/>
      <c r="N32" s="675"/>
      <c r="O32" s="675"/>
      <c r="P32" s="675"/>
      <c r="Q32" s="675"/>
    </row>
    <row r="33" spans="1:17" s="5" customFormat="1" x14ac:dyDescent="0.25">
      <c r="A33" s="244" t="s">
        <v>350</v>
      </c>
      <c r="C33" s="8">
        <v>-1295</v>
      </c>
      <c r="D33" s="8">
        <v>-7627.3146440047431</v>
      </c>
      <c r="E33" s="8">
        <v>-13699</v>
      </c>
      <c r="F33" s="8">
        <v>-4846</v>
      </c>
      <c r="G33" s="8">
        <f t="shared" ref="G33:N33" si="16">+F35</f>
        <v>-8212</v>
      </c>
      <c r="H33" s="8">
        <f t="shared" ca="1" si="16"/>
        <v>-1510.4622088739852</v>
      </c>
      <c r="I33" s="8">
        <f t="shared" ca="1" si="16"/>
        <v>1565.0317000071327</v>
      </c>
      <c r="J33" s="8">
        <f t="shared" ca="1" si="16"/>
        <v>9542.9082040534086</v>
      </c>
      <c r="K33" s="8">
        <f t="shared" ca="1" si="16"/>
        <v>26041.579177139545</v>
      </c>
      <c r="L33" s="8">
        <f t="shared" ca="1" si="16"/>
        <v>39025.602255424834</v>
      </c>
      <c r="M33" s="8">
        <f t="shared" ca="1" si="16"/>
        <v>53474.001684604969</v>
      </c>
      <c r="N33" s="8">
        <f t="shared" ca="1" si="16"/>
        <v>69272.058028146581</v>
      </c>
      <c r="O33" s="8">
        <f t="shared" ref="O33" ca="1" si="17">+N35</f>
        <v>86296.313886672724</v>
      </c>
      <c r="P33" s="8">
        <f t="shared" ref="P33" ca="1" si="18">+O35</f>
        <v>122657.8873208017</v>
      </c>
      <c r="Q33" s="8">
        <f t="shared" ref="Q33" ca="1" si="19">+P35</f>
        <v>161941.21445458234</v>
      </c>
    </row>
    <row r="34" spans="1:17" x14ac:dyDescent="0.25">
      <c r="A34" s="240" t="s">
        <v>121</v>
      </c>
      <c r="C34" s="1">
        <v>-6332.3146440047431</v>
      </c>
      <c r="D34" s="1">
        <f t="shared" ref="D34:F34" si="20">+D31</f>
        <v>-6072.0250343051957</v>
      </c>
      <c r="E34" s="1">
        <f t="shared" si="20"/>
        <v>8853.2798227218518</v>
      </c>
      <c r="F34" s="1">
        <f t="shared" si="20"/>
        <v>-3366.0593958850113</v>
      </c>
      <c r="G34" s="1">
        <f t="shared" ref="G34:H34" ca="1" si="21">+G31</f>
        <v>6701.5377911260148</v>
      </c>
      <c r="H34" s="1">
        <f t="shared" ca="1" si="21"/>
        <v>3075.4939088811179</v>
      </c>
      <c r="I34" s="1">
        <f t="shared" ref="I34:N34" ca="1" si="22">+I31</f>
        <v>7977.8765040462749</v>
      </c>
      <c r="J34" s="1">
        <f t="shared" ca="1" si="22"/>
        <v>16498.670973086137</v>
      </c>
      <c r="K34" s="1">
        <f t="shared" ca="1" si="22"/>
        <v>12984.023078285289</v>
      </c>
      <c r="L34" s="1">
        <f t="shared" ca="1" si="22"/>
        <v>14448.399429180135</v>
      </c>
      <c r="M34" s="1">
        <f t="shared" ca="1" si="22"/>
        <v>15798.056343541612</v>
      </c>
      <c r="N34" s="1">
        <f t="shared" ca="1" si="22"/>
        <v>17024.25585852615</v>
      </c>
      <c r="O34" s="1">
        <f t="shared" ref="O34:Q34" ca="1" si="23">+O31</f>
        <v>36361.573434128986</v>
      </c>
      <c r="P34" s="1">
        <f t="shared" ca="1" si="23"/>
        <v>39283.327133780644</v>
      </c>
      <c r="Q34" s="1">
        <f t="shared" ca="1" si="23"/>
        <v>41977.140012892269</v>
      </c>
    </row>
    <row r="35" spans="1:17" s="5" customFormat="1" x14ac:dyDescent="0.25">
      <c r="A35" s="245" t="s">
        <v>351</v>
      </c>
      <c r="B35" s="19">
        <f>+-BS!B27</f>
        <v>-1295</v>
      </c>
      <c r="C35" s="648">
        <v>-7627.3146440047431</v>
      </c>
      <c r="D35" s="648">
        <v>-13699</v>
      </c>
      <c r="E35" s="648">
        <v>-4846</v>
      </c>
      <c r="F35" s="683">
        <v>-8212</v>
      </c>
      <c r="G35" s="19">
        <f t="shared" ref="G35:H35" ca="1" si="24">+G34+G33</f>
        <v>-1510.4622088739852</v>
      </c>
      <c r="H35" s="19">
        <f t="shared" ca="1" si="24"/>
        <v>1565.0317000071327</v>
      </c>
      <c r="I35" s="19">
        <f t="shared" ref="I35:N35" ca="1" si="25">+I34+I33</f>
        <v>9542.9082040534086</v>
      </c>
      <c r="J35" s="19">
        <f t="shared" ca="1" si="25"/>
        <v>26041.579177139545</v>
      </c>
      <c r="K35" s="19">
        <f t="shared" ca="1" si="25"/>
        <v>39025.602255424834</v>
      </c>
      <c r="L35" s="19">
        <f t="shared" ca="1" si="25"/>
        <v>53474.001684604969</v>
      </c>
      <c r="M35" s="19">
        <f t="shared" ca="1" si="25"/>
        <v>69272.058028146581</v>
      </c>
      <c r="N35" s="19">
        <f t="shared" ca="1" si="25"/>
        <v>86296.313886672724</v>
      </c>
      <c r="O35" s="19">
        <f t="shared" ref="O35:Q35" ca="1" si="26">+O34+O33</f>
        <v>122657.8873208017</v>
      </c>
      <c r="P35" s="19">
        <f t="shared" ca="1" si="26"/>
        <v>161941.21445458234</v>
      </c>
      <c r="Q35" s="19">
        <f t="shared" ca="1" si="26"/>
        <v>203918.35446747462</v>
      </c>
    </row>
    <row r="36" spans="1:17" s="698" customFormat="1" ht="12" x14ac:dyDescent="0.2">
      <c r="A36" s="697"/>
      <c r="C36" s="699">
        <f t="shared" ref="C36" si="27">+C33+C34-C35</f>
        <v>0</v>
      </c>
      <c r="D36" s="699">
        <f>+D33+D34-D35</f>
        <v>-0.33967830993788084</v>
      </c>
      <c r="E36" s="699">
        <f t="shared" ref="E36:F36" si="28">+E33+E34-E35</f>
        <v>0.279822721851815</v>
      </c>
      <c r="F36" s="700">
        <f t="shared" si="28"/>
        <v>-5.9395885011326754E-2</v>
      </c>
      <c r="G36" s="699">
        <f t="shared" ref="G36:M36" ca="1" si="29">+G33+G34-G35</f>
        <v>0</v>
      </c>
      <c r="H36" s="699">
        <f t="shared" ca="1" si="29"/>
        <v>0</v>
      </c>
      <c r="I36" s="699">
        <f t="shared" ca="1" si="29"/>
        <v>0</v>
      </c>
      <c r="J36" s="699">
        <f t="shared" ca="1" si="29"/>
        <v>0</v>
      </c>
      <c r="K36" s="699">
        <f t="shared" ca="1" si="29"/>
        <v>0</v>
      </c>
      <c r="L36" s="699">
        <f t="shared" ca="1" si="29"/>
        <v>0</v>
      </c>
      <c r="M36" s="699">
        <f t="shared" ca="1" si="29"/>
        <v>0</v>
      </c>
      <c r="N36" s="699"/>
      <c r="O36" s="699"/>
      <c r="P36" s="699"/>
      <c r="Q36" s="699"/>
    </row>
    <row r="37" spans="1:17" x14ac:dyDescent="0.25">
      <c r="A37" s="244" t="s">
        <v>122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239"/>
      <c r="B38" s="16"/>
      <c r="C38" s="16">
        <v>2008</v>
      </c>
      <c r="D38" s="16">
        <v>2009</v>
      </c>
      <c r="E38" s="16">
        <v>2010</v>
      </c>
      <c r="F38" s="16">
        <v>2011</v>
      </c>
      <c r="G38" s="16">
        <f t="shared" ref="G38:N38" si="30">+G3</f>
        <v>2012</v>
      </c>
      <c r="H38" s="16">
        <f t="shared" si="30"/>
        <v>2013</v>
      </c>
      <c r="I38" s="16">
        <f t="shared" si="30"/>
        <v>2014</v>
      </c>
      <c r="J38" s="16">
        <f t="shared" si="30"/>
        <v>2015</v>
      </c>
      <c r="K38" s="16">
        <f t="shared" si="30"/>
        <v>2016</v>
      </c>
      <c r="L38" s="16">
        <f t="shared" si="30"/>
        <v>2017</v>
      </c>
      <c r="M38" s="16">
        <f t="shared" si="30"/>
        <v>2018</v>
      </c>
      <c r="N38" s="16">
        <f t="shared" si="30"/>
        <v>2019</v>
      </c>
      <c r="O38" s="16">
        <f t="shared" ref="O38:Q38" si="31">+O3</f>
        <v>2020</v>
      </c>
      <c r="P38" s="16">
        <f t="shared" si="31"/>
        <v>2021</v>
      </c>
      <c r="Q38" s="16">
        <f t="shared" si="31"/>
        <v>2022</v>
      </c>
    </row>
    <row r="39" spans="1:17" x14ac:dyDescent="0.25">
      <c r="A39" s="246" t="s">
        <v>352</v>
      </c>
      <c r="B39" s="23">
        <f>+BS!B14</f>
        <v>3102</v>
      </c>
      <c r="C39" s="23">
        <v>1638</v>
      </c>
      <c r="D39" s="23">
        <v>3278</v>
      </c>
      <c r="E39" s="23">
        <v>3324</v>
      </c>
      <c r="F39" s="23">
        <v>558</v>
      </c>
      <c r="G39" s="23">
        <f>+BS!G14</f>
        <v>558</v>
      </c>
      <c r="H39" s="23">
        <f>+BS!H14</f>
        <v>558</v>
      </c>
      <c r="I39" s="23">
        <f>+BS!I14</f>
        <v>558</v>
      </c>
      <c r="J39" s="23">
        <f>+BS!J14</f>
        <v>558</v>
      </c>
      <c r="K39" s="23">
        <f>+BS!K14</f>
        <v>558</v>
      </c>
      <c r="L39" s="23">
        <f>+BS!L14</f>
        <v>558</v>
      </c>
      <c r="M39" s="23">
        <f>+BS!M14</f>
        <v>558</v>
      </c>
      <c r="N39" s="23">
        <f>+M39</f>
        <v>558</v>
      </c>
      <c r="O39" s="23">
        <f t="shared" ref="O39:Q39" si="32">+N39</f>
        <v>558</v>
      </c>
      <c r="P39" s="23">
        <f t="shared" si="32"/>
        <v>558</v>
      </c>
      <c r="Q39" s="23">
        <f t="shared" si="32"/>
        <v>558</v>
      </c>
    </row>
    <row r="40" spans="1:17" x14ac:dyDescent="0.25">
      <c r="A40" s="241" t="s">
        <v>353</v>
      </c>
      <c r="B40" s="1">
        <f>-BS!B27</f>
        <v>-1295</v>
      </c>
      <c r="C40" s="1">
        <v>-7627.3146440047431</v>
      </c>
      <c r="D40" s="1">
        <v>-13699</v>
      </c>
      <c r="E40" s="1">
        <v>-4846</v>
      </c>
      <c r="F40" s="1">
        <f>+F35</f>
        <v>-8212</v>
      </c>
      <c r="G40" s="1">
        <f t="shared" ref="G40:H40" ca="1" si="33">+G35</f>
        <v>-1510.4622088739852</v>
      </c>
      <c r="H40" s="1">
        <f t="shared" ca="1" si="33"/>
        <v>1565.0317000071327</v>
      </c>
      <c r="I40" s="1">
        <f t="shared" ref="I40:N40" ca="1" si="34">+I35</f>
        <v>9542.9082040534086</v>
      </c>
      <c r="J40" s="1">
        <f t="shared" ca="1" si="34"/>
        <v>26041.579177139545</v>
      </c>
      <c r="K40" s="1">
        <f t="shared" ca="1" si="34"/>
        <v>39025.602255424834</v>
      </c>
      <c r="L40" s="1">
        <f t="shared" ca="1" si="34"/>
        <v>53474.001684604969</v>
      </c>
      <c r="M40" s="1">
        <f t="shared" ca="1" si="34"/>
        <v>69272.058028146581</v>
      </c>
      <c r="N40" s="1">
        <f t="shared" ca="1" si="34"/>
        <v>86296.313886672724</v>
      </c>
      <c r="O40" s="1">
        <f t="shared" ref="O40:Q40" ca="1" si="35">+O35</f>
        <v>122657.8873208017</v>
      </c>
      <c r="P40" s="1">
        <f t="shared" ca="1" si="35"/>
        <v>161941.21445458234</v>
      </c>
      <c r="Q40" s="1">
        <f t="shared" ca="1" si="35"/>
        <v>203918.35446747462</v>
      </c>
    </row>
    <row r="41" spans="1:17" x14ac:dyDescent="0.25">
      <c r="A41" s="241" t="s">
        <v>342</v>
      </c>
      <c r="B41" s="1">
        <f>-BS!B28</f>
        <v>-15</v>
      </c>
      <c r="C41" s="1">
        <v>-15</v>
      </c>
      <c r="D41" s="1">
        <v>-230</v>
      </c>
      <c r="E41" s="1">
        <v>-15</v>
      </c>
      <c r="F41" s="1"/>
      <c r="G41" s="1">
        <f t="shared" ref="G41:N41" si="36">+F41-+G21-+G22-G7</f>
        <v>0</v>
      </c>
      <c r="H41" s="1">
        <f t="shared" si="36"/>
        <v>-47226.563999999998</v>
      </c>
      <c r="I41" s="1">
        <f t="shared" si="36"/>
        <v>-54885.599999999999</v>
      </c>
      <c r="J41" s="1">
        <f t="shared" si="36"/>
        <v>-48945.331511999997</v>
      </c>
      <c r="K41" s="1">
        <f t="shared" si="36"/>
        <v>-40557.549463199997</v>
      </c>
      <c r="L41" s="1">
        <f t="shared" si="36"/>
        <v>-30002.75768952</v>
      </c>
      <c r="M41" s="1">
        <f t="shared" si="36"/>
        <v>-16931.432066472</v>
      </c>
      <c r="N41" s="1">
        <f t="shared" si="36"/>
        <v>-945.81374191919531</v>
      </c>
      <c r="O41" s="1">
        <f t="shared" ref="O41" si="37">+N41-+O21-+O22-O7</f>
        <v>5.0164317144663073E-12</v>
      </c>
      <c r="P41" s="1">
        <f t="shared" ref="P41" si="38">+O41-+P21-+P22-P7</f>
        <v>5.0164317144663073E-12</v>
      </c>
      <c r="Q41" s="1">
        <f t="shared" ref="Q41" si="39">+P41-+Q21-+Q22-Q7</f>
        <v>5.0164317144663073E-12</v>
      </c>
    </row>
    <row r="42" spans="1:17" ht="16.5" thickBot="1" x14ac:dyDescent="0.3">
      <c r="A42" s="247" t="s">
        <v>354</v>
      </c>
      <c r="B42" s="248">
        <f t="shared" ref="B42:H42" si="40">+B41+B40+B39</f>
        <v>1792</v>
      </c>
      <c r="C42" s="248">
        <v>-6004.3146440047431</v>
      </c>
      <c r="D42" s="248">
        <v>-10651</v>
      </c>
      <c r="E42" s="248">
        <v>-1537</v>
      </c>
      <c r="F42" s="248">
        <f t="shared" si="40"/>
        <v>-7654</v>
      </c>
      <c r="G42" s="248">
        <f t="shared" ca="1" si="40"/>
        <v>-952.46220887398522</v>
      </c>
      <c r="H42" s="248">
        <f t="shared" ca="1" si="40"/>
        <v>-45103.532299992869</v>
      </c>
      <c r="I42" s="248">
        <f t="shared" ref="I42:N42" ca="1" si="41">+I41+I40+I39</f>
        <v>-44784.691795946594</v>
      </c>
      <c r="J42" s="248">
        <f t="shared" ca="1" si="41"/>
        <v>-22345.752334860452</v>
      </c>
      <c r="K42" s="248">
        <f t="shared" ca="1" si="41"/>
        <v>-973.94720777516341</v>
      </c>
      <c r="L42" s="248">
        <f t="shared" ca="1" si="41"/>
        <v>24029.243995084969</v>
      </c>
      <c r="M42" s="248">
        <f t="shared" ca="1" si="41"/>
        <v>52898.625961674581</v>
      </c>
      <c r="N42" s="248">
        <f t="shared" ca="1" si="41"/>
        <v>85908.500144753532</v>
      </c>
      <c r="O42" s="248">
        <f t="shared" ref="O42:Q42" ca="1" si="42">+O41+O40+O39</f>
        <v>123215.8873208017</v>
      </c>
      <c r="P42" s="248">
        <f t="shared" ca="1" si="42"/>
        <v>162499.21445458234</v>
      </c>
      <c r="Q42" s="248">
        <f t="shared" ca="1" si="42"/>
        <v>204476.35446747462</v>
      </c>
    </row>
    <row r="43" spans="1:17" ht="24" hidden="1" customHeight="1" x14ac:dyDescent="0.25">
      <c r="A43" t="s">
        <v>2</v>
      </c>
      <c r="B43" s="1">
        <f t="shared" ref="B43:H43" si="43">+B42+B39</f>
        <v>4894</v>
      </c>
      <c r="C43" s="1">
        <v>-4366.3146440047431</v>
      </c>
      <c r="D43" s="1">
        <v>-7373</v>
      </c>
      <c r="E43" s="1">
        <v>1787</v>
      </c>
      <c r="F43" s="1">
        <v>-10127.259395885012</v>
      </c>
      <c r="G43" s="1">
        <f t="shared" ca="1" si="43"/>
        <v>-394.46220887398522</v>
      </c>
      <c r="H43" s="1">
        <f t="shared" ca="1" si="43"/>
        <v>-44545.532299992869</v>
      </c>
      <c r="I43" s="1">
        <f t="shared" ref="I43:N43" ca="1" si="44">+I42+I39</f>
        <v>-44226.691795946594</v>
      </c>
      <c r="J43" s="1">
        <f t="shared" ca="1" si="44"/>
        <v>-21787.752334860452</v>
      </c>
      <c r="K43" s="1">
        <f t="shared" ca="1" si="44"/>
        <v>-415.94720777516341</v>
      </c>
      <c r="L43" s="1">
        <f t="shared" ca="1" si="44"/>
        <v>24587.243995084969</v>
      </c>
      <c r="M43" s="1">
        <f t="shared" ca="1" si="44"/>
        <v>53456.625961674581</v>
      </c>
      <c r="N43" s="1">
        <f t="shared" ca="1" si="44"/>
        <v>86466.500144753532</v>
      </c>
      <c r="O43" s="1">
        <f t="shared" ref="O43:Q43" ca="1" si="45">+O42+O39</f>
        <v>123773.8873208017</v>
      </c>
      <c r="P43" s="1">
        <f t="shared" ca="1" si="45"/>
        <v>163057.21445458234</v>
      </c>
      <c r="Q43" s="1">
        <f t="shared" ca="1" si="45"/>
        <v>205034.35446747462</v>
      </c>
    </row>
    <row r="44" spans="1:17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x14ac:dyDescent="0.25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6" spans="1:17" outlineLevel="1" x14ac:dyDescent="0.25">
      <c r="A46" s="175" t="s">
        <v>355</v>
      </c>
      <c r="B46" s="16"/>
      <c r="C46" s="16">
        <v>2008</v>
      </c>
      <c r="D46" s="16">
        <v>2009</v>
      </c>
      <c r="E46" s="16">
        <v>2010</v>
      </c>
      <c r="F46" s="16">
        <v>2011</v>
      </c>
      <c r="G46" s="16">
        <f t="shared" ref="G46:N46" si="46">+G38</f>
        <v>2012</v>
      </c>
      <c r="H46" s="16">
        <f t="shared" si="46"/>
        <v>2013</v>
      </c>
      <c r="I46" s="16">
        <f t="shared" si="46"/>
        <v>2014</v>
      </c>
      <c r="J46" s="16">
        <f t="shared" si="46"/>
        <v>2015</v>
      </c>
      <c r="K46" s="16">
        <f t="shared" si="46"/>
        <v>2016</v>
      </c>
      <c r="L46" s="16">
        <f t="shared" si="46"/>
        <v>2017</v>
      </c>
      <c r="M46" s="16">
        <f t="shared" si="46"/>
        <v>2018</v>
      </c>
      <c r="N46" s="16">
        <f t="shared" si="46"/>
        <v>2019</v>
      </c>
      <c r="O46" s="16">
        <f t="shared" ref="O46:Q46" si="47">+O38</f>
        <v>2020</v>
      </c>
      <c r="P46" s="16">
        <f t="shared" si="47"/>
        <v>2021</v>
      </c>
      <c r="Q46" s="16">
        <f t="shared" si="47"/>
        <v>2022</v>
      </c>
    </row>
    <row r="47" spans="1:17" outlineLevel="1" x14ac:dyDescent="0.25">
      <c r="A47" s="84" t="s">
        <v>275</v>
      </c>
      <c r="C47" s="25">
        <v>0</v>
      </c>
      <c r="D47" s="25">
        <v>0</v>
      </c>
      <c r="E47" s="25">
        <v>0</v>
      </c>
      <c r="F47" s="25">
        <v>6.5000000000000002E-2</v>
      </c>
      <c r="G47" s="25">
        <f>+Assumptions!G5</f>
        <v>6.5000000000000002E-2</v>
      </c>
      <c r="H47" s="25">
        <f>+Assumptions!H5</f>
        <v>6.8000000000000005E-2</v>
      </c>
      <c r="I47" s="25">
        <f>+Assumptions!I5</f>
        <v>6.8000000000000005E-2</v>
      </c>
      <c r="J47" s="25">
        <f>+Assumptions!J5</f>
        <v>6.8000000000000005E-2</v>
      </c>
      <c r="K47" s="25">
        <f>+Assumptions!K5</f>
        <v>6.8000000000000005E-2</v>
      </c>
      <c r="L47" s="25">
        <f>+Assumptions!L5</f>
        <v>6.8000000000000005E-2</v>
      </c>
      <c r="M47" s="25">
        <f>+Assumptions!M5</f>
        <v>6.8000000000000005E-2</v>
      </c>
      <c r="N47" s="25">
        <f>+Assumptions!N5</f>
        <v>6.8000000000000005E-2</v>
      </c>
      <c r="O47" s="25">
        <f>+Assumptions!O5</f>
        <v>6.8000000000000005E-2</v>
      </c>
      <c r="P47" s="25">
        <f>+Assumptions!P5</f>
        <v>6.8000000000000005E-2</v>
      </c>
      <c r="Q47" s="25">
        <f>+Assumptions!Q5</f>
        <v>6.8000000000000005E-2</v>
      </c>
    </row>
    <row r="48" spans="1:17" outlineLevel="1" x14ac:dyDescent="0.25">
      <c r="A48" s="84" t="s">
        <v>276</v>
      </c>
      <c r="C48" s="25">
        <v>0</v>
      </c>
      <c r="D48" s="25">
        <v>0.18</v>
      </c>
      <c r="E48" s="25">
        <v>0.18</v>
      </c>
      <c r="F48" s="25">
        <v>0.18</v>
      </c>
      <c r="G48" s="25">
        <f ca="1">IF(G40&gt;0,Assumptions!G3,Assumptions!G4)</f>
        <v>0.18</v>
      </c>
      <c r="H48" s="25">
        <f ca="1">IF(H40&gt;0,Assumptions!H3,Assumptions!H4)</f>
        <v>7.4999999999999997E-2</v>
      </c>
      <c r="I48" s="25">
        <f ca="1">IF(I40&gt;0,Assumptions!I3,Assumptions!I4)</f>
        <v>7.7499999999999999E-2</v>
      </c>
      <c r="J48" s="25">
        <f ca="1">IF(J40&gt;0,Assumptions!J3,Assumptions!J4)</f>
        <v>0.08</v>
      </c>
      <c r="K48" s="25">
        <f ca="1">IF(K40&gt;0,Assumptions!K3,Assumptions!K4)</f>
        <v>8.2500000000000004E-2</v>
      </c>
      <c r="L48" s="25">
        <f ca="1">IF(L40&gt;0,Assumptions!L3,Assumptions!L4)</f>
        <v>8.5000000000000006E-2</v>
      </c>
      <c r="M48" s="25">
        <f ca="1">IF(M40&gt;0,Assumptions!M3,Assumptions!M4)</f>
        <v>8.7499999999999994E-2</v>
      </c>
      <c r="N48" s="25">
        <f ca="1">IF(N40&gt;0,Assumptions!N3,Assumptions!N4)</f>
        <v>0.09</v>
      </c>
      <c r="O48" s="25">
        <f ca="1">IF(O40&gt;0,Assumptions!O3,Assumptions!O4)</f>
        <v>0.09</v>
      </c>
      <c r="P48" s="25">
        <f ca="1">IF(P40&gt;0,Assumptions!P3,Assumptions!P4)</f>
        <v>0.09</v>
      </c>
      <c r="Q48" s="25">
        <f ca="1">IF(Q40&gt;0,Assumptions!Q3,Assumptions!Q4)</f>
        <v>0.09</v>
      </c>
    </row>
    <row r="49" spans="1:17" outlineLevel="1" x14ac:dyDescent="0.25">
      <c r="A49" s="84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s="305" customFormat="1" outlineLevel="1" x14ac:dyDescent="0.25">
      <c r="A50" s="320" t="s">
        <v>356</v>
      </c>
      <c r="B50" s="321"/>
      <c r="C50" s="306">
        <v>0</v>
      </c>
      <c r="D50" s="306">
        <v>0</v>
      </c>
      <c r="E50" s="306">
        <v>0</v>
      </c>
      <c r="F50" s="306">
        <v>-0.97500000000000009</v>
      </c>
      <c r="G50" s="306">
        <f t="shared" ref="G50:N50" si="48">+((F41+G41)/2*G47)</f>
        <v>0</v>
      </c>
      <c r="H50" s="306">
        <f t="shared" si="48"/>
        <v>-1605.703176</v>
      </c>
      <c r="I50" s="306">
        <f t="shared" si="48"/>
        <v>-3471.813576</v>
      </c>
      <c r="J50" s="306">
        <f t="shared" si="48"/>
        <v>-3530.2516714080002</v>
      </c>
      <c r="K50" s="306">
        <f t="shared" si="48"/>
        <v>-3043.0979531568</v>
      </c>
      <c r="L50" s="306">
        <f t="shared" si="48"/>
        <v>-2399.0504431924801</v>
      </c>
      <c r="M50" s="306">
        <f t="shared" si="48"/>
        <v>-1595.7624517037282</v>
      </c>
      <c r="N50" s="306">
        <f t="shared" si="48"/>
        <v>-607.82635748530072</v>
      </c>
      <c r="O50" s="306">
        <f t="shared" ref="O50" si="49">+((N41+O41)/2*O47)</f>
        <v>-32.157667225252474</v>
      </c>
      <c r="P50" s="306">
        <f t="shared" ref="P50" si="50">+((O41+P41)/2*P47)</f>
        <v>3.4111735658370892E-13</v>
      </c>
      <c r="Q50" s="306">
        <f t="shared" ref="Q50" si="51">+((P41+Q41)/2*Q47)</f>
        <v>3.4111735658370892E-13</v>
      </c>
    </row>
    <row r="51" spans="1:17" s="305" customFormat="1" outlineLevel="1" x14ac:dyDescent="0.25">
      <c r="A51" s="320" t="s">
        <v>357</v>
      </c>
      <c r="B51" s="321"/>
      <c r="C51" s="306">
        <v>0</v>
      </c>
      <c r="D51" s="306">
        <v>-1919</v>
      </c>
      <c r="E51" s="306">
        <v>-1669</v>
      </c>
      <c r="F51" s="306">
        <v>-1447</v>
      </c>
      <c r="G51" s="306">
        <f t="shared" ref="G51:N51" ca="1" si="52">ROUND(+(F40+G40)/2*G48,0)</f>
        <v>-875</v>
      </c>
      <c r="H51" s="306">
        <f t="shared" ca="1" si="52"/>
        <v>2</v>
      </c>
      <c r="I51" s="306">
        <f t="shared" ca="1" si="52"/>
        <v>430</v>
      </c>
      <c r="J51" s="306">
        <f t="shared" ca="1" si="52"/>
        <v>1423</v>
      </c>
      <c r="K51" s="306">
        <f t="shared" ca="1" si="52"/>
        <v>2684</v>
      </c>
      <c r="L51" s="306">
        <f t="shared" ca="1" si="52"/>
        <v>3931</v>
      </c>
      <c r="M51" s="306">
        <f t="shared" ca="1" si="52"/>
        <v>5370</v>
      </c>
      <c r="N51" s="306">
        <f t="shared" ca="1" si="52"/>
        <v>7001</v>
      </c>
      <c r="O51" s="306">
        <f t="shared" ref="O51" ca="1" si="53">ROUND(+(N40+O40)/2*O48,0)</f>
        <v>9403</v>
      </c>
      <c r="P51" s="306">
        <f t="shared" ref="P51" ca="1" si="54">ROUND(+(O40+P40)/2*P48,0)</f>
        <v>12807</v>
      </c>
      <c r="Q51" s="306">
        <f t="shared" ref="Q51" ca="1" si="55">ROUND(+(P40+Q40)/2*Q48,0)</f>
        <v>16464</v>
      </c>
    </row>
    <row r="52" spans="1:17" s="305" customFormat="1" outlineLevel="1" x14ac:dyDescent="0.25">
      <c r="A52" s="320"/>
      <c r="B52" s="321"/>
      <c r="C52" s="306"/>
      <c r="D52" s="306"/>
      <c r="E52" s="306"/>
      <c r="F52" s="306"/>
      <c r="G52" s="306"/>
      <c r="H52" s="306"/>
      <c r="I52" s="306"/>
      <c r="J52" s="306"/>
      <c r="K52" s="306"/>
      <c r="L52" s="306"/>
      <c r="M52" s="306"/>
      <c r="N52" s="306"/>
      <c r="O52" s="306"/>
      <c r="P52" s="306"/>
      <c r="Q52" s="306"/>
    </row>
    <row r="53" spans="1:17" outlineLevel="1" x14ac:dyDescent="0.25">
      <c r="A53" s="26" t="s">
        <v>358</v>
      </c>
      <c r="B53" s="25">
        <v>0</v>
      </c>
      <c r="C53" s="1">
        <v>0</v>
      </c>
      <c r="D53" s="1">
        <v>0</v>
      </c>
      <c r="E53" s="1">
        <v>0</v>
      </c>
      <c r="F53" s="1">
        <v>0</v>
      </c>
      <c r="G53" s="1">
        <f t="shared" ref="G53:N53" si="56">+G18*$B$53*G47</f>
        <v>0</v>
      </c>
      <c r="H53" s="1">
        <f t="shared" si="56"/>
        <v>0</v>
      </c>
      <c r="I53" s="1">
        <f t="shared" si="56"/>
        <v>0</v>
      </c>
      <c r="J53" s="1">
        <f t="shared" si="56"/>
        <v>0</v>
      </c>
      <c r="K53" s="1">
        <f t="shared" si="56"/>
        <v>0</v>
      </c>
      <c r="L53" s="1">
        <f t="shared" si="56"/>
        <v>0</v>
      </c>
      <c r="M53" s="1">
        <f t="shared" si="56"/>
        <v>0</v>
      </c>
      <c r="N53" s="1">
        <f t="shared" si="56"/>
        <v>0</v>
      </c>
      <c r="O53" s="1">
        <f t="shared" ref="O53:Q53" si="57">+O18*$B$53*O47</f>
        <v>0</v>
      </c>
      <c r="P53" s="1">
        <f t="shared" si="57"/>
        <v>0</v>
      </c>
      <c r="Q53" s="1">
        <f t="shared" si="57"/>
        <v>0</v>
      </c>
    </row>
    <row r="54" spans="1:17" outlineLevel="1" x14ac:dyDescent="0.25">
      <c r="A54" s="26" t="s">
        <v>359</v>
      </c>
      <c r="B54" s="25"/>
      <c r="C54" s="1"/>
      <c r="D54" s="1">
        <v>-1919</v>
      </c>
      <c r="E54" s="1">
        <v>-1669</v>
      </c>
      <c r="F54" s="1">
        <v>-1447.9749999999999</v>
      </c>
      <c r="G54" s="1">
        <f t="shared" ref="G54:N54" ca="1" si="58">SUM(G50:G53)</f>
        <v>-875</v>
      </c>
      <c r="H54" s="1">
        <f t="shared" ca="1" si="58"/>
        <v>-1603.703176</v>
      </c>
      <c r="I54" s="1">
        <f t="shared" ca="1" si="58"/>
        <v>-3041.813576</v>
      </c>
      <c r="J54" s="1">
        <f t="shared" ca="1" si="58"/>
        <v>-2107.2516714080002</v>
      </c>
      <c r="K54" s="1">
        <f t="shared" ca="1" si="58"/>
        <v>-359.09795315680003</v>
      </c>
      <c r="L54" s="1">
        <f t="shared" ca="1" si="58"/>
        <v>1531.9495568075199</v>
      </c>
      <c r="M54" s="1">
        <f t="shared" ca="1" si="58"/>
        <v>3774.2375482962716</v>
      </c>
      <c r="N54" s="1">
        <f t="shared" ca="1" si="58"/>
        <v>6393.1736425146992</v>
      </c>
      <c r="O54" s="1">
        <f t="shared" ref="O54:Q54" ca="1" si="59">SUM(O50:O53)</f>
        <v>9370.8423327747478</v>
      </c>
      <c r="P54" s="1">
        <f t="shared" ca="1" si="59"/>
        <v>12807</v>
      </c>
      <c r="Q54" s="1">
        <f t="shared" ca="1" si="59"/>
        <v>16464</v>
      </c>
    </row>
    <row r="55" spans="1:17" outlineLevel="1" x14ac:dyDescent="0.25">
      <c r="A55" s="433" t="s">
        <v>582</v>
      </c>
      <c r="B55" s="25"/>
      <c r="C55" s="1"/>
      <c r="D55" s="1"/>
      <c r="E55" s="1"/>
      <c r="F55" s="1">
        <v>700</v>
      </c>
      <c r="G55" s="1">
        <f>+F55-525</f>
        <v>175</v>
      </c>
      <c r="H55" s="1">
        <f t="shared" ref="H55:N55" si="60">+G55</f>
        <v>175</v>
      </c>
      <c r="I55" s="1">
        <f t="shared" si="60"/>
        <v>175</v>
      </c>
      <c r="J55" s="1">
        <f t="shared" si="60"/>
        <v>175</v>
      </c>
      <c r="K55" s="1">
        <f t="shared" si="60"/>
        <v>175</v>
      </c>
      <c r="L55" s="1">
        <f t="shared" si="60"/>
        <v>175</v>
      </c>
      <c r="M55" s="1">
        <f t="shared" si="60"/>
        <v>175</v>
      </c>
      <c r="N55" s="1">
        <f t="shared" si="60"/>
        <v>175</v>
      </c>
      <c r="O55" s="1">
        <f t="shared" ref="O55" si="61">+N55</f>
        <v>175</v>
      </c>
      <c r="P55" s="1">
        <f t="shared" ref="P55" si="62">+O55</f>
        <v>175</v>
      </c>
      <c r="Q55" s="1">
        <f t="shared" ref="Q55" si="63">+P55</f>
        <v>175</v>
      </c>
    </row>
    <row r="56" spans="1:17" outlineLevel="1" x14ac:dyDescent="0.25">
      <c r="A56" s="26" t="s">
        <v>336</v>
      </c>
      <c r="B56" s="25"/>
      <c r="C56" s="1"/>
      <c r="D56" s="1">
        <v>0</v>
      </c>
      <c r="E56" s="1">
        <v>0</v>
      </c>
      <c r="F56" s="1">
        <v>0</v>
      </c>
      <c r="G56" s="1">
        <f>+Loan!G21</f>
        <v>0</v>
      </c>
      <c r="H56" s="1">
        <f>+Loan!H21</f>
        <v>0</v>
      </c>
      <c r="I56" s="1">
        <f>+Loan!I21</f>
        <v>-4722.6563999999998</v>
      </c>
      <c r="J56" s="1">
        <f>+Loan!J21</f>
        <v>-5488.5599999999968</v>
      </c>
      <c r="K56" s="1">
        <f>+Loan!K21</f>
        <v>-4894.5331512000057</v>
      </c>
      <c r="L56" s="1">
        <f>+Loan!L21</f>
        <v>-4055.7549463200057</v>
      </c>
      <c r="M56" s="1">
        <f>+Loan!M21</f>
        <v>-3000.2757689520031</v>
      </c>
      <c r="N56" s="1">
        <f>+Loan!N21</f>
        <v>-1693.1432066472007</v>
      </c>
      <c r="O56" s="1">
        <f>+Loan!O21</f>
        <v>-94.581374191920062</v>
      </c>
      <c r="P56" s="1">
        <f>+Loan!P21</f>
        <v>0</v>
      </c>
      <c r="Q56" s="1">
        <f>+Loan!Q21</f>
        <v>0</v>
      </c>
    </row>
    <row r="57" spans="1:17" outlineLevel="1" x14ac:dyDescent="0.25">
      <c r="A57" s="17" t="s">
        <v>277</v>
      </c>
      <c r="B57" s="16"/>
      <c r="C57" s="185">
        <v>141.98400000000132</v>
      </c>
      <c r="D57" s="368">
        <v>-1988</v>
      </c>
      <c r="E57" s="368">
        <v>441</v>
      </c>
      <c r="F57" s="11">
        <v>-747.97499999999991</v>
      </c>
      <c r="G57" s="11">
        <f t="shared" ref="G57:N57" ca="1" si="64">+G56+G54+G55</f>
        <v>-700</v>
      </c>
      <c r="H57" s="11">
        <f t="shared" ca="1" si="64"/>
        <v>-1428.703176</v>
      </c>
      <c r="I57" s="11">
        <f t="shared" ca="1" si="64"/>
        <v>-7589.4699760000003</v>
      </c>
      <c r="J57" s="11">
        <f t="shared" ca="1" si="64"/>
        <v>-7420.811671407997</v>
      </c>
      <c r="K57" s="11">
        <f t="shared" ca="1" si="64"/>
        <v>-5078.6311043568057</v>
      </c>
      <c r="L57" s="11">
        <f t="shared" ca="1" si="64"/>
        <v>-2348.8053895124858</v>
      </c>
      <c r="M57" s="11">
        <f t="shared" ca="1" si="64"/>
        <v>948.96177934426851</v>
      </c>
      <c r="N57" s="11">
        <f t="shared" ca="1" si="64"/>
        <v>4875.0304358674985</v>
      </c>
      <c r="O57" s="11">
        <f t="shared" ref="O57:Q57" ca="1" si="65">+O56+O54+O55</f>
        <v>9451.2609585828286</v>
      </c>
      <c r="P57" s="11">
        <f t="shared" ca="1" si="65"/>
        <v>12982</v>
      </c>
      <c r="Q57" s="11">
        <f t="shared" ca="1" si="65"/>
        <v>16639</v>
      </c>
    </row>
    <row r="58" spans="1:17" ht="16.5" thickBot="1" x14ac:dyDescent="0.3"/>
    <row r="59" spans="1:17" ht="18.75" x14ac:dyDescent="0.25">
      <c r="A59" s="219" t="s">
        <v>750</v>
      </c>
      <c r="B59" s="220"/>
      <c r="C59" s="220"/>
      <c r="D59" s="220"/>
      <c r="E59" s="220"/>
      <c r="F59" s="220"/>
      <c r="G59" s="220"/>
      <c r="H59" s="220"/>
      <c r="I59" s="220"/>
      <c r="J59" s="220"/>
      <c r="K59" s="220"/>
      <c r="L59" s="220"/>
      <c r="M59" s="221"/>
      <c r="N59" s="221"/>
      <c r="O59" s="221"/>
      <c r="P59" s="221"/>
      <c r="Q59" s="221"/>
    </row>
    <row r="60" spans="1:17" x14ac:dyDescent="0.25">
      <c r="A60" t="str">
        <f>+A14</f>
        <v>Cash flow from Operating Activities</v>
      </c>
      <c r="C60" s="1">
        <v>-8446.8334611053579</v>
      </c>
      <c r="D60" s="1">
        <v>12852.808461105355</v>
      </c>
      <c r="E60" s="1">
        <v>17251.279822721852</v>
      </c>
      <c r="F60" s="1">
        <v>14004.940604114989</v>
      </c>
      <c r="G60" s="1">
        <f t="shared" ref="G60:N60" ca="1" si="66">+G14</f>
        <v>14081.087791126016</v>
      </c>
      <c r="H60" s="1">
        <f t="shared" ca="1" si="66"/>
        <v>5075.4939088811179</v>
      </c>
      <c r="I60" s="1">
        <f t="shared" ca="1" si="66"/>
        <v>22347.718604046277</v>
      </c>
      <c r="J60" s="1">
        <f t="shared" ca="1" si="66"/>
        <v>38278.06994351391</v>
      </c>
      <c r="K60" s="1">
        <f t="shared" ca="1" si="66"/>
        <v>44804.434102393636</v>
      </c>
      <c r="L60" s="1">
        <f t="shared" ca="1" si="66"/>
        <v>51907.086577896305</v>
      </c>
      <c r="M60" s="1">
        <f t="shared" ca="1" si="66"/>
        <v>59483.700572487418</v>
      </c>
      <c r="N60" s="1">
        <f t="shared" ca="1" si="66"/>
        <v>67489.386129847408</v>
      </c>
      <c r="O60" s="1">
        <f t="shared" ref="O60:Q60" ca="1" si="67">+O14</f>
        <v>75757.880162160218</v>
      </c>
      <c r="P60" s="1">
        <f t="shared" ca="1" si="67"/>
        <v>84009.138264561596</v>
      </c>
      <c r="Q60" s="1">
        <f t="shared" ca="1" si="67"/>
        <v>92690.942829629217</v>
      </c>
    </row>
    <row r="61" spans="1:17" x14ac:dyDescent="0.25">
      <c r="A61" s="1" t="str">
        <f>+PL!A28</f>
        <v>Financial income/(expenses)</v>
      </c>
      <c r="B61" s="1"/>
      <c r="C61" s="1">
        <v>-141.98400000000132</v>
      </c>
      <c r="D61" s="1">
        <v>1988</v>
      </c>
      <c r="E61" s="1">
        <v>-441</v>
      </c>
      <c r="F61" s="1">
        <v>747.97499999999991</v>
      </c>
      <c r="G61" s="1">
        <f ca="1">-+PL!G28</f>
        <v>700</v>
      </c>
      <c r="H61" s="1">
        <f ca="1">-+PL!H28</f>
        <v>1428.703176</v>
      </c>
      <c r="I61" s="1">
        <f ca="1">-+PL!I28</f>
        <v>7589.4699760000003</v>
      </c>
      <c r="J61" s="1">
        <f ca="1">-+PL!J28</f>
        <v>7420.811671407997</v>
      </c>
      <c r="K61" s="1">
        <f ca="1">-+PL!K28</f>
        <v>5078.6311043568057</v>
      </c>
      <c r="L61" s="1">
        <f ca="1">-+PL!L28</f>
        <v>2348.8053895124858</v>
      </c>
      <c r="M61" s="1">
        <f ca="1">-+PL!M28</f>
        <v>-948.96177934426851</v>
      </c>
      <c r="N61" s="1">
        <f ca="1">-+PL!N28</f>
        <v>-4875.0304358674985</v>
      </c>
      <c r="O61" s="1">
        <f ca="1">-+PL!O28</f>
        <v>-9451.2609585828286</v>
      </c>
      <c r="P61" s="1">
        <f ca="1">-+PL!P28</f>
        <v>-12982</v>
      </c>
      <c r="Q61" s="1">
        <f ca="1">-+PL!Q28</f>
        <v>-16639</v>
      </c>
    </row>
    <row r="62" spans="1:17" x14ac:dyDescent="0.25">
      <c r="A62" t="s">
        <v>400</v>
      </c>
      <c r="B62" s="64" t="b">
        <f>FALSE()</f>
        <v>0</v>
      </c>
      <c r="C62" s="1">
        <v>0</v>
      </c>
      <c r="D62" s="1">
        <v>0</v>
      </c>
      <c r="E62" s="1">
        <v>0</v>
      </c>
      <c r="F62" s="1">
        <v>0</v>
      </c>
      <c r="G62" s="1">
        <f t="shared" ref="G62:N62" si="68">+G18*$B$62</f>
        <v>0</v>
      </c>
      <c r="H62" s="1">
        <f t="shared" si="68"/>
        <v>0</v>
      </c>
      <c r="I62" s="1">
        <f t="shared" si="68"/>
        <v>0</v>
      </c>
      <c r="J62" s="1">
        <f t="shared" si="68"/>
        <v>0</v>
      </c>
      <c r="K62" s="1">
        <f t="shared" si="68"/>
        <v>0</v>
      </c>
      <c r="L62" s="1">
        <f t="shared" si="68"/>
        <v>0</v>
      </c>
      <c r="M62" s="1">
        <f t="shared" si="68"/>
        <v>0</v>
      </c>
      <c r="N62" s="1">
        <f t="shared" si="68"/>
        <v>0</v>
      </c>
      <c r="O62" s="1">
        <f t="shared" ref="O62:Q62" si="69">+O18*$B$62</f>
        <v>0</v>
      </c>
      <c r="P62" s="1">
        <f t="shared" si="69"/>
        <v>0</v>
      </c>
      <c r="Q62" s="1">
        <f t="shared" si="69"/>
        <v>0</v>
      </c>
    </row>
    <row r="63" spans="1:17" ht="16.5" thickBot="1" x14ac:dyDescent="0.3">
      <c r="A63" s="247" t="s">
        <v>266</v>
      </c>
      <c r="B63" s="248"/>
      <c r="C63" s="248">
        <v>-8588.8174611053601</v>
      </c>
      <c r="D63" s="248">
        <v>14840.808461105355</v>
      </c>
      <c r="E63" s="248">
        <v>16810.279822721852</v>
      </c>
      <c r="F63" s="248">
        <v>14752.915604114989</v>
      </c>
      <c r="G63" s="248">
        <f t="shared" ref="G63:M63" ca="1" si="70">SUM(G60:G62)</f>
        <v>14781.087791126016</v>
      </c>
      <c r="H63" s="248">
        <f t="shared" ca="1" si="70"/>
        <v>6504.1970848811179</v>
      </c>
      <c r="I63" s="248">
        <f t="shared" ca="1" si="70"/>
        <v>29937.188580046277</v>
      </c>
      <c r="J63" s="248">
        <f t="shared" ca="1" si="70"/>
        <v>45698.881614921906</v>
      </c>
      <c r="K63" s="248">
        <f t="shared" ca="1" si="70"/>
        <v>49883.065206750442</v>
      </c>
      <c r="L63" s="248">
        <f t="shared" ca="1" si="70"/>
        <v>54255.891967408788</v>
      </c>
      <c r="M63" s="248">
        <f t="shared" ca="1" si="70"/>
        <v>58534.738793143151</v>
      </c>
      <c r="N63" s="248">
        <f ca="1">SUM(N60:N62)</f>
        <v>62614.355693979909</v>
      </c>
      <c r="O63" s="248">
        <f t="shared" ref="O63:Q63" ca="1" si="71">SUM(O60:O62)</f>
        <v>66306.619203577386</v>
      </c>
      <c r="P63" s="248">
        <f t="shared" ca="1" si="71"/>
        <v>71027.138264561596</v>
      </c>
      <c r="Q63" s="248">
        <f t="shared" ca="1" si="71"/>
        <v>76051.942829629217</v>
      </c>
    </row>
    <row r="64" spans="1:17" x14ac:dyDescent="0.25">
      <c r="A64" s="151" t="s">
        <v>267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5">
      <c r="A65" t="s">
        <v>270</v>
      </c>
      <c r="D65" s="1"/>
      <c r="E65" s="1"/>
      <c r="F65" s="1"/>
      <c r="G65" s="1">
        <f>+G22</f>
        <v>0</v>
      </c>
      <c r="H65" s="1">
        <f t="shared" ref="H65:N65" si="72">+H22</f>
        <v>0</v>
      </c>
      <c r="I65" s="1">
        <f t="shared" si="72"/>
        <v>0</v>
      </c>
      <c r="J65" s="1">
        <f t="shared" si="72"/>
        <v>-11428.828487999999</v>
      </c>
      <c r="K65" s="1">
        <f t="shared" si="72"/>
        <v>-13282.315200000003</v>
      </c>
      <c r="L65" s="1">
        <f t="shared" si="72"/>
        <v>-14610.546720000002</v>
      </c>
      <c r="M65" s="1">
        <f t="shared" si="72"/>
        <v>-16071.601392000004</v>
      </c>
      <c r="N65" s="1">
        <f t="shared" si="72"/>
        <v>-17678.761531200005</v>
      </c>
      <c r="O65" s="1">
        <f t="shared" ref="O65:Q65" si="73">+O22</f>
        <v>-1040.3951161111204</v>
      </c>
      <c r="P65" s="1">
        <f t="shared" si="73"/>
        <v>0</v>
      </c>
      <c r="Q65" s="1">
        <f t="shared" si="73"/>
        <v>0</v>
      </c>
    </row>
    <row r="66" spans="1:17" x14ac:dyDescent="0.25">
      <c r="A66" t="s">
        <v>401</v>
      </c>
      <c r="D66" s="1"/>
      <c r="E66" s="1"/>
      <c r="F66" s="1"/>
      <c r="G66" s="1">
        <f>+G50</f>
        <v>0</v>
      </c>
      <c r="H66" s="1">
        <f t="shared" ref="H66:N66" si="74">+H50</f>
        <v>-1605.703176</v>
      </c>
      <c r="I66" s="1">
        <f t="shared" si="74"/>
        <v>-3471.813576</v>
      </c>
      <c r="J66" s="1">
        <f t="shared" si="74"/>
        <v>-3530.2516714080002</v>
      </c>
      <c r="K66" s="1">
        <f t="shared" si="74"/>
        <v>-3043.0979531568</v>
      </c>
      <c r="L66" s="1">
        <f t="shared" si="74"/>
        <v>-2399.0504431924801</v>
      </c>
      <c r="M66" s="1">
        <f t="shared" si="74"/>
        <v>-1595.7624517037282</v>
      </c>
      <c r="N66" s="1">
        <f t="shared" si="74"/>
        <v>-607.82635748530072</v>
      </c>
      <c r="O66" s="1">
        <f t="shared" ref="O66:Q66" si="75">+O50</f>
        <v>-32.157667225252474</v>
      </c>
      <c r="P66" s="1">
        <f t="shared" si="75"/>
        <v>3.4111735658370892E-13</v>
      </c>
      <c r="Q66" s="1">
        <f t="shared" si="75"/>
        <v>3.4111735658370892E-13</v>
      </c>
    </row>
    <row r="67" spans="1:17" x14ac:dyDescent="0.25">
      <c r="A67" t="s">
        <v>269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6.5" thickBot="1" x14ac:dyDescent="0.3">
      <c r="A68" s="247" t="s">
        <v>114</v>
      </c>
      <c r="B68" s="248"/>
      <c r="C68" s="248"/>
      <c r="D68" s="248"/>
      <c r="E68" s="248"/>
      <c r="F68" s="248"/>
      <c r="G68" s="248">
        <f>SUM(G65:G67)</f>
        <v>0</v>
      </c>
      <c r="H68" s="248">
        <f t="shared" ref="H68:N68" si="76">SUM(H65:H67)</f>
        <v>-1605.703176</v>
      </c>
      <c r="I68" s="248">
        <f t="shared" si="76"/>
        <v>-3471.813576</v>
      </c>
      <c r="J68" s="248">
        <f t="shared" si="76"/>
        <v>-14959.080159408</v>
      </c>
      <c r="K68" s="248">
        <f t="shared" si="76"/>
        <v>-16325.413153156802</v>
      </c>
      <c r="L68" s="248">
        <f t="shared" si="76"/>
        <v>-17009.597163192484</v>
      </c>
      <c r="M68" s="248">
        <f t="shared" si="76"/>
        <v>-17667.363843703733</v>
      </c>
      <c r="N68" s="248">
        <f t="shared" si="76"/>
        <v>-18286.587888685306</v>
      </c>
      <c r="O68" s="248">
        <f t="shared" ref="O68:Q68" si="77">SUM(O65:O67)</f>
        <v>-1072.5527833363728</v>
      </c>
      <c r="P68" s="248">
        <f t="shared" si="77"/>
        <v>3.4111735658370892E-13</v>
      </c>
      <c r="Q68" s="248">
        <f t="shared" si="77"/>
        <v>3.4111735658370892E-13</v>
      </c>
    </row>
    <row r="69" spans="1:17" ht="18.75" x14ac:dyDescent="0.3">
      <c r="A69" s="274" t="s">
        <v>268</v>
      </c>
      <c r="B69" s="274"/>
      <c r="C69" s="274"/>
      <c r="D69" s="274"/>
      <c r="E69" s="274"/>
      <c r="F69" s="274"/>
      <c r="G69" s="661" t="e">
        <f t="shared" ref="G69:N69" ca="1" si="78">-G63/G68</f>
        <v>#DIV/0!</v>
      </c>
      <c r="H69" s="275">
        <f t="shared" ca="1" si="78"/>
        <v>4.0506845736481987</v>
      </c>
      <c r="I69" s="275">
        <f t="shared" ca="1" si="78"/>
        <v>8.6229251440793018</v>
      </c>
      <c r="J69" s="275">
        <f t="shared" ca="1" si="78"/>
        <v>3.054925913087053</v>
      </c>
      <c r="K69" s="275">
        <f t="shared" ca="1" si="78"/>
        <v>3.055546878891986</v>
      </c>
      <c r="L69" s="275">
        <f t="shared" ca="1" si="78"/>
        <v>3.1897223342134491</v>
      </c>
      <c r="M69" s="275">
        <f t="shared" ca="1" si="78"/>
        <v>3.3131563549025831</v>
      </c>
      <c r="N69" s="275">
        <f t="shared" ca="1" si="78"/>
        <v>3.4240589920398485</v>
      </c>
      <c r="O69" s="275">
        <f t="shared" ref="O69:Q69" ca="1" si="79">-O63/O68</f>
        <v>61.821311019601701</v>
      </c>
      <c r="P69" s="275">
        <f t="shared" ca="1" si="79"/>
        <v>-2.0821906858067424E+17</v>
      </c>
      <c r="Q69" s="275">
        <f t="shared" ca="1" si="79"/>
        <v>-2.2294949630030438E+17</v>
      </c>
    </row>
    <row r="71" spans="1:17" s="304" customFormat="1" x14ac:dyDescent="0.25">
      <c r="A71" s="304" t="s">
        <v>402</v>
      </c>
      <c r="C71" s="304">
        <v>2008</v>
      </c>
      <c r="D71" s="304">
        <v>2009</v>
      </c>
      <c r="E71" s="304">
        <v>2010</v>
      </c>
      <c r="F71" s="304">
        <v>2011</v>
      </c>
      <c r="G71" s="304">
        <v>2012</v>
      </c>
      <c r="H71" s="304">
        <v>2013</v>
      </c>
      <c r="I71" s="304">
        <v>2014</v>
      </c>
      <c r="J71" s="304">
        <v>2015</v>
      </c>
      <c r="K71" s="304">
        <v>2016</v>
      </c>
      <c r="L71" s="304">
        <v>2017</v>
      </c>
      <c r="M71" s="304">
        <v>2018</v>
      </c>
      <c r="N71" s="304">
        <v>2019</v>
      </c>
      <c r="O71" s="304">
        <v>2020</v>
      </c>
      <c r="P71" s="304">
        <v>2021</v>
      </c>
      <c r="Q71" s="304">
        <v>2022</v>
      </c>
    </row>
    <row r="72" spans="1:17" s="305" customFormat="1" x14ac:dyDescent="0.25">
      <c r="A72" s="305" t="s">
        <v>403</v>
      </c>
      <c r="C72" s="306">
        <f>C14</f>
        <v>-8446.8334611053579</v>
      </c>
      <c r="D72" s="306">
        <f t="shared" ref="D72:N72" si="80">D14</f>
        <v>-2870.0250343051957</v>
      </c>
      <c r="E72" s="306">
        <f t="shared" si="80"/>
        <v>17931.279822721852</v>
      </c>
      <c r="F72" s="306">
        <f t="shared" si="80"/>
        <v>6634.9406041149887</v>
      </c>
      <c r="G72" s="306">
        <f t="shared" ca="1" si="80"/>
        <v>14081.087791126016</v>
      </c>
      <c r="H72" s="306">
        <f t="shared" ca="1" si="80"/>
        <v>5075.4939088811179</v>
      </c>
      <c r="I72" s="306">
        <f t="shared" ca="1" si="80"/>
        <v>22347.718604046277</v>
      </c>
      <c r="J72" s="306">
        <f t="shared" ca="1" si="80"/>
        <v>38278.06994351391</v>
      </c>
      <c r="K72" s="306">
        <f t="shared" ca="1" si="80"/>
        <v>44804.434102393636</v>
      </c>
      <c r="L72" s="306">
        <f t="shared" ca="1" si="80"/>
        <v>51907.086577896305</v>
      </c>
      <c r="M72" s="306">
        <f t="shared" ca="1" si="80"/>
        <v>59483.700572487418</v>
      </c>
      <c r="N72" s="306">
        <f t="shared" ca="1" si="80"/>
        <v>67489.386129847408</v>
      </c>
      <c r="O72" s="306">
        <f t="shared" ref="O72:Q72" ca="1" si="81">O14</f>
        <v>75757.880162160218</v>
      </c>
      <c r="P72" s="306">
        <f t="shared" ca="1" si="81"/>
        <v>84009.138264561596</v>
      </c>
      <c r="Q72" s="306">
        <f t="shared" ca="1" si="81"/>
        <v>92690.942829629217</v>
      </c>
    </row>
    <row r="73" spans="1:17" s="305" customFormat="1" x14ac:dyDescent="0.25">
      <c r="A73" s="305" t="s">
        <v>404</v>
      </c>
      <c r="C73" s="306">
        <f t="shared" ref="C73:N73" si="82">-(MIN(C50,0)+MIN(C51,0))</f>
        <v>0</v>
      </c>
      <c r="D73" s="306">
        <f t="shared" si="82"/>
        <v>1919</v>
      </c>
      <c r="E73" s="306">
        <f t="shared" si="82"/>
        <v>1669</v>
      </c>
      <c r="F73" s="306">
        <f t="shared" si="82"/>
        <v>1447.9749999999999</v>
      </c>
      <c r="G73" s="306">
        <f t="shared" ca="1" si="82"/>
        <v>875</v>
      </c>
      <c r="H73" s="306">
        <f t="shared" ca="1" si="82"/>
        <v>1605.703176</v>
      </c>
      <c r="I73" s="306">
        <f t="shared" ca="1" si="82"/>
        <v>3471.813576</v>
      </c>
      <c r="J73" s="306">
        <f t="shared" ca="1" si="82"/>
        <v>3530.2516714080002</v>
      </c>
      <c r="K73" s="306">
        <f t="shared" ca="1" si="82"/>
        <v>3043.0979531568</v>
      </c>
      <c r="L73" s="306">
        <f t="shared" ca="1" si="82"/>
        <v>2399.0504431924801</v>
      </c>
      <c r="M73" s="306">
        <f t="shared" ca="1" si="82"/>
        <v>1595.7624517037282</v>
      </c>
      <c r="N73" s="306">
        <f t="shared" ca="1" si="82"/>
        <v>607.82635748530072</v>
      </c>
      <c r="O73" s="306">
        <f t="shared" ref="O73:Q73" ca="1" si="83">-(MIN(O50,0)+MIN(O51,0))</f>
        <v>32.157667225252474</v>
      </c>
      <c r="P73" s="306">
        <f t="shared" ca="1" si="83"/>
        <v>0</v>
      </c>
      <c r="Q73" s="306">
        <f t="shared" ca="1" si="83"/>
        <v>0</v>
      </c>
    </row>
    <row r="74" spans="1:17" s="305" customFormat="1" x14ac:dyDescent="0.25">
      <c r="A74" s="305" t="s">
        <v>405</v>
      </c>
      <c r="C74" s="306">
        <f>C18</f>
        <v>319.51881710061099</v>
      </c>
      <c r="D74" s="306">
        <f t="shared" ref="D74:N74" si="84">D18</f>
        <v>-4556</v>
      </c>
      <c r="E74" s="306">
        <f t="shared" si="84"/>
        <v>-8867</v>
      </c>
      <c r="F74" s="306">
        <f t="shared" si="84"/>
        <v>-4704</v>
      </c>
      <c r="G74" s="306">
        <f t="shared" si="84"/>
        <v>-2201.85</v>
      </c>
      <c r="H74" s="306">
        <f t="shared" si="84"/>
        <v>-49226.563999999998</v>
      </c>
      <c r="I74" s="306">
        <f t="shared" si="84"/>
        <v>-17306.221700000002</v>
      </c>
      <c r="J74" s="306">
        <f t="shared" si="84"/>
        <v>-2000</v>
      </c>
      <c r="K74" s="306">
        <f t="shared" si="84"/>
        <v>-2000</v>
      </c>
      <c r="L74" s="306">
        <f t="shared" si="84"/>
        <v>-2000</v>
      </c>
      <c r="M74" s="306">
        <f t="shared" si="84"/>
        <v>-2000</v>
      </c>
      <c r="N74" s="306">
        <f t="shared" si="84"/>
        <v>-2000</v>
      </c>
      <c r="O74" s="306">
        <f t="shared" ref="O74:Q74" si="85">O18</f>
        <v>-2000</v>
      </c>
      <c r="P74" s="306">
        <f t="shared" si="85"/>
        <v>-2000</v>
      </c>
      <c r="Q74" s="306">
        <f t="shared" si="85"/>
        <v>-2000</v>
      </c>
    </row>
    <row r="75" spans="1:17" s="304" customFormat="1" x14ac:dyDescent="0.25">
      <c r="A75" s="304" t="s">
        <v>406</v>
      </c>
      <c r="C75" s="307">
        <f>SUM(C72:C74)</f>
        <v>-8127.3146440047467</v>
      </c>
      <c r="D75" s="307">
        <f t="shared" ref="D75:N75" si="86">SUM(D72:D74)</f>
        <v>-5507.0250343051957</v>
      </c>
      <c r="E75" s="307">
        <f t="shared" si="86"/>
        <v>10733.279822721852</v>
      </c>
      <c r="F75" s="307">
        <f t="shared" si="86"/>
        <v>3378.915604114989</v>
      </c>
      <c r="G75" s="307">
        <f t="shared" ca="1" si="86"/>
        <v>12754.237791126016</v>
      </c>
      <c r="H75" s="307">
        <f t="shared" ca="1" si="86"/>
        <v>-42545.366915118881</v>
      </c>
      <c r="I75" s="307">
        <f t="shared" ca="1" si="86"/>
        <v>8513.3104800462752</v>
      </c>
      <c r="J75" s="307">
        <f t="shared" ca="1" si="86"/>
        <v>39808.321614921908</v>
      </c>
      <c r="K75" s="307">
        <f t="shared" ca="1" si="86"/>
        <v>45847.532055550437</v>
      </c>
      <c r="L75" s="307">
        <f t="shared" ca="1" si="86"/>
        <v>52306.137021088784</v>
      </c>
      <c r="M75" s="307">
        <f t="shared" ca="1" si="86"/>
        <v>59079.463024191144</v>
      </c>
      <c r="N75" s="307">
        <f t="shared" ca="1" si="86"/>
        <v>66097.212487332712</v>
      </c>
      <c r="O75" s="307">
        <f t="shared" ref="O75:Q75" ca="1" si="87">SUM(O72:O74)</f>
        <v>73790.037829385474</v>
      </c>
      <c r="P75" s="307">
        <f t="shared" ca="1" si="87"/>
        <v>82009.138264561596</v>
      </c>
      <c r="Q75" s="307">
        <f t="shared" ca="1" si="87"/>
        <v>90690.942829629217</v>
      </c>
    </row>
    <row r="76" spans="1:17" s="305" customFormat="1" x14ac:dyDescent="0.25"/>
    <row r="77" spans="1:17" s="304" customFormat="1" x14ac:dyDescent="0.25">
      <c r="A77" s="304" t="s">
        <v>407</v>
      </c>
      <c r="C77" s="307">
        <f>SUM(C78:C79)</f>
        <v>0</v>
      </c>
      <c r="D77" s="307">
        <f t="shared" ref="D77:N77" si="88">SUM(D78:D79)</f>
        <v>-1919</v>
      </c>
      <c r="E77" s="307">
        <f t="shared" si="88"/>
        <v>-1884</v>
      </c>
      <c r="F77" s="307">
        <f t="shared" si="88"/>
        <v>-1447.9749999999999</v>
      </c>
      <c r="G77" s="307">
        <f t="shared" ca="1" si="88"/>
        <v>-875</v>
      </c>
      <c r="H77" s="307">
        <f t="shared" ca="1" si="88"/>
        <v>-1605.703176</v>
      </c>
      <c r="I77" s="307">
        <f t="shared" ca="1" si="88"/>
        <v>-3471.813576</v>
      </c>
      <c r="J77" s="307">
        <f t="shared" ca="1" si="88"/>
        <v>-14959.080159408</v>
      </c>
      <c r="K77" s="307">
        <f t="shared" ca="1" si="88"/>
        <v>-16325.413153156802</v>
      </c>
      <c r="L77" s="307">
        <f t="shared" ca="1" si="88"/>
        <v>-17009.597163192484</v>
      </c>
      <c r="M77" s="307">
        <f t="shared" ca="1" si="88"/>
        <v>-17667.363843703733</v>
      </c>
      <c r="N77" s="307">
        <f t="shared" ca="1" si="88"/>
        <v>-18286.587888685306</v>
      </c>
      <c r="O77" s="307">
        <f t="shared" ref="O77:Q77" ca="1" si="89">SUM(O78:O79)</f>
        <v>-1072.5527833363728</v>
      </c>
      <c r="P77" s="307">
        <f t="shared" ca="1" si="89"/>
        <v>0</v>
      </c>
      <c r="Q77" s="307">
        <f t="shared" ca="1" si="89"/>
        <v>0</v>
      </c>
    </row>
    <row r="78" spans="1:17" s="305" customFormat="1" x14ac:dyDescent="0.25">
      <c r="A78" s="308" t="s">
        <v>408</v>
      </c>
      <c r="C78" s="306">
        <f t="shared" ref="C78:N78" si="90">-C73</f>
        <v>0</v>
      </c>
      <c r="D78" s="306">
        <f t="shared" si="90"/>
        <v>-1919</v>
      </c>
      <c r="E78" s="306">
        <f t="shared" si="90"/>
        <v>-1669</v>
      </c>
      <c r="F78" s="306">
        <f t="shared" si="90"/>
        <v>-1447.9749999999999</v>
      </c>
      <c r="G78" s="306">
        <f t="shared" ca="1" si="90"/>
        <v>-875</v>
      </c>
      <c r="H78" s="306">
        <f t="shared" ca="1" si="90"/>
        <v>-1605.703176</v>
      </c>
      <c r="I78" s="306">
        <f t="shared" ca="1" si="90"/>
        <v>-3471.813576</v>
      </c>
      <c r="J78" s="306">
        <f t="shared" ca="1" si="90"/>
        <v>-3530.2516714080002</v>
      </c>
      <c r="K78" s="306">
        <f t="shared" ca="1" si="90"/>
        <v>-3043.0979531568</v>
      </c>
      <c r="L78" s="306">
        <f t="shared" ca="1" si="90"/>
        <v>-2399.0504431924801</v>
      </c>
      <c r="M78" s="306">
        <f t="shared" ca="1" si="90"/>
        <v>-1595.7624517037282</v>
      </c>
      <c r="N78" s="306">
        <f t="shared" ca="1" si="90"/>
        <v>-607.82635748530072</v>
      </c>
      <c r="O78" s="306">
        <f t="shared" ref="O78:Q78" ca="1" si="91">-O73</f>
        <v>-32.157667225252474</v>
      </c>
      <c r="P78" s="306">
        <f t="shared" ca="1" si="91"/>
        <v>0</v>
      </c>
      <c r="Q78" s="306">
        <f t="shared" ca="1" si="91"/>
        <v>0</v>
      </c>
    </row>
    <row r="79" spans="1:17" s="305" customFormat="1" x14ac:dyDescent="0.25">
      <c r="A79" s="308" t="s">
        <v>409</v>
      </c>
      <c r="C79" s="306">
        <f t="shared" ref="C79:N79" si="92">C22</f>
        <v>0</v>
      </c>
      <c r="D79" s="306">
        <f t="shared" si="92"/>
        <v>0</v>
      </c>
      <c r="E79" s="306">
        <f t="shared" si="92"/>
        <v>-215</v>
      </c>
      <c r="F79" s="306">
        <f t="shared" si="92"/>
        <v>0</v>
      </c>
      <c r="G79" s="306">
        <f t="shared" si="92"/>
        <v>0</v>
      </c>
      <c r="H79" s="306">
        <f t="shared" si="92"/>
        <v>0</v>
      </c>
      <c r="I79" s="306">
        <f t="shared" si="92"/>
        <v>0</v>
      </c>
      <c r="J79" s="306">
        <f t="shared" si="92"/>
        <v>-11428.828487999999</v>
      </c>
      <c r="K79" s="306">
        <f t="shared" si="92"/>
        <v>-13282.315200000003</v>
      </c>
      <c r="L79" s="306">
        <f t="shared" si="92"/>
        <v>-14610.546720000002</v>
      </c>
      <c r="M79" s="306">
        <f t="shared" si="92"/>
        <v>-16071.601392000004</v>
      </c>
      <c r="N79" s="306">
        <f t="shared" si="92"/>
        <v>-17678.761531200005</v>
      </c>
      <c r="O79" s="306">
        <f t="shared" ref="O79:Q79" si="93">O22</f>
        <v>-1040.3951161111204</v>
      </c>
      <c r="P79" s="306">
        <f t="shared" si="93"/>
        <v>0</v>
      </c>
      <c r="Q79" s="306">
        <f t="shared" si="93"/>
        <v>0</v>
      </c>
    </row>
    <row r="80" spans="1:17" s="305" customFormat="1" x14ac:dyDescent="0.25">
      <c r="A80" s="308"/>
      <c r="C80" s="306"/>
      <c r="D80" s="306"/>
      <c r="E80" s="306"/>
      <c r="F80" s="306"/>
      <c r="G80" s="306"/>
      <c r="H80" s="306"/>
      <c r="I80" s="306"/>
      <c r="J80" s="306"/>
      <c r="K80" s="306"/>
      <c r="L80" s="306"/>
      <c r="M80" s="306"/>
      <c r="N80" s="306"/>
      <c r="O80" s="306"/>
      <c r="P80" s="306"/>
      <c r="Q80" s="306"/>
    </row>
    <row r="81" spans="1:17" s="304" customFormat="1" x14ac:dyDescent="0.25">
      <c r="A81" s="309" t="s">
        <v>414</v>
      </c>
      <c r="B81" s="310"/>
      <c r="C81" s="311">
        <f>C75+C77</f>
        <v>-8127.3146440047467</v>
      </c>
      <c r="D81" s="311">
        <f t="shared" ref="D81:N81" si="94">D75+D77</f>
        <v>-7426.0250343051957</v>
      </c>
      <c r="E81" s="311">
        <f t="shared" si="94"/>
        <v>8849.2798227218518</v>
      </c>
      <c r="F81" s="311">
        <f t="shared" si="94"/>
        <v>1930.9406041149891</v>
      </c>
      <c r="G81" s="311">
        <f t="shared" ca="1" si="94"/>
        <v>11879.237791126016</v>
      </c>
      <c r="H81" s="311">
        <f t="shared" ca="1" si="94"/>
        <v>-44151.070091118883</v>
      </c>
      <c r="I81" s="311">
        <f t="shared" ca="1" si="94"/>
        <v>5041.4969040462747</v>
      </c>
      <c r="J81" s="311">
        <f t="shared" ca="1" si="94"/>
        <v>24849.241455513908</v>
      </c>
      <c r="K81" s="311">
        <f t="shared" ca="1" si="94"/>
        <v>29522.118902393635</v>
      </c>
      <c r="L81" s="311">
        <f t="shared" ca="1" si="94"/>
        <v>35296.5398578963</v>
      </c>
      <c r="M81" s="311">
        <f t="shared" ca="1" si="94"/>
        <v>41412.099180487407</v>
      </c>
      <c r="N81" s="311">
        <f t="shared" ca="1" si="94"/>
        <v>47810.62459864741</v>
      </c>
      <c r="O81" s="311">
        <f t="shared" ref="O81:Q81" ca="1" si="95">O75+O77</f>
        <v>72717.4850460491</v>
      </c>
      <c r="P81" s="311">
        <f t="shared" ca="1" si="95"/>
        <v>82009.138264561596</v>
      </c>
      <c r="Q81" s="311">
        <f t="shared" ca="1" si="95"/>
        <v>90690.942829629217</v>
      </c>
    </row>
    <row r="82" spans="1:17" s="304" customFormat="1" x14ac:dyDescent="0.25">
      <c r="A82" s="309"/>
      <c r="B82" s="310"/>
      <c r="C82" s="311"/>
      <c r="D82" s="311"/>
      <c r="E82" s="311"/>
      <c r="F82" s="311"/>
      <c r="G82" s="311"/>
      <c r="H82" s="311"/>
      <c r="I82" s="311"/>
      <c r="J82" s="311"/>
      <c r="K82" s="311"/>
      <c r="L82" s="311"/>
      <c r="M82" s="311"/>
      <c r="N82" s="311"/>
      <c r="O82" s="311"/>
      <c r="P82" s="311"/>
      <c r="Q82" s="311"/>
    </row>
    <row r="83" spans="1:17" s="304" customFormat="1" x14ac:dyDescent="0.25">
      <c r="A83" s="304" t="s">
        <v>410</v>
      </c>
      <c r="C83" s="307">
        <f>SUM(C84:C85)</f>
        <v>1250</v>
      </c>
      <c r="D83" s="307">
        <f t="shared" ref="D83:N83" si="96">SUM(D84:D85)</f>
        <v>2480</v>
      </c>
      <c r="E83" s="307">
        <f t="shared" si="96"/>
        <v>3705</v>
      </c>
      <c r="F83" s="307">
        <f t="shared" si="96"/>
        <v>166</v>
      </c>
      <c r="G83" s="307">
        <f t="shared" si="96"/>
        <v>2211.2999999999997</v>
      </c>
      <c r="H83" s="307">
        <f t="shared" si="96"/>
        <v>47226.563999999998</v>
      </c>
      <c r="I83" s="307">
        <f t="shared" si="96"/>
        <v>2936.3796000000002</v>
      </c>
      <c r="J83" s="307">
        <f t="shared" si="96"/>
        <v>0</v>
      </c>
      <c r="K83" s="307">
        <f t="shared" si="96"/>
        <v>0</v>
      </c>
      <c r="L83" s="307">
        <f t="shared" si="96"/>
        <v>0</v>
      </c>
      <c r="M83" s="307">
        <f t="shared" si="96"/>
        <v>0</v>
      </c>
      <c r="N83" s="307">
        <f t="shared" si="96"/>
        <v>0</v>
      </c>
      <c r="O83" s="307">
        <f t="shared" ref="O83:Q83" si="97">SUM(O84:O85)</f>
        <v>0</v>
      </c>
      <c r="P83" s="307">
        <f t="shared" si="97"/>
        <v>0</v>
      </c>
      <c r="Q83" s="307">
        <f t="shared" si="97"/>
        <v>0</v>
      </c>
    </row>
    <row r="84" spans="1:17" s="305" customFormat="1" x14ac:dyDescent="0.25">
      <c r="A84" s="308" t="s">
        <v>415</v>
      </c>
      <c r="C84" s="306">
        <f>C23</f>
        <v>1250</v>
      </c>
      <c r="D84" s="306">
        <f t="shared" ref="D84:N84" si="98">D23</f>
        <v>2265</v>
      </c>
      <c r="E84" s="306">
        <f t="shared" si="98"/>
        <v>3705</v>
      </c>
      <c r="F84" s="306">
        <f t="shared" si="98"/>
        <v>166</v>
      </c>
      <c r="G84" s="306">
        <f t="shared" si="98"/>
        <v>2211.2999999999997</v>
      </c>
      <c r="H84" s="306">
        <f t="shared" si="98"/>
        <v>0</v>
      </c>
      <c r="I84" s="306">
        <f t="shared" si="98"/>
        <v>0</v>
      </c>
      <c r="J84" s="306">
        <f t="shared" si="98"/>
        <v>0</v>
      </c>
      <c r="K84" s="306">
        <f t="shared" si="98"/>
        <v>0</v>
      </c>
      <c r="L84" s="306">
        <f t="shared" si="98"/>
        <v>0</v>
      </c>
      <c r="M84" s="306">
        <f t="shared" si="98"/>
        <v>0</v>
      </c>
      <c r="N84" s="306">
        <f t="shared" si="98"/>
        <v>0</v>
      </c>
      <c r="O84" s="306">
        <f t="shared" ref="O84:Q84" si="99">O23</f>
        <v>0</v>
      </c>
      <c r="P84" s="306">
        <f t="shared" si="99"/>
        <v>0</v>
      </c>
      <c r="Q84" s="306">
        <f t="shared" si="99"/>
        <v>0</v>
      </c>
    </row>
    <row r="85" spans="1:17" s="305" customFormat="1" x14ac:dyDescent="0.25">
      <c r="A85" s="308" t="s">
        <v>411</v>
      </c>
      <c r="C85" s="306">
        <f t="shared" ref="C85:N85" si="100">C21</f>
        <v>0</v>
      </c>
      <c r="D85" s="306">
        <f t="shared" si="100"/>
        <v>215</v>
      </c>
      <c r="E85" s="306">
        <f t="shared" si="100"/>
        <v>0</v>
      </c>
      <c r="F85" s="306">
        <f t="shared" si="100"/>
        <v>0</v>
      </c>
      <c r="G85" s="306">
        <f t="shared" si="100"/>
        <v>0</v>
      </c>
      <c r="H85" s="306">
        <f t="shared" si="100"/>
        <v>47226.563999999998</v>
      </c>
      <c r="I85" s="306">
        <f t="shared" si="100"/>
        <v>2936.3796000000002</v>
      </c>
      <c r="J85" s="306">
        <f t="shared" si="100"/>
        <v>0</v>
      </c>
      <c r="K85" s="306">
        <f t="shared" si="100"/>
        <v>0</v>
      </c>
      <c r="L85" s="306">
        <f t="shared" si="100"/>
        <v>0</v>
      </c>
      <c r="M85" s="306">
        <f t="shared" si="100"/>
        <v>0</v>
      </c>
      <c r="N85" s="306">
        <f t="shared" si="100"/>
        <v>0</v>
      </c>
      <c r="O85" s="306">
        <f t="shared" ref="O85:Q85" si="101">O21</f>
        <v>0</v>
      </c>
      <c r="P85" s="306">
        <f t="shared" si="101"/>
        <v>0</v>
      </c>
      <c r="Q85" s="306">
        <f t="shared" si="101"/>
        <v>0</v>
      </c>
    </row>
    <row r="86" spans="1:17" s="305" customFormat="1" x14ac:dyDescent="0.25">
      <c r="A86" s="312"/>
      <c r="B86" s="313"/>
      <c r="C86" s="314"/>
      <c r="D86" s="314"/>
      <c r="E86" s="314"/>
      <c r="F86" s="314"/>
      <c r="G86" s="314"/>
      <c r="H86" s="314"/>
      <c r="I86" s="314"/>
      <c r="J86" s="314"/>
      <c r="K86" s="314"/>
      <c r="L86" s="314"/>
      <c r="M86" s="314"/>
      <c r="N86" s="314"/>
      <c r="O86" s="314"/>
      <c r="P86" s="314"/>
      <c r="Q86" s="314"/>
    </row>
    <row r="87" spans="1:17" s="304" customFormat="1" x14ac:dyDescent="0.25">
      <c r="A87" s="309" t="s">
        <v>416</v>
      </c>
      <c r="C87" s="307">
        <f>C25</f>
        <v>0</v>
      </c>
      <c r="D87" s="307">
        <f t="shared" ref="D87:N87" si="102">D25</f>
        <v>-1126</v>
      </c>
      <c r="E87" s="307">
        <f t="shared" si="102"/>
        <v>-14647</v>
      </c>
      <c r="F87" s="307">
        <f t="shared" si="102"/>
        <v>-5463</v>
      </c>
      <c r="G87" s="307">
        <f t="shared" si="102"/>
        <v>-7389</v>
      </c>
      <c r="H87" s="307">
        <f t="shared" ca="1" si="102"/>
        <v>0</v>
      </c>
      <c r="I87" s="307">
        <f t="shared" ca="1" si="102"/>
        <v>0</v>
      </c>
      <c r="J87" s="307">
        <f t="shared" ca="1" si="102"/>
        <v>-8350.5704824277746</v>
      </c>
      <c r="K87" s="307">
        <f t="shared" ca="1" si="102"/>
        <v>-16538.095824108346</v>
      </c>
      <c r="L87" s="307">
        <f t="shared" ca="1" si="102"/>
        <v>-20848.140428716164</v>
      </c>
      <c r="M87" s="307">
        <f t="shared" ca="1" si="102"/>
        <v>-25614.042836945799</v>
      </c>
      <c r="N87" s="307">
        <f t="shared" ca="1" si="102"/>
        <v>-30786.368740121252</v>
      </c>
      <c r="O87" s="307">
        <f t="shared" ref="O87:Q87" ca="1" si="103">O25</f>
        <v>-36355.911611920114</v>
      </c>
      <c r="P87" s="307">
        <f t="shared" ca="1" si="103"/>
        <v>-42725.811130780952</v>
      </c>
      <c r="Q87" s="307">
        <f t="shared" ca="1" si="103"/>
        <v>-48713.802816736948</v>
      </c>
    </row>
    <row r="88" spans="1:17" s="305" customFormat="1" x14ac:dyDescent="0.25"/>
    <row r="89" spans="1:17" s="304" customFormat="1" x14ac:dyDescent="0.25">
      <c r="A89" s="304" t="s">
        <v>417</v>
      </c>
      <c r="C89" s="311">
        <f>C81+C83+C87</f>
        <v>-6877.3146440047467</v>
      </c>
      <c r="D89" s="311">
        <f t="shared" ref="D89:N89" si="104">D81+D83+D87</f>
        <v>-6072.0250343051957</v>
      </c>
      <c r="E89" s="311">
        <f t="shared" si="104"/>
        <v>-2092.7201772781482</v>
      </c>
      <c r="F89" s="311">
        <f t="shared" si="104"/>
        <v>-3366.0593958850109</v>
      </c>
      <c r="G89" s="311">
        <f t="shared" ca="1" si="104"/>
        <v>6701.5377911260148</v>
      </c>
      <c r="H89" s="311">
        <f t="shared" ca="1" si="104"/>
        <v>3075.4939088811152</v>
      </c>
      <c r="I89" s="311">
        <f t="shared" ca="1" si="104"/>
        <v>7977.8765040462749</v>
      </c>
      <c r="J89" s="311">
        <f t="shared" ca="1" si="104"/>
        <v>16498.670973086133</v>
      </c>
      <c r="K89" s="311">
        <f t="shared" ca="1" si="104"/>
        <v>12984.023078285289</v>
      </c>
      <c r="L89" s="311">
        <f t="shared" ca="1" si="104"/>
        <v>14448.399429180135</v>
      </c>
      <c r="M89" s="311">
        <f t="shared" ca="1" si="104"/>
        <v>15798.056343541608</v>
      </c>
      <c r="N89" s="311">
        <f t="shared" ca="1" si="104"/>
        <v>17024.255858526158</v>
      </c>
      <c r="O89" s="311">
        <f t="shared" ref="O89:Q89" ca="1" si="105">O81+O83+O87</f>
        <v>36361.573434128986</v>
      </c>
      <c r="P89" s="311">
        <f t="shared" ca="1" si="105"/>
        <v>39283.327133780644</v>
      </c>
      <c r="Q89" s="311">
        <f t="shared" ca="1" si="105"/>
        <v>41977.140012892269</v>
      </c>
    </row>
    <row r="90" spans="1:17" s="305" customFormat="1" x14ac:dyDescent="0.25"/>
    <row r="91" spans="1:17" s="305" customFormat="1" x14ac:dyDescent="0.25">
      <c r="A91" s="305" t="s">
        <v>418</v>
      </c>
    </row>
    <row r="92" spans="1:17" s="315" customFormat="1" x14ac:dyDescent="0.25">
      <c r="A92" s="315" t="s">
        <v>412</v>
      </c>
      <c r="B92" s="316"/>
      <c r="C92" s="434" t="e">
        <f>C75/-C77</f>
        <v>#DIV/0!</v>
      </c>
      <c r="D92" s="434">
        <f t="shared" ref="D92:N92" si="106">D75/-D77</f>
        <v>-2.8697368599818631</v>
      </c>
      <c r="E92" s="434">
        <f t="shared" si="106"/>
        <v>5.6970699695975862</v>
      </c>
      <c r="F92" s="434">
        <f t="shared" si="106"/>
        <v>2.3335455405756242</v>
      </c>
      <c r="G92" s="434">
        <f t="shared" ca="1" si="106"/>
        <v>14.576271761286876</v>
      </c>
      <c r="H92" s="434">
        <f t="shared" ca="1" si="106"/>
        <v>-26.496408272109491</v>
      </c>
      <c r="I92" s="434">
        <f t="shared" ca="1" si="106"/>
        <v>2.4521220087671769</v>
      </c>
      <c r="J92" s="434">
        <f t="shared" ca="1" si="106"/>
        <v>2.6611476902799955</v>
      </c>
      <c r="K92" s="434">
        <f t="shared" ca="1" si="106"/>
        <v>2.808353554389833</v>
      </c>
      <c r="L92" s="434">
        <f t="shared" ca="1" si="106"/>
        <v>3.075095578058451</v>
      </c>
      <c r="M92" s="434">
        <f t="shared" ca="1" si="106"/>
        <v>3.3439885852153197</v>
      </c>
      <c r="N92" s="434">
        <f t="shared" ca="1" si="106"/>
        <v>3.6145186236864824</v>
      </c>
      <c r="O92" s="434">
        <f t="shared" ref="O92:Q92" ca="1" si="107">O75/-O77</f>
        <v>68.79851413918108</v>
      </c>
      <c r="P92" s="434" t="e">
        <f t="shared" ca="1" si="107"/>
        <v>#DIV/0!</v>
      </c>
      <c r="Q92" s="434" t="e">
        <f t="shared" ca="1" si="107"/>
        <v>#DIV/0!</v>
      </c>
    </row>
    <row r="93" spans="1:17" s="319" customFormat="1" x14ac:dyDescent="0.25">
      <c r="A93" s="317" t="s">
        <v>413</v>
      </c>
      <c r="B93" s="318"/>
      <c r="C93" s="435" t="e">
        <f>C75/-C78</f>
        <v>#DIV/0!</v>
      </c>
      <c r="D93" s="435">
        <f t="shared" ref="D93:N93" si="108">D75/-D78</f>
        <v>-2.8697368599818631</v>
      </c>
      <c r="E93" s="435">
        <f t="shared" si="108"/>
        <v>6.4309645432725295</v>
      </c>
      <c r="F93" s="435">
        <f t="shared" si="108"/>
        <v>2.3335455405756242</v>
      </c>
      <c r="G93" s="435">
        <f t="shared" ca="1" si="108"/>
        <v>14.576271761286876</v>
      </c>
      <c r="H93" s="435">
        <f t="shared" ca="1" si="108"/>
        <v>-26.496408272109491</v>
      </c>
      <c r="I93" s="435">
        <f t="shared" ca="1" si="108"/>
        <v>2.4521220087671769</v>
      </c>
      <c r="J93" s="435">
        <f t="shared" ca="1" si="108"/>
        <v>11.27634098648973</v>
      </c>
      <c r="K93" s="435">
        <f t="shared" ca="1" si="108"/>
        <v>15.066071733901914</v>
      </c>
      <c r="L93" s="435">
        <f t="shared" ca="1" si="108"/>
        <v>21.802850027398183</v>
      </c>
      <c r="M93" s="435">
        <f t="shared" ca="1" si="108"/>
        <v>37.022717861994117</v>
      </c>
      <c r="N93" s="435">
        <f t="shared" ca="1" si="108"/>
        <v>108.74357729531523</v>
      </c>
      <c r="O93" s="435">
        <f t="shared" ref="O93:Q93" ca="1" si="109">O75/-O78</f>
        <v>2294.63279511271</v>
      </c>
      <c r="P93" s="435" t="e">
        <f t="shared" ca="1" si="109"/>
        <v>#DIV/0!</v>
      </c>
      <c r="Q93" s="435" t="e">
        <f t="shared" ca="1" si="109"/>
        <v>#DIV/0!</v>
      </c>
    </row>
    <row r="94" spans="1:17" s="305" customFormat="1" x14ac:dyDescent="0.25">
      <c r="A94" s="312"/>
      <c r="B94" s="313"/>
      <c r="C94" s="313"/>
      <c r="D94" s="313"/>
      <c r="E94" s="313"/>
      <c r="F94" s="313"/>
      <c r="G94" s="313"/>
      <c r="H94" s="313"/>
      <c r="I94" s="313"/>
      <c r="J94" s="313"/>
      <c r="K94" s="313"/>
      <c r="L94" s="313"/>
      <c r="M94" s="313"/>
      <c r="N94" s="313"/>
      <c r="O94" s="313"/>
      <c r="P94" s="313"/>
      <c r="Q94" s="313"/>
    </row>
  </sheetData>
  <phoneticPr fontId="2" type="noConversion"/>
  <printOptions horizontalCentered="1" headings="1"/>
  <pageMargins left="0.5" right="0.5" top="0.5" bottom="0.5" header="0.511811023622047" footer="0.31496062992126"/>
  <pageSetup scale="52" orientation="portrait" r:id="rId1"/>
  <headerFooter alignWithMargins="0">
    <oddFooter>&amp;L&amp;F -&amp;A&amp;C&amp;P/&amp;N&amp;R&amp;D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78"/>
  <sheetViews>
    <sheetView zoomScale="115" zoomScaleNormal="115" workbookViewId="0">
      <selection activeCell="P81" sqref="P81:Q89"/>
    </sheetView>
  </sheetViews>
  <sheetFormatPr defaultRowHeight="15.75" outlineLevelRow="1" x14ac:dyDescent="0.25"/>
  <cols>
    <col min="1" max="1" width="87.625" bestFit="1" customWidth="1"/>
    <col min="2" max="2" width="13.125" bestFit="1" customWidth="1"/>
    <col min="3" max="4" width="8.125" bestFit="1" customWidth="1"/>
    <col min="5" max="5" width="8.375" bestFit="1" customWidth="1"/>
    <col min="6" max="7" width="8.125" bestFit="1" customWidth="1"/>
    <col min="8" max="9" width="9.125" bestFit="1" customWidth="1"/>
    <col min="10" max="14" width="8.375" bestFit="1" customWidth="1"/>
    <col min="15" max="15" width="8.75" bestFit="1" customWidth="1"/>
    <col min="16" max="17" width="8.375" bestFit="1" customWidth="1"/>
    <col min="18" max="18" width="7.875" bestFit="1" customWidth="1"/>
  </cols>
  <sheetData>
    <row r="1" spans="1:19" s="8" customFormat="1" ht="24.75" customHeight="1" x14ac:dyDescent="0.25">
      <c r="A1" s="219" t="s">
        <v>749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1"/>
      <c r="N1" s="221"/>
      <c r="O1" s="221"/>
      <c r="P1" s="221"/>
      <c r="Q1" s="221"/>
      <c r="R1" s="649">
        <v>1000</v>
      </c>
    </row>
    <row r="2" spans="1:19" s="1" customFormat="1" ht="13.5" customHeight="1" x14ac:dyDescent="0.25">
      <c r="A2" s="234" t="s">
        <v>524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6"/>
      <c r="N2" s="236"/>
      <c r="O2" s="236"/>
      <c r="P2" s="236"/>
      <c r="Q2" s="236"/>
    </row>
    <row r="3" spans="1:19" x14ac:dyDescent="0.25">
      <c r="A3" s="265"/>
      <c r="B3" s="266"/>
      <c r="C3" s="264">
        <f>+PL!C2</f>
        <v>2008</v>
      </c>
      <c r="D3" s="264">
        <f>+PL!D2</f>
        <v>2009</v>
      </c>
      <c r="E3" s="264">
        <f>+PL!E2</f>
        <v>2010</v>
      </c>
      <c r="F3" s="264">
        <f>+PL!F2</f>
        <v>2011</v>
      </c>
      <c r="G3" s="264">
        <f>+PL!G2</f>
        <v>2012</v>
      </c>
      <c r="H3" s="264">
        <f>+PL!H2</f>
        <v>2013</v>
      </c>
      <c r="I3" s="264">
        <f>+PL!I2</f>
        <v>2014</v>
      </c>
      <c r="J3" s="264">
        <f>+PL!J2</f>
        <v>2015</v>
      </c>
      <c r="K3" s="264">
        <f>+PL!K2</f>
        <v>2016</v>
      </c>
      <c r="L3" s="264">
        <f>+PL!L2</f>
        <v>2017</v>
      </c>
      <c r="M3" s="264">
        <f>+PL!M2</f>
        <v>2018</v>
      </c>
      <c r="N3" s="264">
        <f>+PL!N2</f>
        <v>2019</v>
      </c>
      <c r="O3" s="264">
        <f>+PL!O2</f>
        <v>2020</v>
      </c>
      <c r="P3" s="264">
        <f>+PL!P2</f>
        <v>2021</v>
      </c>
      <c r="Q3" s="264">
        <f>+PL!Q2</f>
        <v>2022</v>
      </c>
    </row>
    <row r="4" spans="1:19" x14ac:dyDescent="0.25">
      <c r="A4" s="251" t="s">
        <v>118</v>
      </c>
      <c r="B4" s="166"/>
      <c r="C4" s="39">
        <f>CF!C4/Assumptions!C$6*$R$1</f>
        <v>26428.463170657778</v>
      </c>
      <c r="D4" s="39">
        <f>CF!D4/Assumptions!D$6*$R$1</f>
        <v>593.613537117904</v>
      </c>
      <c r="E4" s="39">
        <f>CF!E4/Assumptions!E$6*$R$1</f>
        <v>9035.1242977775437</v>
      </c>
      <c r="F4" s="39">
        <f>CF!F4/Assumptions!F$6*$R$1</f>
        <v>6490.2991175612588</v>
      </c>
      <c r="G4" s="39">
        <f ca="1">CF!G4/Assumptions!G$6*$R$1</f>
        <v>7321.5425569839945</v>
      </c>
      <c r="H4" s="39">
        <f ca="1">CF!H4/Assumptions!H$6*$R$1</f>
        <v>5265.5701942868527</v>
      </c>
      <c r="I4" s="39">
        <f ca="1">CF!I4/Assumptions!I$6*$R$1</f>
        <v>6085.8006343578454</v>
      </c>
      <c r="J4" s="39">
        <f ca="1">CF!J4/Assumptions!J$6*$R$1</f>
        <v>10957.068934198569</v>
      </c>
      <c r="K4" s="39">
        <f ca="1">CF!K4/Assumptions!K$6*$R$1</f>
        <v>12556.931598019095</v>
      </c>
      <c r="L4" s="39">
        <f ca="1">CF!L4/Assumptions!L$6*$R$1</f>
        <v>14024.960641278887</v>
      </c>
      <c r="M4" s="39">
        <f ca="1">CF!M4/Assumptions!M$6*$R$1</f>
        <v>15324.605427531746</v>
      </c>
      <c r="N4" s="39">
        <f ca="1">CF!N4/Assumptions!N$6*$R$1</f>
        <v>16451.791172252928</v>
      </c>
      <c r="O4" s="39">
        <f ca="1">CF!O4/Assumptions!O$6*$R$1</f>
        <v>17576.636876504836</v>
      </c>
      <c r="P4" s="39">
        <f ca="1">CF!P4/Assumptions!P$6*$R$1</f>
        <v>18218.172624731022</v>
      </c>
      <c r="Q4" s="39">
        <f ca="1">CF!Q4/Assumptions!Q$6*$R$1</f>
        <v>18341.803661706097</v>
      </c>
      <c r="R4" s="147"/>
      <c r="S4" s="1"/>
    </row>
    <row r="5" spans="1:19" x14ac:dyDescent="0.25">
      <c r="A5" s="251" t="s">
        <v>76</v>
      </c>
      <c r="B5" s="166"/>
      <c r="C5" s="39">
        <f>CF!C5/Assumptions!C$6*$R$1</f>
        <v>1010.9123976962717</v>
      </c>
      <c r="D5" s="39">
        <f>CF!D5/Assumptions!D$6*$R$1</f>
        <v>1018.6954148471616</v>
      </c>
      <c r="E5" s="39">
        <f>CF!E5/Assumptions!E$6*$R$1</f>
        <v>1087.8866141732285</v>
      </c>
      <c r="F5" s="39">
        <f>CF!F5/Assumptions!F$6*$R$1</f>
        <v>1087.2746499416571</v>
      </c>
      <c r="G5" s="39">
        <f>CF!G5/Assumptions!G$6*$R$1</f>
        <v>1269.3121693121693</v>
      </c>
      <c r="H5" s="39">
        <f>CF!H5/Assumptions!H$6*$R$1</f>
        <v>1259.8292448292448</v>
      </c>
      <c r="I5" s="39">
        <f>CF!I5/Assumptions!I$6*$R$1</f>
        <v>3297.8448554812194</v>
      </c>
      <c r="J5" s="39">
        <f>CF!J5/Assumptions!J$6*$R$1</f>
        <v>3685.9995349003611</v>
      </c>
      <c r="K5" s="39">
        <f>CF!K5/Assumptions!K$6*$R$1</f>
        <v>3403.6705540612375</v>
      </c>
      <c r="L5" s="39">
        <f>CF!L5/Assumptions!L$6*$R$1</f>
        <v>3159.9519183495677</v>
      </c>
      <c r="M5" s="39">
        <f>CF!M5/Assumptions!M$6*$R$1</f>
        <v>2932.4162531469528</v>
      </c>
      <c r="N5" s="39">
        <f>CF!N5/Assumptions!N$6*$R$1</f>
        <v>2720.1354037799401</v>
      </c>
      <c r="O5" s="39">
        <f>CF!O5/Assumptions!O$6*$R$1</f>
        <v>2322.2844930367269</v>
      </c>
      <c r="P5" s="39">
        <f>CF!P5/Assumptions!P$6*$R$1</f>
        <v>1766.7286499362549</v>
      </c>
      <c r="Q5" s="39">
        <f>CF!Q5/Assumptions!Q$6*$R$1</f>
        <v>1606.1169544875049</v>
      </c>
      <c r="R5" s="147"/>
      <c r="S5" s="1"/>
    </row>
    <row r="6" spans="1:19" x14ac:dyDescent="0.25">
      <c r="A6" s="251"/>
      <c r="B6" s="166"/>
      <c r="C6" s="39">
        <f>CF!C6/Assumptions!C$6*$R$1</f>
        <v>27439.375568354048</v>
      </c>
      <c r="D6" s="39">
        <f>CF!D6/Assumptions!D$6*$R$1</f>
        <v>1636.8552128820963</v>
      </c>
      <c r="E6" s="39">
        <f>CF!E6/Assumptions!E$6*$R$1</f>
        <v>10123.010911950774</v>
      </c>
      <c r="F6" s="39">
        <f>CF!F6/Assumptions!F$6*$R$1</f>
        <v>7577.5737675029168</v>
      </c>
      <c r="G6" s="39">
        <f ca="1">CF!G6/Assumptions!G$6*$R$1</f>
        <v>8590.8547262961638</v>
      </c>
      <c r="H6" s="39">
        <f ca="1">CF!H6/Assumptions!H$6*$R$1</f>
        <v>6525.3994391160968</v>
      </c>
      <c r="I6" s="39">
        <f ca="1">CF!I6/Assumptions!I$6*$R$1</f>
        <v>9383.6454898390657</v>
      </c>
      <c r="J6" s="39">
        <f ca="1">CF!J6/Assumptions!J$6*$R$1</f>
        <v>14643.068469098931</v>
      </c>
      <c r="K6" s="39">
        <f ca="1">CF!K6/Assumptions!K$6*$R$1</f>
        <v>15960.602152080332</v>
      </c>
      <c r="L6" s="39">
        <f ca="1">CF!L6/Assumptions!L$6*$R$1</f>
        <v>17184.912559628454</v>
      </c>
      <c r="M6" s="39">
        <f ca="1">CF!M6/Assumptions!M$6*$R$1</f>
        <v>18257.021680678696</v>
      </c>
      <c r="N6" s="39">
        <f ca="1">CF!N6/Assumptions!N$6*$R$1</f>
        <v>19171.926576032871</v>
      </c>
      <c r="O6" s="39">
        <f ca="1">CF!O6/Assumptions!O$6*$R$1</f>
        <v>19898.921369541564</v>
      </c>
      <c r="P6" s="39">
        <f ca="1">CF!P6/Assumptions!P$6*$R$1</f>
        <v>19984.901274667278</v>
      </c>
      <c r="Q6" s="39">
        <f ca="1">CF!Q6/Assumptions!Q$6*$R$1</f>
        <v>19947.920616193602</v>
      </c>
      <c r="R6" s="147"/>
      <c r="S6" s="1"/>
    </row>
    <row r="7" spans="1:19" s="287" customFormat="1" x14ac:dyDescent="0.25">
      <c r="A7" s="288" t="s">
        <v>336</v>
      </c>
      <c r="B7" s="289"/>
      <c r="C7" s="290">
        <f>CF!C7/Assumptions!C$6*$R$1</f>
        <v>0</v>
      </c>
      <c r="D7" s="290">
        <f>CF!D7/Assumptions!D$6*$R$1</f>
        <v>0</v>
      </c>
      <c r="E7" s="290">
        <f>CF!E7/Assumptions!E$6*$R$1</f>
        <v>0</v>
      </c>
      <c r="F7" s="290">
        <f>CF!F7/Assumptions!F$6*$R$1</f>
        <v>0</v>
      </c>
      <c r="G7" s="290">
        <f>CF!G7/Assumptions!G$6*$R$1</f>
        <v>0</v>
      </c>
      <c r="H7" s="290">
        <f>CF!H7/Assumptions!H$6*$R$1</f>
        <v>0</v>
      </c>
      <c r="I7" s="290">
        <f>CF!I7/Assumptions!I$6*$R$1</f>
        <v>2065.090909090909</v>
      </c>
      <c r="J7" s="290">
        <f>CF!J7/Assumptions!J$6*$R$1</f>
        <v>2181.8181818181802</v>
      </c>
      <c r="K7" s="290">
        <f>CF!K7/Assumptions!K$6*$R$1</f>
        <v>1768.800000000002</v>
      </c>
      <c r="L7" s="290">
        <f>CF!L7/Assumptions!L$6*$R$1</f>
        <v>1332.4363636363653</v>
      </c>
      <c r="M7" s="290">
        <f>CF!M7/Assumptions!M$6*$R$1</f>
        <v>896.072727272728</v>
      </c>
      <c r="N7" s="290">
        <f>CF!N7/Assumptions!N$6*$R$1</f>
        <v>459.70909090909089</v>
      </c>
      <c r="O7" s="290">
        <f>CF!O7/Assumptions!O$6*$R$1</f>
        <v>23.345454545454551</v>
      </c>
      <c r="P7" s="290">
        <f>CF!P7/Assumptions!P$6*$R$1</f>
        <v>0</v>
      </c>
      <c r="Q7" s="290">
        <f>CF!Q7/Assumptions!Q$6*$R$1</f>
        <v>0</v>
      </c>
      <c r="R7" s="285"/>
      <c r="S7" s="286"/>
    </row>
    <row r="8" spans="1:19" x14ac:dyDescent="0.25">
      <c r="A8" s="251" t="s">
        <v>119</v>
      </c>
      <c r="B8" s="166"/>
      <c r="C8" s="39">
        <f>CF!C8/Assumptions!C$6*$R$1</f>
        <v>-25547.00931752846</v>
      </c>
      <c r="D8" s="39">
        <f>CF!D8/Assumptions!D$6*$R$1</f>
        <v>-5366.4028384279482</v>
      </c>
      <c r="E8" s="39">
        <f>CF!E8/Assumptions!E$6*$R$1</f>
        <v>-29638.425196850396</v>
      </c>
      <c r="F8" s="39">
        <f>CF!F8/Assumptions!F$6*$R$1</f>
        <v>-9188.4480746791141</v>
      </c>
      <c r="G8" s="39">
        <f ca="1">CF!G8/Assumptions!G$6*$R$1</f>
        <v>3074.8238905053186</v>
      </c>
      <c r="H8" s="39">
        <f ca="1">CF!H8/Assumptions!H$6*$R$1</f>
        <v>-12913.42863816506</v>
      </c>
      <c r="I8" s="39">
        <f ca="1">CF!I8/Assumptions!I$6*$R$1</f>
        <v>-6968.7339705027216</v>
      </c>
      <c r="J8" s="39">
        <f ca="1">CF!J8/Assumptions!J$6*$R$1</f>
        <v>-3187.7249906101761</v>
      </c>
      <c r="K8" s="39">
        <f ca="1">CF!K8/Assumptions!K$6*$R$1</f>
        <v>-7663.3921489139411</v>
      </c>
      <c r="L8" s="39">
        <f ca="1">CF!L8/Assumptions!L$6*$R$1</f>
        <v>-7793.7634116149147</v>
      </c>
      <c r="M8" s="39">
        <f ca="1">CF!M8/Assumptions!M$6*$R$1</f>
        <v>-7934.7454698959809</v>
      </c>
      <c r="N8" s="39">
        <f ca="1">CF!N8/Assumptions!N$6*$R$1</f>
        <v>-8086.793170547704</v>
      </c>
      <c r="O8" s="39">
        <f ca="1">CF!O8/Assumptions!O$6*$R$1</f>
        <v>-10063.9459755305</v>
      </c>
      <c r="P8" s="39">
        <f ca="1">CF!P8/Assumptions!P$6*$R$1</f>
        <v>-10442.614269164498</v>
      </c>
      <c r="Q8" s="39">
        <f ca="1">CF!Q8/Assumptions!Q$6*$R$1</f>
        <v>-11199.81673680984</v>
      </c>
      <c r="R8" s="147"/>
      <c r="S8" s="1"/>
    </row>
    <row r="9" spans="1:19" x14ac:dyDescent="0.25">
      <c r="A9" s="251" t="s">
        <v>120</v>
      </c>
      <c r="B9" s="166"/>
      <c r="C9" s="39">
        <f>CF!C9/Assumptions!C$6*$R$1</f>
        <v>-8613.2161260988178</v>
      </c>
      <c r="D9" s="39">
        <f>CF!D9/Assumptions!D$6*$R$1</f>
        <v>29162.800218340613</v>
      </c>
      <c r="E9" s="39">
        <f>CF!E9/Assumptions!E$6*$R$1</f>
        <v>17139.527559055117</v>
      </c>
      <c r="F9" s="39">
        <f>CF!F9/Assumptions!F$6*$R$1</f>
        <v>1106.1843640606853</v>
      </c>
      <c r="G9" s="39">
        <f ca="1">CF!G9/Assumptions!G$6*$R$1</f>
        <v>1446.2968458480736</v>
      </c>
      <c r="H9" s="39">
        <f ca="1">CF!H9/Assumptions!H$6*$R$1</f>
        <v>7530.3991913767386</v>
      </c>
      <c r="I9" s="39">
        <f ca="1">CF!I9/Assumptions!I$6*$R$1</f>
        <v>3730.840046811029</v>
      </c>
      <c r="J9" s="39">
        <f ca="1">CF!J9/Assumptions!J$6*$R$1</f>
        <v>3671.3957710887021</v>
      </c>
      <c r="K9" s="39">
        <f ca="1">CF!K9/Assumptions!K$6*$R$1</f>
        <v>8166.1951774006793</v>
      </c>
      <c r="L9" s="39">
        <f ca="1">CF!L9/Assumptions!L$6*$R$1</f>
        <v>7363.923936305574</v>
      </c>
      <c r="M9" s="39">
        <f ca="1">CF!M9/Assumptions!M$6*$R$1</f>
        <v>7606.507121642082</v>
      </c>
      <c r="N9" s="39">
        <f ca="1">CF!N9/Assumptions!N$6*$R$1</f>
        <v>7864.4171448273028</v>
      </c>
      <c r="O9" s="39">
        <f ca="1">CF!O9/Assumptions!O$6*$R$1</f>
        <v>9952.7970374286215</v>
      </c>
      <c r="P9" s="39">
        <f ca="1">CF!P9/Assumptions!P$6*$R$1</f>
        <v>10448.383536652962</v>
      </c>
      <c r="Q9" s="39">
        <f ca="1">CF!Q9/Assumptions!Q$6*$R$1</f>
        <v>11328.925487329625</v>
      </c>
      <c r="R9" s="147"/>
      <c r="S9" s="1"/>
    </row>
    <row r="10" spans="1:19" x14ac:dyDescent="0.25">
      <c r="A10" s="251" t="s">
        <v>337</v>
      </c>
      <c r="B10" s="166"/>
      <c r="C10" s="39">
        <f>CF!C10/Assumptions!C$6*$R$1</f>
        <v>-6803.576815470451</v>
      </c>
      <c r="D10" s="39">
        <f>CF!D10/Assumptions!D$6*$R$1</f>
        <v>-22742.221639127452</v>
      </c>
      <c r="E10" s="39">
        <f>CF!E10/Assumptions!E$6*$R$1</f>
        <v>20059.212598425198</v>
      </c>
      <c r="F10" s="39">
        <f>CF!F10/Assumptions!F$6*$R$1</f>
        <v>3215.2858809500049</v>
      </c>
      <c r="G10" s="39">
        <f ca="1">CF!G10/Assumptions!G$6*$R$1</f>
        <v>792.9100529374025</v>
      </c>
      <c r="H10" s="39">
        <f ca="1">CF!H10/Assumptions!H$6*$R$1</f>
        <v>899.37471292208056</v>
      </c>
      <c r="I10" s="39">
        <f ca="1">CF!I10/Assumptions!I$6*$R$1</f>
        <v>1138.982733871406</v>
      </c>
      <c r="J10" s="39">
        <f ca="1">CF!J10/Assumptions!J$6*$R$1</f>
        <v>-2544.4199486657121</v>
      </c>
      <c r="K10" s="39">
        <f ca="1">CF!K10/Assumptions!K$6*$R$1</f>
        <v>-2526.1852171581754</v>
      </c>
      <c r="L10" s="39">
        <f ca="1">CF!L10/Assumptions!L$6*$R$1</f>
        <v>-1556.7802286794047</v>
      </c>
      <c r="M10" s="39">
        <f ca="1">CF!M10/Assumptions!M$6*$R$1</f>
        <v>-1622.0340132546562</v>
      </c>
      <c r="N10" s="39">
        <f ca="1">CF!N10/Assumptions!N$6*$R$1</f>
        <v>-1692.5997456452967</v>
      </c>
      <c r="O10" s="39">
        <f ca="1">CF!O10/Assumptions!O$6*$R$1</f>
        <v>-1768.9498529338553</v>
      </c>
      <c r="P10" s="39">
        <f ca="1">CF!P10/Assumptions!P$6*$R$1</f>
        <v>-1851.603663642989</v>
      </c>
      <c r="Q10" s="39">
        <f ca="1">CF!Q10/Assumptions!Q$6*$R$1</f>
        <v>-1941.36620199702</v>
      </c>
      <c r="R10" s="147"/>
      <c r="S10" s="1"/>
    </row>
    <row r="11" spans="1:19" x14ac:dyDescent="0.25">
      <c r="A11" s="251" t="s">
        <v>338</v>
      </c>
      <c r="B11" s="166"/>
      <c r="C11" s="39">
        <f>CF!C11/Assumptions!C$6*$R$1</f>
        <v>0</v>
      </c>
      <c r="D11" s="39">
        <f>CF!D11/Assumptions!D$6*$R$1</f>
        <v>-1441.7303493449783</v>
      </c>
      <c r="E11" s="39">
        <f>CF!E11/Assumptions!E$6*$R$1</f>
        <v>925.98425196850394</v>
      </c>
      <c r="F11" s="39">
        <f>CF!F11/Assumptions!F$6*$R$1</f>
        <v>-467.9113185530922</v>
      </c>
      <c r="G11" s="39">
        <f>CF!G11/Assumptions!G$6*$R$1</f>
        <v>0.52910052910052918</v>
      </c>
      <c r="H11" s="39">
        <f>CF!H11/Assumptions!H$6*$R$1</f>
        <v>0</v>
      </c>
      <c r="I11" s="39">
        <f>CF!I11/Assumptions!I$6*$R$1</f>
        <v>0</v>
      </c>
      <c r="J11" s="39">
        <f>CF!J11/Assumptions!J$6*$R$1</f>
        <v>0</v>
      </c>
      <c r="K11" s="39">
        <f>CF!K11/Assumptions!K$6*$R$1</f>
        <v>0</v>
      </c>
      <c r="L11" s="39">
        <f>CF!L11/Assumptions!L$6*$R$1</f>
        <v>0</v>
      </c>
      <c r="M11" s="39">
        <f>CF!M11/Assumptions!M$6*$R$1</f>
        <v>0</v>
      </c>
      <c r="N11" s="39">
        <f>CF!N11/Assumptions!N$6*$R$1</f>
        <v>0</v>
      </c>
      <c r="O11" s="39">
        <f>CF!O11/Assumptions!O$6*$R$1</f>
        <v>0</v>
      </c>
      <c r="P11" s="39">
        <f>CF!P11/Assumptions!P$6*$R$1</f>
        <v>0</v>
      </c>
      <c r="Q11" s="39">
        <f>CF!Q11/Assumptions!Q$6*$R$1</f>
        <v>0</v>
      </c>
      <c r="R11" s="147"/>
      <c r="S11" s="1"/>
    </row>
    <row r="12" spans="1:19" x14ac:dyDescent="0.25">
      <c r="A12" s="251" t="s">
        <v>339</v>
      </c>
      <c r="B12" s="166"/>
      <c r="C12" s="39">
        <f>CF!C13/Assumptions!C$6*$R$1</f>
        <v>7123.3707183995157</v>
      </c>
      <c r="D12" s="39">
        <f>CF!D13/Assumptions!D$6*$R$1</f>
        <v>-2088.5644104803496</v>
      </c>
      <c r="E12" s="39">
        <f>CF!E13/Assumptions!E$6*$R$1</f>
        <v>-7285.0393700787399</v>
      </c>
      <c r="F12" s="39">
        <f>CF!F13/Assumptions!F$6*$R$1</f>
        <v>14.573609490471341</v>
      </c>
      <c r="G12" s="39">
        <f>CF!G13/Assumptions!G$6*$R$1</f>
        <v>-6455.1036155202819</v>
      </c>
      <c r="H12" s="39">
        <f>CF!H13/Assumptions!H$6*$R$1</f>
        <v>399.57030623697261</v>
      </c>
      <c r="I12" s="39">
        <f>CF!I13/Assumptions!I$6*$R$1</f>
        <v>422.23242526272838</v>
      </c>
      <c r="J12" s="39">
        <f>CF!J13/Assumptions!J$6*$R$1</f>
        <v>452.20140536944939</v>
      </c>
      <c r="K12" s="39">
        <f>CF!K13/Assumptions!K$6*$R$1</f>
        <v>485.53101646014244</v>
      </c>
      <c r="L12" s="39">
        <f>CF!L13/Assumptions!L$6*$R$1</f>
        <v>522.29558183158747</v>
      </c>
      <c r="M12" s="39">
        <f>CF!M13/Assumptions!M$6*$R$1</f>
        <v>562.78548598786733</v>
      </c>
      <c r="N12" s="39">
        <f>CF!N13/Assumptions!N$6*$R$1</f>
        <v>607.53395994651157</v>
      </c>
      <c r="O12" s="39">
        <f>CF!O13/Assumptions!O$6*$R$1</f>
        <v>657.09662551605436</v>
      </c>
      <c r="P12" s="39">
        <f>CF!P13/Assumptions!P$6*$R$1</f>
        <v>711.76669795568773</v>
      </c>
      <c r="Q12" s="39">
        <f>CF!Q13/Assumptions!Q$6*$R$1</f>
        <v>772.46963891320684</v>
      </c>
      <c r="R12" s="147"/>
      <c r="S12" s="1"/>
    </row>
    <row r="13" spans="1:19" x14ac:dyDescent="0.25">
      <c r="A13" s="267" t="s">
        <v>346</v>
      </c>
      <c r="B13" s="264"/>
      <c r="C13" s="398">
        <f t="shared" ref="C13:F13" si="0">SUM(C6:C12)</f>
        <v>-6401.0559723441656</v>
      </c>
      <c r="D13" s="398">
        <f t="shared" si="0"/>
        <v>-839.26380615801941</v>
      </c>
      <c r="E13" s="398">
        <f t="shared" si="0"/>
        <v>11324.270754470461</v>
      </c>
      <c r="F13" s="398">
        <f t="shared" si="0"/>
        <v>2257.2582287718719</v>
      </c>
      <c r="G13" s="398">
        <f ca="1">SUM(G6:G12)</f>
        <v>7450.3110005957769</v>
      </c>
      <c r="H13" s="398">
        <f t="shared" ref="H13:N13" ca="1" si="1">SUM(H6:H12)</f>
        <v>2441.3150114868286</v>
      </c>
      <c r="I13" s="398">
        <f t="shared" ca="1" si="1"/>
        <v>9772.0576343724151</v>
      </c>
      <c r="J13" s="398">
        <f t="shared" ca="1" si="1"/>
        <v>15216.338888099375</v>
      </c>
      <c r="K13" s="398">
        <f t="shared" ca="1" si="1"/>
        <v>16191.550979869038</v>
      </c>
      <c r="L13" s="398">
        <f t="shared" ca="1" si="1"/>
        <v>17053.024801107662</v>
      </c>
      <c r="M13" s="398">
        <f t="shared" ca="1" si="1"/>
        <v>17765.607532430735</v>
      </c>
      <c r="N13" s="398">
        <f t="shared" ca="1" si="1"/>
        <v>18324.193855522775</v>
      </c>
      <c r="O13" s="398">
        <f t="shared" ref="O13:Q13" ca="1" si="2">SUM(O6:O12)</f>
        <v>18699.264658567339</v>
      </c>
      <c r="P13" s="398">
        <f t="shared" ca="1" si="2"/>
        <v>18850.833576468442</v>
      </c>
      <c r="Q13" s="398">
        <f t="shared" ca="1" si="2"/>
        <v>18908.132803629574</v>
      </c>
      <c r="R13" s="147"/>
      <c r="S13" s="1"/>
    </row>
    <row r="14" spans="1:19" ht="18" customHeight="1" x14ac:dyDescent="0.25">
      <c r="A14" s="251"/>
      <c r="B14" s="166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147"/>
      <c r="S14" s="1"/>
    </row>
    <row r="15" spans="1:19" x14ac:dyDescent="0.25">
      <c r="A15" s="251" t="s">
        <v>340</v>
      </c>
      <c r="B15" s="166"/>
      <c r="C15" s="39">
        <f>CF!C16/Assumptions!C$6*$R$1</f>
        <v>0</v>
      </c>
      <c r="D15" s="39">
        <f>CF!D16/Assumptions!D$6*$R$1</f>
        <v>-3108.6244541484721</v>
      </c>
      <c r="E15" s="39">
        <f>CF!E16/Assumptions!E$6*$R$1</f>
        <v>-5585.5118110236217</v>
      </c>
      <c r="F15" s="39">
        <f>CF!F16/Assumptions!F$6*$R$1</f>
        <v>-2744.457409568261</v>
      </c>
      <c r="G15" s="39">
        <f>CF!G16/Assumptions!G$6*$R$1</f>
        <v>-1165</v>
      </c>
      <c r="H15" s="39">
        <f>CF!H16/Assumptions!H$6*$R$1</f>
        <v>-23678.000962000962</v>
      </c>
      <c r="I15" s="39">
        <f>CF!I16/Assumptions!I$6*$R$1</f>
        <v>-7567.5463290917842</v>
      </c>
      <c r="J15" s="39">
        <f>CF!J16/Assumptions!J$6*$R$1</f>
        <v>-795.04211735616695</v>
      </c>
      <c r="K15" s="39">
        <f>CF!K16/Assumptions!K$6*$R$1</f>
        <v>-722.76556123287889</v>
      </c>
      <c r="L15" s="39">
        <f>CF!L16/Assumptions!L$6*$R$1</f>
        <v>-657.05960112079902</v>
      </c>
      <c r="M15" s="39">
        <f>CF!M16/Assumptions!M$6*$R$1</f>
        <v>-597.32691010981716</v>
      </c>
      <c r="N15" s="39">
        <f>CF!N16/Assumptions!N$6*$R$1</f>
        <v>-543.02446373619739</v>
      </c>
      <c r="O15" s="39">
        <f>CF!O16/Assumptions!O$6*$R$1</f>
        <v>-493.65860339654307</v>
      </c>
      <c r="P15" s="39">
        <f>CF!P16/Assumptions!P$6*$R$1</f>
        <v>-448.78054854231186</v>
      </c>
      <c r="Q15" s="39">
        <f>CF!Q16/Assumptions!Q$6*$R$1</f>
        <v>-407.98231685664712</v>
      </c>
      <c r="R15" s="147"/>
      <c r="S15" s="1"/>
    </row>
    <row r="16" spans="1:19" x14ac:dyDescent="0.25">
      <c r="A16" s="251" t="s">
        <v>341</v>
      </c>
      <c r="B16" s="166"/>
      <c r="C16" s="39">
        <f>CF!C17/Assumptions!C$6*$R$1</f>
        <v>242.13308358639816</v>
      </c>
      <c r="D16" s="39">
        <f>CF!D17/Assumptions!D$6*$R$1</f>
        <v>0</v>
      </c>
      <c r="E16" s="39">
        <f>CF!E17/Assumptions!E$6*$R$1</f>
        <v>0</v>
      </c>
      <c r="F16" s="39">
        <f>CF!F17/Assumptions!F$6*$R$1</f>
        <v>0</v>
      </c>
      <c r="G16" s="39">
        <f>CF!G17/Assumptions!G$6*$R$1</f>
        <v>0</v>
      </c>
      <c r="H16" s="39">
        <f>CF!H17/Assumptions!H$6*$R$1</f>
        <v>0</v>
      </c>
      <c r="I16" s="39">
        <f>CF!I17/Assumptions!I$6*$R$1</f>
        <v>0</v>
      </c>
      <c r="J16" s="39">
        <f>CF!J17/Assumptions!J$6*$R$1</f>
        <v>0</v>
      </c>
      <c r="K16" s="39">
        <f>CF!K17/Assumptions!K$6*$R$1</f>
        <v>0</v>
      </c>
      <c r="L16" s="39">
        <f>CF!L17/Assumptions!L$6*$R$1</f>
        <v>0</v>
      </c>
      <c r="M16" s="39">
        <f>CF!M17/Assumptions!M$6*$R$1</f>
        <v>0</v>
      </c>
      <c r="N16" s="39">
        <f>CF!N17/Assumptions!N$6*$R$1</f>
        <v>0</v>
      </c>
      <c r="O16" s="39">
        <f>CF!O17/Assumptions!O$6*$R$1</f>
        <v>0</v>
      </c>
      <c r="P16" s="39">
        <f>CF!P17/Assumptions!P$6*$R$1</f>
        <v>0</v>
      </c>
      <c r="Q16" s="39">
        <f>CF!Q17/Assumptions!Q$6*$R$1</f>
        <v>0</v>
      </c>
      <c r="R16" s="147"/>
      <c r="S16" s="1"/>
    </row>
    <row r="17" spans="1:19" x14ac:dyDescent="0.25">
      <c r="A17" s="267" t="s">
        <v>347</v>
      </c>
      <c r="B17" s="264"/>
      <c r="C17" s="398">
        <f t="shared" ref="C17" si="3">+C16+C15</f>
        <v>242.13308358639816</v>
      </c>
      <c r="D17" s="398">
        <f t="shared" ref="D17:N17" si="4">+D16+D15</f>
        <v>-3108.6244541484721</v>
      </c>
      <c r="E17" s="398">
        <f t="shared" si="4"/>
        <v>-5585.5118110236217</v>
      </c>
      <c r="F17" s="398">
        <f t="shared" si="4"/>
        <v>-2744.457409568261</v>
      </c>
      <c r="G17" s="398">
        <f t="shared" si="4"/>
        <v>-1165</v>
      </c>
      <c r="H17" s="398">
        <f t="shared" si="4"/>
        <v>-23678.000962000962</v>
      </c>
      <c r="I17" s="398">
        <f t="shared" si="4"/>
        <v>-7567.5463290917842</v>
      </c>
      <c r="J17" s="398">
        <f t="shared" si="4"/>
        <v>-795.04211735616695</v>
      </c>
      <c r="K17" s="398">
        <f t="shared" si="4"/>
        <v>-722.76556123287889</v>
      </c>
      <c r="L17" s="398">
        <f t="shared" si="4"/>
        <v>-657.05960112079902</v>
      </c>
      <c r="M17" s="398">
        <f t="shared" si="4"/>
        <v>-597.32691010981716</v>
      </c>
      <c r="N17" s="398">
        <f t="shared" si="4"/>
        <v>-543.02446373619739</v>
      </c>
      <c r="O17" s="398">
        <f t="shared" ref="O17:Q17" si="5">+O16+O15</f>
        <v>-493.65860339654307</v>
      </c>
      <c r="P17" s="398">
        <f t="shared" si="5"/>
        <v>-448.78054854231186</v>
      </c>
      <c r="Q17" s="398">
        <f t="shared" si="5"/>
        <v>-407.98231685664712</v>
      </c>
      <c r="R17" s="147"/>
      <c r="S17" s="1"/>
    </row>
    <row r="18" spans="1:19" ht="9" customHeight="1" x14ac:dyDescent="0.25">
      <c r="A18" s="251"/>
      <c r="B18" s="166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147"/>
      <c r="S18" s="1"/>
    </row>
    <row r="19" spans="1:19" x14ac:dyDescent="0.25">
      <c r="A19" s="251"/>
      <c r="B19" s="166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147"/>
      <c r="S19" s="1"/>
    </row>
    <row r="20" spans="1:19" x14ac:dyDescent="0.25">
      <c r="A20" s="251" t="s">
        <v>342</v>
      </c>
      <c r="B20" s="166"/>
      <c r="C20" s="39">
        <f>CF!C21/Assumptions!C$6*$R$1</f>
        <v>0</v>
      </c>
      <c r="D20" s="39">
        <f>CF!D21/Assumptions!D$6*$R$1</f>
        <v>146.69759825327512</v>
      </c>
      <c r="E20" s="39">
        <f>CF!E21/Assumptions!E$6*$R$1</f>
        <v>0</v>
      </c>
      <c r="F20" s="39">
        <f>CF!F21/Assumptions!F$6*$R$1</f>
        <v>0</v>
      </c>
      <c r="G20" s="39">
        <f>CF!G21/Assumptions!G$6*$R$1</f>
        <v>0</v>
      </c>
      <c r="H20" s="39">
        <f>CF!H21/Assumptions!H$6*$R$1</f>
        <v>22715.999999999996</v>
      </c>
      <c r="I20" s="39">
        <f>CF!I21/Assumptions!I$6*$R$1</f>
        <v>1284</v>
      </c>
      <c r="J20" s="39">
        <f>CF!J21/Assumptions!J$6*$R$1</f>
        <v>0</v>
      </c>
      <c r="K20" s="39">
        <f>CF!K21/Assumptions!K$6*$R$1</f>
        <v>0</v>
      </c>
      <c r="L20" s="39">
        <f>CF!L21/Assumptions!L$6*$R$1</f>
        <v>0</v>
      </c>
      <c r="M20" s="39">
        <f>CF!M21/Assumptions!M$6*$R$1</f>
        <v>0</v>
      </c>
      <c r="N20" s="39">
        <f>CF!N21/Assumptions!N$6*$R$1</f>
        <v>0</v>
      </c>
      <c r="O20" s="39">
        <f>CF!O21/Assumptions!O$6*$R$1</f>
        <v>0</v>
      </c>
      <c r="P20" s="39">
        <f>CF!P21/Assumptions!P$6*$R$1</f>
        <v>0</v>
      </c>
      <c r="Q20" s="39">
        <f>CF!Q21/Assumptions!Q$6*$R$1</f>
        <v>0</v>
      </c>
      <c r="R20" s="147"/>
      <c r="S20" s="1"/>
    </row>
    <row r="21" spans="1:19" x14ac:dyDescent="0.25">
      <c r="A21" s="251" t="s">
        <v>343</v>
      </c>
      <c r="B21" s="166"/>
      <c r="C21" s="39">
        <f>CF!C22/Assumptions!C$6*$R$1</f>
        <v>0</v>
      </c>
      <c r="D21" s="39">
        <f>CF!D22/Assumptions!D$6*$R$1</f>
        <v>0</v>
      </c>
      <c r="E21" s="39">
        <f>CF!E22/Assumptions!E$6*$R$1</f>
        <v>-135.43307086614172</v>
      </c>
      <c r="F21" s="39">
        <f>CF!F22/Assumptions!F$6*$R$1</f>
        <v>0</v>
      </c>
      <c r="G21" s="39">
        <f>CF!G22/Assumptions!G$6*$R$1</f>
        <v>0</v>
      </c>
      <c r="H21" s="39">
        <f>CF!H22/Assumptions!H$6*$R$1</f>
        <v>0</v>
      </c>
      <c r="I21" s="39">
        <f>CF!I22/Assumptions!I$6*$R$1</f>
        <v>0</v>
      </c>
      <c r="J21" s="39">
        <f>CF!J22/Assumptions!J$6*$R$1</f>
        <v>-4543.2</v>
      </c>
      <c r="K21" s="39">
        <f>CF!K22/Assumptions!K$6*$R$1</f>
        <v>-4800.0000000000009</v>
      </c>
      <c r="L21" s="39">
        <f>CF!L22/Assumptions!L$6*$R$1</f>
        <v>-4800</v>
      </c>
      <c r="M21" s="39">
        <f>CF!M22/Assumptions!M$6*$R$1</f>
        <v>-4800</v>
      </c>
      <c r="N21" s="39">
        <f>CF!N22/Assumptions!N$6*$R$1</f>
        <v>-4800</v>
      </c>
      <c r="O21" s="39">
        <f>CF!O22/Assumptions!O$6*$R$1</f>
        <v>-256.79999999999995</v>
      </c>
      <c r="P21" s="39">
        <f>CF!P22/Assumptions!P$6*$R$1</f>
        <v>0</v>
      </c>
      <c r="Q21" s="39">
        <f>CF!Q22/Assumptions!Q$6*$R$1</f>
        <v>0</v>
      </c>
      <c r="R21" s="147"/>
      <c r="S21" s="1"/>
    </row>
    <row r="22" spans="1:19" x14ac:dyDescent="0.25">
      <c r="A22" s="241" t="s">
        <v>696</v>
      </c>
      <c r="B22" s="166"/>
      <c r="C22" s="39">
        <f>CF!C23/Assumptions!C$6*$R$1</f>
        <v>947.25674446802066</v>
      </c>
      <c r="D22" s="39">
        <f>CF!D23/Assumptions!D$6*$R$1</f>
        <v>1545.4421397379913</v>
      </c>
      <c r="E22" s="39">
        <f>CF!E23/Assumptions!E$6*$R$1</f>
        <v>2333.8582677165355</v>
      </c>
      <c r="F22" s="39">
        <f>CF!F23/Assumptions!F$6*$R$1</f>
        <v>96.849474912485405</v>
      </c>
      <c r="G22" s="39">
        <f>CF!G23/Assumptions!G$6*$R$1</f>
        <v>1170</v>
      </c>
      <c r="H22" s="39">
        <f>CF!H23/Assumptions!H$6*$R$1</f>
        <v>0</v>
      </c>
      <c r="I22" s="39">
        <f>CF!I23/Assumptions!I$6*$R$1</f>
        <v>0</v>
      </c>
      <c r="J22" s="39">
        <f>CF!J23/Assumptions!J$6*$R$1</f>
        <v>0</v>
      </c>
      <c r="K22" s="39">
        <f>CF!K23/Assumptions!K$6*$R$1</f>
        <v>0</v>
      </c>
      <c r="L22" s="39">
        <f>CF!L23/Assumptions!L$6*$R$1</f>
        <v>0</v>
      </c>
      <c r="M22" s="39">
        <f>CF!M23/Assumptions!M$6*$R$1</f>
        <v>0</v>
      </c>
      <c r="N22" s="39">
        <f>CF!N23/Assumptions!N$6*$R$1</f>
        <v>0</v>
      </c>
      <c r="O22" s="39">
        <f>CF!O23/Assumptions!O$6*$R$1</f>
        <v>0</v>
      </c>
      <c r="P22" s="39">
        <f>CF!P23/Assumptions!P$6*$R$1</f>
        <v>0</v>
      </c>
      <c r="Q22" s="39">
        <f>CF!Q23/Assumptions!Q$6*$R$1</f>
        <v>0</v>
      </c>
      <c r="R22" s="147"/>
      <c r="S22" s="1"/>
    </row>
    <row r="23" spans="1:19" x14ac:dyDescent="0.25">
      <c r="A23" s="251" t="s">
        <v>345</v>
      </c>
      <c r="B23" s="166"/>
      <c r="C23" s="39">
        <f>CF!C25/Assumptions!C$6*$R$1</f>
        <v>0</v>
      </c>
      <c r="D23" s="648">
        <f>CF!D25/Assumptions!D$6*$R$1</f>
        <v>-768.28602620087338</v>
      </c>
      <c r="E23" s="39">
        <f>CF!E25/Assumptions!E$6*$R$1</f>
        <v>-9226.4566929133853</v>
      </c>
      <c r="F23" s="39">
        <f>CF!F25/Assumptions!F$6*$R$1</f>
        <v>-3187.2812135355894</v>
      </c>
      <c r="G23" s="39">
        <f>CF!G25/Assumptions!G$6*$R$1</f>
        <v>-3909.5238095238092</v>
      </c>
      <c r="H23" s="39">
        <f ca="1">CF!H25/Assumptions!H$6*$R$1</f>
        <v>0</v>
      </c>
      <c r="I23" s="39">
        <f ca="1">CF!I25/Assumptions!I$6*$R$1</f>
        <v>0</v>
      </c>
      <c r="J23" s="39">
        <f ca="1">CF!J25/Assumptions!J$6*$R$1</f>
        <v>-3319.527618740643</v>
      </c>
      <c r="K23" s="39">
        <f ca="1">CF!K25/Assumptions!K$6*$R$1</f>
        <v>-5976.5830550174005</v>
      </c>
      <c r="L23" s="39">
        <f ca="1">CF!L25/Assumptions!L$6*$R$1</f>
        <v>-6849.2354171013221</v>
      </c>
      <c r="M23" s="39">
        <f ca="1">CF!M25/Assumptions!M$6*$R$1</f>
        <v>-7649.9785316066655</v>
      </c>
      <c r="N23" s="39">
        <f ca="1">CF!N25/Assumptions!N$6*$R$1</f>
        <v>-8358.8756877445885</v>
      </c>
      <c r="O23" s="39">
        <f ca="1">CF!O25/Assumptions!O$6*$R$1</f>
        <v>-8973.7042757743238</v>
      </c>
      <c r="P23" s="39">
        <f ca="1">CF!P25/Assumptions!P$6*$R$1</f>
        <v>-9587.2564780935445</v>
      </c>
      <c r="Q23" s="39">
        <f ca="1">CF!Q25/Assumptions!Q$6*$R$1</f>
        <v>-9937.1850680350999</v>
      </c>
      <c r="R23" s="147"/>
      <c r="S23" s="1"/>
    </row>
    <row r="24" spans="1:19" x14ac:dyDescent="0.25">
      <c r="A24" s="267" t="s">
        <v>348</v>
      </c>
      <c r="B24" s="264"/>
      <c r="C24" s="398">
        <f t="shared" ref="C24" si="6">SUM(C20:C23)</f>
        <v>947.25674446802066</v>
      </c>
      <c r="D24" s="398">
        <f t="shared" ref="D24:N24" si="7">SUM(D20:D23)</f>
        <v>923.85371179039305</v>
      </c>
      <c r="E24" s="398">
        <f t="shared" si="7"/>
        <v>-7028.0314960629912</v>
      </c>
      <c r="F24" s="398">
        <f t="shared" si="7"/>
        <v>-3090.4317386231041</v>
      </c>
      <c r="G24" s="398">
        <f t="shared" si="7"/>
        <v>-2739.5238095238092</v>
      </c>
      <c r="H24" s="398">
        <f t="shared" ca="1" si="7"/>
        <v>22715.999999999996</v>
      </c>
      <c r="I24" s="398">
        <f t="shared" ca="1" si="7"/>
        <v>1284</v>
      </c>
      <c r="J24" s="398">
        <f t="shared" ca="1" si="7"/>
        <v>-7862.7276187406424</v>
      </c>
      <c r="K24" s="398">
        <f t="shared" ca="1" si="7"/>
        <v>-10776.583055017401</v>
      </c>
      <c r="L24" s="398">
        <f t="shared" ca="1" si="7"/>
        <v>-11649.235417101321</v>
      </c>
      <c r="M24" s="398">
        <f t="shared" ca="1" si="7"/>
        <v>-12449.978531606666</v>
      </c>
      <c r="N24" s="398">
        <f t="shared" ca="1" si="7"/>
        <v>-13158.875687744589</v>
      </c>
      <c r="O24" s="398">
        <f t="shared" ref="O24:Q24" ca="1" si="8">SUM(O20:O23)</f>
        <v>-9230.5042757743231</v>
      </c>
      <c r="P24" s="398">
        <f t="shared" ca="1" si="8"/>
        <v>-9587.2564780935445</v>
      </c>
      <c r="Q24" s="398">
        <f t="shared" ca="1" si="8"/>
        <v>-9937.1850680350999</v>
      </c>
      <c r="R24" s="147"/>
      <c r="S24" s="1"/>
    </row>
    <row r="25" spans="1:19" x14ac:dyDescent="0.25">
      <c r="A25" s="251"/>
      <c r="B25" s="166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659"/>
      <c r="S25" s="1"/>
    </row>
    <row r="26" spans="1:19" ht="18.75" x14ac:dyDescent="0.3">
      <c r="A26" s="268" t="s">
        <v>349</v>
      </c>
      <c r="B26" s="269"/>
      <c r="C26" s="647">
        <f t="shared" ref="C26" si="9">+C24+C17+C13</f>
        <v>-5211.6661442897466</v>
      </c>
      <c r="D26" s="647">
        <f t="shared" ref="D26:N26" si="10">+D24+D17+D13</f>
        <v>-3024.0345485160988</v>
      </c>
      <c r="E26" s="647">
        <f t="shared" si="10"/>
        <v>-1289.2725526161521</v>
      </c>
      <c r="F26" s="647">
        <f t="shared" si="10"/>
        <v>-3577.6309194194932</v>
      </c>
      <c r="G26" s="647">
        <f t="shared" ca="1" si="10"/>
        <v>3545.7871910719678</v>
      </c>
      <c r="H26" s="647">
        <f t="shared" ca="1" si="10"/>
        <v>1479.3140494858626</v>
      </c>
      <c r="I26" s="647">
        <f t="shared" ca="1" si="10"/>
        <v>3488.5113052806309</v>
      </c>
      <c r="J26" s="647">
        <f t="shared" ca="1" si="10"/>
        <v>6558.5691520025666</v>
      </c>
      <c r="K26" s="647">
        <f t="shared" ca="1" si="10"/>
        <v>4692.2023636187587</v>
      </c>
      <c r="L26" s="647">
        <f t="shared" ca="1" si="10"/>
        <v>4746.7297828855408</v>
      </c>
      <c r="M26" s="647">
        <f t="shared" ca="1" si="10"/>
        <v>4718.3020907142509</v>
      </c>
      <c r="N26" s="647">
        <f t="shared" ca="1" si="10"/>
        <v>4622.2937040419893</v>
      </c>
      <c r="O26" s="647">
        <f t="shared" ref="O26:Q26" ca="1" si="11">+O24+O17+O13</f>
        <v>8975.1017793964729</v>
      </c>
      <c r="P26" s="647">
        <f t="shared" ca="1" si="11"/>
        <v>8814.7965498325848</v>
      </c>
      <c r="Q26" s="647">
        <f t="shared" ca="1" si="11"/>
        <v>8562.9654187378273</v>
      </c>
      <c r="R26" s="147"/>
      <c r="S26" s="1"/>
    </row>
    <row r="27" spans="1:19" ht="18.75" x14ac:dyDescent="0.3">
      <c r="A27" s="672"/>
      <c r="B27" s="274"/>
      <c r="C27" s="673"/>
      <c r="D27" s="673"/>
      <c r="E27" s="673"/>
      <c r="F27" s="673"/>
      <c r="G27" s="673"/>
      <c r="H27" s="673"/>
      <c r="I27" s="673"/>
      <c r="J27" s="673"/>
      <c r="K27" s="673"/>
      <c r="L27" s="673"/>
      <c r="M27" s="673"/>
      <c r="N27" s="673"/>
      <c r="O27" s="673"/>
      <c r="P27" s="673"/>
      <c r="Q27" s="673"/>
      <c r="R27" s="147"/>
      <c r="S27" s="1"/>
    </row>
    <row r="28" spans="1:19" x14ac:dyDescent="0.25">
      <c r="A28" s="258"/>
      <c r="B28" s="165"/>
      <c r="C28" s="259"/>
      <c r="D28" s="259"/>
      <c r="E28" s="259"/>
      <c r="F28" s="259"/>
      <c r="G28" s="259"/>
      <c r="H28" s="259"/>
      <c r="I28" s="259"/>
      <c r="J28" s="259"/>
      <c r="K28" s="259"/>
      <c r="L28" s="259"/>
      <c r="M28" s="259"/>
      <c r="N28" s="259"/>
      <c r="O28" s="259"/>
      <c r="P28" s="259"/>
      <c r="Q28" s="259"/>
      <c r="R28" s="147"/>
      <c r="S28" s="1"/>
    </row>
    <row r="29" spans="1:19" s="5" customFormat="1" x14ac:dyDescent="0.25">
      <c r="A29" s="267" t="s">
        <v>350</v>
      </c>
      <c r="B29" s="264"/>
      <c r="C29" s="398">
        <f>CF!C33/Assumptions!C$6*$R$1</f>
        <v>-981.35798726886946</v>
      </c>
      <c r="D29" s="398">
        <f>CF!D33/Assumptions!D$6*$R$1</f>
        <v>-5204.2266948722317</v>
      </c>
      <c r="E29" s="398">
        <f>CF!E33/Assumptions!E$6*$R$1</f>
        <v>-8629.291338582676</v>
      </c>
      <c r="F29" s="398">
        <f>CF!F33/Assumptions!F$6*$R$1</f>
        <v>-2827.3045507584598</v>
      </c>
      <c r="G29" s="398">
        <f>CF!G33/Assumptions!G$6*$R$1</f>
        <v>-4344.9735449735454</v>
      </c>
      <c r="H29" s="398">
        <f ca="1">CF!H33/Assumptions!H$6*$R$1</f>
        <v>-726.53304900143587</v>
      </c>
      <c r="I29" s="398">
        <f ca="1">CF!I33/Assumptions!I$6*$R$1</f>
        <v>684.34636407675578</v>
      </c>
      <c r="J29" s="398">
        <f ca="1">CF!J33/Assumptions!J$6*$R$1</f>
        <v>3793.5069721430787</v>
      </c>
      <c r="K29" s="398">
        <f ca="1">CF!K33/Assumptions!K$6*$R$1</f>
        <v>9410.9782946778596</v>
      </c>
      <c r="L29" s="398">
        <f ca="1">CF!L33/Assumptions!L$6*$R$1</f>
        <v>12821.073325724195</v>
      </c>
      <c r="M29" s="398">
        <f ca="1">CF!M33/Assumptions!M$6*$R$1</f>
        <v>15970.730098736125</v>
      </c>
      <c r="N29" s="398">
        <f ca="1">CF!N33/Assumptions!N$6*$R$1</f>
        <v>18808.211081318521</v>
      </c>
      <c r="O29" s="398">
        <f ca="1">CF!O33/Assumptions!O$6*$R$1</f>
        <v>21300.458895782282</v>
      </c>
      <c r="P29" s="398">
        <f ca="1">CF!P33/Assumptions!P$6*$R$1</f>
        <v>27523.236977435234</v>
      </c>
      <c r="Q29" s="398">
        <f ca="1">CF!Q33/Assumptions!Q$6*$R$1</f>
        <v>33034.575933879831</v>
      </c>
      <c r="R29" s="148"/>
      <c r="S29" s="1"/>
    </row>
    <row r="30" spans="1:19" s="5" customFormat="1" x14ac:dyDescent="0.25">
      <c r="A30" s="251" t="s">
        <v>677</v>
      </c>
      <c r="B30" s="166"/>
      <c r="C30" s="39"/>
      <c r="D30" s="39">
        <f>+C32-D29</f>
        <v>-575.79349609832298</v>
      </c>
      <c r="E30" s="39">
        <f t="shared" ref="E30:N30" si="12">+D32-E29</f>
        <v>-717.73377058763072</v>
      </c>
      <c r="F30" s="39">
        <f t="shared" si="12"/>
        <v>-225.2938744383905</v>
      </c>
      <c r="G30" s="39">
        <f t="shared" si="12"/>
        <v>-446.15831033567247</v>
      </c>
      <c r="H30" s="39">
        <f t="shared" ca="1" si="12"/>
        <v>-72.653304900143553</v>
      </c>
      <c r="I30" s="39">
        <f t="shared" ca="1" si="12"/>
        <v>68.434636407675498</v>
      </c>
      <c r="J30" s="39">
        <f t="shared" ca="1" si="12"/>
        <v>379.35069721430818</v>
      </c>
      <c r="K30" s="39">
        <f t="shared" ca="1" si="12"/>
        <v>941.09782946778614</v>
      </c>
      <c r="L30" s="39">
        <f t="shared" ca="1" si="12"/>
        <v>1282.1073325724228</v>
      </c>
      <c r="M30" s="39">
        <f t="shared" ca="1" si="12"/>
        <v>1597.0730098736112</v>
      </c>
      <c r="N30" s="39">
        <f t="shared" ca="1" si="12"/>
        <v>1880.821108131855</v>
      </c>
      <c r="O30" s="39">
        <f t="shared" ref="O30" ca="1" si="13">+N32-O29</f>
        <v>2130.0458895782285</v>
      </c>
      <c r="P30" s="39">
        <f t="shared" ref="P30" ca="1" si="14">+O32-P29</f>
        <v>2752.3236977435263</v>
      </c>
      <c r="Q30" s="39">
        <f t="shared" ref="Q30" ca="1" si="15">+P32-Q29</f>
        <v>3303.4575933879823</v>
      </c>
      <c r="R30" s="148"/>
      <c r="S30" s="1"/>
    </row>
    <row r="31" spans="1:19" x14ac:dyDescent="0.25">
      <c r="A31" s="251" t="s">
        <v>121</v>
      </c>
      <c r="B31" s="166"/>
      <c r="C31" s="39">
        <f>CF!C34/Assumptions!C$6*$R$1</f>
        <v>-4798.662203701685</v>
      </c>
      <c r="D31" s="39">
        <f>CF!D34/Assumptions!D$6*$R$1</f>
        <v>-4143.0301817038726</v>
      </c>
      <c r="E31" s="39">
        <f>CF!E34/Assumptions!E$6*$R$1</f>
        <v>5576.8691796673083</v>
      </c>
      <c r="F31" s="39">
        <f>CF!F34/Assumptions!F$6*$R$1</f>
        <v>-1963.8619579259109</v>
      </c>
      <c r="G31" s="39">
        <f ca="1">CF!G34/Assumptions!G$6*$R$1</f>
        <v>3545.7871910719655</v>
      </c>
      <c r="H31" s="39">
        <f ca="1">CF!H34/Assumptions!H$6*$R$1</f>
        <v>1479.3140494858671</v>
      </c>
      <c r="I31" s="39">
        <f ca="1">CF!I34/Assumptions!I$6*$R$1</f>
        <v>3488.5113052806309</v>
      </c>
      <c r="J31" s="39">
        <f ca="1">CF!J34/Assumptions!J$6*$R$1</f>
        <v>6558.5691520025666</v>
      </c>
      <c r="K31" s="39">
        <f ca="1">CF!K34/Assumptions!K$6*$R$1</f>
        <v>4692.2023636187596</v>
      </c>
      <c r="L31" s="39">
        <f ca="1">CF!L34/Assumptions!L$6*$R$1</f>
        <v>4746.7297828855399</v>
      </c>
      <c r="M31" s="39">
        <f ca="1">CF!M34/Assumptions!M$6*$R$1</f>
        <v>4718.3020907142545</v>
      </c>
      <c r="N31" s="39">
        <f ca="1">CF!N34/Assumptions!N$6*$R$1</f>
        <v>4622.2937040419902</v>
      </c>
      <c r="O31" s="39">
        <f ca="1">CF!O34/Assumptions!O$6*$R$1</f>
        <v>8975.1017793964784</v>
      </c>
      <c r="P31" s="39">
        <f ca="1">CF!P34/Assumptions!P$6*$R$1</f>
        <v>8814.7965498325811</v>
      </c>
      <c r="Q31" s="39">
        <f ca="1">CF!Q34/Assumptions!Q$6*$R$1</f>
        <v>8562.9654187378273</v>
      </c>
      <c r="R31" s="147"/>
      <c r="S31" s="1"/>
    </row>
    <row r="32" spans="1:19" s="5" customFormat="1" x14ac:dyDescent="0.25">
      <c r="A32" s="267" t="s">
        <v>351</v>
      </c>
      <c r="B32" s="264">
        <f>CF!B35/Assumptions!$C6*$R$1</f>
        <v>-981.35798726886946</v>
      </c>
      <c r="C32" s="398">
        <f>CF!C35/Assumptions!C$6*$R$1</f>
        <v>-5780.0201909705547</v>
      </c>
      <c r="D32" s="398">
        <f>CF!D35/Assumptions!D$6*$R$1</f>
        <v>-9347.0251091703067</v>
      </c>
      <c r="E32" s="398">
        <f>CF!E35/Assumptions!E$6*$R$1</f>
        <v>-3052.5984251968503</v>
      </c>
      <c r="F32" s="398">
        <f>CF!F35/Assumptions!F$6*$R$1</f>
        <v>-4791.1318553092178</v>
      </c>
      <c r="G32" s="398">
        <f ca="1">CF!G35/Assumptions!G$6*$R$1</f>
        <v>-799.18635390157942</v>
      </c>
      <c r="H32" s="398">
        <f ca="1">CF!H35/Assumptions!H$6*$R$1</f>
        <v>752.78100048443127</v>
      </c>
      <c r="I32" s="398">
        <f ca="1">CF!I35/Assumptions!I$6*$R$1</f>
        <v>4172.8576693573868</v>
      </c>
      <c r="J32" s="398">
        <f ca="1">CF!J35/Assumptions!J$6*$R$1</f>
        <v>10352.076124145646</v>
      </c>
      <c r="K32" s="398">
        <f ca="1">CF!K35/Assumptions!K$6*$R$1</f>
        <v>14103.180658296618</v>
      </c>
      <c r="L32" s="398">
        <f ca="1">CF!L35/Assumptions!L$6*$R$1</f>
        <v>17567.803108609736</v>
      </c>
      <c r="M32" s="398">
        <f ca="1">CF!M35/Assumptions!M$6*$R$1</f>
        <v>20689.032189450376</v>
      </c>
      <c r="N32" s="398">
        <f ca="1">CF!N35/Assumptions!N$6*$R$1</f>
        <v>23430.50478536051</v>
      </c>
      <c r="O32" s="398">
        <f ca="1">CF!O35/Assumptions!O$6*$R$1</f>
        <v>30275.56067517876</v>
      </c>
      <c r="P32" s="398">
        <f ca="1">CF!P35/Assumptions!P$6*$R$1</f>
        <v>36338.033527267813</v>
      </c>
      <c r="Q32" s="398">
        <f ca="1">CF!Q35/Assumptions!Q$6*$R$1</f>
        <v>41597.541352617656</v>
      </c>
      <c r="R32" s="148"/>
      <c r="S32" s="1"/>
    </row>
    <row r="33" spans="1:19" x14ac:dyDescent="0.25">
      <c r="A33" s="258"/>
      <c r="B33" s="165"/>
      <c r="C33" s="259"/>
      <c r="D33" s="259"/>
      <c r="E33" s="259"/>
      <c r="F33" s="259"/>
      <c r="G33" s="259"/>
      <c r="H33" s="259"/>
      <c r="I33" s="259"/>
      <c r="J33" s="259"/>
      <c r="K33" s="259"/>
      <c r="L33" s="259"/>
      <c r="M33" s="259"/>
      <c r="N33" s="259"/>
      <c r="O33" s="259"/>
      <c r="P33" s="259"/>
      <c r="Q33" s="259"/>
      <c r="R33" s="147"/>
      <c r="S33" s="1"/>
    </row>
    <row r="34" spans="1:19" x14ac:dyDescent="0.25">
      <c r="A34" s="252" t="s">
        <v>122</v>
      </c>
      <c r="B34" s="166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147"/>
      <c r="S34" s="1"/>
    </row>
    <row r="35" spans="1:19" x14ac:dyDescent="0.25">
      <c r="A35" s="265"/>
      <c r="B35" s="264"/>
      <c r="C35" s="264">
        <f>+C3</f>
        <v>2008</v>
      </c>
      <c r="D35" s="264">
        <f t="shared" ref="D35:N35" si="16">+D3</f>
        <v>2009</v>
      </c>
      <c r="E35" s="264">
        <f t="shared" si="16"/>
        <v>2010</v>
      </c>
      <c r="F35" s="264">
        <f t="shared" si="16"/>
        <v>2011</v>
      </c>
      <c r="G35" s="264">
        <f t="shared" si="16"/>
        <v>2012</v>
      </c>
      <c r="H35" s="264">
        <f t="shared" si="16"/>
        <v>2013</v>
      </c>
      <c r="I35" s="264">
        <f t="shared" si="16"/>
        <v>2014</v>
      </c>
      <c r="J35" s="264">
        <f t="shared" si="16"/>
        <v>2015</v>
      </c>
      <c r="K35" s="264">
        <f t="shared" si="16"/>
        <v>2016</v>
      </c>
      <c r="L35" s="264">
        <f t="shared" si="16"/>
        <v>2017</v>
      </c>
      <c r="M35" s="264">
        <f t="shared" si="16"/>
        <v>2018</v>
      </c>
      <c r="N35" s="264">
        <f t="shared" si="16"/>
        <v>2019</v>
      </c>
      <c r="O35" s="264">
        <f t="shared" ref="O35:Q35" si="17">+O3</f>
        <v>2020</v>
      </c>
      <c r="P35" s="264">
        <f t="shared" si="17"/>
        <v>2021</v>
      </c>
      <c r="Q35" s="264">
        <f t="shared" si="17"/>
        <v>2022</v>
      </c>
      <c r="R35" s="147"/>
      <c r="S35" s="1"/>
    </row>
    <row r="36" spans="1:19" x14ac:dyDescent="0.25">
      <c r="A36" s="270" t="s">
        <v>352</v>
      </c>
      <c r="B36" s="271">
        <f>CF!B39/Assumptions!B$6*$R$1</f>
        <v>2455.0850811238624</v>
      </c>
      <c r="C36" s="271">
        <f>CF!C39/Assumptions!C$6*$R$1</f>
        <v>1241.2852379508943</v>
      </c>
      <c r="D36" s="271">
        <f>CF!D39/Assumptions!D$6*$R$1</f>
        <v>2236.6266375545852</v>
      </c>
      <c r="E36" s="271">
        <f>CF!E39/Assumptions!E$6*$R$1</f>
        <v>2093.8582677165355</v>
      </c>
      <c r="F36" s="271">
        <f>CF!F39/Assumptions!F$6*$R$1</f>
        <v>325.55425904317389</v>
      </c>
      <c r="G36" s="271">
        <f>CF!G39/Assumptions!G$6*$R$1</f>
        <v>295.23809523809524</v>
      </c>
      <c r="H36" s="271">
        <f>CF!H39/Assumptions!H$6*$R$1</f>
        <v>268.39826839826844</v>
      </c>
      <c r="I36" s="271">
        <f>CF!I39/Assumptions!I$6*$R$1</f>
        <v>243.99842581660764</v>
      </c>
      <c r="J36" s="271">
        <f>CF!J39/Assumptions!J$6*$R$1</f>
        <v>221.81675074237057</v>
      </c>
      <c r="K36" s="271">
        <f>CF!K39/Assumptions!K$6*$R$1</f>
        <v>201.65159158397321</v>
      </c>
      <c r="L36" s="271">
        <f>CF!L39/Assumptions!L$6*$R$1</f>
        <v>183.31962871270292</v>
      </c>
      <c r="M36" s="271">
        <f>CF!M39/Assumptions!M$6*$R$1</f>
        <v>166.65420792063901</v>
      </c>
      <c r="N36" s="271">
        <f>CF!N39/Assumptions!N$6*$R$1</f>
        <v>151.5038253823991</v>
      </c>
      <c r="O36" s="271">
        <f>CF!O39/Assumptions!O$6*$R$1</f>
        <v>137.73075034763551</v>
      </c>
      <c r="P36" s="271">
        <f>CF!P39/Assumptions!P$6*$R$1</f>
        <v>125.20977304330502</v>
      </c>
      <c r="Q36" s="271">
        <f>CF!Q39/Assumptions!Q$6*$R$1</f>
        <v>113.82706640300455</v>
      </c>
      <c r="R36" s="147"/>
      <c r="S36" s="1"/>
    </row>
    <row r="37" spans="1:19" x14ac:dyDescent="0.25">
      <c r="A37" s="251" t="s">
        <v>353</v>
      </c>
      <c r="B37" s="39">
        <f>CF!B40/Assumptions!B6*$R$1</f>
        <v>-1024.9307479224376</v>
      </c>
      <c r="C37" s="39">
        <f>CF!C40/Assumptions!C6*$R$1</f>
        <v>-5780.0201909705547</v>
      </c>
      <c r="D37" s="39">
        <f>CF!D40/Assumptions!D6*$R$1</f>
        <v>-9347.0251091703067</v>
      </c>
      <c r="E37" s="39">
        <f>CF!E40/Assumptions!E6*$R$1</f>
        <v>-3052.5984251968503</v>
      </c>
      <c r="F37" s="39">
        <f>CF!F40/Assumptions!F6*$R$1</f>
        <v>-4791.1318553092178</v>
      </c>
      <c r="G37" s="39">
        <f ca="1">CF!G40/Assumptions!G6*$R$1</f>
        <v>-799.18635390157942</v>
      </c>
      <c r="H37" s="39">
        <f ca="1">CF!H40/Assumptions!H6*$R$1</f>
        <v>752.78100048443127</v>
      </c>
      <c r="I37" s="39">
        <f ca="1">CF!I40/Assumptions!I6*$R$1</f>
        <v>4172.8576693573868</v>
      </c>
      <c r="J37" s="39">
        <f ca="1">CF!J40/Assumptions!J6*$R$1</f>
        <v>10352.076124145646</v>
      </c>
      <c r="K37" s="39">
        <f ca="1">CF!K40/Assumptions!K6*$R$1</f>
        <v>14103.180658296618</v>
      </c>
      <c r="L37" s="39">
        <f ca="1">CF!L40/Assumptions!L6*$R$1</f>
        <v>17567.803108609736</v>
      </c>
      <c r="M37" s="39">
        <f ca="1">CF!M40/Assumptions!M6*$R$1</f>
        <v>20689.032189450376</v>
      </c>
      <c r="N37" s="39">
        <f ca="1">CF!N40/Assumptions!N6*$R$1</f>
        <v>23430.50478536051</v>
      </c>
      <c r="O37" s="39">
        <f ca="1">CF!O40/Assumptions!O6*$R$1</f>
        <v>30275.56067517876</v>
      </c>
      <c r="P37" s="39">
        <f ca="1">CF!P40/Assumptions!P6*$R$1</f>
        <v>36338.033527267813</v>
      </c>
      <c r="Q37" s="39">
        <f ca="1">CF!Q40/Assumptions!Q6*$R$1</f>
        <v>41597.541352617656</v>
      </c>
      <c r="R37" s="147"/>
      <c r="S37" s="1"/>
    </row>
    <row r="38" spans="1:19" x14ac:dyDescent="0.25">
      <c r="A38" s="251" t="s">
        <v>342</v>
      </c>
      <c r="B38" s="39">
        <f>CF!B41/Assumptions!B$6*$R$1</f>
        <v>-11.87178472497032</v>
      </c>
      <c r="C38" s="39">
        <f>CF!C41/Assumptions!C$6*$R$1</f>
        <v>-11.367080933616249</v>
      </c>
      <c r="D38" s="39">
        <f>CF!D41/Assumptions!D$6*$R$1</f>
        <v>-156.93231441048036</v>
      </c>
      <c r="E38" s="39">
        <f>CF!E41/Assumptions!E$6*$R$1</f>
        <v>-9.4488188976377945</v>
      </c>
      <c r="F38" s="39">
        <f>CF!F41/Assumptions!F$6*$R$1</f>
        <v>0</v>
      </c>
      <c r="G38" s="39">
        <f>CF!G41/Assumptions!G$6*$R$1</f>
        <v>0</v>
      </c>
      <c r="H38" s="39">
        <f>CF!H41/Assumptions!H$6*$R$1</f>
        <v>-22715.999999999996</v>
      </c>
      <c r="I38" s="39">
        <f>CF!I41/Assumptions!I$6*$R$1</f>
        <v>-24000</v>
      </c>
      <c r="J38" s="39">
        <f>CF!J41/Assumptions!J$6*$R$1</f>
        <v>-19456.8</v>
      </c>
      <c r="K38" s="39">
        <f>CF!K41/Assumptions!K$6*$R$1</f>
        <v>-14656.799999999997</v>
      </c>
      <c r="L38" s="39">
        <f>CF!L41/Assumptions!L$6*$R$1</f>
        <v>-9856.7999999999975</v>
      </c>
      <c r="M38" s="39">
        <f>CF!M41/Assumptions!M$6*$R$1</f>
        <v>-5056.7999999999993</v>
      </c>
      <c r="N38" s="39">
        <f>CF!N41/Assumptions!N$6*$R$1</f>
        <v>-256.79999999999865</v>
      </c>
      <c r="O38" s="39">
        <f>CF!O41/Assumptions!O$6*$R$1</f>
        <v>1.2382023370987817E-12</v>
      </c>
      <c r="P38" s="39">
        <f>CF!P41/Assumptions!P$6*$R$1</f>
        <v>1.1256384882716197E-12</v>
      </c>
      <c r="Q38" s="39">
        <f>CF!Q41/Assumptions!Q$6*$R$1</f>
        <v>1.0233077166105633E-12</v>
      </c>
      <c r="R38" s="147"/>
      <c r="S38" s="1"/>
    </row>
    <row r="39" spans="1:19" ht="16.5" thickBot="1" x14ac:dyDescent="0.3">
      <c r="A39" s="272" t="s">
        <v>354</v>
      </c>
      <c r="B39" s="273">
        <f t="shared" ref="B39:C39" si="18">+B38+B37+B36</f>
        <v>1418.2825484764546</v>
      </c>
      <c r="C39" s="273">
        <f t="shared" si="18"/>
        <v>-4550.102033953277</v>
      </c>
      <c r="D39" s="273">
        <f t="shared" ref="D39:N39" si="19">+D38+D37+D36</f>
        <v>-7267.3307860262012</v>
      </c>
      <c r="E39" s="273">
        <f t="shared" si="19"/>
        <v>-968.18897637795271</v>
      </c>
      <c r="F39" s="273">
        <f t="shared" si="19"/>
        <v>-4465.5775962660437</v>
      </c>
      <c r="G39" s="273">
        <f t="shared" ca="1" si="19"/>
        <v>-503.94825866348418</v>
      </c>
      <c r="H39" s="273">
        <f t="shared" ca="1" si="19"/>
        <v>-21694.820731117296</v>
      </c>
      <c r="I39" s="273">
        <f t="shared" ca="1" si="19"/>
        <v>-19583.143904826007</v>
      </c>
      <c r="J39" s="273">
        <f t="shared" ca="1" si="19"/>
        <v>-8882.9071251119822</v>
      </c>
      <c r="K39" s="273">
        <f t="shared" ca="1" si="19"/>
        <v>-351.96775011940599</v>
      </c>
      <c r="L39" s="273">
        <f t="shared" ca="1" si="19"/>
        <v>7894.3227373224418</v>
      </c>
      <c r="M39" s="273">
        <f t="shared" ca="1" si="19"/>
        <v>15798.886397371016</v>
      </c>
      <c r="N39" s="273">
        <f t="shared" ca="1" si="19"/>
        <v>23325.20861074291</v>
      </c>
      <c r="O39" s="273">
        <f t="shared" ref="O39:Q39" ca="1" si="20">+O38+O37+O36</f>
        <v>30413.291425526397</v>
      </c>
      <c r="P39" s="273">
        <f t="shared" ca="1" si="20"/>
        <v>36463.243300311115</v>
      </c>
      <c r="Q39" s="273">
        <f t="shared" ca="1" si="20"/>
        <v>41711.368419020662</v>
      </c>
      <c r="R39" s="147"/>
      <c r="S39" s="1"/>
    </row>
    <row r="40" spans="1:19" ht="24" hidden="1" customHeight="1" x14ac:dyDescent="0.25">
      <c r="A40" s="165" t="s">
        <v>2</v>
      </c>
      <c r="B40" s="259">
        <f t="shared" ref="B40:N40" si="21">+B39+B36</f>
        <v>3873.3676296003168</v>
      </c>
      <c r="C40" s="378">
        <f t="shared" si="21"/>
        <v>-3308.8167960023829</v>
      </c>
      <c r="D40" s="378">
        <f t="shared" si="21"/>
        <v>-5030.7041484716156</v>
      </c>
      <c r="E40" s="378">
        <f t="shared" si="21"/>
        <v>1125.6692913385828</v>
      </c>
      <c r="F40" s="378">
        <f t="shared" si="21"/>
        <v>-4140.0233372228695</v>
      </c>
      <c r="G40" s="378">
        <f t="shared" ca="1" si="21"/>
        <v>-208.71016342538894</v>
      </c>
      <c r="H40" s="378">
        <f t="shared" ca="1" si="21"/>
        <v>-21426.422462719027</v>
      </c>
      <c r="I40" s="378">
        <f t="shared" ca="1" si="21"/>
        <v>-19339.145479009399</v>
      </c>
      <c r="J40" s="378">
        <f t="shared" ca="1" si="21"/>
        <v>-8661.0903743696108</v>
      </c>
      <c r="K40" s="378">
        <f t="shared" ca="1" si="21"/>
        <v>-150.31615853543278</v>
      </c>
      <c r="L40" s="378">
        <f t="shared" ca="1" si="21"/>
        <v>8077.6423660351447</v>
      </c>
      <c r="M40" s="378">
        <f t="shared" ca="1" si="21"/>
        <v>15965.540605291655</v>
      </c>
      <c r="N40" s="378">
        <f t="shared" ca="1" si="21"/>
        <v>23476.712436125308</v>
      </c>
      <c r="O40" s="378">
        <f t="shared" ref="O40:Q40" ca="1" si="22">+O39+O36</f>
        <v>30551.022175874034</v>
      </c>
      <c r="P40" s="378">
        <f t="shared" ca="1" si="22"/>
        <v>36588.453073354416</v>
      </c>
      <c r="Q40" s="378">
        <f t="shared" ca="1" si="22"/>
        <v>41825.195485423668</v>
      </c>
      <c r="R40" s="147"/>
      <c r="S40" s="1"/>
    </row>
    <row r="41" spans="1:19" x14ac:dyDescent="0.25">
      <c r="A41" s="165"/>
      <c r="B41" s="259"/>
      <c r="C41" s="378"/>
      <c r="D41" s="378"/>
      <c r="E41" s="378"/>
      <c r="F41" s="378"/>
      <c r="G41" s="378"/>
      <c r="H41" s="378"/>
      <c r="I41" s="378"/>
      <c r="J41" s="378"/>
      <c r="K41" s="378"/>
      <c r="L41" s="378"/>
      <c r="M41" s="378"/>
      <c r="N41" s="378"/>
      <c r="O41" s="378"/>
      <c r="P41" s="378"/>
      <c r="Q41" s="378"/>
      <c r="R41" s="147"/>
      <c r="S41" s="1"/>
    </row>
    <row r="42" spans="1:19" s="2" customFormat="1" x14ac:dyDescent="0.25">
      <c r="A42" s="165"/>
      <c r="B42" s="259"/>
      <c r="C42" s="378"/>
      <c r="D42" s="378"/>
      <c r="E42" s="378"/>
      <c r="F42" s="378"/>
      <c r="G42" s="378"/>
      <c r="H42" s="378"/>
      <c r="I42" s="378"/>
      <c r="J42" s="378"/>
      <c r="K42" s="378"/>
      <c r="L42" s="378"/>
      <c r="M42" s="378"/>
      <c r="N42" s="378"/>
      <c r="O42" s="378"/>
      <c r="P42" s="378"/>
      <c r="Q42" s="378"/>
      <c r="R42" s="149"/>
      <c r="S42" s="1"/>
    </row>
    <row r="43" spans="1:19" hidden="1" outlineLevel="1" x14ac:dyDescent="0.25">
      <c r="A43" s="260" t="s">
        <v>355</v>
      </c>
      <c r="B43" s="257"/>
      <c r="C43" s="264">
        <f>+C35</f>
        <v>2008</v>
      </c>
      <c r="D43" s="264">
        <f>+D35</f>
        <v>2009</v>
      </c>
      <c r="E43" s="264">
        <f t="shared" ref="E43:N43" si="23">+E35</f>
        <v>2010</v>
      </c>
      <c r="F43" s="264">
        <f t="shared" si="23"/>
        <v>2011</v>
      </c>
      <c r="G43" s="264">
        <f t="shared" si="23"/>
        <v>2012</v>
      </c>
      <c r="H43" s="264">
        <f t="shared" si="23"/>
        <v>2013</v>
      </c>
      <c r="I43" s="264">
        <f t="shared" si="23"/>
        <v>2014</v>
      </c>
      <c r="J43" s="264">
        <f t="shared" si="23"/>
        <v>2015</v>
      </c>
      <c r="K43" s="264">
        <f t="shared" si="23"/>
        <v>2016</v>
      </c>
      <c r="L43" s="264">
        <f t="shared" si="23"/>
        <v>2017</v>
      </c>
      <c r="M43" s="264">
        <f t="shared" si="23"/>
        <v>2018</v>
      </c>
      <c r="N43" s="264">
        <f t="shared" si="23"/>
        <v>2019</v>
      </c>
      <c r="O43" s="264">
        <f t="shared" ref="O43:Q43" si="24">+O35</f>
        <v>2020</v>
      </c>
      <c r="P43" s="264">
        <f t="shared" si="24"/>
        <v>2021</v>
      </c>
      <c r="Q43" s="264">
        <f t="shared" si="24"/>
        <v>2022</v>
      </c>
      <c r="R43" s="147"/>
      <c r="S43" s="1"/>
    </row>
    <row r="44" spans="1:19" hidden="1" outlineLevel="1" x14ac:dyDescent="0.25">
      <c r="A44" s="261" t="s">
        <v>275</v>
      </c>
      <c r="B44" s="165"/>
      <c r="C44" s="464">
        <f>+Assumptions!C3</f>
        <v>0</v>
      </c>
      <c r="D44" s="464">
        <f>+Assumptions!D5</f>
        <v>0</v>
      </c>
      <c r="E44" s="464">
        <f>+Assumptions!E5</f>
        <v>0</v>
      </c>
      <c r="F44" s="464">
        <f>+Assumptions!F5</f>
        <v>6.5000000000000002E-2</v>
      </c>
      <c r="G44" s="464">
        <f>+Assumptions!G5</f>
        <v>6.5000000000000002E-2</v>
      </c>
      <c r="H44" s="464">
        <f>+Assumptions!H5</f>
        <v>6.8000000000000005E-2</v>
      </c>
      <c r="I44" s="464">
        <f>+Assumptions!I5</f>
        <v>6.8000000000000005E-2</v>
      </c>
      <c r="J44" s="464">
        <f>+Assumptions!J5</f>
        <v>6.8000000000000005E-2</v>
      </c>
      <c r="K44" s="464">
        <f>+Assumptions!K5</f>
        <v>6.8000000000000005E-2</v>
      </c>
      <c r="L44" s="464">
        <f>+Assumptions!L5</f>
        <v>6.8000000000000005E-2</v>
      </c>
      <c r="M44" s="464">
        <f>+Assumptions!M5</f>
        <v>6.8000000000000005E-2</v>
      </c>
      <c r="N44" s="464">
        <f>+Assumptions!N5</f>
        <v>6.8000000000000005E-2</v>
      </c>
      <c r="O44" s="464">
        <f>+Assumptions!O5</f>
        <v>6.8000000000000005E-2</v>
      </c>
      <c r="P44" s="464">
        <f>+Assumptions!P5</f>
        <v>6.8000000000000005E-2</v>
      </c>
      <c r="Q44" s="464">
        <f>+Assumptions!Q5</f>
        <v>6.8000000000000005E-2</v>
      </c>
      <c r="R44" s="147"/>
      <c r="S44" s="1"/>
    </row>
    <row r="45" spans="1:19" hidden="1" outlineLevel="1" x14ac:dyDescent="0.25">
      <c r="A45" s="261" t="s">
        <v>276</v>
      </c>
      <c r="B45" s="165"/>
      <c r="C45" s="464">
        <f>+Assumptions!C5</f>
        <v>0</v>
      </c>
      <c r="D45" s="464">
        <f>IF(D37&gt;0,Assumptions!D3,Assumptions!D4)</f>
        <v>0.18</v>
      </c>
      <c r="E45" s="464">
        <f>IF(E37&gt;0,Assumptions!E3,Assumptions!E4)</f>
        <v>0.18</v>
      </c>
      <c r="F45" s="464">
        <f>IF(F37&gt;0,Assumptions!F3,Assumptions!F4)</f>
        <v>0.18</v>
      </c>
      <c r="G45" s="464">
        <f ca="1">IF(G37&gt;0,Assumptions!G3,Assumptions!G4)</f>
        <v>0.18</v>
      </c>
      <c r="H45" s="464">
        <f ca="1">IF(H37&gt;0,Assumptions!H3,Assumptions!H4)</f>
        <v>7.4999999999999997E-2</v>
      </c>
      <c r="I45" s="464">
        <f ca="1">IF(I37&gt;0,Assumptions!I3,Assumptions!I4)</f>
        <v>7.7499999999999999E-2</v>
      </c>
      <c r="J45" s="464">
        <f ca="1">IF(J37&gt;0,Assumptions!J3,Assumptions!J4)</f>
        <v>0.08</v>
      </c>
      <c r="K45" s="464">
        <f ca="1">IF(K37&gt;0,Assumptions!K3,Assumptions!K4)</f>
        <v>8.2500000000000004E-2</v>
      </c>
      <c r="L45" s="464">
        <f ca="1">IF(L37&gt;0,Assumptions!L3,Assumptions!L4)</f>
        <v>8.5000000000000006E-2</v>
      </c>
      <c r="M45" s="464">
        <f ca="1">IF(M37&gt;0,Assumptions!M3,Assumptions!M4)</f>
        <v>8.7499999999999994E-2</v>
      </c>
      <c r="N45" s="464">
        <f ca="1">IF(N37&gt;0,Assumptions!N3,Assumptions!N4)</f>
        <v>0.09</v>
      </c>
      <c r="O45" s="464">
        <f ca="1">IF(O37&gt;0,Assumptions!O3,Assumptions!O4)</f>
        <v>0.09</v>
      </c>
      <c r="P45" s="464">
        <f ca="1">IF(P37&gt;0,Assumptions!P3,Assumptions!P4)</f>
        <v>0.09</v>
      </c>
      <c r="Q45" s="464">
        <f ca="1">IF(Q37&gt;0,Assumptions!Q3,Assumptions!Q4)</f>
        <v>0.09</v>
      </c>
      <c r="R45" s="147"/>
      <c r="S45" s="1"/>
    </row>
    <row r="46" spans="1:19" hidden="1" outlineLevel="1" x14ac:dyDescent="0.25">
      <c r="A46" s="261"/>
      <c r="B46" s="165"/>
      <c r="C46" s="464"/>
      <c r="D46" s="464"/>
      <c r="E46" s="464"/>
      <c r="F46" s="464"/>
      <c r="G46" s="464"/>
      <c r="H46" s="464"/>
      <c r="I46" s="464"/>
      <c r="J46" s="464"/>
      <c r="K46" s="464"/>
      <c r="L46" s="464"/>
      <c r="M46" s="464"/>
      <c r="N46" s="464"/>
      <c r="O46" s="464"/>
      <c r="P46" s="464"/>
      <c r="Q46" s="464"/>
      <c r="R46" s="147"/>
      <c r="S46" s="1"/>
    </row>
    <row r="47" spans="1:19" s="305" customFormat="1" hidden="1" outlineLevel="1" x14ac:dyDescent="0.25">
      <c r="A47" s="322" t="s">
        <v>356</v>
      </c>
      <c r="B47" s="323"/>
      <c r="C47" s="380">
        <f>+((B38+C38)/2*C44)</f>
        <v>0</v>
      </c>
      <c r="D47" s="380">
        <f t="shared" ref="D47:N47" si="25">+((C38+D38)/2*D44)</f>
        <v>0</v>
      </c>
      <c r="E47" s="380">
        <f t="shared" si="25"/>
        <v>0</v>
      </c>
      <c r="F47" s="380">
        <f t="shared" si="25"/>
        <v>-0.30708661417322836</v>
      </c>
      <c r="G47" s="380">
        <f t="shared" si="25"/>
        <v>0</v>
      </c>
      <c r="H47" s="380">
        <f t="shared" si="25"/>
        <v>-772.34399999999994</v>
      </c>
      <c r="I47" s="380">
        <f t="shared" si="25"/>
        <v>-1588.3440000000001</v>
      </c>
      <c r="J47" s="380">
        <f t="shared" si="25"/>
        <v>-1477.5312000000001</v>
      </c>
      <c r="K47" s="380">
        <f t="shared" si="25"/>
        <v>-1159.8624</v>
      </c>
      <c r="L47" s="380">
        <f t="shared" si="25"/>
        <v>-833.46239999999989</v>
      </c>
      <c r="M47" s="380">
        <f t="shared" si="25"/>
        <v>-507.06239999999991</v>
      </c>
      <c r="N47" s="380">
        <f t="shared" si="25"/>
        <v>-180.66239999999993</v>
      </c>
      <c r="O47" s="380">
        <f t="shared" ref="O47" si="26">+((N38+O38)/2*O44)</f>
        <v>-8.7311999999999124</v>
      </c>
      <c r="P47" s="380">
        <f t="shared" ref="P47" si="27">+((O38+P38)/2*P44)</f>
        <v>8.0370588062593649E-14</v>
      </c>
      <c r="Q47" s="380">
        <f t="shared" ref="Q47" si="28">+((P38+Q38)/2*Q44)</f>
        <v>7.3064170965994232E-14</v>
      </c>
      <c r="R47" s="314"/>
      <c r="S47" s="306"/>
    </row>
    <row r="48" spans="1:19" s="305" customFormat="1" hidden="1" outlineLevel="1" x14ac:dyDescent="0.25">
      <c r="A48" s="322" t="s">
        <v>357</v>
      </c>
      <c r="B48" s="323"/>
      <c r="C48" s="380">
        <f>ROUND((+B37+C37)/2*C45,0)</f>
        <v>0</v>
      </c>
      <c r="D48" s="380">
        <f t="shared" ref="D48:N48" si="29">ROUND((+C37+D37)/2*D45,0)</f>
        <v>-1361</v>
      </c>
      <c r="E48" s="380">
        <f t="shared" si="29"/>
        <v>-1116</v>
      </c>
      <c r="F48" s="380">
        <f t="shared" si="29"/>
        <v>-706</v>
      </c>
      <c r="G48" s="380">
        <f t="shared" ca="1" si="29"/>
        <v>-503</v>
      </c>
      <c r="H48" s="380">
        <f t="shared" ca="1" si="29"/>
        <v>-2</v>
      </c>
      <c r="I48" s="380">
        <f t="shared" ca="1" si="29"/>
        <v>191</v>
      </c>
      <c r="J48" s="380">
        <f t="shared" ca="1" si="29"/>
        <v>581</v>
      </c>
      <c r="K48" s="380">
        <f t="shared" ca="1" si="29"/>
        <v>1009</v>
      </c>
      <c r="L48" s="380">
        <f t="shared" ca="1" si="29"/>
        <v>1346</v>
      </c>
      <c r="M48" s="380">
        <f t="shared" ca="1" si="29"/>
        <v>1674</v>
      </c>
      <c r="N48" s="380">
        <f t="shared" ca="1" si="29"/>
        <v>1985</v>
      </c>
      <c r="O48" s="380">
        <f t="shared" ref="O48" ca="1" si="30">ROUND((+N37+O37)/2*O45,0)</f>
        <v>2417</v>
      </c>
      <c r="P48" s="380">
        <f t="shared" ref="P48" ca="1" si="31">ROUND((+O37+P37)/2*P45,0)</f>
        <v>2998</v>
      </c>
      <c r="Q48" s="380">
        <f t="shared" ref="Q48" ca="1" si="32">ROUND((+P37+Q37)/2*Q45,0)</f>
        <v>3507</v>
      </c>
      <c r="R48" s="314"/>
      <c r="S48" s="306"/>
    </row>
    <row r="49" spans="1:19" s="305" customFormat="1" hidden="1" outlineLevel="1" x14ac:dyDescent="0.25">
      <c r="A49" s="322"/>
      <c r="B49" s="323"/>
      <c r="C49" s="380"/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14"/>
      <c r="S49" s="306"/>
    </row>
    <row r="50" spans="1:19" hidden="1" outlineLevel="1" x14ac:dyDescent="0.25">
      <c r="A50" s="165" t="s">
        <v>358</v>
      </c>
      <c r="B50" s="262">
        <v>0</v>
      </c>
      <c r="C50" s="378">
        <f>+C17*$B$50</f>
        <v>0</v>
      </c>
      <c r="D50" s="378">
        <f t="shared" ref="D50:N50" si="33">+D17*$B$50*D44</f>
        <v>0</v>
      </c>
      <c r="E50" s="378">
        <f t="shared" si="33"/>
        <v>0</v>
      </c>
      <c r="F50" s="378">
        <f t="shared" si="33"/>
        <v>0</v>
      </c>
      <c r="G50" s="378">
        <f t="shared" si="33"/>
        <v>0</v>
      </c>
      <c r="H50" s="378">
        <f t="shared" si="33"/>
        <v>0</v>
      </c>
      <c r="I50" s="378">
        <f t="shared" si="33"/>
        <v>0</v>
      </c>
      <c r="J50" s="378">
        <f t="shared" si="33"/>
        <v>0</v>
      </c>
      <c r="K50" s="378">
        <f t="shared" si="33"/>
        <v>0</v>
      </c>
      <c r="L50" s="378">
        <f t="shared" si="33"/>
        <v>0</v>
      </c>
      <c r="M50" s="378">
        <f t="shared" si="33"/>
        <v>0</v>
      </c>
      <c r="N50" s="378">
        <f t="shared" si="33"/>
        <v>0</v>
      </c>
      <c r="O50" s="378">
        <f t="shared" ref="O50:Q50" si="34">+O17*$B$50*O44</f>
        <v>0</v>
      </c>
      <c r="P50" s="378">
        <f t="shared" si="34"/>
        <v>0</v>
      </c>
      <c r="Q50" s="378">
        <f t="shared" si="34"/>
        <v>0</v>
      </c>
      <c r="R50" s="147"/>
      <c r="S50" s="1"/>
    </row>
    <row r="51" spans="1:19" hidden="1" outlineLevel="1" x14ac:dyDescent="0.25">
      <c r="A51" s="165" t="s">
        <v>359</v>
      </c>
      <c r="B51" s="262"/>
      <c r="C51" s="378">
        <f t="shared" ref="C51:N51" si="35">SUM(C47:C50)</f>
        <v>0</v>
      </c>
      <c r="D51" s="378">
        <f t="shared" si="35"/>
        <v>-1361</v>
      </c>
      <c r="E51" s="378">
        <f t="shared" si="35"/>
        <v>-1116</v>
      </c>
      <c r="F51" s="378">
        <f t="shared" si="35"/>
        <v>-706.30708661417327</v>
      </c>
      <c r="G51" s="378">
        <f t="shared" ca="1" si="35"/>
        <v>-503</v>
      </c>
      <c r="H51" s="378">
        <f t="shared" ca="1" si="35"/>
        <v>-774.34399999999994</v>
      </c>
      <c r="I51" s="378">
        <f t="shared" ca="1" si="35"/>
        <v>-1397.3440000000001</v>
      </c>
      <c r="J51" s="378">
        <f t="shared" ca="1" si="35"/>
        <v>-896.53120000000013</v>
      </c>
      <c r="K51" s="378">
        <f t="shared" ca="1" si="35"/>
        <v>-150.86239999999998</v>
      </c>
      <c r="L51" s="378">
        <f t="shared" ca="1" si="35"/>
        <v>512.53760000000011</v>
      </c>
      <c r="M51" s="378">
        <f t="shared" ca="1" si="35"/>
        <v>1166.9376000000002</v>
      </c>
      <c r="N51" s="378">
        <f t="shared" ca="1" si="35"/>
        <v>1804.3376000000001</v>
      </c>
      <c r="O51" s="378">
        <f t="shared" ref="O51:Q51" ca="1" si="36">SUM(O47:O50)</f>
        <v>2408.2688000000003</v>
      </c>
      <c r="P51" s="378">
        <f t="shared" ca="1" si="36"/>
        <v>2998</v>
      </c>
      <c r="Q51" s="378">
        <f t="shared" ca="1" si="36"/>
        <v>3507</v>
      </c>
      <c r="R51" s="147"/>
      <c r="S51" s="1"/>
    </row>
    <row r="52" spans="1:19" s="287" customFormat="1" hidden="1" outlineLevel="1" x14ac:dyDescent="0.25">
      <c r="A52" s="283" t="s">
        <v>336</v>
      </c>
      <c r="B52" s="284"/>
      <c r="C52" s="381">
        <f>-C7</f>
        <v>0</v>
      </c>
      <c r="D52" s="381">
        <f t="shared" ref="D52:N52" si="37">-D7</f>
        <v>0</v>
      </c>
      <c r="E52" s="381">
        <f t="shared" si="37"/>
        <v>0</v>
      </c>
      <c r="F52" s="381">
        <f t="shared" si="37"/>
        <v>0</v>
      </c>
      <c r="G52" s="381">
        <f t="shared" si="37"/>
        <v>0</v>
      </c>
      <c r="H52" s="381">
        <f t="shared" si="37"/>
        <v>0</v>
      </c>
      <c r="I52" s="381">
        <f t="shared" si="37"/>
        <v>-2065.090909090909</v>
      </c>
      <c r="J52" s="381">
        <f t="shared" si="37"/>
        <v>-2181.8181818181802</v>
      </c>
      <c r="K52" s="381">
        <f t="shared" si="37"/>
        <v>-1768.800000000002</v>
      </c>
      <c r="L52" s="381">
        <f t="shared" si="37"/>
        <v>-1332.4363636363653</v>
      </c>
      <c r="M52" s="381">
        <f t="shared" si="37"/>
        <v>-896.072727272728</v>
      </c>
      <c r="N52" s="381">
        <f t="shared" si="37"/>
        <v>-459.70909090909089</v>
      </c>
      <c r="O52" s="381">
        <f t="shared" ref="O52:Q52" si="38">-O7</f>
        <v>-23.345454545454551</v>
      </c>
      <c r="P52" s="381">
        <f t="shared" si="38"/>
        <v>0</v>
      </c>
      <c r="Q52" s="381">
        <f t="shared" si="38"/>
        <v>0</v>
      </c>
      <c r="R52" s="285"/>
      <c r="S52" s="286"/>
    </row>
    <row r="53" spans="1:19" hidden="1" outlineLevel="1" x14ac:dyDescent="0.25">
      <c r="A53" s="263" t="s">
        <v>277</v>
      </c>
      <c r="B53" s="257"/>
      <c r="C53" s="379">
        <v>141.98400000000132</v>
      </c>
      <c r="D53" s="379">
        <f t="shared" ref="D53:N53" si="39">+D52+D51</f>
        <v>-1361</v>
      </c>
      <c r="E53" s="379">
        <f t="shared" si="39"/>
        <v>-1116</v>
      </c>
      <c r="F53" s="379">
        <f t="shared" si="39"/>
        <v>-706.30708661417327</v>
      </c>
      <c r="G53" s="379">
        <f t="shared" ca="1" si="39"/>
        <v>-503</v>
      </c>
      <c r="H53" s="379">
        <f t="shared" ca="1" si="39"/>
        <v>-774.34399999999994</v>
      </c>
      <c r="I53" s="379">
        <f t="shared" ca="1" si="39"/>
        <v>-3462.4349090909091</v>
      </c>
      <c r="J53" s="379">
        <f t="shared" ca="1" si="39"/>
        <v>-3078.3493818181805</v>
      </c>
      <c r="K53" s="379">
        <f t="shared" ca="1" si="39"/>
        <v>-1919.662400000002</v>
      </c>
      <c r="L53" s="379">
        <f t="shared" ca="1" si="39"/>
        <v>-819.89876363636517</v>
      </c>
      <c r="M53" s="379">
        <f t="shared" ca="1" si="39"/>
        <v>270.8648727272722</v>
      </c>
      <c r="N53" s="379">
        <f t="shared" ca="1" si="39"/>
        <v>1344.6285090909091</v>
      </c>
      <c r="O53" s="379">
        <f t="shared" ref="O53:Q53" ca="1" si="40">+O52+O51</f>
        <v>2384.9233454545456</v>
      </c>
      <c r="P53" s="379">
        <f t="shared" ca="1" si="40"/>
        <v>2998</v>
      </c>
      <c r="Q53" s="379">
        <f t="shared" ca="1" si="40"/>
        <v>3507</v>
      </c>
      <c r="R53" s="147"/>
      <c r="S53" s="1"/>
    </row>
    <row r="54" spans="1:19" collapsed="1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spans="1:19" s="304" customFormat="1" x14ac:dyDescent="0.25">
      <c r="A55" s="304" t="s">
        <v>402</v>
      </c>
      <c r="C55" s="304">
        <v>2008</v>
      </c>
      <c r="D55" s="304">
        <v>2009</v>
      </c>
      <c r="E55" s="304">
        <v>2010</v>
      </c>
      <c r="F55" s="304">
        <v>2011</v>
      </c>
      <c r="G55" s="304">
        <v>2012</v>
      </c>
      <c r="H55" s="304">
        <v>2013</v>
      </c>
      <c r="I55" s="304">
        <v>2014</v>
      </c>
      <c r="J55" s="304">
        <v>2015</v>
      </c>
      <c r="K55" s="304">
        <v>2016</v>
      </c>
      <c r="L55" s="304">
        <v>2017</v>
      </c>
      <c r="M55" s="304">
        <v>2018</v>
      </c>
      <c r="N55" s="304">
        <v>2019</v>
      </c>
      <c r="O55" s="304">
        <v>2020</v>
      </c>
      <c r="P55" s="304">
        <v>2021</v>
      </c>
      <c r="Q55" s="304">
        <v>2022</v>
      </c>
    </row>
    <row r="56" spans="1:19" s="305" customFormat="1" x14ac:dyDescent="0.25">
      <c r="A56" s="305" t="s">
        <v>403</v>
      </c>
      <c r="C56" s="383">
        <f>C13</f>
        <v>-6401.0559723441656</v>
      </c>
      <c r="D56" s="383">
        <f t="shared" ref="D56:N56" si="41">D13</f>
        <v>-839.26380615801941</v>
      </c>
      <c r="E56" s="383">
        <f t="shared" si="41"/>
        <v>11324.270754470461</v>
      </c>
      <c r="F56" s="383">
        <f t="shared" si="41"/>
        <v>2257.2582287718719</v>
      </c>
      <c r="G56" s="383">
        <f t="shared" ca="1" si="41"/>
        <v>7450.3110005957769</v>
      </c>
      <c r="H56" s="383">
        <f t="shared" ca="1" si="41"/>
        <v>2441.3150114868286</v>
      </c>
      <c r="I56" s="383">
        <f t="shared" ca="1" si="41"/>
        <v>9772.0576343724151</v>
      </c>
      <c r="J56" s="383">
        <f t="shared" ca="1" si="41"/>
        <v>15216.338888099375</v>
      </c>
      <c r="K56" s="383">
        <f t="shared" ca="1" si="41"/>
        <v>16191.550979869038</v>
      </c>
      <c r="L56" s="383">
        <f t="shared" ca="1" si="41"/>
        <v>17053.024801107662</v>
      </c>
      <c r="M56" s="383">
        <f t="shared" ca="1" si="41"/>
        <v>17765.607532430735</v>
      </c>
      <c r="N56" s="383">
        <f t="shared" ca="1" si="41"/>
        <v>18324.193855522775</v>
      </c>
      <c r="O56" s="383">
        <f t="shared" ref="O56:Q56" ca="1" si="42">O13</f>
        <v>18699.264658567339</v>
      </c>
      <c r="P56" s="383">
        <f t="shared" ca="1" si="42"/>
        <v>18850.833576468442</v>
      </c>
      <c r="Q56" s="383">
        <f t="shared" ca="1" si="42"/>
        <v>18908.132803629574</v>
      </c>
    </row>
    <row r="57" spans="1:19" s="305" customFormat="1" x14ac:dyDescent="0.25">
      <c r="A57" s="305" t="s">
        <v>404</v>
      </c>
      <c r="C57" s="384">
        <f>C53</f>
        <v>141.98400000000132</v>
      </c>
      <c r="D57" s="383">
        <f t="shared" ref="D57:N57" si="43">-(MIN(D47,0)+MIN(D48,0))</f>
        <v>1361</v>
      </c>
      <c r="E57" s="383">
        <f t="shared" si="43"/>
        <v>1116</v>
      </c>
      <c r="F57" s="383">
        <f t="shared" si="43"/>
        <v>706.30708661417327</v>
      </c>
      <c r="G57" s="383">
        <f t="shared" ca="1" si="43"/>
        <v>503</v>
      </c>
      <c r="H57" s="383">
        <f t="shared" ca="1" si="43"/>
        <v>774.34399999999994</v>
      </c>
      <c r="I57" s="383">
        <f t="shared" ca="1" si="43"/>
        <v>1588.3440000000001</v>
      </c>
      <c r="J57" s="383">
        <f t="shared" ca="1" si="43"/>
        <v>1477.5312000000001</v>
      </c>
      <c r="K57" s="383">
        <f t="shared" ca="1" si="43"/>
        <v>1159.8624</v>
      </c>
      <c r="L57" s="383">
        <f t="shared" ca="1" si="43"/>
        <v>833.46239999999989</v>
      </c>
      <c r="M57" s="383">
        <f t="shared" ca="1" si="43"/>
        <v>507.06239999999991</v>
      </c>
      <c r="N57" s="383">
        <f t="shared" ca="1" si="43"/>
        <v>180.66239999999993</v>
      </c>
      <c r="O57" s="383">
        <f t="shared" ref="O57:Q57" ca="1" si="44">-(MIN(O47,0)+MIN(O48,0))</f>
        <v>8.7311999999999124</v>
      </c>
      <c r="P57" s="383">
        <f t="shared" ca="1" si="44"/>
        <v>0</v>
      </c>
      <c r="Q57" s="383">
        <f t="shared" ca="1" si="44"/>
        <v>0</v>
      </c>
    </row>
    <row r="58" spans="1:19" s="305" customFormat="1" x14ac:dyDescent="0.25">
      <c r="A58" s="305" t="s">
        <v>405</v>
      </c>
      <c r="C58" s="383">
        <f>C17</f>
        <v>242.13308358639816</v>
      </c>
      <c r="D58" s="383">
        <f t="shared" ref="D58:N58" si="45">D17</f>
        <v>-3108.6244541484721</v>
      </c>
      <c r="E58" s="383">
        <f t="shared" si="45"/>
        <v>-5585.5118110236217</v>
      </c>
      <c r="F58" s="383">
        <f t="shared" si="45"/>
        <v>-2744.457409568261</v>
      </c>
      <c r="G58" s="383">
        <f t="shared" si="45"/>
        <v>-1165</v>
      </c>
      <c r="H58" s="383">
        <f t="shared" si="45"/>
        <v>-23678.000962000962</v>
      </c>
      <c r="I58" s="383">
        <f t="shared" si="45"/>
        <v>-7567.5463290917842</v>
      </c>
      <c r="J58" s="383">
        <f t="shared" si="45"/>
        <v>-795.04211735616695</v>
      </c>
      <c r="K58" s="383">
        <f t="shared" si="45"/>
        <v>-722.76556123287889</v>
      </c>
      <c r="L58" s="383">
        <f t="shared" si="45"/>
        <v>-657.05960112079902</v>
      </c>
      <c r="M58" s="383">
        <f t="shared" si="45"/>
        <v>-597.32691010981716</v>
      </c>
      <c r="N58" s="383">
        <f t="shared" si="45"/>
        <v>-543.02446373619739</v>
      </c>
      <c r="O58" s="383">
        <f t="shared" ref="O58:Q58" si="46">O17</f>
        <v>-493.65860339654307</v>
      </c>
      <c r="P58" s="383">
        <f t="shared" si="46"/>
        <v>-448.78054854231186</v>
      </c>
      <c r="Q58" s="383">
        <f t="shared" si="46"/>
        <v>-407.98231685664712</v>
      </c>
    </row>
    <row r="59" spans="1:19" s="304" customFormat="1" x14ac:dyDescent="0.25">
      <c r="A59" s="304" t="s">
        <v>406</v>
      </c>
      <c r="C59" s="382">
        <f>SUM(C56:C58)</f>
        <v>-6016.9388887577661</v>
      </c>
      <c r="D59" s="382">
        <f t="shared" ref="D59:N59" si="47">SUM(D56:D58)</f>
        <v>-2586.8882603064912</v>
      </c>
      <c r="E59" s="382">
        <f t="shared" si="47"/>
        <v>6854.7589434468391</v>
      </c>
      <c r="F59" s="382">
        <f t="shared" si="47"/>
        <v>219.10790581778429</v>
      </c>
      <c r="G59" s="382">
        <f t="shared" ca="1" si="47"/>
        <v>6788.3110005957769</v>
      </c>
      <c r="H59" s="382">
        <f t="shared" ca="1" si="47"/>
        <v>-20462.341950514136</v>
      </c>
      <c r="I59" s="382">
        <f t="shared" ca="1" si="47"/>
        <v>3792.8553052806301</v>
      </c>
      <c r="J59" s="382">
        <f t="shared" ca="1" si="47"/>
        <v>15898.827970743208</v>
      </c>
      <c r="K59" s="382">
        <f t="shared" ca="1" si="47"/>
        <v>16628.64781863616</v>
      </c>
      <c r="L59" s="382">
        <f t="shared" ca="1" si="47"/>
        <v>17229.427599986862</v>
      </c>
      <c r="M59" s="382">
        <f t="shared" ca="1" si="47"/>
        <v>17675.343022320918</v>
      </c>
      <c r="N59" s="382">
        <f t="shared" ca="1" si="47"/>
        <v>17961.831791786579</v>
      </c>
      <c r="O59" s="382">
        <f t="shared" ref="O59:Q59" ca="1" si="48">SUM(O56:O58)</f>
        <v>18214.337255170794</v>
      </c>
      <c r="P59" s="382">
        <f t="shared" ca="1" si="48"/>
        <v>18402.053027926129</v>
      </c>
      <c r="Q59" s="382">
        <f t="shared" ca="1" si="48"/>
        <v>18500.150486772927</v>
      </c>
    </row>
    <row r="60" spans="1:19" s="305" customFormat="1" x14ac:dyDescent="0.25">
      <c r="C60" s="383"/>
      <c r="D60" s="383"/>
      <c r="E60" s="383"/>
      <c r="F60" s="383"/>
      <c r="G60" s="383"/>
      <c r="H60" s="383"/>
      <c r="I60" s="383"/>
      <c r="J60" s="383"/>
      <c r="K60" s="383"/>
      <c r="L60" s="383"/>
      <c r="M60" s="383"/>
      <c r="N60" s="383"/>
      <c r="O60" s="383"/>
      <c r="P60" s="383"/>
      <c r="Q60" s="383"/>
    </row>
    <row r="61" spans="1:19" s="304" customFormat="1" x14ac:dyDescent="0.25">
      <c r="A61" s="304" t="s">
        <v>407</v>
      </c>
      <c r="C61" s="382">
        <f>SUM(C62:C63)</f>
        <v>-141.98400000000132</v>
      </c>
      <c r="D61" s="382">
        <f t="shared" ref="D61:N61" si="49">SUM(D62:D63)</f>
        <v>-1361</v>
      </c>
      <c r="E61" s="382">
        <f t="shared" si="49"/>
        <v>-1251.4330708661416</v>
      </c>
      <c r="F61" s="382">
        <f t="shared" si="49"/>
        <v>-706.30708661417327</v>
      </c>
      <c r="G61" s="382">
        <f t="shared" ca="1" si="49"/>
        <v>-503</v>
      </c>
      <c r="H61" s="382">
        <f t="shared" ca="1" si="49"/>
        <v>-774.34399999999994</v>
      </c>
      <c r="I61" s="382">
        <f t="shared" ca="1" si="49"/>
        <v>-1588.3440000000001</v>
      </c>
      <c r="J61" s="382">
        <f t="shared" ca="1" si="49"/>
        <v>-6020.7312000000002</v>
      </c>
      <c r="K61" s="382">
        <f t="shared" ca="1" si="49"/>
        <v>-5959.8624000000009</v>
      </c>
      <c r="L61" s="382">
        <f t="shared" ca="1" si="49"/>
        <v>-5633.4624000000003</v>
      </c>
      <c r="M61" s="382">
        <f t="shared" ca="1" si="49"/>
        <v>-5307.0623999999998</v>
      </c>
      <c r="N61" s="382">
        <f t="shared" ca="1" si="49"/>
        <v>-4980.6624000000002</v>
      </c>
      <c r="O61" s="382">
        <f t="shared" ref="O61:Q61" ca="1" si="50">SUM(O62:O63)</f>
        <v>-265.53119999999984</v>
      </c>
      <c r="P61" s="382">
        <f t="shared" ca="1" si="50"/>
        <v>0</v>
      </c>
      <c r="Q61" s="382">
        <f t="shared" ca="1" si="50"/>
        <v>0</v>
      </c>
    </row>
    <row r="62" spans="1:19" s="305" customFormat="1" x14ac:dyDescent="0.25">
      <c r="A62" s="308" t="s">
        <v>408</v>
      </c>
      <c r="C62" s="383">
        <f t="shared" ref="C62:N62" si="51">-C57</f>
        <v>-141.98400000000132</v>
      </c>
      <c r="D62" s="383">
        <f t="shared" si="51"/>
        <v>-1361</v>
      </c>
      <c r="E62" s="383">
        <f t="shared" si="51"/>
        <v>-1116</v>
      </c>
      <c r="F62" s="383">
        <f t="shared" si="51"/>
        <v>-706.30708661417327</v>
      </c>
      <c r="G62" s="383">
        <f t="shared" ca="1" si="51"/>
        <v>-503</v>
      </c>
      <c r="H62" s="383">
        <f t="shared" ca="1" si="51"/>
        <v>-774.34399999999994</v>
      </c>
      <c r="I62" s="383">
        <f t="shared" ca="1" si="51"/>
        <v>-1588.3440000000001</v>
      </c>
      <c r="J62" s="383">
        <f t="shared" ca="1" si="51"/>
        <v>-1477.5312000000001</v>
      </c>
      <c r="K62" s="383">
        <f t="shared" ca="1" si="51"/>
        <v>-1159.8624</v>
      </c>
      <c r="L62" s="383">
        <f t="shared" ca="1" si="51"/>
        <v>-833.46239999999989</v>
      </c>
      <c r="M62" s="383">
        <f t="shared" ca="1" si="51"/>
        <v>-507.06239999999991</v>
      </c>
      <c r="N62" s="383">
        <f t="shared" ca="1" si="51"/>
        <v>-180.66239999999993</v>
      </c>
      <c r="O62" s="383">
        <f t="shared" ref="O62:Q62" ca="1" si="52">-O57</f>
        <v>-8.7311999999999124</v>
      </c>
      <c r="P62" s="383">
        <f t="shared" ca="1" si="52"/>
        <v>0</v>
      </c>
      <c r="Q62" s="383">
        <f t="shared" ca="1" si="52"/>
        <v>0</v>
      </c>
    </row>
    <row r="63" spans="1:19" s="305" customFormat="1" x14ac:dyDescent="0.25">
      <c r="A63" s="308" t="s">
        <v>409</v>
      </c>
      <c r="C63" s="383">
        <f>C21</f>
        <v>0</v>
      </c>
      <c r="D63" s="383">
        <f t="shared" ref="D63:N63" si="53">D21</f>
        <v>0</v>
      </c>
      <c r="E63" s="383">
        <f t="shared" si="53"/>
        <v>-135.43307086614172</v>
      </c>
      <c r="F63" s="383">
        <f t="shared" si="53"/>
        <v>0</v>
      </c>
      <c r="G63" s="383">
        <f t="shared" si="53"/>
        <v>0</v>
      </c>
      <c r="H63" s="383">
        <f t="shared" si="53"/>
        <v>0</v>
      </c>
      <c r="I63" s="383">
        <f t="shared" si="53"/>
        <v>0</v>
      </c>
      <c r="J63" s="383">
        <f t="shared" si="53"/>
        <v>-4543.2</v>
      </c>
      <c r="K63" s="383">
        <f t="shared" si="53"/>
        <v>-4800.0000000000009</v>
      </c>
      <c r="L63" s="383">
        <f t="shared" si="53"/>
        <v>-4800</v>
      </c>
      <c r="M63" s="383">
        <f t="shared" si="53"/>
        <v>-4800</v>
      </c>
      <c r="N63" s="383">
        <f t="shared" si="53"/>
        <v>-4800</v>
      </c>
      <c r="O63" s="383">
        <f t="shared" ref="O63:Q63" si="54">O21</f>
        <v>-256.79999999999995</v>
      </c>
      <c r="P63" s="383">
        <f t="shared" si="54"/>
        <v>0</v>
      </c>
      <c r="Q63" s="383">
        <f t="shared" si="54"/>
        <v>0</v>
      </c>
    </row>
    <row r="64" spans="1:19" s="305" customFormat="1" x14ac:dyDescent="0.25">
      <c r="A64" s="308"/>
      <c r="C64" s="383"/>
      <c r="D64" s="383"/>
      <c r="E64" s="383"/>
      <c r="F64" s="383"/>
      <c r="G64" s="383"/>
      <c r="H64" s="383"/>
      <c r="I64" s="383"/>
      <c r="J64" s="383"/>
      <c r="K64" s="383"/>
      <c r="L64" s="383"/>
      <c r="M64" s="383"/>
      <c r="N64" s="383"/>
      <c r="O64" s="383"/>
      <c r="P64" s="383"/>
      <c r="Q64" s="383"/>
    </row>
    <row r="65" spans="1:18" s="304" customFormat="1" x14ac:dyDescent="0.25">
      <c r="A65" s="309" t="s">
        <v>414</v>
      </c>
      <c r="B65" s="310"/>
      <c r="C65" s="385">
        <f>C59+C61</f>
        <v>-6158.9228887577674</v>
      </c>
      <c r="D65" s="385">
        <f t="shared" ref="D65:N65" si="55">D59+D61</f>
        <v>-3947.8882603064912</v>
      </c>
      <c r="E65" s="385">
        <f t="shared" si="55"/>
        <v>5603.3258725806973</v>
      </c>
      <c r="F65" s="385">
        <f t="shared" si="55"/>
        <v>-487.19918079638899</v>
      </c>
      <c r="G65" s="385">
        <f t="shared" ca="1" si="55"/>
        <v>6285.3110005957769</v>
      </c>
      <c r="H65" s="385">
        <f t="shared" ca="1" si="55"/>
        <v>-21236.685950514136</v>
      </c>
      <c r="I65" s="385">
        <f t="shared" ca="1" si="55"/>
        <v>2204.51130528063</v>
      </c>
      <c r="J65" s="385">
        <f t="shared" ca="1" si="55"/>
        <v>9878.0967707432083</v>
      </c>
      <c r="K65" s="385">
        <f t="shared" ca="1" si="55"/>
        <v>10668.785418636158</v>
      </c>
      <c r="L65" s="385">
        <f t="shared" ca="1" si="55"/>
        <v>11595.965199986862</v>
      </c>
      <c r="M65" s="385">
        <f t="shared" ca="1" si="55"/>
        <v>12368.280622320919</v>
      </c>
      <c r="N65" s="385">
        <f t="shared" ca="1" si="55"/>
        <v>12981.169391786578</v>
      </c>
      <c r="O65" s="385">
        <f t="shared" ref="O65:Q65" ca="1" si="56">O59+O61</f>
        <v>17948.806055170793</v>
      </c>
      <c r="P65" s="385">
        <f t="shared" ca="1" si="56"/>
        <v>18402.053027926129</v>
      </c>
      <c r="Q65" s="385">
        <f t="shared" ca="1" si="56"/>
        <v>18500.150486772927</v>
      </c>
    </row>
    <row r="66" spans="1:18" s="304" customFormat="1" x14ac:dyDescent="0.25">
      <c r="A66" s="309"/>
      <c r="B66" s="310"/>
      <c r="C66" s="385"/>
      <c r="D66" s="385"/>
      <c r="E66" s="385"/>
      <c r="F66" s="385"/>
      <c r="G66" s="385"/>
      <c r="H66" s="385"/>
      <c r="I66" s="385"/>
      <c r="J66" s="385"/>
      <c r="K66" s="385"/>
      <c r="L66" s="385"/>
      <c r="M66" s="385"/>
      <c r="N66" s="385"/>
      <c r="O66" s="385"/>
      <c r="P66" s="385"/>
      <c r="Q66" s="385"/>
    </row>
    <row r="67" spans="1:18" s="304" customFormat="1" x14ac:dyDescent="0.25">
      <c r="A67" s="304" t="s">
        <v>410</v>
      </c>
      <c r="C67" s="382">
        <f>SUM(C68:C69)</f>
        <v>947.25674446802066</v>
      </c>
      <c r="D67" s="382">
        <f t="shared" ref="D67:N67" si="57">SUM(D68:D69)</f>
        <v>1692.1397379912664</v>
      </c>
      <c r="E67" s="382">
        <f t="shared" si="57"/>
        <v>2333.8582677165355</v>
      </c>
      <c r="F67" s="382">
        <f t="shared" si="57"/>
        <v>96.849474912485405</v>
      </c>
      <c r="G67" s="382">
        <f t="shared" si="57"/>
        <v>1170</v>
      </c>
      <c r="H67" s="382">
        <f t="shared" si="57"/>
        <v>22715.999999999996</v>
      </c>
      <c r="I67" s="382">
        <f t="shared" si="57"/>
        <v>1284</v>
      </c>
      <c r="J67" s="382">
        <f t="shared" si="57"/>
        <v>0</v>
      </c>
      <c r="K67" s="382">
        <f t="shared" si="57"/>
        <v>0</v>
      </c>
      <c r="L67" s="382">
        <f t="shared" si="57"/>
        <v>0</v>
      </c>
      <c r="M67" s="382">
        <f t="shared" si="57"/>
        <v>0</v>
      </c>
      <c r="N67" s="382">
        <f t="shared" si="57"/>
        <v>0</v>
      </c>
      <c r="O67" s="382">
        <f t="shared" ref="O67:Q67" si="58">SUM(O68:O69)</f>
        <v>0</v>
      </c>
      <c r="P67" s="382">
        <f t="shared" si="58"/>
        <v>0</v>
      </c>
      <c r="Q67" s="382">
        <f t="shared" si="58"/>
        <v>0</v>
      </c>
    </row>
    <row r="68" spans="1:18" s="305" customFormat="1" x14ac:dyDescent="0.25">
      <c r="A68" s="308" t="s">
        <v>415</v>
      </c>
      <c r="C68" s="383">
        <f>C22</f>
        <v>947.25674446802066</v>
      </c>
      <c r="D68" s="383">
        <f t="shared" ref="D68:N68" si="59">D22</f>
        <v>1545.4421397379913</v>
      </c>
      <c r="E68" s="383">
        <f t="shared" si="59"/>
        <v>2333.8582677165355</v>
      </c>
      <c r="F68" s="383">
        <f t="shared" si="59"/>
        <v>96.849474912485405</v>
      </c>
      <c r="G68" s="383">
        <f t="shared" si="59"/>
        <v>1170</v>
      </c>
      <c r="H68" s="383">
        <f t="shared" si="59"/>
        <v>0</v>
      </c>
      <c r="I68" s="383">
        <f t="shared" si="59"/>
        <v>0</v>
      </c>
      <c r="J68" s="383">
        <f t="shared" si="59"/>
        <v>0</v>
      </c>
      <c r="K68" s="383">
        <f t="shared" si="59"/>
        <v>0</v>
      </c>
      <c r="L68" s="383">
        <f t="shared" si="59"/>
        <v>0</v>
      </c>
      <c r="M68" s="383">
        <f t="shared" si="59"/>
        <v>0</v>
      </c>
      <c r="N68" s="383">
        <f t="shared" si="59"/>
        <v>0</v>
      </c>
      <c r="O68" s="383">
        <f t="shared" ref="O68:Q68" si="60">O22</f>
        <v>0</v>
      </c>
      <c r="P68" s="383">
        <f t="shared" si="60"/>
        <v>0</v>
      </c>
      <c r="Q68" s="383">
        <f t="shared" si="60"/>
        <v>0</v>
      </c>
      <c r="R68" s="306"/>
    </row>
    <row r="69" spans="1:18" s="305" customFormat="1" x14ac:dyDescent="0.25">
      <c r="A69" s="308" t="s">
        <v>411</v>
      </c>
      <c r="C69" s="383">
        <f>C20</f>
        <v>0</v>
      </c>
      <c r="D69" s="383">
        <f t="shared" ref="D69:N69" si="61">D20</f>
        <v>146.69759825327512</v>
      </c>
      <c r="E69" s="383">
        <f t="shared" si="61"/>
        <v>0</v>
      </c>
      <c r="F69" s="383">
        <f t="shared" si="61"/>
        <v>0</v>
      </c>
      <c r="G69" s="383">
        <f t="shared" si="61"/>
        <v>0</v>
      </c>
      <c r="H69" s="383">
        <f t="shared" si="61"/>
        <v>22715.999999999996</v>
      </c>
      <c r="I69" s="383">
        <f t="shared" si="61"/>
        <v>1284</v>
      </c>
      <c r="J69" s="383">
        <f t="shared" si="61"/>
        <v>0</v>
      </c>
      <c r="K69" s="383">
        <f t="shared" si="61"/>
        <v>0</v>
      </c>
      <c r="L69" s="383">
        <f t="shared" si="61"/>
        <v>0</v>
      </c>
      <c r="M69" s="383">
        <f t="shared" si="61"/>
        <v>0</v>
      </c>
      <c r="N69" s="383">
        <f t="shared" si="61"/>
        <v>0</v>
      </c>
      <c r="O69" s="383">
        <f t="shared" ref="O69:Q69" si="62">O20</f>
        <v>0</v>
      </c>
      <c r="P69" s="383">
        <f t="shared" si="62"/>
        <v>0</v>
      </c>
      <c r="Q69" s="383">
        <f t="shared" si="62"/>
        <v>0</v>
      </c>
    </row>
    <row r="70" spans="1:18" s="305" customFormat="1" x14ac:dyDescent="0.25">
      <c r="A70" s="312"/>
      <c r="B70" s="313"/>
      <c r="C70" s="386"/>
      <c r="D70" s="386"/>
      <c r="E70" s="386"/>
      <c r="F70" s="386"/>
      <c r="G70" s="386"/>
      <c r="H70" s="386"/>
      <c r="I70" s="386"/>
      <c r="J70" s="386"/>
      <c r="K70" s="386"/>
      <c r="L70" s="386"/>
      <c r="M70" s="386"/>
      <c r="N70" s="386"/>
      <c r="O70" s="386"/>
      <c r="P70" s="386"/>
      <c r="Q70" s="386"/>
    </row>
    <row r="71" spans="1:18" s="304" customFormat="1" x14ac:dyDescent="0.25">
      <c r="A71" s="309" t="s">
        <v>416</v>
      </c>
      <c r="C71" s="382">
        <f>C23</f>
        <v>0</v>
      </c>
      <c r="D71" s="382">
        <f t="shared" ref="D71:N71" si="63">D23</f>
        <v>-768.28602620087338</v>
      </c>
      <c r="E71" s="382">
        <f t="shared" si="63"/>
        <v>-9226.4566929133853</v>
      </c>
      <c r="F71" s="382">
        <f t="shared" si="63"/>
        <v>-3187.2812135355894</v>
      </c>
      <c r="G71" s="382">
        <f t="shared" si="63"/>
        <v>-3909.5238095238092</v>
      </c>
      <c r="H71" s="382">
        <f t="shared" ca="1" si="63"/>
        <v>0</v>
      </c>
      <c r="I71" s="382">
        <f t="shared" ca="1" si="63"/>
        <v>0</v>
      </c>
      <c r="J71" s="382">
        <f t="shared" ca="1" si="63"/>
        <v>-3319.527618740643</v>
      </c>
      <c r="K71" s="382">
        <f t="shared" ca="1" si="63"/>
        <v>-5976.5830550174005</v>
      </c>
      <c r="L71" s="382">
        <f t="shared" ca="1" si="63"/>
        <v>-6849.2354171013221</v>
      </c>
      <c r="M71" s="382">
        <f t="shared" ca="1" si="63"/>
        <v>-7649.9785316066655</v>
      </c>
      <c r="N71" s="382">
        <f t="shared" ca="1" si="63"/>
        <v>-8358.8756877445885</v>
      </c>
      <c r="O71" s="382">
        <f t="shared" ref="O71:Q71" ca="1" si="64">O23</f>
        <v>-8973.7042757743238</v>
      </c>
      <c r="P71" s="382">
        <f t="shared" ca="1" si="64"/>
        <v>-9587.2564780935445</v>
      </c>
      <c r="Q71" s="382">
        <f t="shared" ca="1" si="64"/>
        <v>-9937.1850680350999</v>
      </c>
      <c r="R71" s="307"/>
    </row>
    <row r="72" spans="1:18" s="305" customFormat="1" x14ac:dyDescent="0.25">
      <c r="C72" s="383"/>
      <c r="D72" s="383"/>
      <c r="E72" s="383"/>
      <c r="F72" s="383"/>
      <c r="G72" s="383"/>
      <c r="H72" s="383"/>
      <c r="I72" s="383"/>
      <c r="J72" s="383"/>
      <c r="K72" s="383"/>
      <c r="L72" s="383"/>
      <c r="M72" s="383"/>
      <c r="N72" s="383"/>
      <c r="O72" s="383"/>
      <c r="P72" s="383"/>
      <c r="Q72" s="383"/>
    </row>
    <row r="73" spans="1:18" s="304" customFormat="1" x14ac:dyDescent="0.25">
      <c r="A73" s="304" t="s">
        <v>417</v>
      </c>
      <c r="C73" s="385">
        <f>C65+C67+C71</f>
        <v>-5211.6661442897466</v>
      </c>
      <c r="D73" s="385">
        <f t="shared" ref="D73:N73" si="65">D65+D67+D71</f>
        <v>-3024.0345485160983</v>
      </c>
      <c r="E73" s="385">
        <f t="shared" si="65"/>
        <v>-1289.2725526161521</v>
      </c>
      <c r="F73" s="385">
        <f t="shared" si="65"/>
        <v>-3577.6309194194928</v>
      </c>
      <c r="G73" s="385">
        <f t="shared" ca="1" si="65"/>
        <v>3545.7871910719678</v>
      </c>
      <c r="H73" s="385">
        <f t="shared" ca="1" si="65"/>
        <v>1479.3140494858599</v>
      </c>
      <c r="I73" s="385">
        <f t="shared" ca="1" si="65"/>
        <v>3488.51130528063</v>
      </c>
      <c r="J73" s="385">
        <f t="shared" ca="1" si="65"/>
        <v>6558.5691520025648</v>
      </c>
      <c r="K73" s="385">
        <f t="shared" ca="1" si="65"/>
        <v>4692.2023636187578</v>
      </c>
      <c r="L73" s="385">
        <f t="shared" ca="1" si="65"/>
        <v>4746.7297828855399</v>
      </c>
      <c r="M73" s="385">
        <f t="shared" ca="1" si="65"/>
        <v>4718.3020907142536</v>
      </c>
      <c r="N73" s="385">
        <f t="shared" ca="1" si="65"/>
        <v>4622.2937040419893</v>
      </c>
      <c r="O73" s="385">
        <f t="shared" ref="O73:Q73" ca="1" si="66">O65+O67+O71</f>
        <v>8975.1017793964693</v>
      </c>
      <c r="P73" s="385">
        <f t="shared" ca="1" si="66"/>
        <v>8814.7965498325848</v>
      </c>
      <c r="Q73" s="385">
        <f t="shared" ca="1" si="66"/>
        <v>8562.9654187378273</v>
      </c>
    </row>
    <row r="74" spans="1:18" s="305" customFormat="1" x14ac:dyDescent="0.25"/>
    <row r="75" spans="1:18" s="305" customFormat="1" x14ac:dyDescent="0.25">
      <c r="A75" s="305" t="s">
        <v>418</v>
      </c>
    </row>
    <row r="76" spans="1:18" s="315" customFormat="1" x14ac:dyDescent="0.25">
      <c r="A76" s="315" t="s">
        <v>412</v>
      </c>
      <c r="B76" s="316"/>
      <c r="C76" s="316">
        <f>C59/-C61</f>
        <v>-42.377584014802444</v>
      </c>
      <c r="D76" s="316">
        <f t="shared" ref="D76:N76" si="67">D59/-D61</f>
        <v>-1.9007261280723668</v>
      </c>
      <c r="E76" s="316">
        <f t="shared" si="67"/>
        <v>5.477527406801328</v>
      </c>
      <c r="F76" s="316">
        <f t="shared" si="67"/>
        <v>0.31021620761037894</v>
      </c>
      <c r="G76" s="316">
        <f t="shared" ca="1" si="67"/>
        <v>13.495648112516456</v>
      </c>
      <c r="H76" s="316">
        <f t="shared" ca="1" si="67"/>
        <v>-26.425389685351906</v>
      </c>
      <c r="I76" s="316">
        <f t="shared" ca="1" si="67"/>
        <v>2.387930640516557</v>
      </c>
      <c r="J76" s="316">
        <f t="shared" ca="1" si="67"/>
        <v>2.6406805822427692</v>
      </c>
      <c r="K76" s="316">
        <f t="shared" ca="1" si="67"/>
        <v>2.7901059961780592</v>
      </c>
      <c r="L76" s="316">
        <f t="shared" ca="1" si="67"/>
        <v>3.0584082002547599</v>
      </c>
      <c r="M76" s="316">
        <f t="shared" ca="1" si="67"/>
        <v>3.33053235294933</v>
      </c>
      <c r="N76" s="316">
        <f t="shared" ca="1" si="67"/>
        <v>3.6063138492957441</v>
      </c>
      <c r="O76" s="316">
        <f t="shared" ref="O76:Q76" ca="1" si="68">O59/-O61</f>
        <v>68.5958458183852</v>
      </c>
      <c r="P76" s="316" t="e">
        <f t="shared" ca="1" si="68"/>
        <v>#DIV/0!</v>
      </c>
      <c r="Q76" s="316" t="e">
        <f t="shared" ca="1" si="68"/>
        <v>#DIV/0!</v>
      </c>
    </row>
    <row r="77" spans="1:18" s="319" customFormat="1" x14ac:dyDescent="0.25">
      <c r="A77" s="317" t="s">
        <v>413</v>
      </c>
      <c r="B77" s="318"/>
      <c r="C77" s="318">
        <f>C59/-C62</f>
        <v>-42.377584014802444</v>
      </c>
      <c r="D77" s="318">
        <f t="shared" ref="D77:N77" si="69">D59/-D62</f>
        <v>-1.9007261280723668</v>
      </c>
      <c r="E77" s="318">
        <f t="shared" si="69"/>
        <v>6.142257117783906</v>
      </c>
      <c r="F77" s="318">
        <f t="shared" si="69"/>
        <v>0.31021620761037894</v>
      </c>
      <c r="G77" s="318">
        <f t="shared" ca="1" si="69"/>
        <v>13.495648112516456</v>
      </c>
      <c r="H77" s="318">
        <f t="shared" ca="1" si="69"/>
        <v>-26.425389685351906</v>
      </c>
      <c r="I77" s="318">
        <f t="shared" ca="1" si="69"/>
        <v>2.387930640516557</v>
      </c>
      <c r="J77" s="318">
        <f t="shared" ca="1" si="69"/>
        <v>10.760400843476745</v>
      </c>
      <c r="K77" s="318">
        <f t="shared" ca="1" si="69"/>
        <v>14.336741857168713</v>
      </c>
      <c r="L77" s="318">
        <f t="shared" ca="1" si="69"/>
        <v>20.672111423366985</v>
      </c>
      <c r="M77" s="318">
        <f t="shared" ca="1" si="69"/>
        <v>34.858319256803348</v>
      </c>
      <c r="N77" s="318">
        <f t="shared" ca="1" si="69"/>
        <v>99.422081140218353</v>
      </c>
      <c r="O77" s="318">
        <f t="shared" ref="O77:Q77" ca="1" si="70">O59/-O62</f>
        <v>2086.1207228297344</v>
      </c>
      <c r="P77" s="318" t="e">
        <f t="shared" ca="1" si="70"/>
        <v>#DIV/0!</v>
      </c>
      <c r="Q77" s="318" t="e">
        <f t="shared" ca="1" si="70"/>
        <v>#DIV/0!</v>
      </c>
    </row>
    <row r="78" spans="1:18" s="305" customFormat="1" x14ac:dyDescent="0.25">
      <c r="A78" s="312"/>
      <c r="B78" s="313"/>
      <c r="C78" s="313"/>
      <c r="D78" s="313"/>
      <c r="E78" s="313"/>
      <c r="F78" s="313"/>
      <c r="G78" s="313"/>
      <c r="H78" s="313"/>
      <c r="I78" s="313"/>
      <c r="J78" s="313"/>
      <c r="K78" s="313"/>
      <c r="L78" s="313"/>
      <c r="M78" s="313"/>
      <c r="N78" s="313"/>
      <c r="O78" s="313"/>
      <c r="P78" s="313"/>
      <c r="Q78" s="313"/>
    </row>
  </sheetData>
  <phoneticPr fontId="73" type="noConversion"/>
  <printOptions headings="1"/>
  <pageMargins left="0.6" right="0.6" top="0.75" bottom="0.75" header="0.3" footer="0.3"/>
  <pageSetup paperSize="5" scale="6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K109"/>
  <sheetViews>
    <sheetView workbookViewId="0"/>
  </sheetViews>
  <sheetFormatPr defaultRowHeight="15.75" outlineLevelCol="1" x14ac:dyDescent="0.25"/>
  <cols>
    <col min="1" max="1" width="5.75" customWidth="1"/>
    <col min="2" max="2" width="41.5" customWidth="1"/>
    <col min="3" max="3" width="9.125" customWidth="1"/>
    <col min="6" max="6" width="9.875" bestFit="1" customWidth="1"/>
    <col min="18" max="18" width="7.875" customWidth="1" outlineLevel="1"/>
    <col min="19" max="19" width="3.5" style="64" customWidth="1" outlineLevel="1"/>
    <col min="20" max="33" width="9" outlineLevel="1"/>
    <col min="34" max="34" width="3.5" style="64" customWidth="1" outlineLevel="1"/>
    <col min="35" max="48" width="9" outlineLevel="1"/>
    <col min="49" max="49" width="3.5" style="64" customWidth="1" outlineLevel="1"/>
    <col min="50" max="60" width="9" outlineLevel="1"/>
  </cols>
  <sheetData>
    <row r="2" spans="1:63" x14ac:dyDescent="0.25">
      <c r="B2" s="5" t="s">
        <v>210</v>
      </c>
      <c r="C2" s="462"/>
      <c r="D2" s="650">
        <f>+Assumptions!D6/1000</f>
        <v>1.4656</v>
      </c>
      <c r="E2" s="650">
        <f>+Assumptions!E6/1000</f>
        <v>1.5874999999999999</v>
      </c>
      <c r="F2" s="650">
        <f>+Assumptions!F6/1000</f>
        <v>1.714</v>
      </c>
      <c r="G2" s="650">
        <f>+Assumptions!G6/1000</f>
        <v>1.89</v>
      </c>
      <c r="H2" s="650">
        <f>+Assumptions!H6/1000</f>
        <v>2.0790000000000002</v>
      </c>
      <c r="I2" s="650">
        <f>+Assumptions!I6/1000</f>
        <v>2.2869000000000002</v>
      </c>
      <c r="J2" s="650">
        <f>+Assumptions!J6/1000</f>
        <v>2.51559</v>
      </c>
      <c r="K2" s="650">
        <f>+Assumptions!K6/1000</f>
        <v>2.7671490000000003</v>
      </c>
      <c r="L2" s="650">
        <f>+Assumptions!L6/1000</f>
        <v>3.0438639000000007</v>
      </c>
      <c r="M2" s="650">
        <f>+Assumptions!M6/1000</f>
        <v>3.3482502900000011</v>
      </c>
      <c r="N2" s="650">
        <f>+Assumptions!N6/1000</f>
        <v>3.6830753190000012</v>
      </c>
      <c r="O2" s="650">
        <f>+Assumptions!O6/1000</f>
        <v>4.0513828509000014</v>
      </c>
      <c r="P2" s="650">
        <f>+Assumptions!P6/1000</f>
        <v>4.4565211359900019</v>
      </c>
      <c r="Q2" s="650">
        <f>+Assumptions!Q6/1000</f>
        <v>4.9021732495890031</v>
      </c>
      <c r="R2" s="462"/>
      <c r="S2" s="463"/>
      <c r="T2" s="462"/>
      <c r="U2" s="462"/>
      <c r="V2" s="462"/>
    </row>
    <row r="3" spans="1:63" x14ac:dyDescent="0.25">
      <c r="B3" s="26" t="s">
        <v>211</v>
      </c>
    </row>
    <row r="4" spans="1:63" x14ac:dyDescent="0.25">
      <c r="D4" s="750" t="s">
        <v>198</v>
      </c>
      <c r="E4" s="750"/>
      <c r="F4" s="750"/>
      <c r="G4" s="750"/>
      <c r="H4" s="750"/>
      <c r="I4" s="750"/>
      <c r="J4" s="750"/>
      <c r="K4" s="750"/>
      <c r="L4" s="750"/>
      <c r="M4" s="750"/>
      <c r="N4" s="750"/>
      <c r="O4" s="690"/>
      <c r="P4" s="690"/>
      <c r="Q4" s="690"/>
      <c r="S4" s="105"/>
      <c r="T4" s="750" t="s">
        <v>207</v>
      </c>
      <c r="U4" s="750"/>
      <c r="V4" s="750"/>
      <c r="W4" s="750"/>
      <c r="X4" s="750"/>
      <c r="Y4" s="750"/>
      <c r="Z4" s="750"/>
      <c r="AA4" s="750"/>
      <c r="AB4" s="750"/>
      <c r="AC4" s="750"/>
      <c r="AD4" s="750"/>
      <c r="AE4" s="690"/>
      <c r="AF4" s="690"/>
      <c r="AG4" s="690"/>
      <c r="AH4" s="105"/>
      <c r="AI4" s="750" t="s">
        <v>206</v>
      </c>
      <c r="AJ4" s="750"/>
      <c r="AK4" s="750"/>
      <c r="AL4" s="750"/>
      <c r="AM4" s="750"/>
      <c r="AN4" s="750"/>
      <c r="AO4" s="750"/>
      <c r="AP4" s="750"/>
      <c r="AQ4" s="750"/>
      <c r="AR4" s="750"/>
      <c r="AS4" s="750"/>
      <c r="AT4" s="690"/>
      <c r="AU4" s="690"/>
      <c r="AV4" s="690"/>
      <c r="AW4" s="105"/>
      <c r="AX4" s="750" t="s">
        <v>208</v>
      </c>
      <c r="AY4" s="750"/>
      <c r="AZ4" s="750"/>
      <c r="BA4" s="750"/>
      <c r="BB4" s="750"/>
      <c r="BC4" s="750"/>
      <c r="BD4" s="750"/>
      <c r="BE4" s="750"/>
      <c r="BF4" s="750"/>
      <c r="BG4" s="750"/>
      <c r="BH4" s="750"/>
    </row>
    <row r="5" spans="1:63" s="5" customFormat="1" x14ac:dyDescent="0.25">
      <c r="B5" s="5" t="s">
        <v>205</v>
      </c>
      <c r="C5" s="106" t="s">
        <v>204</v>
      </c>
      <c r="D5" s="5">
        <f>+Invest!D2</f>
        <v>2009</v>
      </c>
      <c r="E5" s="5">
        <f>+Invest!E2</f>
        <v>2010</v>
      </c>
      <c r="F5" s="5">
        <f>+Invest!F2</f>
        <v>2011</v>
      </c>
      <c r="G5" s="5">
        <f>+Invest!G2</f>
        <v>2012</v>
      </c>
      <c r="H5" s="5">
        <f>+Invest!H2</f>
        <v>2013</v>
      </c>
      <c r="I5" s="5">
        <f>+Invest!I2</f>
        <v>2014</v>
      </c>
      <c r="J5" s="5">
        <f>+Invest!J2</f>
        <v>2015</v>
      </c>
      <c r="K5" s="5">
        <f>+Invest!K2</f>
        <v>2016</v>
      </c>
      <c r="L5" s="5">
        <f>+Invest!L2</f>
        <v>2017</v>
      </c>
      <c r="M5" s="5">
        <f>+Invest!M2</f>
        <v>2018</v>
      </c>
      <c r="N5" s="5">
        <f>+Invest!N2</f>
        <v>2019</v>
      </c>
      <c r="O5" s="5">
        <f>+Invest!O2</f>
        <v>2020</v>
      </c>
      <c r="P5" s="5">
        <f>+Invest!P2</f>
        <v>2021</v>
      </c>
      <c r="Q5" s="5">
        <f>+Invest!Q2</f>
        <v>2022</v>
      </c>
      <c r="R5" s="106" t="s">
        <v>114</v>
      </c>
      <c r="S5" s="90"/>
      <c r="T5" s="5">
        <f t="shared" ref="T5:AG5" si="0">+D5</f>
        <v>2009</v>
      </c>
      <c r="U5" s="5">
        <f t="shared" si="0"/>
        <v>2010</v>
      </c>
      <c r="V5" s="5">
        <f t="shared" si="0"/>
        <v>2011</v>
      </c>
      <c r="W5" s="5">
        <f t="shared" si="0"/>
        <v>2012</v>
      </c>
      <c r="X5" s="5">
        <f t="shared" si="0"/>
        <v>2013</v>
      </c>
      <c r="Y5" s="5">
        <f t="shared" si="0"/>
        <v>2014</v>
      </c>
      <c r="Z5" s="5">
        <f t="shared" si="0"/>
        <v>2015</v>
      </c>
      <c r="AA5" s="5">
        <f t="shared" si="0"/>
        <v>2016</v>
      </c>
      <c r="AB5" s="5">
        <f t="shared" si="0"/>
        <v>2017</v>
      </c>
      <c r="AC5" s="5">
        <f t="shared" si="0"/>
        <v>2018</v>
      </c>
      <c r="AD5" s="5">
        <f t="shared" si="0"/>
        <v>2019</v>
      </c>
      <c r="AE5" s="5">
        <f t="shared" si="0"/>
        <v>2020</v>
      </c>
      <c r="AF5" s="5">
        <f t="shared" si="0"/>
        <v>2021</v>
      </c>
      <c r="AG5" s="5">
        <f t="shared" si="0"/>
        <v>2022</v>
      </c>
      <c r="AH5" s="90"/>
      <c r="AI5" s="5">
        <f t="shared" ref="AI5:AV5" si="1">+T5</f>
        <v>2009</v>
      </c>
      <c r="AJ5" s="5">
        <f t="shared" si="1"/>
        <v>2010</v>
      </c>
      <c r="AK5" s="5">
        <f t="shared" si="1"/>
        <v>2011</v>
      </c>
      <c r="AL5" s="5">
        <f t="shared" si="1"/>
        <v>2012</v>
      </c>
      <c r="AM5" s="5">
        <f t="shared" si="1"/>
        <v>2013</v>
      </c>
      <c r="AN5" s="5">
        <f t="shared" si="1"/>
        <v>2014</v>
      </c>
      <c r="AO5" s="5">
        <f t="shared" si="1"/>
        <v>2015</v>
      </c>
      <c r="AP5" s="5">
        <f t="shared" si="1"/>
        <v>2016</v>
      </c>
      <c r="AQ5" s="5">
        <f t="shared" si="1"/>
        <v>2017</v>
      </c>
      <c r="AR5" s="5">
        <f t="shared" si="1"/>
        <v>2018</v>
      </c>
      <c r="AS5" s="5">
        <f t="shared" si="1"/>
        <v>2019</v>
      </c>
      <c r="AT5" s="5">
        <f t="shared" si="1"/>
        <v>2020</v>
      </c>
      <c r="AU5" s="5">
        <f t="shared" si="1"/>
        <v>2021</v>
      </c>
      <c r="AV5" s="5">
        <f t="shared" si="1"/>
        <v>2022</v>
      </c>
      <c r="AW5" s="90"/>
      <c r="AX5" s="5">
        <f t="shared" ref="AX5:BK5" si="2">+AI5</f>
        <v>2009</v>
      </c>
      <c r="AY5" s="5">
        <f t="shared" si="2"/>
        <v>2010</v>
      </c>
      <c r="AZ5" s="5">
        <f t="shared" si="2"/>
        <v>2011</v>
      </c>
      <c r="BA5" s="5">
        <f t="shared" si="2"/>
        <v>2012</v>
      </c>
      <c r="BB5" s="5">
        <f t="shared" si="2"/>
        <v>2013</v>
      </c>
      <c r="BC5" s="5">
        <f t="shared" si="2"/>
        <v>2014</v>
      </c>
      <c r="BD5" s="5">
        <f t="shared" si="2"/>
        <v>2015</v>
      </c>
      <c r="BE5" s="5">
        <f t="shared" si="2"/>
        <v>2016</v>
      </c>
      <c r="BF5" s="5">
        <f t="shared" si="2"/>
        <v>2017</v>
      </c>
      <c r="BG5" s="5">
        <f t="shared" si="2"/>
        <v>2018</v>
      </c>
      <c r="BH5" s="5">
        <f t="shared" si="2"/>
        <v>2019</v>
      </c>
      <c r="BI5" s="5">
        <f t="shared" si="2"/>
        <v>2020</v>
      </c>
      <c r="BJ5" s="5">
        <f t="shared" si="2"/>
        <v>2021</v>
      </c>
      <c r="BK5" s="5">
        <f t="shared" si="2"/>
        <v>2022</v>
      </c>
    </row>
    <row r="7" spans="1:63" x14ac:dyDescent="0.25">
      <c r="A7" s="26" t="s">
        <v>255</v>
      </c>
      <c r="B7" s="122" t="s">
        <v>663</v>
      </c>
      <c r="C7" s="123">
        <v>0.1</v>
      </c>
      <c r="D7" s="654">
        <f t="shared" ref="D7:N7" si="3">+D59*D$2</f>
        <v>0</v>
      </c>
      <c r="E7" s="654">
        <f t="shared" si="3"/>
        <v>0</v>
      </c>
      <c r="F7" s="654">
        <f t="shared" si="3"/>
        <v>0</v>
      </c>
      <c r="G7" s="124">
        <f t="shared" si="3"/>
        <v>0</v>
      </c>
      <c r="H7" s="124">
        <f t="shared" si="3"/>
        <v>0</v>
      </c>
      <c r="I7" s="124">
        <f t="shared" si="3"/>
        <v>0</v>
      </c>
      <c r="J7" s="124">
        <f t="shared" si="3"/>
        <v>0</v>
      </c>
      <c r="K7" s="124">
        <f t="shared" si="3"/>
        <v>0</v>
      </c>
      <c r="L7" s="124">
        <f t="shared" si="3"/>
        <v>0</v>
      </c>
      <c r="M7" s="124">
        <f t="shared" si="3"/>
        <v>0</v>
      </c>
      <c r="N7" s="124">
        <f t="shared" si="3"/>
        <v>0</v>
      </c>
      <c r="O7" s="124">
        <f t="shared" ref="O7:Q7" si="4">+O59*O$2</f>
        <v>0</v>
      </c>
      <c r="P7" s="124">
        <f t="shared" si="4"/>
        <v>0</v>
      </c>
      <c r="Q7" s="124">
        <f t="shared" si="4"/>
        <v>0</v>
      </c>
      <c r="R7" s="1">
        <f t="shared" ref="R7:R54" si="5">SUM(D7:N7)</f>
        <v>0</v>
      </c>
      <c r="S7" s="107"/>
      <c r="T7" s="1"/>
      <c r="U7" s="1">
        <f t="shared" ref="U7:U53" si="6">IF(T7&gt;0,+T7,+D7*$C7)</f>
        <v>0</v>
      </c>
      <c r="V7" s="1">
        <f t="shared" ref="V7:V53" si="7">IF(U7&gt;0,+U7,+E7*$C7)</f>
        <v>0</v>
      </c>
      <c r="W7" s="1">
        <f t="shared" ref="W7:W53" si="8">IF(V7&gt;0,+V7,+F7*$C7)</f>
        <v>0</v>
      </c>
      <c r="X7" s="1">
        <f t="shared" ref="X7:X53" si="9">IF(W7&gt;0,+W7,+G7*$C7)</f>
        <v>0</v>
      </c>
      <c r="Y7" s="1">
        <f t="shared" ref="Y7:Y53" si="10">IF(X7&gt;0,+X7,+H7*$C7)</f>
        <v>0</v>
      </c>
      <c r="Z7" s="1">
        <f t="shared" ref="Z7:Z53" si="11">IF(Y7&gt;0,+Y7,+I7*$C7)</f>
        <v>0</v>
      </c>
      <c r="AA7" s="1">
        <f t="shared" ref="AA7:AA53" si="12">IF(Z7&gt;0,+Z7,+J7*$C7)</f>
        <v>0</v>
      </c>
      <c r="AB7" s="1">
        <f t="shared" ref="AB7:AB53" si="13">IF(AA7&gt;0,+AA7,+K7*$C7)</f>
        <v>0</v>
      </c>
      <c r="AC7" s="1">
        <f t="shared" ref="AC7:AC53" si="14">IF(AB7&gt;0,+AB7,+L7*$C7)</f>
        <v>0</v>
      </c>
      <c r="AD7" s="1">
        <f t="shared" ref="AD7:AD53" si="15">IF(AC7&gt;0,+AC7,+M7*$C7)</f>
        <v>0</v>
      </c>
      <c r="AE7" s="1">
        <f t="shared" ref="AE7:AE53" si="16">IF(AD7&gt;0,+AD7,+N7*$C7)</f>
        <v>0</v>
      </c>
      <c r="AF7" s="1">
        <f t="shared" ref="AF7:AF53" si="17">IF(AE7&gt;0,+AE7,+O7*$C7)</f>
        <v>0</v>
      </c>
      <c r="AG7" s="1">
        <f t="shared" ref="AG7:AG53" si="18">IF(AF7&gt;0,+AF7,+P7*$C7)</f>
        <v>0</v>
      </c>
      <c r="AH7" s="107"/>
      <c r="AI7" s="1">
        <f t="shared" ref="AI7:AI53" si="19">MIN(+AH7+T7,$R7)</f>
        <v>0</v>
      </c>
      <c r="AJ7" s="1">
        <f t="shared" ref="AJ7:AJ53" si="20">MIN(+AI7+U7,$R7)</f>
        <v>0</v>
      </c>
      <c r="AK7" s="1">
        <f t="shared" ref="AK7:AK53" si="21">MIN(+AJ7+V7,$R7)</f>
        <v>0</v>
      </c>
      <c r="AL7" s="1">
        <f t="shared" ref="AL7:AL53" si="22">MIN(+AK7+W7,$R7)</f>
        <v>0</v>
      </c>
      <c r="AM7" s="1">
        <f t="shared" ref="AM7:AM53" si="23">MIN(+AL7+X7,$R7)</f>
        <v>0</v>
      </c>
      <c r="AN7" s="1">
        <f t="shared" ref="AN7:AN53" si="24">MIN(+AM7+Y7,$R7)</f>
        <v>0</v>
      </c>
      <c r="AO7" s="1">
        <f t="shared" ref="AO7:AO53" si="25">MIN(+AN7+Z7,$R7)</f>
        <v>0</v>
      </c>
      <c r="AP7" s="1">
        <f t="shared" ref="AP7:AP53" si="26">MIN(+AO7+AA7,$R7)</f>
        <v>0</v>
      </c>
      <c r="AQ7" s="1">
        <f t="shared" ref="AQ7:AQ53" si="27">MIN(+AP7+AB7,$R7)</f>
        <v>0</v>
      </c>
      <c r="AR7" s="1">
        <f t="shared" ref="AR7:AR53" si="28">MIN(+AQ7+AC7,$R7)</f>
        <v>0</v>
      </c>
      <c r="AS7" s="1">
        <f t="shared" ref="AS7:AS53" si="29">MIN(+AR7+AD7,$R7)</f>
        <v>0</v>
      </c>
      <c r="AT7" s="1">
        <f t="shared" ref="AT7:AT53" si="30">MIN(+AS7+AE7,$R7)</f>
        <v>0</v>
      </c>
      <c r="AU7" s="1">
        <f t="shared" ref="AU7:AU53" si="31">MIN(+AT7+AF7,$R7)</f>
        <v>0</v>
      </c>
      <c r="AV7" s="1">
        <f t="shared" ref="AV7:AV53" si="32">MIN(+AU7+AG7,$R7)</f>
        <v>0</v>
      </c>
      <c r="AW7" s="107"/>
      <c r="AX7" s="1">
        <f t="shared" ref="AX7:AX53" si="33">+AI7-AH7</f>
        <v>0</v>
      </c>
      <c r="AY7" s="1">
        <f t="shared" ref="AY7:AY53" si="34">+AJ7-AI7</f>
        <v>0</v>
      </c>
      <c r="AZ7" s="1">
        <f t="shared" ref="AZ7:AZ53" si="35">+AK7-AJ7</f>
        <v>0</v>
      </c>
      <c r="BA7" s="1">
        <f t="shared" ref="BA7:BA53" si="36">+AL7-AK7</f>
        <v>0</v>
      </c>
      <c r="BB7" s="1">
        <f t="shared" ref="BB7:BB53" si="37">+AM7-AL7</f>
        <v>0</v>
      </c>
      <c r="BC7" s="1">
        <f t="shared" ref="BC7:BC53" si="38">+AN7-AM7</f>
        <v>0</v>
      </c>
      <c r="BD7" s="1">
        <f t="shared" ref="BD7:BD53" si="39">+AO7-AN7</f>
        <v>0</v>
      </c>
      <c r="BE7" s="1">
        <f t="shared" ref="BE7:BE53" si="40">+AP7-AO7</f>
        <v>0</v>
      </c>
      <c r="BF7" s="1">
        <f t="shared" ref="BF7:BF53" si="41">+AQ7-AP7</f>
        <v>0</v>
      </c>
      <c r="BG7" s="1">
        <f t="shared" ref="BG7:BG53" si="42">+AR7-AQ7</f>
        <v>0</v>
      </c>
      <c r="BH7" s="1">
        <f t="shared" ref="BH7:BH53" si="43">+AS7-AR7</f>
        <v>0</v>
      </c>
      <c r="BI7" s="1">
        <f t="shared" ref="BI7:BI53" si="44">+AT7-AS7</f>
        <v>0</v>
      </c>
      <c r="BJ7" s="1">
        <f t="shared" ref="BJ7:BJ53" si="45">+AU7-AT7</f>
        <v>0</v>
      </c>
      <c r="BK7" s="1">
        <f t="shared" ref="BK7:BK53" si="46">+AV7-AU7</f>
        <v>0</v>
      </c>
    </row>
    <row r="8" spans="1:63" x14ac:dyDescent="0.25">
      <c r="A8" s="26" t="s">
        <v>255</v>
      </c>
      <c r="B8" s="122" t="s">
        <v>663</v>
      </c>
      <c r="C8" s="123">
        <v>0.1</v>
      </c>
      <c r="D8" s="654">
        <f t="shared" ref="D8:N8" si="47">+D60*D$2</f>
        <v>0</v>
      </c>
      <c r="E8" s="654">
        <f t="shared" si="47"/>
        <v>0</v>
      </c>
      <c r="F8" s="654">
        <f t="shared" si="47"/>
        <v>0</v>
      </c>
      <c r="G8" s="124">
        <f t="shared" si="47"/>
        <v>0</v>
      </c>
      <c r="H8" s="124">
        <f t="shared" si="47"/>
        <v>0</v>
      </c>
      <c r="I8" s="124">
        <f t="shared" si="47"/>
        <v>0</v>
      </c>
      <c r="J8" s="124">
        <f t="shared" si="47"/>
        <v>0</v>
      </c>
      <c r="K8" s="124">
        <f t="shared" si="47"/>
        <v>0</v>
      </c>
      <c r="L8" s="124">
        <f t="shared" si="47"/>
        <v>0</v>
      </c>
      <c r="M8" s="124">
        <f t="shared" si="47"/>
        <v>0</v>
      </c>
      <c r="N8" s="124">
        <f t="shared" si="47"/>
        <v>0</v>
      </c>
      <c r="O8" s="124">
        <f t="shared" ref="O8:Q8" si="48">+O60*O$2</f>
        <v>0</v>
      </c>
      <c r="P8" s="124">
        <f t="shared" si="48"/>
        <v>0</v>
      </c>
      <c r="Q8" s="124">
        <f t="shared" si="48"/>
        <v>0</v>
      </c>
      <c r="R8" s="1">
        <f t="shared" si="5"/>
        <v>0</v>
      </c>
      <c r="S8" s="107"/>
      <c r="T8" s="1"/>
      <c r="U8" s="1">
        <f t="shared" si="6"/>
        <v>0</v>
      </c>
      <c r="V8" s="1">
        <f t="shared" si="7"/>
        <v>0</v>
      </c>
      <c r="W8" s="1">
        <f t="shared" si="8"/>
        <v>0</v>
      </c>
      <c r="X8" s="1">
        <f t="shared" si="9"/>
        <v>0</v>
      </c>
      <c r="Y8" s="1">
        <f t="shared" si="10"/>
        <v>0</v>
      </c>
      <c r="Z8" s="1">
        <f t="shared" si="11"/>
        <v>0</v>
      </c>
      <c r="AA8" s="1">
        <f t="shared" si="12"/>
        <v>0</v>
      </c>
      <c r="AB8" s="1">
        <f t="shared" si="13"/>
        <v>0</v>
      </c>
      <c r="AC8" s="1">
        <f t="shared" si="14"/>
        <v>0</v>
      </c>
      <c r="AD8" s="1">
        <f t="shared" si="15"/>
        <v>0</v>
      </c>
      <c r="AE8" s="1">
        <f t="shared" si="16"/>
        <v>0</v>
      </c>
      <c r="AF8" s="1">
        <f t="shared" si="17"/>
        <v>0</v>
      </c>
      <c r="AG8" s="1">
        <f t="shared" si="18"/>
        <v>0</v>
      </c>
      <c r="AH8" s="107"/>
      <c r="AI8" s="1">
        <f t="shared" si="19"/>
        <v>0</v>
      </c>
      <c r="AJ8" s="1">
        <f t="shared" si="20"/>
        <v>0</v>
      </c>
      <c r="AK8" s="1">
        <f t="shared" si="21"/>
        <v>0</v>
      </c>
      <c r="AL8" s="1">
        <f t="shared" si="22"/>
        <v>0</v>
      </c>
      <c r="AM8" s="1">
        <f t="shared" si="23"/>
        <v>0</v>
      </c>
      <c r="AN8" s="1">
        <f t="shared" si="24"/>
        <v>0</v>
      </c>
      <c r="AO8" s="1">
        <f t="shared" si="25"/>
        <v>0</v>
      </c>
      <c r="AP8" s="1">
        <f t="shared" si="26"/>
        <v>0</v>
      </c>
      <c r="AQ8" s="1">
        <f t="shared" si="27"/>
        <v>0</v>
      </c>
      <c r="AR8" s="1">
        <f t="shared" si="28"/>
        <v>0</v>
      </c>
      <c r="AS8" s="1">
        <f t="shared" si="29"/>
        <v>0</v>
      </c>
      <c r="AT8" s="1">
        <f t="shared" si="30"/>
        <v>0</v>
      </c>
      <c r="AU8" s="1">
        <f t="shared" si="31"/>
        <v>0</v>
      </c>
      <c r="AV8" s="1">
        <f t="shared" si="32"/>
        <v>0</v>
      </c>
      <c r="AW8" s="107"/>
      <c r="AX8" s="1">
        <f t="shared" si="33"/>
        <v>0</v>
      </c>
      <c r="AY8" s="1">
        <f t="shared" si="34"/>
        <v>0</v>
      </c>
      <c r="AZ8" s="1">
        <f t="shared" si="35"/>
        <v>0</v>
      </c>
      <c r="BA8" s="1">
        <f t="shared" si="36"/>
        <v>0</v>
      </c>
      <c r="BB8" s="1">
        <f t="shared" si="37"/>
        <v>0</v>
      </c>
      <c r="BC8" s="1">
        <f t="shared" si="38"/>
        <v>0</v>
      </c>
      <c r="BD8" s="1">
        <f t="shared" si="39"/>
        <v>0</v>
      </c>
      <c r="BE8" s="1">
        <f t="shared" si="40"/>
        <v>0</v>
      </c>
      <c r="BF8" s="1">
        <f t="shared" si="41"/>
        <v>0</v>
      </c>
      <c r="BG8" s="1">
        <f t="shared" si="42"/>
        <v>0</v>
      </c>
      <c r="BH8" s="1">
        <f t="shared" si="43"/>
        <v>0</v>
      </c>
      <c r="BI8" s="1">
        <f t="shared" si="44"/>
        <v>0</v>
      </c>
      <c r="BJ8" s="1">
        <f t="shared" si="45"/>
        <v>0</v>
      </c>
      <c r="BK8" s="1">
        <f t="shared" si="46"/>
        <v>0</v>
      </c>
    </row>
    <row r="9" spans="1:63" x14ac:dyDescent="0.25">
      <c r="A9" s="26" t="s">
        <v>255</v>
      </c>
      <c r="B9" s="122" t="s">
        <v>663</v>
      </c>
      <c r="C9" s="123">
        <v>0.1</v>
      </c>
      <c r="D9" s="654">
        <f t="shared" ref="D9:N9" si="49">+D61*D$2</f>
        <v>0</v>
      </c>
      <c r="E9" s="654">
        <f t="shared" si="49"/>
        <v>0</v>
      </c>
      <c r="F9" s="654">
        <f t="shared" si="49"/>
        <v>0</v>
      </c>
      <c r="G9" s="124">
        <f t="shared" si="49"/>
        <v>0</v>
      </c>
      <c r="H9" s="124">
        <f t="shared" si="49"/>
        <v>0</v>
      </c>
      <c r="I9" s="124">
        <f t="shared" si="49"/>
        <v>0</v>
      </c>
      <c r="J9" s="124">
        <f t="shared" si="49"/>
        <v>0</v>
      </c>
      <c r="K9" s="124">
        <f t="shared" si="49"/>
        <v>0</v>
      </c>
      <c r="L9" s="124">
        <f t="shared" si="49"/>
        <v>0</v>
      </c>
      <c r="M9" s="124">
        <f t="shared" si="49"/>
        <v>0</v>
      </c>
      <c r="N9" s="124">
        <f t="shared" si="49"/>
        <v>0</v>
      </c>
      <c r="O9" s="124">
        <f t="shared" ref="O9:Q9" si="50">+O61*O$2</f>
        <v>0</v>
      </c>
      <c r="P9" s="124">
        <f t="shared" si="50"/>
        <v>0</v>
      </c>
      <c r="Q9" s="124">
        <f t="shared" si="50"/>
        <v>0</v>
      </c>
      <c r="R9" s="1">
        <f t="shared" si="5"/>
        <v>0</v>
      </c>
      <c r="S9" s="107"/>
      <c r="T9" s="1"/>
      <c r="U9" s="1">
        <f t="shared" si="6"/>
        <v>0</v>
      </c>
      <c r="V9" s="1">
        <f t="shared" si="7"/>
        <v>0</v>
      </c>
      <c r="W9" s="1">
        <f t="shared" si="8"/>
        <v>0</v>
      </c>
      <c r="X9" s="1">
        <f t="shared" si="9"/>
        <v>0</v>
      </c>
      <c r="Y9" s="1">
        <f t="shared" si="10"/>
        <v>0</v>
      </c>
      <c r="Z9" s="1">
        <f t="shared" si="11"/>
        <v>0</v>
      </c>
      <c r="AA9" s="1">
        <f t="shared" si="12"/>
        <v>0</v>
      </c>
      <c r="AB9" s="1">
        <f t="shared" si="13"/>
        <v>0</v>
      </c>
      <c r="AC9" s="1">
        <f t="shared" si="14"/>
        <v>0</v>
      </c>
      <c r="AD9" s="1">
        <f t="shared" si="15"/>
        <v>0</v>
      </c>
      <c r="AE9" s="1">
        <f t="shared" si="16"/>
        <v>0</v>
      </c>
      <c r="AF9" s="1">
        <f t="shared" si="17"/>
        <v>0</v>
      </c>
      <c r="AG9" s="1">
        <f t="shared" si="18"/>
        <v>0</v>
      </c>
      <c r="AH9" s="107"/>
      <c r="AI9" s="1">
        <f t="shared" si="19"/>
        <v>0</v>
      </c>
      <c r="AJ9" s="1">
        <f t="shared" si="20"/>
        <v>0</v>
      </c>
      <c r="AK9" s="1">
        <f t="shared" si="21"/>
        <v>0</v>
      </c>
      <c r="AL9" s="1">
        <f t="shared" si="22"/>
        <v>0</v>
      </c>
      <c r="AM9" s="1">
        <f t="shared" si="23"/>
        <v>0</v>
      </c>
      <c r="AN9" s="1">
        <f t="shared" si="24"/>
        <v>0</v>
      </c>
      <c r="AO9" s="1">
        <f t="shared" si="25"/>
        <v>0</v>
      </c>
      <c r="AP9" s="1">
        <f t="shared" si="26"/>
        <v>0</v>
      </c>
      <c r="AQ9" s="1">
        <f t="shared" si="27"/>
        <v>0</v>
      </c>
      <c r="AR9" s="1">
        <f t="shared" si="28"/>
        <v>0</v>
      </c>
      <c r="AS9" s="1">
        <f t="shared" si="29"/>
        <v>0</v>
      </c>
      <c r="AT9" s="1">
        <f t="shared" si="30"/>
        <v>0</v>
      </c>
      <c r="AU9" s="1">
        <f t="shared" si="31"/>
        <v>0</v>
      </c>
      <c r="AV9" s="1">
        <f t="shared" si="32"/>
        <v>0</v>
      </c>
      <c r="AW9" s="107"/>
      <c r="AX9" s="1">
        <f t="shared" si="33"/>
        <v>0</v>
      </c>
      <c r="AY9" s="1">
        <f t="shared" si="34"/>
        <v>0</v>
      </c>
      <c r="AZ9" s="1">
        <f t="shared" si="35"/>
        <v>0</v>
      </c>
      <c r="BA9" s="1">
        <f t="shared" si="36"/>
        <v>0</v>
      </c>
      <c r="BB9" s="1">
        <f t="shared" si="37"/>
        <v>0</v>
      </c>
      <c r="BC9" s="1">
        <f t="shared" si="38"/>
        <v>0</v>
      </c>
      <c r="BD9" s="1">
        <f t="shared" si="39"/>
        <v>0</v>
      </c>
      <c r="BE9" s="1">
        <f t="shared" si="40"/>
        <v>0</v>
      </c>
      <c r="BF9" s="1">
        <f t="shared" si="41"/>
        <v>0</v>
      </c>
      <c r="BG9" s="1">
        <f t="shared" si="42"/>
        <v>0</v>
      </c>
      <c r="BH9" s="1">
        <f t="shared" si="43"/>
        <v>0</v>
      </c>
      <c r="BI9" s="1">
        <f t="shared" si="44"/>
        <v>0</v>
      </c>
      <c r="BJ9" s="1">
        <f t="shared" si="45"/>
        <v>0</v>
      </c>
      <c r="BK9" s="1">
        <f t="shared" si="46"/>
        <v>0</v>
      </c>
    </row>
    <row r="10" spans="1:63" x14ac:dyDescent="0.25">
      <c r="A10" s="26" t="s">
        <v>255</v>
      </c>
      <c r="B10" s="122" t="s">
        <v>224</v>
      </c>
      <c r="C10" s="123">
        <v>0.1</v>
      </c>
      <c r="D10" s="654">
        <f t="shared" ref="D10:N10" si="51">+D62*D$2</f>
        <v>0</v>
      </c>
      <c r="E10" s="654">
        <f t="shared" si="51"/>
        <v>0</v>
      </c>
      <c r="F10" s="654">
        <f t="shared" si="51"/>
        <v>0</v>
      </c>
      <c r="G10" s="124">
        <f t="shared" si="51"/>
        <v>0</v>
      </c>
      <c r="H10" s="124">
        <f t="shared" si="51"/>
        <v>0</v>
      </c>
      <c r="I10" s="124">
        <f t="shared" si="51"/>
        <v>0</v>
      </c>
      <c r="J10" s="124">
        <f t="shared" si="51"/>
        <v>0</v>
      </c>
      <c r="K10" s="124">
        <f t="shared" si="51"/>
        <v>0</v>
      </c>
      <c r="L10" s="124">
        <f t="shared" si="51"/>
        <v>0</v>
      </c>
      <c r="M10" s="124">
        <f t="shared" si="51"/>
        <v>0</v>
      </c>
      <c r="N10" s="124">
        <f t="shared" si="51"/>
        <v>0</v>
      </c>
      <c r="O10" s="124">
        <f t="shared" ref="O10:Q10" si="52">+O62*O$2</f>
        <v>0</v>
      </c>
      <c r="P10" s="124">
        <f t="shared" si="52"/>
        <v>0</v>
      </c>
      <c r="Q10" s="124">
        <f t="shared" si="52"/>
        <v>0</v>
      </c>
      <c r="R10" s="1">
        <f t="shared" si="5"/>
        <v>0</v>
      </c>
      <c r="S10" s="107"/>
      <c r="T10" s="1"/>
      <c r="U10" s="1">
        <f t="shared" si="6"/>
        <v>0</v>
      </c>
      <c r="V10" s="1">
        <f t="shared" si="7"/>
        <v>0</v>
      </c>
      <c r="W10" s="1">
        <f t="shared" si="8"/>
        <v>0</v>
      </c>
      <c r="X10" s="1">
        <f t="shared" si="9"/>
        <v>0</v>
      </c>
      <c r="Y10" s="1">
        <f t="shared" si="10"/>
        <v>0</v>
      </c>
      <c r="Z10" s="1">
        <f t="shared" si="11"/>
        <v>0</v>
      </c>
      <c r="AA10" s="1">
        <f t="shared" si="12"/>
        <v>0</v>
      </c>
      <c r="AB10" s="1">
        <f t="shared" si="13"/>
        <v>0</v>
      </c>
      <c r="AC10" s="1">
        <f t="shared" si="14"/>
        <v>0</v>
      </c>
      <c r="AD10" s="1">
        <f t="shared" si="15"/>
        <v>0</v>
      </c>
      <c r="AE10" s="1">
        <f t="shared" si="16"/>
        <v>0</v>
      </c>
      <c r="AF10" s="1">
        <f t="shared" si="17"/>
        <v>0</v>
      </c>
      <c r="AG10" s="1">
        <f t="shared" si="18"/>
        <v>0</v>
      </c>
      <c r="AH10" s="107"/>
      <c r="AI10" s="1">
        <f t="shared" si="19"/>
        <v>0</v>
      </c>
      <c r="AJ10" s="1">
        <f t="shared" si="20"/>
        <v>0</v>
      </c>
      <c r="AK10" s="1">
        <f t="shared" si="21"/>
        <v>0</v>
      </c>
      <c r="AL10" s="1">
        <f t="shared" si="22"/>
        <v>0</v>
      </c>
      <c r="AM10" s="1">
        <f t="shared" si="23"/>
        <v>0</v>
      </c>
      <c r="AN10" s="1">
        <f t="shared" si="24"/>
        <v>0</v>
      </c>
      <c r="AO10" s="1">
        <f t="shared" si="25"/>
        <v>0</v>
      </c>
      <c r="AP10" s="1">
        <f t="shared" si="26"/>
        <v>0</v>
      </c>
      <c r="AQ10" s="1">
        <f t="shared" si="27"/>
        <v>0</v>
      </c>
      <c r="AR10" s="1">
        <f t="shared" si="28"/>
        <v>0</v>
      </c>
      <c r="AS10" s="1">
        <f t="shared" si="29"/>
        <v>0</v>
      </c>
      <c r="AT10" s="1">
        <f t="shared" si="30"/>
        <v>0</v>
      </c>
      <c r="AU10" s="1">
        <f t="shared" si="31"/>
        <v>0</v>
      </c>
      <c r="AV10" s="1">
        <f t="shared" si="32"/>
        <v>0</v>
      </c>
      <c r="AW10" s="107"/>
      <c r="AX10" s="1">
        <f t="shared" si="33"/>
        <v>0</v>
      </c>
      <c r="AY10" s="1">
        <f t="shared" si="34"/>
        <v>0</v>
      </c>
      <c r="AZ10" s="1">
        <f t="shared" si="35"/>
        <v>0</v>
      </c>
      <c r="BA10" s="1">
        <f t="shared" si="36"/>
        <v>0</v>
      </c>
      <c r="BB10" s="1">
        <f t="shared" si="37"/>
        <v>0</v>
      </c>
      <c r="BC10" s="1">
        <f t="shared" si="38"/>
        <v>0</v>
      </c>
      <c r="BD10" s="1">
        <f t="shared" si="39"/>
        <v>0</v>
      </c>
      <c r="BE10" s="1">
        <f t="shared" si="40"/>
        <v>0</v>
      </c>
      <c r="BF10" s="1">
        <f t="shared" si="41"/>
        <v>0</v>
      </c>
      <c r="BG10" s="1">
        <f t="shared" si="42"/>
        <v>0</v>
      </c>
      <c r="BH10" s="1">
        <f t="shared" si="43"/>
        <v>0</v>
      </c>
      <c r="BI10" s="1">
        <f t="shared" si="44"/>
        <v>0</v>
      </c>
      <c r="BJ10" s="1">
        <f t="shared" si="45"/>
        <v>0</v>
      </c>
      <c r="BK10" s="1">
        <f t="shared" si="46"/>
        <v>0</v>
      </c>
    </row>
    <row r="11" spans="1:63" x14ac:dyDescent="0.25">
      <c r="A11" s="26" t="s">
        <v>255</v>
      </c>
      <c r="B11" s="122" t="s">
        <v>225</v>
      </c>
      <c r="C11" s="123">
        <v>0.1</v>
      </c>
      <c r="D11" s="654">
        <f t="shared" ref="D11:N11" si="53">+D63*D$2</f>
        <v>0</v>
      </c>
      <c r="E11" s="654">
        <f t="shared" si="53"/>
        <v>0</v>
      </c>
      <c r="F11" s="654">
        <f t="shared" si="53"/>
        <v>0</v>
      </c>
      <c r="G11" s="124">
        <f t="shared" si="53"/>
        <v>0</v>
      </c>
      <c r="H11" s="124">
        <f t="shared" si="53"/>
        <v>0</v>
      </c>
      <c r="I11" s="124">
        <f t="shared" si="53"/>
        <v>0</v>
      </c>
      <c r="J11" s="124">
        <f t="shared" si="53"/>
        <v>0</v>
      </c>
      <c r="K11" s="124">
        <f t="shared" si="53"/>
        <v>0</v>
      </c>
      <c r="L11" s="124">
        <f t="shared" si="53"/>
        <v>0</v>
      </c>
      <c r="M11" s="124">
        <f t="shared" si="53"/>
        <v>0</v>
      </c>
      <c r="N11" s="124">
        <f t="shared" si="53"/>
        <v>0</v>
      </c>
      <c r="O11" s="124">
        <f t="shared" ref="O11:Q11" si="54">+O63*O$2</f>
        <v>0</v>
      </c>
      <c r="P11" s="124">
        <f t="shared" si="54"/>
        <v>0</v>
      </c>
      <c r="Q11" s="124">
        <f t="shared" si="54"/>
        <v>0</v>
      </c>
      <c r="R11" s="1">
        <f t="shared" si="5"/>
        <v>0</v>
      </c>
      <c r="S11" s="107"/>
      <c r="T11" s="1"/>
      <c r="U11" s="1">
        <f t="shared" si="6"/>
        <v>0</v>
      </c>
      <c r="V11" s="1">
        <f t="shared" si="7"/>
        <v>0</v>
      </c>
      <c r="W11" s="1">
        <f t="shared" si="8"/>
        <v>0</v>
      </c>
      <c r="X11" s="1">
        <f t="shared" si="9"/>
        <v>0</v>
      </c>
      <c r="Y11" s="1">
        <f t="shared" si="10"/>
        <v>0</v>
      </c>
      <c r="Z11" s="1">
        <f t="shared" si="11"/>
        <v>0</v>
      </c>
      <c r="AA11" s="1">
        <f t="shared" si="12"/>
        <v>0</v>
      </c>
      <c r="AB11" s="1">
        <f t="shared" si="13"/>
        <v>0</v>
      </c>
      <c r="AC11" s="1">
        <f t="shared" si="14"/>
        <v>0</v>
      </c>
      <c r="AD11" s="1">
        <f t="shared" si="15"/>
        <v>0</v>
      </c>
      <c r="AE11" s="1">
        <f t="shared" si="16"/>
        <v>0</v>
      </c>
      <c r="AF11" s="1">
        <f t="shared" si="17"/>
        <v>0</v>
      </c>
      <c r="AG11" s="1">
        <f t="shared" si="18"/>
        <v>0</v>
      </c>
      <c r="AH11" s="107"/>
      <c r="AI11" s="1">
        <f t="shared" si="19"/>
        <v>0</v>
      </c>
      <c r="AJ11" s="1">
        <f t="shared" si="20"/>
        <v>0</v>
      </c>
      <c r="AK11" s="1">
        <f t="shared" si="21"/>
        <v>0</v>
      </c>
      <c r="AL11" s="1">
        <f t="shared" si="22"/>
        <v>0</v>
      </c>
      <c r="AM11" s="1">
        <f t="shared" si="23"/>
        <v>0</v>
      </c>
      <c r="AN11" s="1">
        <f t="shared" si="24"/>
        <v>0</v>
      </c>
      <c r="AO11" s="1">
        <f t="shared" si="25"/>
        <v>0</v>
      </c>
      <c r="AP11" s="1">
        <f t="shared" si="26"/>
        <v>0</v>
      </c>
      <c r="AQ11" s="1">
        <f t="shared" si="27"/>
        <v>0</v>
      </c>
      <c r="AR11" s="1">
        <f t="shared" si="28"/>
        <v>0</v>
      </c>
      <c r="AS11" s="1">
        <f t="shared" si="29"/>
        <v>0</v>
      </c>
      <c r="AT11" s="1">
        <f t="shared" si="30"/>
        <v>0</v>
      </c>
      <c r="AU11" s="1">
        <f t="shared" si="31"/>
        <v>0</v>
      </c>
      <c r="AV11" s="1">
        <f t="shared" si="32"/>
        <v>0</v>
      </c>
      <c r="AW11" s="107"/>
      <c r="AX11" s="1">
        <f t="shared" si="33"/>
        <v>0</v>
      </c>
      <c r="AY11" s="1">
        <f t="shared" si="34"/>
        <v>0</v>
      </c>
      <c r="AZ11" s="1">
        <f t="shared" si="35"/>
        <v>0</v>
      </c>
      <c r="BA11" s="1">
        <f t="shared" si="36"/>
        <v>0</v>
      </c>
      <c r="BB11" s="1">
        <f t="shared" si="37"/>
        <v>0</v>
      </c>
      <c r="BC11" s="1">
        <f t="shared" si="38"/>
        <v>0</v>
      </c>
      <c r="BD11" s="1">
        <f t="shared" si="39"/>
        <v>0</v>
      </c>
      <c r="BE11" s="1">
        <f t="shared" si="40"/>
        <v>0</v>
      </c>
      <c r="BF11" s="1">
        <f t="shared" si="41"/>
        <v>0</v>
      </c>
      <c r="BG11" s="1">
        <f t="shared" si="42"/>
        <v>0</v>
      </c>
      <c r="BH11" s="1">
        <f t="shared" si="43"/>
        <v>0</v>
      </c>
      <c r="BI11" s="1">
        <f t="shared" si="44"/>
        <v>0</v>
      </c>
      <c r="BJ11" s="1">
        <f t="shared" si="45"/>
        <v>0</v>
      </c>
      <c r="BK11" s="1">
        <f t="shared" si="46"/>
        <v>0</v>
      </c>
    </row>
    <row r="12" spans="1:63" x14ac:dyDescent="0.25">
      <c r="B12" s="122" t="s">
        <v>226</v>
      </c>
      <c r="C12" s="123">
        <v>0.1</v>
      </c>
      <c r="D12" s="654">
        <f t="shared" ref="D12:N12" si="55">+D64*D$2</f>
        <v>0</v>
      </c>
      <c r="E12" s="654">
        <f t="shared" si="55"/>
        <v>0</v>
      </c>
      <c r="F12" s="654">
        <f t="shared" si="55"/>
        <v>0</v>
      </c>
      <c r="G12" s="124">
        <f t="shared" si="55"/>
        <v>0</v>
      </c>
      <c r="H12" s="124">
        <f t="shared" si="55"/>
        <v>0</v>
      </c>
      <c r="I12" s="124">
        <f t="shared" si="55"/>
        <v>0</v>
      </c>
      <c r="J12" s="124">
        <f t="shared" si="55"/>
        <v>0</v>
      </c>
      <c r="K12" s="124">
        <f t="shared" si="55"/>
        <v>0</v>
      </c>
      <c r="L12" s="124">
        <f t="shared" si="55"/>
        <v>0</v>
      </c>
      <c r="M12" s="124">
        <f t="shared" si="55"/>
        <v>0</v>
      </c>
      <c r="N12" s="124">
        <f t="shared" si="55"/>
        <v>0</v>
      </c>
      <c r="O12" s="124">
        <f t="shared" ref="O12:Q12" si="56">+O64*O$2</f>
        <v>0</v>
      </c>
      <c r="P12" s="124">
        <f t="shared" si="56"/>
        <v>0</v>
      </c>
      <c r="Q12" s="124">
        <f t="shared" si="56"/>
        <v>0</v>
      </c>
      <c r="R12" s="1">
        <f t="shared" si="5"/>
        <v>0</v>
      </c>
      <c r="S12" s="107"/>
      <c r="T12" s="1"/>
      <c r="U12" s="1">
        <f t="shared" si="6"/>
        <v>0</v>
      </c>
      <c r="V12" s="1">
        <f t="shared" si="7"/>
        <v>0</v>
      </c>
      <c r="W12" s="1">
        <f t="shared" si="8"/>
        <v>0</v>
      </c>
      <c r="X12" s="1">
        <f t="shared" si="9"/>
        <v>0</v>
      </c>
      <c r="Y12" s="1">
        <f t="shared" si="10"/>
        <v>0</v>
      </c>
      <c r="Z12" s="1">
        <f t="shared" si="11"/>
        <v>0</v>
      </c>
      <c r="AA12" s="1">
        <f t="shared" si="12"/>
        <v>0</v>
      </c>
      <c r="AB12" s="1">
        <f t="shared" si="13"/>
        <v>0</v>
      </c>
      <c r="AC12" s="1">
        <f t="shared" si="14"/>
        <v>0</v>
      </c>
      <c r="AD12" s="1">
        <f t="shared" si="15"/>
        <v>0</v>
      </c>
      <c r="AE12" s="1">
        <f t="shared" si="16"/>
        <v>0</v>
      </c>
      <c r="AF12" s="1">
        <f t="shared" si="17"/>
        <v>0</v>
      </c>
      <c r="AG12" s="1">
        <f t="shared" si="18"/>
        <v>0</v>
      </c>
      <c r="AH12" s="107"/>
      <c r="AI12" s="1">
        <f t="shared" si="19"/>
        <v>0</v>
      </c>
      <c r="AJ12" s="1">
        <f t="shared" si="20"/>
        <v>0</v>
      </c>
      <c r="AK12" s="1">
        <f t="shared" si="21"/>
        <v>0</v>
      </c>
      <c r="AL12" s="1">
        <f t="shared" si="22"/>
        <v>0</v>
      </c>
      <c r="AM12" s="1">
        <f t="shared" si="23"/>
        <v>0</v>
      </c>
      <c r="AN12" s="1">
        <f t="shared" si="24"/>
        <v>0</v>
      </c>
      <c r="AO12" s="1">
        <f t="shared" si="25"/>
        <v>0</v>
      </c>
      <c r="AP12" s="1">
        <f t="shared" si="26"/>
        <v>0</v>
      </c>
      <c r="AQ12" s="1">
        <f t="shared" si="27"/>
        <v>0</v>
      </c>
      <c r="AR12" s="1">
        <f t="shared" si="28"/>
        <v>0</v>
      </c>
      <c r="AS12" s="1">
        <f t="shared" si="29"/>
        <v>0</v>
      </c>
      <c r="AT12" s="1">
        <f t="shared" si="30"/>
        <v>0</v>
      </c>
      <c r="AU12" s="1">
        <f t="shared" si="31"/>
        <v>0</v>
      </c>
      <c r="AV12" s="1">
        <f t="shared" si="32"/>
        <v>0</v>
      </c>
      <c r="AW12" s="107"/>
      <c r="AX12" s="1">
        <f t="shared" si="33"/>
        <v>0</v>
      </c>
      <c r="AY12" s="1">
        <f t="shared" si="34"/>
        <v>0</v>
      </c>
      <c r="AZ12" s="1">
        <f t="shared" si="35"/>
        <v>0</v>
      </c>
      <c r="BA12" s="1">
        <f t="shared" si="36"/>
        <v>0</v>
      </c>
      <c r="BB12" s="1">
        <f t="shared" si="37"/>
        <v>0</v>
      </c>
      <c r="BC12" s="1">
        <f t="shared" si="38"/>
        <v>0</v>
      </c>
      <c r="BD12" s="1">
        <f t="shared" si="39"/>
        <v>0</v>
      </c>
      <c r="BE12" s="1">
        <f t="shared" si="40"/>
        <v>0</v>
      </c>
      <c r="BF12" s="1">
        <f t="shared" si="41"/>
        <v>0</v>
      </c>
      <c r="BG12" s="1">
        <f t="shared" si="42"/>
        <v>0</v>
      </c>
      <c r="BH12" s="1">
        <f t="shared" si="43"/>
        <v>0</v>
      </c>
      <c r="BI12" s="1">
        <f t="shared" si="44"/>
        <v>0</v>
      </c>
      <c r="BJ12" s="1">
        <f t="shared" si="45"/>
        <v>0</v>
      </c>
      <c r="BK12" s="1">
        <f t="shared" si="46"/>
        <v>0</v>
      </c>
    </row>
    <row r="13" spans="1:63" x14ac:dyDescent="0.25">
      <c r="B13" s="122" t="s">
        <v>226</v>
      </c>
      <c r="C13" s="123">
        <v>0.1</v>
      </c>
      <c r="D13" s="654">
        <f t="shared" ref="D13:N13" si="57">+D65*D$2</f>
        <v>0</v>
      </c>
      <c r="E13" s="654">
        <f t="shared" si="57"/>
        <v>0</v>
      </c>
      <c r="F13" s="654">
        <f t="shared" si="57"/>
        <v>0</v>
      </c>
      <c r="G13" s="124">
        <f t="shared" si="57"/>
        <v>0</v>
      </c>
      <c r="H13" s="124">
        <f t="shared" si="57"/>
        <v>0</v>
      </c>
      <c r="I13" s="124">
        <f t="shared" si="57"/>
        <v>0</v>
      </c>
      <c r="J13" s="124">
        <f t="shared" si="57"/>
        <v>0</v>
      </c>
      <c r="K13" s="124">
        <f t="shared" si="57"/>
        <v>0</v>
      </c>
      <c r="L13" s="124">
        <f t="shared" si="57"/>
        <v>0</v>
      </c>
      <c r="M13" s="124">
        <f t="shared" si="57"/>
        <v>0</v>
      </c>
      <c r="N13" s="124">
        <f t="shared" si="57"/>
        <v>0</v>
      </c>
      <c r="O13" s="124">
        <f t="shared" ref="O13:Q13" si="58">+O65*O$2</f>
        <v>0</v>
      </c>
      <c r="P13" s="124">
        <f t="shared" si="58"/>
        <v>0</v>
      </c>
      <c r="Q13" s="124">
        <f t="shared" si="58"/>
        <v>0</v>
      </c>
      <c r="R13" s="1">
        <f t="shared" si="5"/>
        <v>0</v>
      </c>
      <c r="S13" s="107"/>
      <c r="T13" s="1"/>
      <c r="U13" s="1">
        <f t="shared" si="6"/>
        <v>0</v>
      </c>
      <c r="V13" s="1">
        <f t="shared" si="7"/>
        <v>0</v>
      </c>
      <c r="W13" s="1">
        <f t="shared" si="8"/>
        <v>0</v>
      </c>
      <c r="X13" s="1">
        <f t="shared" si="9"/>
        <v>0</v>
      </c>
      <c r="Y13" s="1">
        <f t="shared" si="10"/>
        <v>0</v>
      </c>
      <c r="Z13" s="1">
        <f t="shared" si="11"/>
        <v>0</v>
      </c>
      <c r="AA13" s="1">
        <f t="shared" si="12"/>
        <v>0</v>
      </c>
      <c r="AB13" s="1">
        <f t="shared" si="13"/>
        <v>0</v>
      </c>
      <c r="AC13" s="1">
        <f t="shared" si="14"/>
        <v>0</v>
      </c>
      <c r="AD13" s="1">
        <f t="shared" si="15"/>
        <v>0</v>
      </c>
      <c r="AE13" s="1">
        <f t="shared" si="16"/>
        <v>0</v>
      </c>
      <c r="AF13" s="1">
        <f t="shared" si="17"/>
        <v>0</v>
      </c>
      <c r="AG13" s="1">
        <f t="shared" si="18"/>
        <v>0</v>
      </c>
      <c r="AH13" s="107"/>
      <c r="AI13" s="1">
        <f t="shared" si="19"/>
        <v>0</v>
      </c>
      <c r="AJ13" s="1">
        <f t="shared" si="20"/>
        <v>0</v>
      </c>
      <c r="AK13" s="1">
        <f t="shared" si="21"/>
        <v>0</v>
      </c>
      <c r="AL13" s="1">
        <f t="shared" si="22"/>
        <v>0</v>
      </c>
      <c r="AM13" s="1">
        <f t="shared" si="23"/>
        <v>0</v>
      </c>
      <c r="AN13" s="1">
        <f t="shared" si="24"/>
        <v>0</v>
      </c>
      <c r="AO13" s="1">
        <f t="shared" si="25"/>
        <v>0</v>
      </c>
      <c r="AP13" s="1">
        <f t="shared" si="26"/>
        <v>0</v>
      </c>
      <c r="AQ13" s="1">
        <f t="shared" si="27"/>
        <v>0</v>
      </c>
      <c r="AR13" s="1">
        <f t="shared" si="28"/>
        <v>0</v>
      </c>
      <c r="AS13" s="1">
        <f t="shared" si="29"/>
        <v>0</v>
      </c>
      <c r="AT13" s="1">
        <f t="shared" si="30"/>
        <v>0</v>
      </c>
      <c r="AU13" s="1">
        <f t="shared" si="31"/>
        <v>0</v>
      </c>
      <c r="AV13" s="1">
        <f t="shared" si="32"/>
        <v>0</v>
      </c>
      <c r="AW13" s="107"/>
      <c r="AX13" s="1">
        <f t="shared" si="33"/>
        <v>0</v>
      </c>
      <c r="AY13" s="1">
        <f t="shared" si="34"/>
        <v>0</v>
      </c>
      <c r="AZ13" s="1">
        <f t="shared" si="35"/>
        <v>0</v>
      </c>
      <c r="BA13" s="1">
        <f t="shared" si="36"/>
        <v>0</v>
      </c>
      <c r="BB13" s="1">
        <f t="shared" si="37"/>
        <v>0</v>
      </c>
      <c r="BC13" s="1">
        <f t="shared" si="38"/>
        <v>0</v>
      </c>
      <c r="BD13" s="1">
        <f t="shared" si="39"/>
        <v>0</v>
      </c>
      <c r="BE13" s="1">
        <f t="shared" si="40"/>
        <v>0</v>
      </c>
      <c r="BF13" s="1">
        <f t="shared" si="41"/>
        <v>0</v>
      </c>
      <c r="BG13" s="1">
        <f t="shared" si="42"/>
        <v>0</v>
      </c>
      <c r="BH13" s="1">
        <f t="shared" si="43"/>
        <v>0</v>
      </c>
      <c r="BI13" s="1">
        <f t="shared" si="44"/>
        <v>0</v>
      </c>
      <c r="BJ13" s="1">
        <f t="shared" si="45"/>
        <v>0</v>
      </c>
      <c r="BK13" s="1">
        <f t="shared" si="46"/>
        <v>0</v>
      </c>
    </row>
    <row r="14" spans="1:63" x14ac:dyDescent="0.25">
      <c r="B14" s="122" t="s">
        <v>227</v>
      </c>
      <c r="C14" s="123">
        <v>0.1</v>
      </c>
      <c r="D14" s="654">
        <f t="shared" ref="D14:N14" si="59">+D66*D$2</f>
        <v>0</v>
      </c>
      <c r="E14" s="654">
        <f t="shared" si="59"/>
        <v>0</v>
      </c>
      <c r="F14" s="654">
        <f t="shared" si="59"/>
        <v>0</v>
      </c>
      <c r="G14" s="124">
        <f t="shared" si="59"/>
        <v>0</v>
      </c>
      <c r="H14" s="124">
        <f t="shared" si="59"/>
        <v>0</v>
      </c>
      <c r="I14" s="124">
        <f t="shared" si="59"/>
        <v>0</v>
      </c>
      <c r="J14" s="124">
        <f t="shared" si="59"/>
        <v>0</v>
      </c>
      <c r="K14" s="124">
        <f t="shared" si="59"/>
        <v>0</v>
      </c>
      <c r="L14" s="124">
        <f t="shared" si="59"/>
        <v>0</v>
      </c>
      <c r="M14" s="124">
        <f t="shared" si="59"/>
        <v>0</v>
      </c>
      <c r="N14" s="124">
        <f t="shared" si="59"/>
        <v>0</v>
      </c>
      <c r="O14" s="124">
        <f t="shared" ref="O14:Q14" si="60">+O66*O$2</f>
        <v>0</v>
      </c>
      <c r="P14" s="124">
        <f t="shared" si="60"/>
        <v>0</v>
      </c>
      <c r="Q14" s="124">
        <f t="shared" si="60"/>
        <v>0</v>
      </c>
      <c r="R14" s="1">
        <f t="shared" si="5"/>
        <v>0</v>
      </c>
      <c r="S14" s="107"/>
      <c r="T14" s="1"/>
      <c r="U14" s="1">
        <f t="shared" si="6"/>
        <v>0</v>
      </c>
      <c r="V14" s="1">
        <f t="shared" si="7"/>
        <v>0</v>
      </c>
      <c r="W14" s="1">
        <f t="shared" si="8"/>
        <v>0</v>
      </c>
      <c r="X14" s="1">
        <f t="shared" si="9"/>
        <v>0</v>
      </c>
      <c r="Y14" s="1">
        <f t="shared" si="10"/>
        <v>0</v>
      </c>
      <c r="Z14" s="1">
        <f t="shared" si="11"/>
        <v>0</v>
      </c>
      <c r="AA14" s="1">
        <f t="shared" si="12"/>
        <v>0</v>
      </c>
      <c r="AB14" s="1">
        <f t="shared" si="13"/>
        <v>0</v>
      </c>
      <c r="AC14" s="1">
        <f t="shared" si="14"/>
        <v>0</v>
      </c>
      <c r="AD14" s="1">
        <f t="shared" si="15"/>
        <v>0</v>
      </c>
      <c r="AE14" s="1">
        <f t="shared" si="16"/>
        <v>0</v>
      </c>
      <c r="AF14" s="1">
        <f t="shared" si="17"/>
        <v>0</v>
      </c>
      <c r="AG14" s="1">
        <f t="shared" si="18"/>
        <v>0</v>
      </c>
      <c r="AH14" s="107"/>
      <c r="AI14" s="1">
        <f t="shared" si="19"/>
        <v>0</v>
      </c>
      <c r="AJ14" s="1">
        <f t="shared" si="20"/>
        <v>0</v>
      </c>
      <c r="AK14" s="1">
        <f t="shared" si="21"/>
        <v>0</v>
      </c>
      <c r="AL14" s="1">
        <f t="shared" si="22"/>
        <v>0</v>
      </c>
      <c r="AM14" s="1">
        <f t="shared" si="23"/>
        <v>0</v>
      </c>
      <c r="AN14" s="1">
        <f t="shared" si="24"/>
        <v>0</v>
      </c>
      <c r="AO14" s="1">
        <f t="shared" si="25"/>
        <v>0</v>
      </c>
      <c r="AP14" s="1">
        <f t="shared" si="26"/>
        <v>0</v>
      </c>
      <c r="AQ14" s="1">
        <f t="shared" si="27"/>
        <v>0</v>
      </c>
      <c r="AR14" s="1">
        <f t="shared" si="28"/>
        <v>0</v>
      </c>
      <c r="AS14" s="1">
        <f t="shared" si="29"/>
        <v>0</v>
      </c>
      <c r="AT14" s="1">
        <f t="shared" si="30"/>
        <v>0</v>
      </c>
      <c r="AU14" s="1">
        <f t="shared" si="31"/>
        <v>0</v>
      </c>
      <c r="AV14" s="1">
        <f t="shared" si="32"/>
        <v>0</v>
      </c>
      <c r="AW14" s="107"/>
      <c r="AX14" s="1">
        <f t="shared" si="33"/>
        <v>0</v>
      </c>
      <c r="AY14" s="1">
        <f t="shared" si="34"/>
        <v>0</v>
      </c>
      <c r="AZ14" s="1">
        <f t="shared" si="35"/>
        <v>0</v>
      </c>
      <c r="BA14" s="1">
        <f t="shared" si="36"/>
        <v>0</v>
      </c>
      <c r="BB14" s="1">
        <f t="shared" si="37"/>
        <v>0</v>
      </c>
      <c r="BC14" s="1">
        <f t="shared" si="38"/>
        <v>0</v>
      </c>
      <c r="BD14" s="1">
        <f t="shared" si="39"/>
        <v>0</v>
      </c>
      <c r="BE14" s="1">
        <f t="shared" si="40"/>
        <v>0</v>
      </c>
      <c r="BF14" s="1">
        <f t="shared" si="41"/>
        <v>0</v>
      </c>
      <c r="BG14" s="1">
        <f t="shared" si="42"/>
        <v>0</v>
      </c>
      <c r="BH14" s="1">
        <f t="shared" si="43"/>
        <v>0</v>
      </c>
      <c r="BI14" s="1">
        <f t="shared" si="44"/>
        <v>0</v>
      </c>
      <c r="BJ14" s="1">
        <f t="shared" si="45"/>
        <v>0</v>
      </c>
      <c r="BK14" s="1">
        <f t="shared" si="46"/>
        <v>0</v>
      </c>
    </row>
    <row r="15" spans="1:63" x14ac:dyDescent="0.25">
      <c r="B15" s="122" t="str">
        <f>+B67</f>
        <v>coolers</v>
      </c>
      <c r="C15" s="123">
        <v>0.1</v>
      </c>
      <c r="D15" s="654">
        <f t="shared" ref="D15:N15" si="61">+D67*D$2</f>
        <v>0</v>
      </c>
      <c r="E15" s="654">
        <f t="shared" si="61"/>
        <v>0</v>
      </c>
      <c r="F15" s="654">
        <f t="shared" si="61"/>
        <v>0</v>
      </c>
      <c r="G15" s="124">
        <f t="shared" si="61"/>
        <v>2201.85</v>
      </c>
      <c r="H15" s="124">
        <f t="shared" si="61"/>
        <v>0</v>
      </c>
      <c r="I15" s="124">
        <f t="shared" si="61"/>
        <v>0</v>
      </c>
      <c r="J15" s="124">
        <f t="shared" si="61"/>
        <v>0</v>
      </c>
      <c r="K15" s="124">
        <f t="shared" si="61"/>
        <v>0</v>
      </c>
      <c r="L15" s="124">
        <f t="shared" si="61"/>
        <v>0</v>
      </c>
      <c r="M15" s="124">
        <f t="shared" si="61"/>
        <v>0</v>
      </c>
      <c r="N15" s="124">
        <f t="shared" si="61"/>
        <v>0</v>
      </c>
      <c r="O15" s="124">
        <f t="shared" ref="O15:Q15" si="62">+O67*O$2</f>
        <v>0</v>
      </c>
      <c r="P15" s="124">
        <f t="shared" si="62"/>
        <v>0</v>
      </c>
      <c r="Q15" s="124">
        <f t="shared" si="62"/>
        <v>0</v>
      </c>
      <c r="R15" s="1">
        <f t="shared" si="5"/>
        <v>2201.85</v>
      </c>
      <c r="S15" s="107"/>
      <c r="T15" s="1"/>
      <c r="U15" s="1">
        <f t="shared" si="6"/>
        <v>0</v>
      </c>
      <c r="V15" s="1">
        <f t="shared" si="7"/>
        <v>0</v>
      </c>
      <c r="W15" s="1">
        <f t="shared" si="8"/>
        <v>0</v>
      </c>
      <c r="X15" s="1">
        <f t="shared" si="9"/>
        <v>220.185</v>
      </c>
      <c r="Y15" s="1">
        <f t="shared" si="10"/>
        <v>220.185</v>
      </c>
      <c r="Z15" s="1">
        <f t="shared" si="11"/>
        <v>220.185</v>
      </c>
      <c r="AA15" s="1">
        <f t="shared" si="12"/>
        <v>220.185</v>
      </c>
      <c r="AB15" s="1">
        <f t="shared" si="13"/>
        <v>220.185</v>
      </c>
      <c r="AC15" s="1">
        <f t="shared" si="14"/>
        <v>220.185</v>
      </c>
      <c r="AD15" s="1">
        <f t="shared" si="15"/>
        <v>220.185</v>
      </c>
      <c r="AE15" s="1">
        <f t="shared" si="16"/>
        <v>220.185</v>
      </c>
      <c r="AF15" s="1">
        <f t="shared" si="17"/>
        <v>220.185</v>
      </c>
      <c r="AG15" s="1">
        <f t="shared" si="18"/>
        <v>220.185</v>
      </c>
      <c r="AH15" s="107"/>
      <c r="AI15" s="1">
        <f t="shared" si="19"/>
        <v>0</v>
      </c>
      <c r="AJ15" s="1">
        <f t="shared" si="20"/>
        <v>0</v>
      </c>
      <c r="AK15" s="1">
        <f t="shared" si="21"/>
        <v>0</v>
      </c>
      <c r="AL15" s="1">
        <f t="shared" si="22"/>
        <v>0</v>
      </c>
      <c r="AM15" s="1">
        <f t="shared" si="23"/>
        <v>220.185</v>
      </c>
      <c r="AN15" s="1">
        <f t="shared" si="24"/>
        <v>440.37</v>
      </c>
      <c r="AO15" s="1">
        <f t="shared" si="25"/>
        <v>660.55500000000006</v>
      </c>
      <c r="AP15" s="1">
        <f t="shared" si="26"/>
        <v>880.74</v>
      </c>
      <c r="AQ15" s="1">
        <f t="shared" si="27"/>
        <v>1100.925</v>
      </c>
      <c r="AR15" s="1">
        <f t="shared" si="28"/>
        <v>1321.11</v>
      </c>
      <c r="AS15" s="1">
        <f t="shared" si="29"/>
        <v>1541.2949999999998</v>
      </c>
      <c r="AT15" s="1">
        <f t="shared" si="30"/>
        <v>1761.4799999999998</v>
      </c>
      <c r="AU15" s="1">
        <f t="shared" si="31"/>
        <v>1981.6649999999997</v>
      </c>
      <c r="AV15" s="1">
        <f t="shared" si="32"/>
        <v>2201.85</v>
      </c>
      <c r="AW15" s="107"/>
      <c r="AX15" s="1">
        <f t="shared" si="33"/>
        <v>0</v>
      </c>
      <c r="AY15" s="1">
        <f t="shared" si="34"/>
        <v>0</v>
      </c>
      <c r="AZ15" s="1">
        <f t="shared" si="35"/>
        <v>0</v>
      </c>
      <c r="BA15" s="1">
        <f t="shared" si="36"/>
        <v>0</v>
      </c>
      <c r="BB15" s="1">
        <f t="shared" si="37"/>
        <v>220.185</v>
      </c>
      <c r="BC15" s="1">
        <f t="shared" si="38"/>
        <v>220.185</v>
      </c>
      <c r="BD15" s="1">
        <f t="shared" si="39"/>
        <v>220.18500000000006</v>
      </c>
      <c r="BE15" s="1">
        <f t="shared" si="40"/>
        <v>220.18499999999995</v>
      </c>
      <c r="BF15" s="1">
        <f t="shared" si="41"/>
        <v>220.18499999999995</v>
      </c>
      <c r="BG15" s="1">
        <f t="shared" si="42"/>
        <v>220.18499999999995</v>
      </c>
      <c r="BH15" s="1">
        <f t="shared" si="43"/>
        <v>220.18499999999995</v>
      </c>
      <c r="BI15" s="1">
        <f t="shared" si="44"/>
        <v>220.18499999999995</v>
      </c>
      <c r="BJ15" s="1">
        <f t="shared" si="45"/>
        <v>220.18499999999995</v>
      </c>
      <c r="BK15" s="1">
        <f t="shared" si="46"/>
        <v>220.18500000000017</v>
      </c>
    </row>
    <row r="16" spans="1:63" x14ac:dyDescent="0.25">
      <c r="B16" s="122" t="str">
        <f t="shared" ref="B16:B21" si="63">+B68</f>
        <v>own</v>
      </c>
      <c r="C16" s="123">
        <v>0.1</v>
      </c>
      <c r="D16" s="654">
        <f t="shared" ref="D16:N16" si="64">+D68*D$2</f>
        <v>0</v>
      </c>
      <c r="E16" s="654">
        <f t="shared" si="64"/>
        <v>0</v>
      </c>
      <c r="F16" s="654">
        <f t="shared" si="64"/>
        <v>0</v>
      </c>
      <c r="G16" s="124">
        <f t="shared" si="64"/>
        <v>0</v>
      </c>
      <c r="H16" s="124">
        <f t="shared" si="64"/>
        <v>0</v>
      </c>
      <c r="I16" s="124">
        <f t="shared" si="64"/>
        <v>0</v>
      </c>
      <c r="J16" s="124">
        <f t="shared" si="64"/>
        <v>0</v>
      </c>
      <c r="K16" s="124">
        <f t="shared" si="64"/>
        <v>0</v>
      </c>
      <c r="L16" s="124">
        <f t="shared" si="64"/>
        <v>0</v>
      </c>
      <c r="M16" s="124">
        <f t="shared" si="64"/>
        <v>0</v>
      </c>
      <c r="N16" s="124">
        <f t="shared" si="64"/>
        <v>0</v>
      </c>
      <c r="O16" s="124">
        <f t="shared" ref="O16:Q16" si="65">+O68*O$2</f>
        <v>0</v>
      </c>
      <c r="P16" s="124">
        <f t="shared" si="65"/>
        <v>0</v>
      </c>
      <c r="Q16" s="124">
        <f t="shared" si="65"/>
        <v>0</v>
      </c>
      <c r="R16" s="1">
        <f t="shared" si="5"/>
        <v>0</v>
      </c>
      <c r="S16" s="107"/>
      <c r="T16" s="1"/>
      <c r="U16" s="1">
        <f t="shared" si="6"/>
        <v>0</v>
      </c>
      <c r="V16" s="1">
        <f t="shared" si="7"/>
        <v>0</v>
      </c>
      <c r="W16" s="1">
        <f t="shared" si="8"/>
        <v>0</v>
      </c>
      <c r="X16" s="1">
        <f t="shared" si="9"/>
        <v>0</v>
      </c>
      <c r="Y16" s="1">
        <f t="shared" si="10"/>
        <v>0</v>
      </c>
      <c r="Z16" s="1">
        <f t="shared" si="11"/>
        <v>0</v>
      </c>
      <c r="AA16" s="1">
        <f t="shared" si="12"/>
        <v>0</v>
      </c>
      <c r="AB16" s="1">
        <f t="shared" si="13"/>
        <v>0</v>
      </c>
      <c r="AC16" s="1">
        <f t="shared" si="14"/>
        <v>0</v>
      </c>
      <c r="AD16" s="1">
        <f t="shared" si="15"/>
        <v>0</v>
      </c>
      <c r="AE16" s="1">
        <f t="shared" si="16"/>
        <v>0</v>
      </c>
      <c r="AF16" s="1">
        <f t="shared" si="17"/>
        <v>0</v>
      </c>
      <c r="AG16" s="1">
        <f t="shared" si="18"/>
        <v>0</v>
      </c>
      <c r="AH16" s="107"/>
      <c r="AI16" s="1">
        <f t="shared" si="19"/>
        <v>0</v>
      </c>
      <c r="AJ16" s="1">
        <f t="shared" si="20"/>
        <v>0</v>
      </c>
      <c r="AK16" s="1">
        <f t="shared" si="21"/>
        <v>0</v>
      </c>
      <c r="AL16" s="1">
        <f t="shared" si="22"/>
        <v>0</v>
      </c>
      <c r="AM16" s="1">
        <f t="shared" si="23"/>
        <v>0</v>
      </c>
      <c r="AN16" s="1">
        <f t="shared" si="24"/>
        <v>0</v>
      </c>
      <c r="AO16" s="1">
        <f t="shared" si="25"/>
        <v>0</v>
      </c>
      <c r="AP16" s="1">
        <f t="shared" si="26"/>
        <v>0</v>
      </c>
      <c r="AQ16" s="1">
        <f t="shared" si="27"/>
        <v>0</v>
      </c>
      <c r="AR16" s="1">
        <f t="shared" si="28"/>
        <v>0</v>
      </c>
      <c r="AS16" s="1">
        <f t="shared" si="29"/>
        <v>0</v>
      </c>
      <c r="AT16" s="1">
        <f t="shared" si="30"/>
        <v>0</v>
      </c>
      <c r="AU16" s="1">
        <f t="shared" si="31"/>
        <v>0</v>
      </c>
      <c r="AV16" s="1">
        <f t="shared" si="32"/>
        <v>0</v>
      </c>
      <c r="AW16" s="107"/>
      <c r="AX16" s="1">
        <f t="shared" si="33"/>
        <v>0</v>
      </c>
      <c r="AY16" s="1">
        <f t="shared" si="34"/>
        <v>0</v>
      </c>
      <c r="AZ16" s="1">
        <f t="shared" si="35"/>
        <v>0</v>
      </c>
      <c r="BA16" s="1">
        <f t="shared" si="36"/>
        <v>0</v>
      </c>
      <c r="BB16" s="1">
        <f t="shared" si="37"/>
        <v>0</v>
      </c>
      <c r="BC16" s="1">
        <f t="shared" si="38"/>
        <v>0</v>
      </c>
      <c r="BD16" s="1">
        <f t="shared" si="39"/>
        <v>0</v>
      </c>
      <c r="BE16" s="1">
        <f t="shared" si="40"/>
        <v>0</v>
      </c>
      <c r="BF16" s="1">
        <f t="shared" si="41"/>
        <v>0</v>
      </c>
      <c r="BG16" s="1">
        <f t="shared" si="42"/>
        <v>0</v>
      </c>
      <c r="BH16" s="1">
        <f t="shared" si="43"/>
        <v>0</v>
      </c>
      <c r="BI16" s="1">
        <f t="shared" si="44"/>
        <v>0</v>
      </c>
      <c r="BJ16" s="1">
        <f t="shared" si="45"/>
        <v>0</v>
      </c>
      <c r="BK16" s="1">
        <f t="shared" si="46"/>
        <v>0</v>
      </c>
    </row>
    <row r="17" spans="2:63" x14ac:dyDescent="0.25">
      <c r="B17" s="122" t="str">
        <f t="shared" si="63"/>
        <v>npk production</v>
      </c>
      <c r="C17" s="123">
        <v>0.1</v>
      </c>
      <c r="D17" s="654">
        <f t="shared" ref="D17:N17" si="66">+D69*D$2</f>
        <v>0</v>
      </c>
      <c r="E17" s="654">
        <f t="shared" si="66"/>
        <v>0</v>
      </c>
      <c r="F17" s="654">
        <f t="shared" si="66"/>
        <v>0</v>
      </c>
      <c r="G17" s="124">
        <f t="shared" si="66"/>
        <v>0</v>
      </c>
      <c r="H17" s="124">
        <f t="shared" si="66"/>
        <v>22590.414000000001</v>
      </c>
      <c r="I17" s="124">
        <f t="shared" si="66"/>
        <v>0</v>
      </c>
      <c r="J17" s="124">
        <f t="shared" si="66"/>
        <v>0</v>
      </c>
      <c r="K17" s="124">
        <f t="shared" si="66"/>
        <v>0</v>
      </c>
      <c r="L17" s="124">
        <f t="shared" si="66"/>
        <v>0</v>
      </c>
      <c r="M17" s="124">
        <f t="shared" si="66"/>
        <v>0</v>
      </c>
      <c r="N17" s="124">
        <f t="shared" si="66"/>
        <v>0</v>
      </c>
      <c r="O17" s="124">
        <f t="shared" ref="O17:Q17" si="67">+O69*O$2</f>
        <v>0</v>
      </c>
      <c r="P17" s="124">
        <f t="shared" si="67"/>
        <v>0</v>
      </c>
      <c r="Q17" s="124">
        <f t="shared" si="67"/>
        <v>0</v>
      </c>
      <c r="R17" s="1">
        <f t="shared" si="5"/>
        <v>22590.414000000001</v>
      </c>
      <c r="S17" s="107"/>
      <c r="T17" s="1"/>
      <c r="U17" s="1">
        <f t="shared" si="6"/>
        <v>0</v>
      </c>
      <c r="V17" s="1">
        <f t="shared" si="7"/>
        <v>0</v>
      </c>
      <c r="W17" s="1">
        <f t="shared" si="8"/>
        <v>0</v>
      </c>
      <c r="X17" s="1">
        <f t="shared" si="9"/>
        <v>0</v>
      </c>
      <c r="Y17" s="1">
        <f t="shared" si="10"/>
        <v>2259.0414000000001</v>
      </c>
      <c r="Z17" s="1">
        <f t="shared" si="11"/>
        <v>2259.0414000000001</v>
      </c>
      <c r="AA17" s="1">
        <f t="shared" si="12"/>
        <v>2259.0414000000001</v>
      </c>
      <c r="AB17" s="1">
        <f t="shared" si="13"/>
        <v>2259.0414000000001</v>
      </c>
      <c r="AC17" s="1">
        <f t="shared" si="14"/>
        <v>2259.0414000000001</v>
      </c>
      <c r="AD17" s="1">
        <f t="shared" si="15"/>
        <v>2259.0414000000001</v>
      </c>
      <c r="AE17" s="1">
        <f t="shared" si="16"/>
        <v>2259.0414000000001</v>
      </c>
      <c r="AF17" s="1">
        <f t="shared" si="17"/>
        <v>2259.0414000000001</v>
      </c>
      <c r="AG17" s="1">
        <f t="shared" si="18"/>
        <v>2259.0414000000001</v>
      </c>
      <c r="AH17" s="107"/>
      <c r="AI17" s="1">
        <f t="shared" si="19"/>
        <v>0</v>
      </c>
      <c r="AJ17" s="1">
        <f t="shared" si="20"/>
        <v>0</v>
      </c>
      <c r="AK17" s="1">
        <f t="shared" si="21"/>
        <v>0</v>
      </c>
      <c r="AL17" s="1">
        <f t="shared" si="22"/>
        <v>0</v>
      </c>
      <c r="AM17" s="1">
        <f t="shared" si="23"/>
        <v>0</v>
      </c>
      <c r="AN17" s="1">
        <f t="shared" si="24"/>
        <v>2259.0414000000001</v>
      </c>
      <c r="AO17" s="1">
        <f t="shared" si="25"/>
        <v>4518.0828000000001</v>
      </c>
      <c r="AP17" s="1">
        <f t="shared" si="26"/>
        <v>6777.1242000000002</v>
      </c>
      <c r="AQ17" s="1">
        <f t="shared" si="27"/>
        <v>9036.1656000000003</v>
      </c>
      <c r="AR17" s="1">
        <f t="shared" si="28"/>
        <v>11295.207</v>
      </c>
      <c r="AS17" s="1">
        <f t="shared" si="29"/>
        <v>13554.2484</v>
      </c>
      <c r="AT17" s="1">
        <f t="shared" si="30"/>
        <v>15813.2898</v>
      </c>
      <c r="AU17" s="1">
        <f t="shared" si="31"/>
        <v>18072.331200000001</v>
      </c>
      <c r="AV17" s="1">
        <f t="shared" si="32"/>
        <v>20331.372600000002</v>
      </c>
      <c r="AW17" s="107"/>
      <c r="AX17" s="1">
        <f t="shared" si="33"/>
        <v>0</v>
      </c>
      <c r="AY17" s="1">
        <f t="shared" si="34"/>
        <v>0</v>
      </c>
      <c r="AZ17" s="1">
        <f t="shared" si="35"/>
        <v>0</v>
      </c>
      <c r="BA17" s="1">
        <f t="shared" si="36"/>
        <v>0</v>
      </c>
      <c r="BB17" s="1">
        <f t="shared" si="37"/>
        <v>0</v>
      </c>
      <c r="BC17" s="1">
        <f t="shared" si="38"/>
        <v>2259.0414000000001</v>
      </c>
      <c r="BD17" s="1">
        <f t="shared" si="39"/>
        <v>2259.0414000000001</v>
      </c>
      <c r="BE17" s="1">
        <f t="shared" si="40"/>
        <v>2259.0414000000001</v>
      </c>
      <c r="BF17" s="1">
        <f t="shared" si="41"/>
        <v>2259.0414000000001</v>
      </c>
      <c r="BG17" s="1">
        <f t="shared" si="42"/>
        <v>2259.0414000000001</v>
      </c>
      <c r="BH17" s="1">
        <f t="shared" si="43"/>
        <v>2259.0414000000001</v>
      </c>
      <c r="BI17" s="1">
        <f t="shared" si="44"/>
        <v>2259.0414000000001</v>
      </c>
      <c r="BJ17" s="1">
        <f t="shared" si="45"/>
        <v>2259.0414000000001</v>
      </c>
      <c r="BK17" s="1">
        <f t="shared" si="46"/>
        <v>2259.0414000000019</v>
      </c>
    </row>
    <row r="18" spans="2:63" x14ac:dyDescent="0.25">
      <c r="B18" s="122" t="str">
        <f t="shared" si="63"/>
        <v>phosphoric acid revamping</v>
      </c>
      <c r="C18" s="123">
        <v>0.1</v>
      </c>
      <c r="D18" s="654">
        <f t="shared" ref="D18:N18" si="68">+D70*D$2</f>
        <v>0</v>
      </c>
      <c r="E18" s="654">
        <f t="shared" si="68"/>
        <v>0</v>
      </c>
      <c r="F18" s="654">
        <f t="shared" si="68"/>
        <v>0</v>
      </c>
      <c r="G18" s="124">
        <f t="shared" si="68"/>
        <v>0</v>
      </c>
      <c r="H18" s="124">
        <f t="shared" si="68"/>
        <v>24636.15</v>
      </c>
      <c r="I18" s="124">
        <f t="shared" si="68"/>
        <v>0</v>
      </c>
      <c r="J18" s="124">
        <f t="shared" si="68"/>
        <v>0</v>
      </c>
      <c r="K18" s="124">
        <f t="shared" si="68"/>
        <v>0</v>
      </c>
      <c r="L18" s="124">
        <f t="shared" si="68"/>
        <v>0</v>
      </c>
      <c r="M18" s="124">
        <f t="shared" si="68"/>
        <v>0</v>
      </c>
      <c r="N18" s="124">
        <f t="shared" si="68"/>
        <v>0</v>
      </c>
      <c r="O18" s="124">
        <f t="shared" ref="O18:Q18" si="69">+O70*O$2</f>
        <v>0</v>
      </c>
      <c r="P18" s="124">
        <f t="shared" si="69"/>
        <v>0</v>
      </c>
      <c r="Q18" s="124">
        <f t="shared" si="69"/>
        <v>0</v>
      </c>
      <c r="R18" s="1">
        <f t="shared" si="5"/>
        <v>24636.15</v>
      </c>
      <c r="S18" s="107"/>
      <c r="T18" s="1"/>
      <c r="U18" s="1">
        <f t="shared" si="6"/>
        <v>0</v>
      </c>
      <c r="V18" s="1">
        <f t="shared" si="7"/>
        <v>0</v>
      </c>
      <c r="W18" s="1">
        <f t="shared" si="8"/>
        <v>0</v>
      </c>
      <c r="X18" s="1">
        <f t="shared" si="9"/>
        <v>0</v>
      </c>
      <c r="Y18" s="1">
        <f t="shared" si="10"/>
        <v>2463.6150000000002</v>
      </c>
      <c r="Z18" s="1">
        <f t="shared" si="11"/>
        <v>2463.6150000000002</v>
      </c>
      <c r="AA18" s="1">
        <f t="shared" si="12"/>
        <v>2463.6150000000002</v>
      </c>
      <c r="AB18" s="1">
        <f t="shared" si="13"/>
        <v>2463.6150000000002</v>
      </c>
      <c r="AC18" s="1">
        <f t="shared" si="14"/>
        <v>2463.6150000000002</v>
      </c>
      <c r="AD18" s="1">
        <f t="shared" si="15"/>
        <v>2463.6150000000002</v>
      </c>
      <c r="AE18" s="1">
        <f t="shared" si="16"/>
        <v>2463.6150000000002</v>
      </c>
      <c r="AF18" s="1">
        <f t="shared" si="17"/>
        <v>2463.6150000000002</v>
      </c>
      <c r="AG18" s="1">
        <f t="shared" si="18"/>
        <v>2463.6150000000002</v>
      </c>
      <c r="AH18" s="107"/>
      <c r="AI18" s="1">
        <f t="shared" si="19"/>
        <v>0</v>
      </c>
      <c r="AJ18" s="1">
        <f t="shared" si="20"/>
        <v>0</v>
      </c>
      <c r="AK18" s="1">
        <f t="shared" si="21"/>
        <v>0</v>
      </c>
      <c r="AL18" s="1">
        <f t="shared" si="22"/>
        <v>0</v>
      </c>
      <c r="AM18" s="1">
        <f t="shared" si="23"/>
        <v>0</v>
      </c>
      <c r="AN18" s="1">
        <f t="shared" si="24"/>
        <v>2463.6150000000002</v>
      </c>
      <c r="AO18" s="1">
        <f t="shared" si="25"/>
        <v>4927.2300000000005</v>
      </c>
      <c r="AP18" s="1">
        <f t="shared" si="26"/>
        <v>7390.8450000000012</v>
      </c>
      <c r="AQ18" s="1">
        <f t="shared" si="27"/>
        <v>9854.4600000000009</v>
      </c>
      <c r="AR18" s="1">
        <f t="shared" si="28"/>
        <v>12318.075000000001</v>
      </c>
      <c r="AS18" s="1">
        <f t="shared" si="29"/>
        <v>14781.69</v>
      </c>
      <c r="AT18" s="1">
        <f t="shared" si="30"/>
        <v>17245.305</v>
      </c>
      <c r="AU18" s="1">
        <f t="shared" si="31"/>
        <v>19708.920000000002</v>
      </c>
      <c r="AV18" s="1">
        <f t="shared" si="32"/>
        <v>22172.535000000003</v>
      </c>
      <c r="AW18" s="107"/>
      <c r="AX18" s="1">
        <f t="shared" si="33"/>
        <v>0</v>
      </c>
      <c r="AY18" s="1">
        <f t="shared" si="34"/>
        <v>0</v>
      </c>
      <c r="AZ18" s="1">
        <f t="shared" si="35"/>
        <v>0</v>
      </c>
      <c r="BA18" s="1">
        <f t="shared" si="36"/>
        <v>0</v>
      </c>
      <c r="BB18" s="1">
        <f t="shared" si="37"/>
        <v>0</v>
      </c>
      <c r="BC18" s="1">
        <f t="shared" si="38"/>
        <v>2463.6150000000002</v>
      </c>
      <c r="BD18" s="1">
        <f t="shared" si="39"/>
        <v>2463.6150000000002</v>
      </c>
      <c r="BE18" s="1">
        <f t="shared" si="40"/>
        <v>2463.6150000000007</v>
      </c>
      <c r="BF18" s="1">
        <f t="shared" si="41"/>
        <v>2463.6149999999998</v>
      </c>
      <c r="BG18" s="1">
        <f t="shared" si="42"/>
        <v>2463.6149999999998</v>
      </c>
      <c r="BH18" s="1">
        <f t="shared" si="43"/>
        <v>2463.6149999999998</v>
      </c>
      <c r="BI18" s="1">
        <f t="shared" si="44"/>
        <v>2463.6149999999998</v>
      </c>
      <c r="BJ18" s="1">
        <f t="shared" si="45"/>
        <v>2463.6150000000016</v>
      </c>
      <c r="BK18" s="1">
        <f t="shared" si="46"/>
        <v>2463.6150000000016</v>
      </c>
    </row>
    <row r="19" spans="2:63" x14ac:dyDescent="0.25">
      <c r="B19" s="122" t="str">
        <f t="shared" si="63"/>
        <v>phosphoric acid revamping</v>
      </c>
      <c r="C19" s="123">
        <v>0.1</v>
      </c>
      <c r="D19" s="654">
        <f t="shared" ref="D19:N19" si="70">+D71*D$2</f>
        <v>0</v>
      </c>
      <c r="E19" s="654">
        <f t="shared" si="70"/>
        <v>0</v>
      </c>
      <c r="F19" s="654">
        <f t="shared" si="70"/>
        <v>0</v>
      </c>
      <c r="G19" s="124">
        <f t="shared" si="70"/>
        <v>0</v>
      </c>
      <c r="H19" s="124">
        <f t="shared" si="70"/>
        <v>0</v>
      </c>
      <c r="I19" s="124">
        <f t="shared" si="70"/>
        <v>4585.2345000000005</v>
      </c>
      <c r="J19" s="124">
        <f t="shared" si="70"/>
        <v>0</v>
      </c>
      <c r="K19" s="124">
        <f t="shared" si="70"/>
        <v>0</v>
      </c>
      <c r="L19" s="124">
        <f t="shared" si="70"/>
        <v>0</v>
      </c>
      <c r="M19" s="124">
        <f t="shared" si="70"/>
        <v>0</v>
      </c>
      <c r="N19" s="124">
        <f t="shared" si="70"/>
        <v>0</v>
      </c>
      <c r="O19" s="124">
        <f t="shared" ref="O19:Q19" si="71">+O71*O$2</f>
        <v>0</v>
      </c>
      <c r="P19" s="124">
        <f t="shared" si="71"/>
        <v>0</v>
      </c>
      <c r="Q19" s="124">
        <f t="shared" si="71"/>
        <v>0</v>
      </c>
      <c r="R19" s="1">
        <f t="shared" si="5"/>
        <v>4585.2345000000005</v>
      </c>
      <c r="S19" s="107"/>
      <c r="T19" s="1"/>
      <c r="U19" s="1">
        <f t="shared" si="6"/>
        <v>0</v>
      </c>
      <c r="V19" s="1">
        <f t="shared" si="7"/>
        <v>0</v>
      </c>
      <c r="W19" s="1">
        <f t="shared" si="8"/>
        <v>0</v>
      </c>
      <c r="X19" s="1">
        <f t="shared" si="9"/>
        <v>0</v>
      </c>
      <c r="Y19" s="1">
        <f t="shared" si="10"/>
        <v>0</v>
      </c>
      <c r="Z19" s="1">
        <f t="shared" si="11"/>
        <v>458.52345000000008</v>
      </c>
      <c r="AA19" s="1">
        <f t="shared" si="12"/>
        <v>458.52345000000008</v>
      </c>
      <c r="AB19" s="1">
        <f t="shared" si="13"/>
        <v>458.52345000000008</v>
      </c>
      <c r="AC19" s="1">
        <f t="shared" si="14"/>
        <v>458.52345000000008</v>
      </c>
      <c r="AD19" s="1">
        <f t="shared" si="15"/>
        <v>458.52345000000008</v>
      </c>
      <c r="AE19" s="1">
        <f t="shared" si="16"/>
        <v>458.52345000000008</v>
      </c>
      <c r="AF19" s="1">
        <f t="shared" si="17"/>
        <v>458.52345000000008</v>
      </c>
      <c r="AG19" s="1">
        <f t="shared" si="18"/>
        <v>458.52345000000008</v>
      </c>
      <c r="AH19" s="107"/>
      <c r="AI19" s="1">
        <f t="shared" si="19"/>
        <v>0</v>
      </c>
      <c r="AJ19" s="1">
        <f t="shared" si="20"/>
        <v>0</v>
      </c>
      <c r="AK19" s="1">
        <f t="shared" si="21"/>
        <v>0</v>
      </c>
      <c r="AL19" s="1">
        <f t="shared" si="22"/>
        <v>0</v>
      </c>
      <c r="AM19" s="1">
        <f t="shared" si="23"/>
        <v>0</v>
      </c>
      <c r="AN19" s="1">
        <f t="shared" si="24"/>
        <v>0</v>
      </c>
      <c r="AO19" s="1">
        <f t="shared" si="25"/>
        <v>458.52345000000008</v>
      </c>
      <c r="AP19" s="1">
        <f t="shared" si="26"/>
        <v>917.04690000000016</v>
      </c>
      <c r="AQ19" s="1">
        <f t="shared" si="27"/>
        <v>1375.5703500000002</v>
      </c>
      <c r="AR19" s="1">
        <f t="shared" si="28"/>
        <v>1834.0938000000003</v>
      </c>
      <c r="AS19" s="1">
        <f t="shared" si="29"/>
        <v>2292.6172500000002</v>
      </c>
      <c r="AT19" s="1">
        <f t="shared" si="30"/>
        <v>2751.1407000000004</v>
      </c>
      <c r="AU19" s="1">
        <f t="shared" si="31"/>
        <v>3209.6641500000005</v>
      </c>
      <c r="AV19" s="1">
        <f t="shared" si="32"/>
        <v>3668.1876000000007</v>
      </c>
      <c r="AW19" s="107"/>
      <c r="AX19" s="1">
        <f t="shared" si="33"/>
        <v>0</v>
      </c>
      <c r="AY19" s="1">
        <f t="shared" si="34"/>
        <v>0</v>
      </c>
      <c r="AZ19" s="1">
        <f t="shared" si="35"/>
        <v>0</v>
      </c>
      <c r="BA19" s="1">
        <f t="shared" si="36"/>
        <v>0</v>
      </c>
      <c r="BB19" s="1">
        <f t="shared" si="37"/>
        <v>0</v>
      </c>
      <c r="BC19" s="1">
        <f t="shared" si="38"/>
        <v>0</v>
      </c>
      <c r="BD19" s="1">
        <f t="shared" si="39"/>
        <v>458.52345000000008</v>
      </c>
      <c r="BE19" s="1">
        <f t="shared" si="40"/>
        <v>458.52345000000008</v>
      </c>
      <c r="BF19" s="1">
        <f t="shared" si="41"/>
        <v>458.52345000000003</v>
      </c>
      <c r="BG19" s="1">
        <f t="shared" si="42"/>
        <v>458.52345000000014</v>
      </c>
      <c r="BH19" s="1">
        <f t="shared" si="43"/>
        <v>458.52344999999991</v>
      </c>
      <c r="BI19" s="1">
        <f t="shared" si="44"/>
        <v>458.52345000000014</v>
      </c>
      <c r="BJ19" s="1">
        <f t="shared" si="45"/>
        <v>458.52345000000014</v>
      </c>
      <c r="BK19" s="1">
        <f t="shared" si="46"/>
        <v>458.52345000000014</v>
      </c>
    </row>
    <row r="20" spans="2:63" x14ac:dyDescent="0.25">
      <c r="B20" s="122" t="str">
        <f>+B72</f>
        <v>npk production</v>
      </c>
      <c r="C20" s="123">
        <v>0.1</v>
      </c>
      <c r="D20" s="654">
        <f t="shared" ref="D20:N20" si="72">+D72*D$2</f>
        <v>0</v>
      </c>
      <c r="E20" s="654">
        <f t="shared" si="72"/>
        <v>0</v>
      </c>
      <c r="F20" s="654">
        <f t="shared" si="72"/>
        <v>0</v>
      </c>
      <c r="G20" s="124">
        <f t="shared" si="72"/>
        <v>0</v>
      </c>
      <c r="H20" s="124">
        <f t="shared" si="72"/>
        <v>0</v>
      </c>
      <c r="I20" s="124">
        <f t="shared" si="72"/>
        <v>10720.987200000001</v>
      </c>
      <c r="J20" s="124">
        <f t="shared" si="72"/>
        <v>0</v>
      </c>
      <c r="K20" s="124">
        <f t="shared" si="72"/>
        <v>0</v>
      </c>
      <c r="L20" s="124">
        <f t="shared" si="72"/>
        <v>0</v>
      </c>
      <c r="M20" s="124">
        <f t="shared" si="72"/>
        <v>0</v>
      </c>
      <c r="N20" s="124">
        <f t="shared" si="72"/>
        <v>0</v>
      </c>
      <c r="O20" s="124">
        <f t="shared" ref="O20:Q20" si="73">+O72*O$2</f>
        <v>0</v>
      </c>
      <c r="P20" s="124">
        <f t="shared" si="73"/>
        <v>0</v>
      </c>
      <c r="Q20" s="124">
        <f t="shared" si="73"/>
        <v>0</v>
      </c>
      <c r="R20" s="1">
        <f t="shared" si="5"/>
        <v>10720.987200000001</v>
      </c>
      <c r="S20" s="107"/>
      <c r="T20" s="1"/>
      <c r="U20" s="1">
        <f t="shared" si="6"/>
        <v>0</v>
      </c>
      <c r="V20" s="1">
        <f t="shared" si="7"/>
        <v>0</v>
      </c>
      <c r="W20" s="1">
        <f t="shared" si="8"/>
        <v>0</v>
      </c>
      <c r="X20" s="1">
        <f t="shared" si="9"/>
        <v>0</v>
      </c>
      <c r="Y20" s="1">
        <f t="shared" si="10"/>
        <v>0</v>
      </c>
      <c r="Z20" s="1">
        <f t="shared" si="11"/>
        <v>1072.0987200000002</v>
      </c>
      <c r="AA20" s="1">
        <f t="shared" si="12"/>
        <v>1072.0987200000002</v>
      </c>
      <c r="AB20" s="1">
        <f t="shared" si="13"/>
        <v>1072.0987200000002</v>
      </c>
      <c r="AC20" s="1">
        <f t="shared" si="14"/>
        <v>1072.0987200000002</v>
      </c>
      <c r="AD20" s="1">
        <f t="shared" si="15"/>
        <v>1072.0987200000002</v>
      </c>
      <c r="AE20" s="1">
        <f t="shared" si="16"/>
        <v>1072.0987200000002</v>
      </c>
      <c r="AF20" s="1">
        <f t="shared" si="17"/>
        <v>1072.0987200000002</v>
      </c>
      <c r="AG20" s="1">
        <f t="shared" si="18"/>
        <v>1072.0987200000002</v>
      </c>
      <c r="AH20" s="107"/>
      <c r="AI20" s="1">
        <f t="shared" si="19"/>
        <v>0</v>
      </c>
      <c r="AJ20" s="1">
        <f t="shared" si="20"/>
        <v>0</v>
      </c>
      <c r="AK20" s="1">
        <f t="shared" si="21"/>
        <v>0</v>
      </c>
      <c r="AL20" s="1">
        <f t="shared" si="22"/>
        <v>0</v>
      </c>
      <c r="AM20" s="1">
        <f t="shared" si="23"/>
        <v>0</v>
      </c>
      <c r="AN20" s="1">
        <f t="shared" si="24"/>
        <v>0</v>
      </c>
      <c r="AO20" s="1">
        <f t="shared" si="25"/>
        <v>1072.0987200000002</v>
      </c>
      <c r="AP20" s="1">
        <f t="shared" si="26"/>
        <v>2144.1974400000004</v>
      </c>
      <c r="AQ20" s="1">
        <f t="shared" si="27"/>
        <v>3216.2961600000008</v>
      </c>
      <c r="AR20" s="1">
        <f t="shared" si="28"/>
        <v>4288.3948800000007</v>
      </c>
      <c r="AS20" s="1">
        <f t="shared" si="29"/>
        <v>5360.4936000000007</v>
      </c>
      <c r="AT20" s="1">
        <f t="shared" si="30"/>
        <v>6432.5923200000007</v>
      </c>
      <c r="AU20" s="1">
        <f t="shared" si="31"/>
        <v>7504.6910400000006</v>
      </c>
      <c r="AV20" s="1">
        <f t="shared" si="32"/>
        <v>8576.7897600000015</v>
      </c>
      <c r="AW20" s="107"/>
      <c r="AX20" s="1">
        <f t="shared" si="33"/>
        <v>0</v>
      </c>
      <c r="AY20" s="1">
        <f t="shared" si="34"/>
        <v>0</v>
      </c>
      <c r="AZ20" s="1">
        <f t="shared" si="35"/>
        <v>0</v>
      </c>
      <c r="BA20" s="1">
        <f t="shared" si="36"/>
        <v>0</v>
      </c>
      <c r="BB20" s="1">
        <f t="shared" si="37"/>
        <v>0</v>
      </c>
      <c r="BC20" s="1">
        <f t="shared" si="38"/>
        <v>0</v>
      </c>
      <c r="BD20" s="1">
        <f t="shared" si="39"/>
        <v>1072.0987200000002</v>
      </c>
      <c r="BE20" s="1">
        <f t="shared" si="40"/>
        <v>1072.0987200000002</v>
      </c>
      <c r="BF20" s="1">
        <f t="shared" si="41"/>
        <v>1072.0987200000004</v>
      </c>
      <c r="BG20" s="1">
        <f t="shared" si="42"/>
        <v>1072.09872</v>
      </c>
      <c r="BH20" s="1">
        <f t="shared" si="43"/>
        <v>1072.09872</v>
      </c>
      <c r="BI20" s="1">
        <f t="shared" si="44"/>
        <v>1072.09872</v>
      </c>
      <c r="BJ20" s="1">
        <f t="shared" si="45"/>
        <v>1072.09872</v>
      </c>
      <c r="BK20" s="1">
        <f t="shared" si="46"/>
        <v>1072.0987200000009</v>
      </c>
    </row>
    <row r="21" spans="2:63" x14ac:dyDescent="0.25">
      <c r="B21" s="122">
        <f t="shared" si="63"/>
        <v>0</v>
      </c>
      <c r="C21" s="123">
        <v>0.1</v>
      </c>
      <c r="D21" s="654">
        <f t="shared" ref="D21:N21" si="74">+D73*D$2</f>
        <v>0</v>
      </c>
      <c r="E21" s="654">
        <f t="shared" si="74"/>
        <v>0</v>
      </c>
      <c r="F21" s="654">
        <f t="shared" si="74"/>
        <v>0</v>
      </c>
      <c r="G21" s="124">
        <f t="shared" si="74"/>
        <v>0</v>
      </c>
      <c r="H21" s="124">
        <f t="shared" si="74"/>
        <v>0</v>
      </c>
      <c r="I21" s="124">
        <f t="shared" si="74"/>
        <v>0</v>
      </c>
      <c r="J21" s="124">
        <f t="shared" si="74"/>
        <v>0</v>
      </c>
      <c r="K21" s="124">
        <f t="shared" si="74"/>
        <v>0</v>
      </c>
      <c r="L21" s="124">
        <f t="shared" si="74"/>
        <v>0</v>
      </c>
      <c r="M21" s="124">
        <f t="shared" si="74"/>
        <v>0</v>
      </c>
      <c r="N21" s="124">
        <f t="shared" si="74"/>
        <v>0</v>
      </c>
      <c r="O21" s="124">
        <f t="shared" ref="O21:Q21" si="75">+O73*O$2</f>
        <v>0</v>
      </c>
      <c r="P21" s="124">
        <f t="shared" si="75"/>
        <v>0</v>
      </c>
      <c r="Q21" s="124">
        <f t="shared" si="75"/>
        <v>0</v>
      </c>
      <c r="R21" s="1">
        <f t="shared" si="5"/>
        <v>0</v>
      </c>
      <c r="S21" s="107"/>
      <c r="T21" s="1"/>
      <c r="U21" s="1">
        <f t="shared" si="6"/>
        <v>0</v>
      </c>
      <c r="V21" s="1">
        <f t="shared" si="7"/>
        <v>0</v>
      </c>
      <c r="W21" s="1">
        <f t="shared" si="8"/>
        <v>0</v>
      </c>
      <c r="X21" s="1">
        <f t="shared" si="9"/>
        <v>0</v>
      </c>
      <c r="Y21" s="1">
        <f t="shared" si="10"/>
        <v>0</v>
      </c>
      <c r="Z21" s="1">
        <f t="shared" si="11"/>
        <v>0</v>
      </c>
      <c r="AA21" s="1">
        <f t="shared" si="12"/>
        <v>0</v>
      </c>
      <c r="AB21" s="1">
        <f t="shared" si="13"/>
        <v>0</v>
      </c>
      <c r="AC21" s="1">
        <f t="shared" si="14"/>
        <v>0</v>
      </c>
      <c r="AD21" s="1">
        <f t="shared" si="15"/>
        <v>0</v>
      </c>
      <c r="AE21" s="1">
        <f t="shared" si="16"/>
        <v>0</v>
      </c>
      <c r="AF21" s="1">
        <f t="shared" si="17"/>
        <v>0</v>
      </c>
      <c r="AG21" s="1">
        <f t="shared" si="18"/>
        <v>0</v>
      </c>
      <c r="AH21" s="107"/>
      <c r="AI21" s="1">
        <f t="shared" si="19"/>
        <v>0</v>
      </c>
      <c r="AJ21" s="1">
        <f t="shared" si="20"/>
        <v>0</v>
      </c>
      <c r="AK21" s="1">
        <f t="shared" si="21"/>
        <v>0</v>
      </c>
      <c r="AL21" s="1">
        <f t="shared" si="22"/>
        <v>0</v>
      </c>
      <c r="AM21" s="1">
        <f t="shared" si="23"/>
        <v>0</v>
      </c>
      <c r="AN21" s="1">
        <f t="shared" si="24"/>
        <v>0</v>
      </c>
      <c r="AO21" s="1">
        <f t="shared" si="25"/>
        <v>0</v>
      </c>
      <c r="AP21" s="1">
        <f t="shared" si="26"/>
        <v>0</v>
      </c>
      <c r="AQ21" s="1">
        <f t="shared" si="27"/>
        <v>0</v>
      </c>
      <c r="AR21" s="1">
        <f t="shared" si="28"/>
        <v>0</v>
      </c>
      <c r="AS21" s="1">
        <f t="shared" si="29"/>
        <v>0</v>
      </c>
      <c r="AT21" s="1">
        <f t="shared" si="30"/>
        <v>0</v>
      </c>
      <c r="AU21" s="1">
        <f t="shared" si="31"/>
        <v>0</v>
      </c>
      <c r="AV21" s="1">
        <f t="shared" si="32"/>
        <v>0</v>
      </c>
      <c r="AW21" s="107"/>
      <c r="AX21" s="1">
        <f t="shared" si="33"/>
        <v>0</v>
      </c>
      <c r="AY21" s="1">
        <f t="shared" si="34"/>
        <v>0</v>
      </c>
      <c r="AZ21" s="1">
        <f t="shared" si="35"/>
        <v>0</v>
      </c>
      <c r="BA21" s="1">
        <f t="shared" si="36"/>
        <v>0</v>
      </c>
      <c r="BB21" s="1">
        <f t="shared" si="37"/>
        <v>0</v>
      </c>
      <c r="BC21" s="1">
        <f t="shared" si="38"/>
        <v>0</v>
      </c>
      <c r="BD21" s="1">
        <f t="shared" si="39"/>
        <v>0</v>
      </c>
      <c r="BE21" s="1">
        <f t="shared" si="40"/>
        <v>0</v>
      </c>
      <c r="BF21" s="1">
        <f t="shared" si="41"/>
        <v>0</v>
      </c>
      <c r="BG21" s="1">
        <f t="shared" si="42"/>
        <v>0</v>
      </c>
      <c r="BH21" s="1">
        <f t="shared" si="43"/>
        <v>0</v>
      </c>
      <c r="BI21" s="1">
        <f t="shared" si="44"/>
        <v>0</v>
      </c>
      <c r="BJ21" s="1">
        <f t="shared" si="45"/>
        <v>0</v>
      </c>
      <c r="BK21" s="1">
        <f t="shared" si="46"/>
        <v>0</v>
      </c>
    </row>
    <row r="22" spans="2:63" x14ac:dyDescent="0.25">
      <c r="B22" s="122"/>
      <c r="C22" s="123">
        <v>0.1</v>
      </c>
      <c r="D22" s="654">
        <f t="shared" ref="D22:N22" si="76">+D74*D$2</f>
        <v>0</v>
      </c>
      <c r="E22" s="654">
        <f t="shared" si="76"/>
        <v>0</v>
      </c>
      <c r="F22" s="654">
        <f t="shared" si="76"/>
        <v>0</v>
      </c>
      <c r="G22" s="124">
        <f t="shared" si="76"/>
        <v>0</v>
      </c>
      <c r="H22" s="124">
        <f t="shared" si="76"/>
        <v>0</v>
      </c>
      <c r="I22" s="124">
        <f t="shared" si="76"/>
        <v>0</v>
      </c>
      <c r="J22" s="124">
        <f t="shared" si="76"/>
        <v>0</v>
      </c>
      <c r="K22" s="124">
        <f t="shared" si="76"/>
        <v>0</v>
      </c>
      <c r="L22" s="124">
        <f t="shared" si="76"/>
        <v>0</v>
      </c>
      <c r="M22" s="124">
        <f t="shared" si="76"/>
        <v>0</v>
      </c>
      <c r="N22" s="124">
        <f t="shared" si="76"/>
        <v>0</v>
      </c>
      <c r="O22" s="124">
        <f t="shared" ref="O22:Q22" si="77">+O74*O$2</f>
        <v>0</v>
      </c>
      <c r="P22" s="124">
        <f t="shared" si="77"/>
        <v>0</v>
      </c>
      <c r="Q22" s="124">
        <f t="shared" si="77"/>
        <v>0</v>
      </c>
      <c r="R22" s="1">
        <f t="shared" si="5"/>
        <v>0</v>
      </c>
      <c r="S22" s="107"/>
      <c r="T22" s="1"/>
      <c r="U22" s="1">
        <f t="shared" si="6"/>
        <v>0</v>
      </c>
      <c r="V22" s="1">
        <f t="shared" si="7"/>
        <v>0</v>
      </c>
      <c r="W22" s="1">
        <f t="shared" si="8"/>
        <v>0</v>
      </c>
      <c r="X22" s="1">
        <f t="shared" si="9"/>
        <v>0</v>
      </c>
      <c r="Y22" s="1">
        <f t="shared" si="10"/>
        <v>0</v>
      </c>
      <c r="Z22" s="1">
        <f t="shared" si="11"/>
        <v>0</v>
      </c>
      <c r="AA22" s="1">
        <f t="shared" si="12"/>
        <v>0</v>
      </c>
      <c r="AB22" s="1">
        <f t="shared" si="13"/>
        <v>0</v>
      </c>
      <c r="AC22" s="1">
        <f t="shared" si="14"/>
        <v>0</v>
      </c>
      <c r="AD22" s="1">
        <f t="shared" si="15"/>
        <v>0</v>
      </c>
      <c r="AE22" s="1">
        <f t="shared" si="16"/>
        <v>0</v>
      </c>
      <c r="AF22" s="1">
        <f t="shared" si="17"/>
        <v>0</v>
      </c>
      <c r="AG22" s="1">
        <f t="shared" si="18"/>
        <v>0</v>
      </c>
      <c r="AH22" s="107"/>
      <c r="AI22" s="1">
        <f t="shared" si="19"/>
        <v>0</v>
      </c>
      <c r="AJ22" s="1">
        <f t="shared" si="20"/>
        <v>0</v>
      </c>
      <c r="AK22" s="1">
        <f t="shared" si="21"/>
        <v>0</v>
      </c>
      <c r="AL22" s="1">
        <f t="shared" si="22"/>
        <v>0</v>
      </c>
      <c r="AM22" s="1">
        <f t="shared" si="23"/>
        <v>0</v>
      </c>
      <c r="AN22" s="1">
        <f t="shared" si="24"/>
        <v>0</v>
      </c>
      <c r="AO22" s="1">
        <f t="shared" si="25"/>
        <v>0</v>
      </c>
      <c r="AP22" s="1">
        <f t="shared" si="26"/>
        <v>0</v>
      </c>
      <c r="AQ22" s="1">
        <f t="shared" si="27"/>
        <v>0</v>
      </c>
      <c r="AR22" s="1">
        <f t="shared" si="28"/>
        <v>0</v>
      </c>
      <c r="AS22" s="1">
        <f t="shared" si="29"/>
        <v>0</v>
      </c>
      <c r="AT22" s="1">
        <f t="shared" si="30"/>
        <v>0</v>
      </c>
      <c r="AU22" s="1">
        <f t="shared" si="31"/>
        <v>0</v>
      </c>
      <c r="AV22" s="1">
        <f t="shared" si="32"/>
        <v>0</v>
      </c>
      <c r="AW22" s="107"/>
      <c r="AX22" s="1">
        <f t="shared" si="33"/>
        <v>0</v>
      </c>
      <c r="AY22" s="1">
        <f t="shared" si="34"/>
        <v>0</v>
      </c>
      <c r="AZ22" s="1">
        <f t="shared" si="35"/>
        <v>0</v>
      </c>
      <c r="BA22" s="1">
        <f t="shared" si="36"/>
        <v>0</v>
      </c>
      <c r="BB22" s="1">
        <f t="shared" si="37"/>
        <v>0</v>
      </c>
      <c r="BC22" s="1">
        <f t="shared" si="38"/>
        <v>0</v>
      </c>
      <c r="BD22" s="1">
        <f t="shared" si="39"/>
        <v>0</v>
      </c>
      <c r="BE22" s="1">
        <f t="shared" si="40"/>
        <v>0</v>
      </c>
      <c r="BF22" s="1">
        <f t="shared" si="41"/>
        <v>0</v>
      </c>
      <c r="BG22" s="1">
        <f t="shared" si="42"/>
        <v>0</v>
      </c>
      <c r="BH22" s="1">
        <f t="shared" si="43"/>
        <v>0</v>
      </c>
      <c r="BI22" s="1">
        <f t="shared" si="44"/>
        <v>0</v>
      </c>
      <c r="BJ22" s="1">
        <f t="shared" si="45"/>
        <v>0</v>
      </c>
      <c r="BK22" s="1">
        <f t="shared" si="46"/>
        <v>0</v>
      </c>
    </row>
    <row r="23" spans="2:63" x14ac:dyDescent="0.25">
      <c r="B23" s="122"/>
      <c r="C23" s="123">
        <v>0.1</v>
      </c>
      <c r="D23" s="654">
        <f t="shared" ref="D23:N23" si="78">+D75*D$2</f>
        <v>0</v>
      </c>
      <c r="E23" s="654">
        <f t="shared" si="78"/>
        <v>0</v>
      </c>
      <c r="F23" s="654">
        <f t="shared" si="78"/>
        <v>0</v>
      </c>
      <c r="G23" s="124">
        <f t="shared" si="78"/>
        <v>0</v>
      </c>
      <c r="H23" s="124">
        <f t="shared" si="78"/>
        <v>0</v>
      </c>
      <c r="I23" s="124">
        <f t="shared" si="78"/>
        <v>0</v>
      </c>
      <c r="J23" s="124">
        <f t="shared" si="78"/>
        <v>0</v>
      </c>
      <c r="K23" s="124">
        <f t="shared" si="78"/>
        <v>0</v>
      </c>
      <c r="L23" s="124">
        <f t="shared" si="78"/>
        <v>0</v>
      </c>
      <c r="M23" s="124">
        <f t="shared" si="78"/>
        <v>0</v>
      </c>
      <c r="N23" s="124">
        <f t="shared" si="78"/>
        <v>0</v>
      </c>
      <c r="O23" s="124">
        <f t="shared" ref="O23:Q23" si="79">+O75*O$2</f>
        <v>0</v>
      </c>
      <c r="P23" s="124">
        <f t="shared" si="79"/>
        <v>0</v>
      </c>
      <c r="Q23" s="124">
        <f t="shared" si="79"/>
        <v>0</v>
      </c>
      <c r="R23" s="1">
        <f t="shared" si="5"/>
        <v>0</v>
      </c>
      <c r="S23" s="107"/>
      <c r="T23" s="1"/>
      <c r="U23" s="1">
        <f t="shared" si="6"/>
        <v>0</v>
      </c>
      <c r="V23" s="1">
        <f t="shared" si="7"/>
        <v>0</v>
      </c>
      <c r="W23" s="1">
        <f t="shared" si="8"/>
        <v>0</v>
      </c>
      <c r="X23" s="1">
        <f t="shared" si="9"/>
        <v>0</v>
      </c>
      <c r="Y23" s="1">
        <f t="shared" si="10"/>
        <v>0</v>
      </c>
      <c r="Z23" s="1">
        <f t="shared" si="11"/>
        <v>0</v>
      </c>
      <c r="AA23" s="1">
        <f t="shared" si="12"/>
        <v>0</v>
      </c>
      <c r="AB23" s="1">
        <f t="shared" si="13"/>
        <v>0</v>
      </c>
      <c r="AC23" s="1">
        <f t="shared" si="14"/>
        <v>0</v>
      </c>
      <c r="AD23" s="1">
        <f t="shared" si="15"/>
        <v>0</v>
      </c>
      <c r="AE23" s="1">
        <f t="shared" si="16"/>
        <v>0</v>
      </c>
      <c r="AF23" s="1">
        <f t="shared" si="17"/>
        <v>0</v>
      </c>
      <c r="AG23" s="1">
        <f t="shared" si="18"/>
        <v>0</v>
      </c>
      <c r="AH23" s="107"/>
      <c r="AI23" s="1">
        <f t="shared" si="19"/>
        <v>0</v>
      </c>
      <c r="AJ23" s="1">
        <f t="shared" si="20"/>
        <v>0</v>
      </c>
      <c r="AK23" s="1">
        <f t="shared" si="21"/>
        <v>0</v>
      </c>
      <c r="AL23" s="1">
        <f t="shared" si="22"/>
        <v>0</v>
      </c>
      <c r="AM23" s="1">
        <f t="shared" si="23"/>
        <v>0</v>
      </c>
      <c r="AN23" s="1">
        <f t="shared" si="24"/>
        <v>0</v>
      </c>
      <c r="AO23" s="1">
        <f t="shared" si="25"/>
        <v>0</v>
      </c>
      <c r="AP23" s="1">
        <f t="shared" si="26"/>
        <v>0</v>
      </c>
      <c r="AQ23" s="1">
        <f t="shared" si="27"/>
        <v>0</v>
      </c>
      <c r="AR23" s="1">
        <f t="shared" si="28"/>
        <v>0</v>
      </c>
      <c r="AS23" s="1">
        <f t="shared" si="29"/>
        <v>0</v>
      </c>
      <c r="AT23" s="1">
        <f t="shared" si="30"/>
        <v>0</v>
      </c>
      <c r="AU23" s="1">
        <f t="shared" si="31"/>
        <v>0</v>
      </c>
      <c r="AV23" s="1">
        <f t="shared" si="32"/>
        <v>0</v>
      </c>
      <c r="AW23" s="107"/>
      <c r="AX23" s="1">
        <f t="shared" si="33"/>
        <v>0</v>
      </c>
      <c r="AY23" s="1">
        <f t="shared" si="34"/>
        <v>0</v>
      </c>
      <c r="AZ23" s="1">
        <f t="shared" si="35"/>
        <v>0</v>
      </c>
      <c r="BA23" s="1">
        <f t="shared" si="36"/>
        <v>0</v>
      </c>
      <c r="BB23" s="1">
        <f t="shared" si="37"/>
        <v>0</v>
      </c>
      <c r="BC23" s="1">
        <f t="shared" si="38"/>
        <v>0</v>
      </c>
      <c r="BD23" s="1">
        <f t="shared" si="39"/>
        <v>0</v>
      </c>
      <c r="BE23" s="1">
        <f t="shared" si="40"/>
        <v>0</v>
      </c>
      <c r="BF23" s="1">
        <f t="shared" si="41"/>
        <v>0</v>
      </c>
      <c r="BG23" s="1">
        <f t="shared" si="42"/>
        <v>0</v>
      </c>
      <c r="BH23" s="1">
        <f t="shared" si="43"/>
        <v>0</v>
      </c>
      <c r="BI23" s="1">
        <f t="shared" si="44"/>
        <v>0</v>
      </c>
      <c r="BJ23" s="1">
        <f t="shared" si="45"/>
        <v>0</v>
      </c>
      <c r="BK23" s="1">
        <f t="shared" si="46"/>
        <v>0</v>
      </c>
    </row>
    <row r="24" spans="2:63" x14ac:dyDescent="0.25">
      <c r="B24" s="122" t="s">
        <v>525</v>
      </c>
      <c r="C24" s="123">
        <v>0.1</v>
      </c>
      <c r="D24" s="654">
        <f t="shared" ref="D24:N24" si="80">+D76*D$2</f>
        <v>0</v>
      </c>
      <c r="E24" s="654">
        <f t="shared" si="80"/>
        <v>0</v>
      </c>
      <c r="F24" s="654">
        <f t="shared" si="80"/>
        <v>0</v>
      </c>
      <c r="G24" s="124">
        <f t="shared" si="80"/>
        <v>0</v>
      </c>
      <c r="H24" s="124">
        <f t="shared" si="80"/>
        <v>0</v>
      </c>
      <c r="I24" s="124">
        <f t="shared" si="80"/>
        <v>0</v>
      </c>
      <c r="J24" s="124">
        <f t="shared" si="80"/>
        <v>0</v>
      </c>
      <c r="K24" s="124">
        <f t="shared" si="80"/>
        <v>0</v>
      </c>
      <c r="L24" s="124">
        <f t="shared" si="80"/>
        <v>0</v>
      </c>
      <c r="M24" s="124">
        <f t="shared" si="80"/>
        <v>0</v>
      </c>
      <c r="N24" s="124">
        <f t="shared" si="80"/>
        <v>0</v>
      </c>
      <c r="O24" s="124">
        <f t="shared" ref="O24:Q24" si="81">+O76*O$2</f>
        <v>0</v>
      </c>
      <c r="P24" s="124">
        <f t="shared" si="81"/>
        <v>0</v>
      </c>
      <c r="Q24" s="124">
        <f t="shared" si="81"/>
        <v>0</v>
      </c>
      <c r="R24" s="1">
        <f t="shared" si="5"/>
        <v>0</v>
      </c>
      <c r="S24" s="107"/>
      <c r="T24" s="1"/>
      <c r="U24" s="1">
        <f t="shared" si="6"/>
        <v>0</v>
      </c>
      <c r="V24" s="1">
        <f t="shared" si="7"/>
        <v>0</v>
      </c>
      <c r="W24" s="1">
        <f t="shared" si="8"/>
        <v>0</v>
      </c>
      <c r="X24" s="1">
        <f t="shared" si="9"/>
        <v>0</v>
      </c>
      <c r="Y24" s="1">
        <f t="shared" si="10"/>
        <v>0</v>
      </c>
      <c r="Z24" s="1">
        <f t="shared" si="11"/>
        <v>0</v>
      </c>
      <c r="AA24" s="1">
        <f t="shared" si="12"/>
        <v>0</v>
      </c>
      <c r="AB24" s="1">
        <f t="shared" si="13"/>
        <v>0</v>
      </c>
      <c r="AC24" s="1">
        <f t="shared" si="14"/>
        <v>0</v>
      </c>
      <c r="AD24" s="1">
        <f t="shared" si="15"/>
        <v>0</v>
      </c>
      <c r="AE24" s="1">
        <f t="shared" si="16"/>
        <v>0</v>
      </c>
      <c r="AF24" s="1">
        <f t="shared" si="17"/>
        <v>0</v>
      </c>
      <c r="AG24" s="1">
        <f t="shared" si="18"/>
        <v>0</v>
      </c>
      <c r="AH24" s="107"/>
      <c r="AI24" s="1">
        <f t="shared" si="19"/>
        <v>0</v>
      </c>
      <c r="AJ24" s="1">
        <f t="shared" si="20"/>
        <v>0</v>
      </c>
      <c r="AK24" s="1">
        <f t="shared" si="21"/>
        <v>0</v>
      </c>
      <c r="AL24" s="1">
        <f t="shared" si="22"/>
        <v>0</v>
      </c>
      <c r="AM24" s="1">
        <f t="shared" si="23"/>
        <v>0</v>
      </c>
      <c r="AN24" s="1">
        <f t="shared" si="24"/>
        <v>0</v>
      </c>
      <c r="AO24" s="1">
        <f t="shared" si="25"/>
        <v>0</v>
      </c>
      <c r="AP24" s="1">
        <f t="shared" si="26"/>
        <v>0</v>
      </c>
      <c r="AQ24" s="1">
        <f t="shared" si="27"/>
        <v>0</v>
      </c>
      <c r="AR24" s="1">
        <f t="shared" si="28"/>
        <v>0</v>
      </c>
      <c r="AS24" s="1">
        <f t="shared" si="29"/>
        <v>0</v>
      </c>
      <c r="AT24" s="1">
        <f t="shared" si="30"/>
        <v>0</v>
      </c>
      <c r="AU24" s="1">
        <f t="shared" si="31"/>
        <v>0</v>
      </c>
      <c r="AV24" s="1">
        <f t="shared" si="32"/>
        <v>0</v>
      </c>
      <c r="AW24" s="107"/>
      <c r="AX24" s="1">
        <f t="shared" si="33"/>
        <v>0</v>
      </c>
      <c r="AY24" s="1">
        <f t="shared" si="34"/>
        <v>0</v>
      </c>
      <c r="AZ24" s="1">
        <f t="shared" si="35"/>
        <v>0</v>
      </c>
      <c r="BA24" s="1">
        <f t="shared" si="36"/>
        <v>0</v>
      </c>
      <c r="BB24" s="1">
        <f t="shared" si="37"/>
        <v>0</v>
      </c>
      <c r="BC24" s="1">
        <f t="shared" si="38"/>
        <v>0</v>
      </c>
      <c r="BD24" s="1">
        <f t="shared" si="39"/>
        <v>0</v>
      </c>
      <c r="BE24" s="1">
        <f t="shared" si="40"/>
        <v>0</v>
      </c>
      <c r="BF24" s="1">
        <f t="shared" si="41"/>
        <v>0</v>
      </c>
      <c r="BG24" s="1">
        <f t="shared" si="42"/>
        <v>0</v>
      </c>
      <c r="BH24" s="1">
        <f t="shared" si="43"/>
        <v>0</v>
      </c>
      <c r="BI24" s="1">
        <f t="shared" si="44"/>
        <v>0</v>
      </c>
      <c r="BJ24" s="1">
        <f t="shared" si="45"/>
        <v>0</v>
      </c>
      <c r="BK24" s="1">
        <f t="shared" si="46"/>
        <v>0</v>
      </c>
    </row>
    <row r="25" spans="2:63" x14ac:dyDescent="0.25">
      <c r="B25" s="122" t="s">
        <v>526</v>
      </c>
      <c r="C25" s="123">
        <v>0.1</v>
      </c>
      <c r="D25" s="654">
        <f t="shared" ref="D25:N25" si="82">+D77*D$2</f>
        <v>0</v>
      </c>
      <c r="E25" s="654">
        <f t="shared" si="82"/>
        <v>0</v>
      </c>
      <c r="F25" s="654">
        <f t="shared" si="82"/>
        <v>0</v>
      </c>
      <c r="G25" s="124">
        <f t="shared" si="82"/>
        <v>0</v>
      </c>
      <c r="H25" s="124">
        <f t="shared" si="82"/>
        <v>0</v>
      </c>
      <c r="I25" s="124">
        <f t="shared" si="82"/>
        <v>0</v>
      </c>
      <c r="J25" s="124">
        <f t="shared" si="82"/>
        <v>0</v>
      </c>
      <c r="K25" s="124">
        <f t="shared" si="82"/>
        <v>0</v>
      </c>
      <c r="L25" s="124">
        <f t="shared" si="82"/>
        <v>0</v>
      </c>
      <c r="M25" s="124">
        <f t="shared" si="82"/>
        <v>0</v>
      </c>
      <c r="N25" s="124">
        <f t="shared" si="82"/>
        <v>0</v>
      </c>
      <c r="O25" s="124">
        <f t="shared" ref="O25:Q25" si="83">+O77*O$2</f>
        <v>0</v>
      </c>
      <c r="P25" s="124">
        <f t="shared" si="83"/>
        <v>0</v>
      </c>
      <c r="Q25" s="124">
        <f t="shared" si="83"/>
        <v>0</v>
      </c>
      <c r="R25" s="1">
        <f t="shared" si="5"/>
        <v>0</v>
      </c>
      <c r="S25" s="107"/>
      <c r="T25" s="1"/>
      <c r="U25" s="1">
        <f t="shared" si="6"/>
        <v>0</v>
      </c>
      <c r="V25" s="1">
        <f t="shared" si="7"/>
        <v>0</v>
      </c>
      <c r="W25" s="1">
        <f t="shared" si="8"/>
        <v>0</v>
      </c>
      <c r="X25" s="1">
        <f t="shared" si="9"/>
        <v>0</v>
      </c>
      <c r="Y25" s="1">
        <f t="shared" si="10"/>
        <v>0</v>
      </c>
      <c r="Z25" s="1">
        <f t="shared" si="11"/>
        <v>0</v>
      </c>
      <c r="AA25" s="1">
        <f t="shared" si="12"/>
        <v>0</v>
      </c>
      <c r="AB25" s="1">
        <f t="shared" si="13"/>
        <v>0</v>
      </c>
      <c r="AC25" s="1">
        <f t="shared" si="14"/>
        <v>0</v>
      </c>
      <c r="AD25" s="1">
        <f t="shared" si="15"/>
        <v>0</v>
      </c>
      <c r="AE25" s="1">
        <f t="shared" si="16"/>
        <v>0</v>
      </c>
      <c r="AF25" s="1">
        <f t="shared" si="17"/>
        <v>0</v>
      </c>
      <c r="AG25" s="1">
        <f t="shared" si="18"/>
        <v>0</v>
      </c>
      <c r="AH25" s="107"/>
      <c r="AI25" s="1">
        <f t="shared" si="19"/>
        <v>0</v>
      </c>
      <c r="AJ25" s="1">
        <f t="shared" si="20"/>
        <v>0</v>
      </c>
      <c r="AK25" s="1">
        <f t="shared" si="21"/>
        <v>0</v>
      </c>
      <c r="AL25" s="1">
        <f t="shared" si="22"/>
        <v>0</v>
      </c>
      <c r="AM25" s="1">
        <f t="shared" si="23"/>
        <v>0</v>
      </c>
      <c r="AN25" s="1">
        <f t="shared" si="24"/>
        <v>0</v>
      </c>
      <c r="AO25" s="1">
        <f t="shared" si="25"/>
        <v>0</v>
      </c>
      <c r="AP25" s="1">
        <f t="shared" si="26"/>
        <v>0</v>
      </c>
      <c r="AQ25" s="1">
        <f t="shared" si="27"/>
        <v>0</v>
      </c>
      <c r="AR25" s="1">
        <f t="shared" si="28"/>
        <v>0</v>
      </c>
      <c r="AS25" s="1">
        <f t="shared" si="29"/>
        <v>0</v>
      </c>
      <c r="AT25" s="1">
        <f t="shared" si="30"/>
        <v>0</v>
      </c>
      <c r="AU25" s="1">
        <f t="shared" si="31"/>
        <v>0</v>
      </c>
      <c r="AV25" s="1">
        <f t="shared" si="32"/>
        <v>0</v>
      </c>
      <c r="AW25" s="107"/>
      <c r="AX25" s="1">
        <f t="shared" si="33"/>
        <v>0</v>
      </c>
      <c r="AY25" s="1">
        <f t="shared" si="34"/>
        <v>0</v>
      </c>
      <c r="AZ25" s="1">
        <f t="shared" si="35"/>
        <v>0</v>
      </c>
      <c r="BA25" s="1">
        <f t="shared" si="36"/>
        <v>0</v>
      </c>
      <c r="BB25" s="1">
        <f t="shared" si="37"/>
        <v>0</v>
      </c>
      <c r="BC25" s="1">
        <f t="shared" si="38"/>
        <v>0</v>
      </c>
      <c r="BD25" s="1">
        <f t="shared" si="39"/>
        <v>0</v>
      </c>
      <c r="BE25" s="1">
        <f t="shared" si="40"/>
        <v>0</v>
      </c>
      <c r="BF25" s="1">
        <f t="shared" si="41"/>
        <v>0</v>
      </c>
      <c r="BG25" s="1">
        <f t="shared" si="42"/>
        <v>0</v>
      </c>
      <c r="BH25" s="1">
        <f t="shared" si="43"/>
        <v>0</v>
      </c>
      <c r="BI25" s="1">
        <f t="shared" si="44"/>
        <v>0</v>
      </c>
      <c r="BJ25" s="1">
        <f t="shared" si="45"/>
        <v>0</v>
      </c>
      <c r="BK25" s="1">
        <f t="shared" si="46"/>
        <v>0</v>
      </c>
    </row>
    <row r="26" spans="2:63" x14ac:dyDescent="0.25">
      <c r="B26" s="122" t="s">
        <v>527</v>
      </c>
      <c r="C26" s="123">
        <v>0.1</v>
      </c>
      <c r="D26" s="654">
        <f t="shared" ref="D26:N26" si="84">+D78*D$2</f>
        <v>0</v>
      </c>
      <c r="E26" s="654">
        <f t="shared" si="84"/>
        <v>0</v>
      </c>
      <c r="F26" s="654">
        <f t="shared" si="84"/>
        <v>0</v>
      </c>
      <c r="G26" s="124">
        <f t="shared" si="84"/>
        <v>0</v>
      </c>
      <c r="H26" s="124">
        <f t="shared" si="84"/>
        <v>0</v>
      </c>
      <c r="I26" s="124">
        <f t="shared" si="84"/>
        <v>0</v>
      </c>
      <c r="J26" s="124">
        <f t="shared" si="84"/>
        <v>0</v>
      </c>
      <c r="K26" s="124">
        <f t="shared" si="84"/>
        <v>0</v>
      </c>
      <c r="L26" s="124">
        <f t="shared" si="84"/>
        <v>0</v>
      </c>
      <c r="M26" s="124">
        <f t="shared" si="84"/>
        <v>0</v>
      </c>
      <c r="N26" s="124">
        <f t="shared" si="84"/>
        <v>0</v>
      </c>
      <c r="O26" s="124">
        <f t="shared" ref="O26:Q26" si="85">+O78*O$2</f>
        <v>0</v>
      </c>
      <c r="P26" s="124">
        <f t="shared" si="85"/>
        <v>0</v>
      </c>
      <c r="Q26" s="124">
        <f t="shared" si="85"/>
        <v>0</v>
      </c>
      <c r="R26" s="1">
        <f t="shared" si="5"/>
        <v>0</v>
      </c>
      <c r="S26" s="107"/>
      <c r="T26" s="1"/>
      <c r="U26" s="1">
        <f t="shared" si="6"/>
        <v>0</v>
      </c>
      <c r="V26" s="1">
        <f t="shared" si="7"/>
        <v>0</v>
      </c>
      <c r="W26" s="1">
        <f t="shared" si="8"/>
        <v>0</v>
      </c>
      <c r="X26" s="1">
        <f t="shared" si="9"/>
        <v>0</v>
      </c>
      <c r="Y26" s="1">
        <f t="shared" si="10"/>
        <v>0</v>
      </c>
      <c r="Z26" s="1">
        <f t="shared" si="11"/>
        <v>0</v>
      </c>
      <c r="AA26" s="1">
        <f t="shared" si="12"/>
        <v>0</v>
      </c>
      <c r="AB26" s="1">
        <f t="shared" si="13"/>
        <v>0</v>
      </c>
      <c r="AC26" s="1">
        <f t="shared" si="14"/>
        <v>0</v>
      </c>
      <c r="AD26" s="1">
        <f t="shared" si="15"/>
        <v>0</v>
      </c>
      <c r="AE26" s="1">
        <f t="shared" si="16"/>
        <v>0</v>
      </c>
      <c r="AF26" s="1">
        <f t="shared" si="17"/>
        <v>0</v>
      </c>
      <c r="AG26" s="1">
        <f t="shared" si="18"/>
        <v>0</v>
      </c>
      <c r="AH26" s="107"/>
      <c r="AI26" s="1">
        <f t="shared" si="19"/>
        <v>0</v>
      </c>
      <c r="AJ26" s="1">
        <f t="shared" si="20"/>
        <v>0</v>
      </c>
      <c r="AK26" s="1">
        <f t="shared" si="21"/>
        <v>0</v>
      </c>
      <c r="AL26" s="1">
        <f t="shared" si="22"/>
        <v>0</v>
      </c>
      <c r="AM26" s="1">
        <f t="shared" si="23"/>
        <v>0</v>
      </c>
      <c r="AN26" s="1">
        <f t="shared" si="24"/>
        <v>0</v>
      </c>
      <c r="AO26" s="1">
        <f t="shared" si="25"/>
        <v>0</v>
      </c>
      <c r="AP26" s="1">
        <f t="shared" si="26"/>
        <v>0</v>
      </c>
      <c r="AQ26" s="1">
        <f t="shared" si="27"/>
        <v>0</v>
      </c>
      <c r="AR26" s="1">
        <f t="shared" si="28"/>
        <v>0</v>
      </c>
      <c r="AS26" s="1">
        <f t="shared" si="29"/>
        <v>0</v>
      </c>
      <c r="AT26" s="1">
        <f t="shared" si="30"/>
        <v>0</v>
      </c>
      <c r="AU26" s="1">
        <f t="shared" si="31"/>
        <v>0</v>
      </c>
      <c r="AV26" s="1">
        <f t="shared" si="32"/>
        <v>0</v>
      </c>
      <c r="AW26" s="107"/>
      <c r="AX26" s="1">
        <f t="shared" si="33"/>
        <v>0</v>
      </c>
      <c r="AY26" s="1">
        <f t="shared" si="34"/>
        <v>0</v>
      </c>
      <c r="AZ26" s="1">
        <f t="shared" si="35"/>
        <v>0</v>
      </c>
      <c r="BA26" s="1">
        <f t="shared" si="36"/>
        <v>0</v>
      </c>
      <c r="BB26" s="1">
        <f t="shared" si="37"/>
        <v>0</v>
      </c>
      <c r="BC26" s="1">
        <f t="shared" si="38"/>
        <v>0</v>
      </c>
      <c r="BD26" s="1">
        <f t="shared" si="39"/>
        <v>0</v>
      </c>
      <c r="BE26" s="1">
        <f t="shared" si="40"/>
        <v>0</v>
      </c>
      <c r="BF26" s="1">
        <f t="shared" si="41"/>
        <v>0</v>
      </c>
      <c r="BG26" s="1">
        <f t="shared" si="42"/>
        <v>0</v>
      </c>
      <c r="BH26" s="1">
        <f t="shared" si="43"/>
        <v>0</v>
      </c>
      <c r="BI26" s="1">
        <f t="shared" si="44"/>
        <v>0</v>
      </c>
      <c r="BJ26" s="1">
        <f t="shared" si="45"/>
        <v>0</v>
      </c>
      <c r="BK26" s="1">
        <f t="shared" si="46"/>
        <v>0</v>
      </c>
    </row>
    <row r="27" spans="2:63" x14ac:dyDescent="0.25">
      <c r="B27" s="122" t="s">
        <v>228</v>
      </c>
      <c r="C27" s="123">
        <v>0.1</v>
      </c>
      <c r="D27" s="654">
        <f t="shared" ref="D27:N27" si="86">+D79*D$2</f>
        <v>0</v>
      </c>
      <c r="E27" s="654">
        <f t="shared" si="86"/>
        <v>0</v>
      </c>
      <c r="F27" s="654">
        <f t="shared" si="86"/>
        <v>0</v>
      </c>
      <c r="G27" s="124">
        <f t="shared" si="86"/>
        <v>0</v>
      </c>
      <c r="H27" s="124">
        <f t="shared" si="86"/>
        <v>0</v>
      </c>
      <c r="I27" s="124">
        <f t="shared" si="86"/>
        <v>0</v>
      </c>
      <c r="J27" s="124">
        <f t="shared" si="86"/>
        <v>0</v>
      </c>
      <c r="K27" s="124">
        <f t="shared" si="86"/>
        <v>0</v>
      </c>
      <c r="L27" s="124">
        <f t="shared" si="86"/>
        <v>0</v>
      </c>
      <c r="M27" s="124">
        <f t="shared" si="86"/>
        <v>0</v>
      </c>
      <c r="N27" s="124">
        <f t="shared" si="86"/>
        <v>0</v>
      </c>
      <c r="O27" s="124">
        <f t="shared" ref="O27:Q27" si="87">+O79*O$2</f>
        <v>0</v>
      </c>
      <c r="P27" s="124">
        <f t="shared" si="87"/>
        <v>0</v>
      </c>
      <c r="Q27" s="124">
        <f t="shared" si="87"/>
        <v>0</v>
      </c>
      <c r="R27" s="1">
        <f t="shared" si="5"/>
        <v>0</v>
      </c>
      <c r="S27" s="107"/>
      <c r="T27" s="1"/>
      <c r="U27" s="1">
        <f t="shared" si="6"/>
        <v>0</v>
      </c>
      <c r="V27" s="1">
        <f t="shared" si="7"/>
        <v>0</v>
      </c>
      <c r="W27" s="1">
        <f t="shared" si="8"/>
        <v>0</v>
      </c>
      <c r="X27" s="1">
        <f t="shared" si="9"/>
        <v>0</v>
      </c>
      <c r="Y27" s="1">
        <f t="shared" si="10"/>
        <v>0</v>
      </c>
      <c r="Z27" s="1">
        <f t="shared" si="11"/>
        <v>0</v>
      </c>
      <c r="AA27" s="1">
        <f t="shared" si="12"/>
        <v>0</v>
      </c>
      <c r="AB27" s="1">
        <f t="shared" si="13"/>
        <v>0</v>
      </c>
      <c r="AC27" s="1">
        <f t="shared" si="14"/>
        <v>0</v>
      </c>
      <c r="AD27" s="1">
        <f t="shared" si="15"/>
        <v>0</v>
      </c>
      <c r="AE27" s="1">
        <f t="shared" si="16"/>
        <v>0</v>
      </c>
      <c r="AF27" s="1">
        <f t="shared" si="17"/>
        <v>0</v>
      </c>
      <c r="AG27" s="1">
        <f t="shared" si="18"/>
        <v>0</v>
      </c>
      <c r="AH27" s="107"/>
      <c r="AI27" s="1">
        <f t="shared" si="19"/>
        <v>0</v>
      </c>
      <c r="AJ27" s="1">
        <f t="shared" si="20"/>
        <v>0</v>
      </c>
      <c r="AK27" s="1">
        <f t="shared" si="21"/>
        <v>0</v>
      </c>
      <c r="AL27" s="1">
        <f t="shared" si="22"/>
        <v>0</v>
      </c>
      <c r="AM27" s="1">
        <f t="shared" si="23"/>
        <v>0</v>
      </c>
      <c r="AN27" s="1">
        <f t="shared" si="24"/>
        <v>0</v>
      </c>
      <c r="AO27" s="1">
        <f t="shared" si="25"/>
        <v>0</v>
      </c>
      <c r="AP27" s="1">
        <f t="shared" si="26"/>
        <v>0</v>
      </c>
      <c r="AQ27" s="1">
        <f t="shared" si="27"/>
        <v>0</v>
      </c>
      <c r="AR27" s="1">
        <f t="shared" si="28"/>
        <v>0</v>
      </c>
      <c r="AS27" s="1">
        <f t="shared" si="29"/>
        <v>0</v>
      </c>
      <c r="AT27" s="1">
        <f t="shared" si="30"/>
        <v>0</v>
      </c>
      <c r="AU27" s="1">
        <f t="shared" si="31"/>
        <v>0</v>
      </c>
      <c r="AV27" s="1">
        <f t="shared" si="32"/>
        <v>0</v>
      </c>
      <c r="AW27" s="107"/>
      <c r="AX27" s="1">
        <f t="shared" si="33"/>
        <v>0</v>
      </c>
      <c r="AY27" s="1">
        <f t="shared" si="34"/>
        <v>0</v>
      </c>
      <c r="AZ27" s="1">
        <f t="shared" si="35"/>
        <v>0</v>
      </c>
      <c r="BA27" s="1">
        <f t="shared" si="36"/>
        <v>0</v>
      </c>
      <c r="BB27" s="1">
        <f t="shared" si="37"/>
        <v>0</v>
      </c>
      <c r="BC27" s="1">
        <f t="shared" si="38"/>
        <v>0</v>
      </c>
      <c r="BD27" s="1">
        <f t="shared" si="39"/>
        <v>0</v>
      </c>
      <c r="BE27" s="1">
        <f t="shared" si="40"/>
        <v>0</v>
      </c>
      <c r="BF27" s="1">
        <f t="shared" si="41"/>
        <v>0</v>
      </c>
      <c r="BG27" s="1">
        <f t="shared" si="42"/>
        <v>0</v>
      </c>
      <c r="BH27" s="1">
        <f t="shared" si="43"/>
        <v>0</v>
      </c>
      <c r="BI27" s="1">
        <f t="shared" si="44"/>
        <v>0</v>
      </c>
      <c r="BJ27" s="1">
        <f t="shared" si="45"/>
        <v>0</v>
      </c>
      <c r="BK27" s="1">
        <f t="shared" si="46"/>
        <v>0</v>
      </c>
    </row>
    <row r="28" spans="2:63" x14ac:dyDescent="0.25">
      <c r="B28" s="122" t="s">
        <v>228</v>
      </c>
      <c r="C28" s="123">
        <v>0.1</v>
      </c>
      <c r="D28" s="654">
        <f t="shared" ref="D28:N28" si="88">+D80*D$2</f>
        <v>0</v>
      </c>
      <c r="E28" s="654">
        <f t="shared" si="88"/>
        <v>0</v>
      </c>
      <c r="F28" s="654">
        <f t="shared" si="88"/>
        <v>0</v>
      </c>
      <c r="G28" s="124">
        <f t="shared" si="88"/>
        <v>0</v>
      </c>
      <c r="H28" s="124">
        <f>+H80*H$2*0</f>
        <v>0</v>
      </c>
      <c r="I28" s="124">
        <f t="shared" si="88"/>
        <v>0</v>
      </c>
      <c r="J28" s="124">
        <f t="shared" si="88"/>
        <v>0</v>
      </c>
      <c r="K28" s="124">
        <f t="shared" si="88"/>
        <v>0</v>
      </c>
      <c r="L28" s="124">
        <f t="shared" si="88"/>
        <v>0</v>
      </c>
      <c r="M28" s="124">
        <f t="shared" si="88"/>
        <v>0</v>
      </c>
      <c r="N28" s="124">
        <f t="shared" si="88"/>
        <v>0</v>
      </c>
      <c r="O28" s="124">
        <f t="shared" ref="O28:Q28" si="89">+O80*O$2</f>
        <v>0</v>
      </c>
      <c r="P28" s="124">
        <f t="shared" si="89"/>
        <v>0</v>
      </c>
      <c r="Q28" s="124">
        <f t="shared" si="89"/>
        <v>0</v>
      </c>
      <c r="R28" s="1">
        <f t="shared" si="5"/>
        <v>0</v>
      </c>
      <c r="S28" s="107"/>
      <c r="T28" s="1"/>
      <c r="U28" s="1">
        <f t="shared" si="6"/>
        <v>0</v>
      </c>
      <c r="V28" s="1">
        <f t="shared" si="7"/>
        <v>0</v>
      </c>
      <c r="W28" s="1">
        <f t="shared" si="8"/>
        <v>0</v>
      </c>
      <c r="X28" s="1">
        <f t="shared" si="9"/>
        <v>0</v>
      </c>
      <c r="Y28" s="1">
        <f t="shared" si="10"/>
        <v>0</v>
      </c>
      <c r="Z28" s="1">
        <f t="shared" si="11"/>
        <v>0</v>
      </c>
      <c r="AA28" s="1">
        <f t="shared" si="12"/>
        <v>0</v>
      </c>
      <c r="AB28" s="1">
        <f t="shared" si="13"/>
        <v>0</v>
      </c>
      <c r="AC28" s="1">
        <f t="shared" si="14"/>
        <v>0</v>
      </c>
      <c r="AD28" s="1">
        <f t="shared" si="15"/>
        <v>0</v>
      </c>
      <c r="AE28" s="1">
        <f t="shared" si="16"/>
        <v>0</v>
      </c>
      <c r="AF28" s="1">
        <f t="shared" si="17"/>
        <v>0</v>
      </c>
      <c r="AG28" s="1">
        <f t="shared" si="18"/>
        <v>0</v>
      </c>
      <c r="AH28" s="107"/>
      <c r="AI28" s="1">
        <f t="shared" si="19"/>
        <v>0</v>
      </c>
      <c r="AJ28" s="1">
        <f t="shared" si="20"/>
        <v>0</v>
      </c>
      <c r="AK28" s="1">
        <f t="shared" si="21"/>
        <v>0</v>
      </c>
      <c r="AL28" s="1">
        <f t="shared" si="22"/>
        <v>0</v>
      </c>
      <c r="AM28" s="1">
        <f t="shared" si="23"/>
        <v>0</v>
      </c>
      <c r="AN28" s="1">
        <f t="shared" si="24"/>
        <v>0</v>
      </c>
      <c r="AO28" s="1">
        <f t="shared" si="25"/>
        <v>0</v>
      </c>
      <c r="AP28" s="1">
        <f t="shared" si="26"/>
        <v>0</v>
      </c>
      <c r="AQ28" s="1">
        <f t="shared" si="27"/>
        <v>0</v>
      </c>
      <c r="AR28" s="1">
        <f t="shared" si="28"/>
        <v>0</v>
      </c>
      <c r="AS28" s="1">
        <f t="shared" si="29"/>
        <v>0</v>
      </c>
      <c r="AT28" s="1">
        <f t="shared" si="30"/>
        <v>0</v>
      </c>
      <c r="AU28" s="1">
        <f t="shared" si="31"/>
        <v>0</v>
      </c>
      <c r="AV28" s="1">
        <f t="shared" si="32"/>
        <v>0</v>
      </c>
      <c r="AW28" s="107"/>
      <c r="AX28" s="1">
        <f t="shared" si="33"/>
        <v>0</v>
      </c>
      <c r="AY28" s="1">
        <f t="shared" si="34"/>
        <v>0</v>
      </c>
      <c r="AZ28" s="1">
        <f t="shared" si="35"/>
        <v>0</v>
      </c>
      <c r="BA28" s="1">
        <f t="shared" si="36"/>
        <v>0</v>
      </c>
      <c r="BB28" s="1">
        <f t="shared" si="37"/>
        <v>0</v>
      </c>
      <c r="BC28" s="1">
        <f t="shared" si="38"/>
        <v>0</v>
      </c>
      <c r="BD28" s="1">
        <f t="shared" si="39"/>
        <v>0</v>
      </c>
      <c r="BE28" s="1">
        <f t="shared" si="40"/>
        <v>0</v>
      </c>
      <c r="BF28" s="1">
        <f t="shared" si="41"/>
        <v>0</v>
      </c>
      <c r="BG28" s="1">
        <f t="shared" si="42"/>
        <v>0</v>
      </c>
      <c r="BH28" s="1">
        <f t="shared" si="43"/>
        <v>0</v>
      </c>
      <c r="BI28" s="1">
        <f t="shared" si="44"/>
        <v>0</v>
      </c>
      <c r="BJ28" s="1">
        <f t="shared" si="45"/>
        <v>0</v>
      </c>
      <c r="BK28" s="1">
        <f t="shared" si="46"/>
        <v>0</v>
      </c>
    </row>
    <row r="29" spans="2:63" x14ac:dyDescent="0.25">
      <c r="B29" s="109" t="s">
        <v>229</v>
      </c>
      <c r="C29" s="111">
        <v>0.1</v>
      </c>
      <c r="D29" s="652">
        <f>439*0</f>
        <v>0</v>
      </c>
      <c r="E29" s="652"/>
      <c r="F29" s="652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">
        <f t="shared" si="5"/>
        <v>0</v>
      </c>
      <c r="S29" s="107"/>
      <c r="T29" s="1"/>
      <c r="U29" s="1">
        <f t="shared" si="6"/>
        <v>0</v>
      </c>
      <c r="V29" s="1">
        <f t="shared" si="7"/>
        <v>0</v>
      </c>
      <c r="W29" s="1">
        <f t="shared" si="8"/>
        <v>0</v>
      </c>
      <c r="X29" s="1">
        <f t="shared" si="9"/>
        <v>0</v>
      </c>
      <c r="Y29" s="1">
        <f t="shared" si="10"/>
        <v>0</v>
      </c>
      <c r="Z29" s="1">
        <f t="shared" si="11"/>
        <v>0</v>
      </c>
      <c r="AA29" s="1">
        <f t="shared" si="12"/>
        <v>0</v>
      </c>
      <c r="AB29" s="1">
        <f t="shared" si="13"/>
        <v>0</v>
      </c>
      <c r="AC29" s="1">
        <f t="shared" si="14"/>
        <v>0</v>
      </c>
      <c r="AD29" s="1">
        <f t="shared" si="15"/>
        <v>0</v>
      </c>
      <c r="AE29" s="1">
        <f t="shared" si="16"/>
        <v>0</v>
      </c>
      <c r="AF29" s="1">
        <f t="shared" si="17"/>
        <v>0</v>
      </c>
      <c r="AG29" s="1">
        <f t="shared" si="18"/>
        <v>0</v>
      </c>
      <c r="AH29" s="107"/>
      <c r="AI29" s="1">
        <f t="shared" si="19"/>
        <v>0</v>
      </c>
      <c r="AJ29" s="1">
        <f t="shared" si="20"/>
        <v>0</v>
      </c>
      <c r="AK29" s="1">
        <f t="shared" si="21"/>
        <v>0</v>
      </c>
      <c r="AL29" s="1">
        <f t="shared" si="22"/>
        <v>0</v>
      </c>
      <c r="AM29" s="1">
        <f t="shared" si="23"/>
        <v>0</v>
      </c>
      <c r="AN29" s="1">
        <f t="shared" si="24"/>
        <v>0</v>
      </c>
      <c r="AO29" s="1">
        <f t="shared" si="25"/>
        <v>0</v>
      </c>
      <c r="AP29" s="1">
        <f t="shared" si="26"/>
        <v>0</v>
      </c>
      <c r="AQ29" s="1">
        <f t="shared" si="27"/>
        <v>0</v>
      </c>
      <c r="AR29" s="1">
        <f t="shared" si="28"/>
        <v>0</v>
      </c>
      <c r="AS29" s="1">
        <f t="shared" si="29"/>
        <v>0</v>
      </c>
      <c r="AT29" s="1">
        <f t="shared" si="30"/>
        <v>0</v>
      </c>
      <c r="AU29" s="1">
        <f t="shared" si="31"/>
        <v>0</v>
      </c>
      <c r="AV29" s="1">
        <f t="shared" si="32"/>
        <v>0</v>
      </c>
      <c r="AW29" s="107"/>
      <c r="AX29" s="1">
        <f t="shared" si="33"/>
        <v>0</v>
      </c>
      <c r="AY29" s="1">
        <f t="shared" si="34"/>
        <v>0</v>
      </c>
      <c r="AZ29" s="1">
        <f t="shared" si="35"/>
        <v>0</v>
      </c>
      <c r="BA29" s="1">
        <f t="shared" si="36"/>
        <v>0</v>
      </c>
      <c r="BB29" s="1">
        <f t="shared" si="37"/>
        <v>0</v>
      </c>
      <c r="BC29" s="1">
        <f t="shared" si="38"/>
        <v>0</v>
      </c>
      <c r="BD29" s="1">
        <f t="shared" si="39"/>
        <v>0</v>
      </c>
      <c r="BE29" s="1">
        <f t="shared" si="40"/>
        <v>0</v>
      </c>
      <c r="BF29" s="1">
        <f t="shared" si="41"/>
        <v>0</v>
      </c>
      <c r="BG29" s="1">
        <f t="shared" si="42"/>
        <v>0</v>
      </c>
      <c r="BH29" s="1">
        <f t="shared" si="43"/>
        <v>0</v>
      </c>
      <c r="BI29" s="1">
        <f t="shared" si="44"/>
        <v>0</v>
      </c>
      <c r="BJ29" s="1">
        <f t="shared" si="45"/>
        <v>0</v>
      </c>
      <c r="BK29" s="1">
        <f t="shared" si="46"/>
        <v>0</v>
      </c>
    </row>
    <row r="30" spans="2:63" x14ac:dyDescent="0.25">
      <c r="B30" s="109" t="s">
        <v>229</v>
      </c>
      <c r="C30" s="111">
        <v>0.1</v>
      </c>
      <c r="D30" s="652"/>
      <c r="E30" s="652">
        <f>414*0</f>
        <v>0</v>
      </c>
      <c r="F30" s="652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">
        <f t="shared" si="5"/>
        <v>0</v>
      </c>
      <c r="S30" s="107"/>
      <c r="T30" s="1"/>
      <c r="U30" s="1">
        <f t="shared" si="6"/>
        <v>0</v>
      </c>
      <c r="V30" s="1">
        <f t="shared" si="7"/>
        <v>0</v>
      </c>
      <c r="W30" s="1">
        <f t="shared" si="8"/>
        <v>0</v>
      </c>
      <c r="X30" s="1">
        <f t="shared" si="9"/>
        <v>0</v>
      </c>
      <c r="Y30" s="1">
        <f t="shared" si="10"/>
        <v>0</v>
      </c>
      <c r="Z30" s="1">
        <f t="shared" si="11"/>
        <v>0</v>
      </c>
      <c r="AA30" s="1">
        <f t="shared" si="12"/>
        <v>0</v>
      </c>
      <c r="AB30" s="1">
        <f t="shared" si="13"/>
        <v>0</v>
      </c>
      <c r="AC30" s="1">
        <f t="shared" si="14"/>
        <v>0</v>
      </c>
      <c r="AD30" s="1">
        <f t="shared" si="15"/>
        <v>0</v>
      </c>
      <c r="AE30" s="1">
        <f t="shared" si="16"/>
        <v>0</v>
      </c>
      <c r="AF30" s="1">
        <f t="shared" si="17"/>
        <v>0</v>
      </c>
      <c r="AG30" s="1">
        <f t="shared" si="18"/>
        <v>0</v>
      </c>
      <c r="AH30" s="107"/>
      <c r="AI30" s="1">
        <f t="shared" si="19"/>
        <v>0</v>
      </c>
      <c r="AJ30" s="1">
        <f t="shared" si="20"/>
        <v>0</v>
      </c>
      <c r="AK30" s="1">
        <f t="shared" si="21"/>
        <v>0</v>
      </c>
      <c r="AL30" s="1">
        <f t="shared" si="22"/>
        <v>0</v>
      </c>
      <c r="AM30" s="1">
        <f t="shared" si="23"/>
        <v>0</v>
      </c>
      <c r="AN30" s="1">
        <f t="shared" si="24"/>
        <v>0</v>
      </c>
      <c r="AO30" s="1">
        <f t="shared" si="25"/>
        <v>0</v>
      </c>
      <c r="AP30" s="1">
        <f t="shared" si="26"/>
        <v>0</v>
      </c>
      <c r="AQ30" s="1">
        <f t="shared" si="27"/>
        <v>0</v>
      </c>
      <c r="AR30" s="1">
        <f t="shared" si="28"/>
        <v>0</v>
      </c>
      <c r="AS30" s="1">
        <f t="shared" si="29"/>
        <v>0</v>
      </c>
      <c r="AT30" s="1">
        <f t="shared" si="30"/>
        <v>0</v>
      </c>
      <c r="AU30" s="1">
        <f t="shared" si="31"/>
        <v>0</v>
      </c>
      <c r="AV30" s="1">
        <f t="shared" si="32"/>
        <v>0</v>
      </c>
      <c r="AW30" s="107"/>
      <c r="AX30" s="1">
        <f t="shared" si="33"/>
        <v>0</v>
      </c>
      <c r="AY30" s="1">
        <f t="shared" si="34"/>
        <v>0</v>
      </c>
      <c r="AZ30" s="1">
        <f t="shared" si="35"/>
        <v>0</v>
      </c>
      <c r="BA30" s="1">
        <f t="shared" si="36"/>
        <v>0</v>
      </c>
      <c r="BB30" s="1">
        <f t="shared" si="37"/>
        <v>0</v>
      </c>
      <c r="BC30" s="1">
        <f t="shared" si="38"/>
        <v>0</v>
      </c>
      <c r="BD30" s="1">
        <f t="shared" si="39"/>
        <v>0</v>
      </c>
      <c r="BE30" s="1">
        <f t="shared" si="40"/>
        <v>0</v>
      </c>
      <c r="BF30" s="1">
        <f t="shared" si="41"/>
        <v>0</v>
      </c>
      <c r="BG30" s="1">
        <f t="shared" si="42"/>
        <v>0</v>
      </c>
      <c r="BH30" s="1">
        <f t="shared" si="43"/>
        <v>0</v>
      </c>
      <c r="BI30" s="1">
        <f t="shared" si="44"/>
        <v>0</v>
      </c>
      <c r="BJ30" s="1">
        <f t="shared" si="45"/>
        <v>0</v>
      </c>
      <c r="BK30" s="1">
        <f t="shared" si="46"/>
        <v>0</v>
      </c>
    </row>
    <row r="31" spans="2:63" x14ac:dyDescent="0.25">
      <c r="B31" s="109" t="s">
        <v>229</v>
      </c>
      <c r="C31" s="111">
        <v>0.1</v>
      </c>
      <c r="D31" s="652"/>
      <c r="E31" s="652"/>
      <c r="F31" s="110">
        <f>+(20511-16643-748)*0</f>
        <v>0</v>
      </c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">
        <f t="shared" si="5"/>
        <v>0</v>
      </c>
      <c r="S31" s="107"/>
      <c r="T31" s="1"/>
      <c r="U31" s="1">
        <f t="shared" si="6"/>
        <v>0</v>
      </c>
      <c r="V31" s="1">
        <f t="shared" si="7"/>
        <v>0</v>
      </c>
      <c r="W31" s="1">
        <f t="shared" si="8"/>
        <v>0</v>
      </c>
      <c r="X31" s="1">
        <f t="shared" si="9"/>
        <v>0</v>
      </c>
      <c r="Y31" s="1">
        <f t="shared" si="10"/>
        <v>0</v>
      </c>
      <c r="Z31" s="1">
        <f t="shared" si="11"/>
        <v>0</v>
      </c>
      <c r="AA31" s="1">
        <f t="shared" si="12"/>
        <v>0</v>
      </c>
      <c r="AB31" s="1">
        <f t="shared" si="13"/>
        <v>0</v>
      </c>
      <c r="AC31" s="1">
        <f t="shared" si="14"/>
        <v>0</v>
      </c>
      <c r="AD31" s="1">
        <f t="shared" si="15"/>
        <v>0</v>
      </c>
      <c r="AE31" s="1">
        <f t="shared" si="16"/>
        <v>0</v>
      </c>
      <c r="AF31" s="1">
        <f t="shared" si="17"/>
        <v>0</v>
      </c>
      <c r="AG31" s="1">
        <f t="shared" si="18"/>
        <v>0</v>
      </c>
      <c r="AH31" s="107"/>
      <c r="AI31" s="1">
        <f t="shared" si="19"/>
        <v>0</v>
      </c>
      <c r="AJ31" s="1">
        <f t="shared" si="20"/>
        <v>0</v>
      </c>
      <c r="AK31" s="1">
        <f t="shared" si="21"/>
        <v>0</v>
      </c>
      <c r="AL31" s="1">
        <f t="shared" si="22"/>
        <v>0</v>
      </c>
      <c r="AM31" s="1">
        <f t="shared" si="23"/>
        <v>0</v>
      </c>
      <c r="AN31" s="1">
        <f t="shared" si="24"/>
        <v>0</v>
      </c>
      <c r="AO31" s="1">
        <f t="shared" si="25"/>
        <v>0</v>
      </c>
      <c r="AP31" s="1">
        <f t="shared" si="26"/>
        <v>0</v>
      </c>
      <c r="AQ31" s="1">
        <f t="shared" si="27"/>
        <v>0</v>
      </c>
      <c r="AR31" s="1">
        <f t="shared" si="28"/>
        <v>0</v>
      </c>
      <c r="AS31" s="1">
        <f t="shared" si="29"/>
        <v>0</v>
      </c>
      <c r="AT31" s="1">
        <f t="shared" si="30"/>
        <v>0</v>
      </c>
      <c r="AU31" s="1">
        <f t="shared" si="31"/>
        <v>0</v>
      </c>
      <c r="AV31" s="1">
        <f t="shared" si="32"/>
        <v>0</v>
      </c>
      <c r="AW31" s="107"/>
      <c r="AX31" s="1">
        <f t="shared" si="33"/>
        <v>0</v>
      </c>
      <c r="AY31" s="1">
        <f t="shared" si="34"/>
        <v>0</v>
      </c>
      <c r="AZ31" s="1">
        <f t="shared" si="35"/>
        <v>0</v>
      </c>
      <c r="BA31" s="1">
        <f t="shared" si="36"/>
        <v>0</v>
      </c>
      <c r="BB31" s="1">
        <f t="shared" si="37"/>
        <v>0</v>
      </c>
      <c r="BC31" s="1">
        <f t="shared" si="38"/>
        <v>0</v>
      </c>
      <c r="BD31" s="1">
        <f t="shared" si="39"/>
        <v>0</v>
      </c>
      <c r="BE31" s="1">
        <f t="shared" si="40"/>
        <v>0</v>
      </c>
      <c r="BF31" s="1">
        <f t="shared" si="41"/>
        <v>0</v>
      </c>
      <c r="BG31" s="1">
        <f t="shared" si="42"/>
        <v>0</v>
      </c>
      <c r="BH31" s="1">
        <f t="shared" si="43"/>
        <v>0</v>
      </c>
      <c r="BI31" s="1">
        <f t="shared" si="44"/>
        <v>0</v>
      </c>
      <c r="BJ31" s="1">
        <f t="shared" si="45"/>
        <v>0</v>
      </c>
      <c r="BK31" s="1">
        <f t="shared" si="46"/>
        <v>0</v>
      </c>
    </row>
    <row r="32" spans="2:63" x14ac:dyDescent="0.25">
      <c r="B32" s="109" t="s">
        <v>229</v>
      </c>
      <c r="C32" s="111">
        <v>0.1</v>
      </c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">
        <f t="shared" si="5"/>
        <v>0</v>
      </c>
      <c r="S32" s="107"/>
      <c r="T32" s="1"/>
      <c r="U32" s="1">
        <f t="shared" si="6"/>
        <v>0</v>
      </c>
      <c r="V32" s="1">
        <f t="shared" si="7"/>
        <v>0</v>
      </c>
      <c r="W32" s="1">
        <f t="shared" si="8"/>
        <v>0</v>
      </c>
      <c r="X32" s="1">
        <f t="shared" si="9"/>
        <v>0</v>
      </c>
      <c r="Y32" s="1">
        <f t="shared" si="10"/>
        <v>0</v>
      </c>
      <c r="Z32" s="1">
        <f t="shared" si="11"/>
        <v>0</v>
      </c>
      <c r="AA32" s="1">
        <f t="shared" si="12"/>
        <v>0</v>
      </c>
      <c r="AB32" s="1">
        <f t="shared" si="13"/>
        <v>0</v>
      </c>
      <c r="AC32" s="1">
        <f t="shared" si="14"/>
        <v>0</v>
      </c>
      <c r="AD32" s="1">
        <f t="shared" si="15"/>
        <v>0</v>
      </c>
      <c r="AE32" s="1">
        <f t="shared" si="16"/>
        <v>0</v>
      </c>
      <c r="AF32" s="1">
        <f t="shared" si="17"/>
        <v>0</v>
      </c>
      <c r="AG32" s="1">
        <f t="shared" si="18"/>
        <v>0</v>
      </c>
      <c r="AH32" s="107"/>
      <c r="AI32" s="1">
        <f t="shared" si="19"/>
        <v>0</v>
      </c>
      <c r="AJ32" s="1">
        <f t="shared" si="20"/>
        <v>0</v>
      </c>
      <c r="AK32" s="1">
        <f t="shared" si="21"/>
        <v>0</v>
      </c>
      <c r="AL32" s="1">
        <f t="shared" si="22"/>
        <v>0</v>
      </c>
      <c r="AM32" s="1">
        <f t="shared" si="23"/>
        <v>0</v>
      </c>
      <c r="AN32" s="1">
        <f t="shared" si="24"/>
        <v>0</v>
      </c>
      <c r="AO32" s="1">
        <f t="shared" si="25"/>
        <v>0</v>
      </c>
      <c r="AP32" s="1">
        <f t="shared" si="26"/>
        <v>0</v>
      </c>
      <c r="AQ32" s="1">
        <f t="shared" si="27"/>
        <v>0</v>
      </c>
      <c r="AR32" s="1">
        <f t="shared" si="28"/>
        <v>0</v>
      </c>
      <c r="AS32" s="1">
        <f t="shared" si="29"/>
        <v>0</v>
      </c>
      <c r="AT32" s="1">
        <f t="shared" si="30"/>
        <v>0</v>
      </c>
      <c r="AU32" s="1">
        <f t="shared" si="31"/>
        <v>0</v>
      </c>
      <c r="AV32" s="1">
        <f t="shared" si="32"/>
        <v>0</v>
      </c>
      <c r="AW32" s="107"/>
      <c r="AX32" s="1">
        <f t="shared" si="33"/>
        <v>0</v>
      </c>
      <c r="AY32" s="1">
        <f t="shared" si="34"/>
        <v>0</v>
      </c>
      <c r="AZ32" s="1">
        <f t="shared" si="35"/>
        <v>0</v>
      </c>
      <c r="BA32" s="1">
        <f t="shared" si="36"/>
        <v>0</v>
      </c>
      <c r="BB32" s="1">
        <f t="shared" si="37"/>
        <v>0</v>
      </c>
      <c r="BC32" s="1">
        <f t="shared" si="38"/>
        <v>0</v>
      </c>
      <c r="BD32" s="1">
        <f t="shared" si="39"/>
        <v>0</v>
      </c>
      <c r="BE32" s="1">
        <f t="shared" si="40"/>
        <v>0</v>
      </c>
      <c r="BF32" s="1">
        <f t="shared" si="41"/>
        <v>0</v>
      </c>
      <c r="BG32" s="1">
        <f t="shared" si="42"/>
        <v>0</v>
      </c>
      <c r="BH32" s="1">
        <f t="shared" si="43"/>
        <v>0</v>
      </c>
      <c r="BI32" s="1">
        <f t="shared" si="44"/>
        <v>0</v>
      </c>
      <c r="BJ32" s="1">
        <f t="shared" si="45"/>
        <v>0</v>
      </c>
      <c r="BK32" s="1">
        <f t="shared" si="46"/>
        <v>0</v>
      </c>
    </row>
    <row r="33" spans="2:63" x14ac:dyDescent="0.25">
      <c r="B33" s="109" t="s">
        <v>229</v>
      </c>
      <c r="C33" s="111">
        <v>0.1</v>
      </c>
      <c r="D33" s="110"/>
      <c r="E33" s="110"/>
      <c r="F33" s="110"/>
      <c r="G33" s="110"/>
      <c r="H33" s="110">
        <v>2000</v>
      </c>
      <c r="I33" s="110"/>
      <c r="J33" s="110"/>
      <c r="K33" s="110"/>
      <c r="L33" s="110"/>
      <c r="M33" s="110"/>
      <c r="N33" s="110"/>
      <c r="O33" s="110"/>
      <c r="P33" s="110"/>
      <c r="Q33" s="110"/>
      <c r="R33" s="1">
        <f t="shared" si="5"/>
        <v>2000</v>
      </c>
      <c r="S33" s="107"/>
      <c r="T33" s="1"/>
      <c r="U33" s="1">
        <f t="shared" si="6"/>
        <v>0</v>
      </c>
      <c r="V33" s="1">
        <f t="shared" si="7"/>
        <v>0</v>
      </c>
      <c r="W33" s="1">
        <f t="shared" si="8"/>
        <v>0</v>
      </c>
      <c r="X33" s="1">
        <f t="shared" si="9"/>
        <v>0</v>
      </c>
      <c r="Y33" s="1">
        <f t="shared" si="10"/>
        <v>200</v>
      </c>
      <c r="Z33" s="1">
        <f t="shared" si="11"/>
        <v>200</v>
      </c>
      <c r="AA33" s="1">
        <f t="shared" si="12"/>
        <v>200</v>
      </c>
      <c r="AB33" s="1">
        <f t="shared" si="13"/>
        <v>200</v>
      </c>
      <c r="AC33" s="1">
        <f t="shared" si="14"/>
        <v>200</v>
      </c>
      <c r="AD33" s="1">
        <f t="shared" si="15"/>
        <v>200</v>
      </c>
      <c r="AE33" s="1">
        <f t="shared" si="16"/>
        <v>200</v>
      </c>
      <c r="AF33" s="1">
        <f t="shared" si="17"/>
        <v>200</v>
      </c>
      <c r="AG33" s="1">
        <f t="shared" si="18"/>
        <v>200</v>
      </c>
      <c r="AH33" s="107"/>
      <c r="AI33" s="1">
        <f t="shared" si="19"/>
        <v>0</v>
      </c>
      <c r="AJ33" s="1">
        <f t="shared" si="20"/>
        <v>0</v>
      </c>
      <c r="AK33" s="1">
        <f t="shared" si="21"/>
        <v>0</v>
      </c>
      <c r="AL33" s="1">
        <f t="shared" si="22"/>
        <v>0</v>
      </c>
      <c r="AM33" s="1">
        <f t="shared" si="23"/>
        <v>0</v>
      </c>
      <c r="AN33" s="1">
        <f t="shared" si="24"/>
        <v>200</v>
      </c>
      <c r="AO33" s="1">
        <f t="shared" si="25"/>
        <v>400</v>
      </c>
      <c r="AP33" s="1">
        <f t="shared" si="26"/>
        <v>600</v>
      </c>
      <c r="AQ33" s="1">
        <f t="shared" si="27"/>
        <v>800</v>
      </c>
      <c r="AR33" s="1">
        <f t="shared" si="28"/>
        <v>1000</v>
      </c>
      <c r="AS33" s="1">
        <f t="shared" si="29"/>
        <v>1200</v>
      </c>
      <c r="AT33" s="1">
        <f t="shared" si="30"/>
        <v>1400</v>
      </c>
      <c r="AU33" s="1">
        <f t="shared" si="31"/>
        <v>1600</v>
      </c>
      <c r="AV33" s="1">
        <f t="shared" si="32"/>
        <v>1800</v>
      </c>
      <c r="AW33" s="107"/>
      <c r="AX33" s="1">
        <f t="shared" si="33"/>
        <v>0</v>
      </c>
      <c r="AY33" s="1">
        <f t="shared" si="34"/>
        <v>0</v>
      </c>
      <c r="AZ33" s="1">
        <f t="shared" si="35"/>
        <v>0</v>
      </c>
      <c r="BA33" s="1">
        <f t="shared" si="36"/>
        <v>0</v>
      </c>
      <c r="BB33" s="1">
        <f t="shared" si="37"/>
        <v>0</v>
      </c>
      <c r="BC33" s="1">
        <f t="shared" si="38"/>
        <v>200</v>
      </c>
      <c r="BD33" s="1">
        <f t="shared" si="39"/>
        <v>200</v>
      </c>
      <c r="BE33" s="1">
        <f t="shared" si="40"/>
        <v>200</v>
      </c>
      <c r="BF33" s="1">
        <f t="shared" si="41"/>
        <v>200</v>
      </c>
      <c r="BG33" s="1">
        <f t="shared" si="42"/>
        <v>200</v>
      </c>
      <c r="BH33" s="1">
        <f t="shared" si="43"/>
        <v>200</v>
      </c>
      <c r="BI33" s="1">
        <f t="shared" si="44"/>
        <v>200</v>
      </c>
      <c r="BJ33" s="1">
        <f t="shared" si="45"/>
        <v>200</v>
      </c>
      <c r="BK33" s="1">
        <f t="shared" si="46"/>
        <v>200</v>
      </c>
    </row>
    <row r="34" spans="2:63" x14ac:dyDescent="0.25">
      <c r="B34" s="109" t="s">
        <v>229</v>
      </c>
      <c r="C34" s="111">
        <v>0.1</v>
      </c>
      <c r="D34" s="110"/>
      <c r="E34" s="110"/>
      <c r="F34" s="110"/>
      <c r="G34" s="110"/>
      <c r="H34" s="110"/>
      <c r="I34" s="110">
        <f>+H33</f>
        <v>2000</v>
      </c>
      <c r="J34" s="110"/>
      <c r="K34" s="110"/>
      <c r="L34" s="110"/>
      <c r="M34" s="110"/>
      <c r="N34" s="110"/>
      <c r="O34" s="110"/>
      <c r="P34" s="110"/>
      <c r="Q34" s="110"/>
      <c r="R34" s="1">
        <f t="shared" si="5"/>
        <v>2000</v>
      </c>
      <c r="S34" s="107"/>
      <c r="T34" s="1"/>
      <c r="U34" s="1">
        <f t="shared" si="6"/>
        <v>0</v>
      </c>
      <c r="V34" s="1">
        <f t="shared" si="7"/>
        <v>0</v>
      </c>
      <c r="W34" s="1">
        <f t="shared" si="8"/>
        <v>0</v>
      </c>
      <c r="X34" s="1">
        <f t="shared" si="9"/>
        <v>0</v>
      </c>
      <c r="Y34" s="1">
        <f t="shared" si="10"/>
        <v>0</v>
      </c>
      <c r="Z34" s="1">
        <f t="shared" si="11"/>
        <v>200</v>
      </c>
      <c r="AA34" s="1">
        <f t="shared" si="12"/>
        <v>200</v>
      </c>
      <c r="AB34" s="1">
        <f t="shared" si="13"/>
        <v>200</v>
      </c>
      <c r="AC34" s="1">
        <f t="shared" si="14"/>
        <v>200</v>
      </c>
      <c r="AD34" s="1">
        <f t="shared" si="15"/>
        <v>200</v>
      </c>
      <c r="AE34" s="1">
        <f t="shared" si="16"/>
        <v>200</v>
      </c>
      <c r="AF34" s="1">
        <f t="shared" si="17"/>
        <v>200</v>
      </c>
      <c r="AG34" s="1">
        <f t="shared" si="18"/>
        <v>200</v>
      </c>
      <c r="AH34" s="107"/>
      <c r="AI34" s="1">
        <f t="shared" si="19"/>
        <v>0</v>
      </c>
      <c r="AJ34" s="1">
        <f t="shared" si="20"/>
        <v>0</v>
      </c>
      <c r="AK34" s="1">
        <f t="shared" si="21"/>
        <v>0</v>
      </c>
      <c r="AL34" s="1">
        <f t="shared" si="22"/>
        <v>0</v>
      </c>
      <c r="AM34" s="1">
        <f t="shared" si="23"/>
        <v>0</v>
      </c>
      <c r="AN34" s="1">
        <f t="shared" si="24"/>
        <v>0</v>
      </c>
      <c r="AO34" s="1">
        <f t="shared" si="25"/>
        <v>200</v>
      </c>
      <c r="AP34" s="1">
        <f t="shared" si="26"/>
        <v>400</v>
      </c>
      <c r="AQ34" s="1">
        <f t="shared" si="27"/>
        <v>600</v>
      </c>
      <c r="AR34" s="1">
        <f t="shared" si="28"/>
        <v>800</v>
      </c>
      <c r="AS34" s="1">
        <f t="shared" si="29"/>
        <v>1000</v>
      </c>
      <c r="AT34" s="1">
        <f t="shared" si="30"/>
        <v>1200</v>
      </c>
      <c r="AU34" s="1">
        <f t="shared" si="31"/>
        <v>1400</v>
      </c>
      <c r="AV34" s="1">
        <f t="shared" si="32"/>
        <v>1600</v>
      </c>
      <c r="AW34" s="107"/>
      <c r="AX34" s="1">
        <f t="shared" si="33"/>
        <v>0</v>
      </c>
      <c r="AY34" s="1">
        <f t="shared" si="34"/>
        <v>0</v>
      </c>
      <c r="AZ34" s="1">
        <f t="shared" si="35"/>
        <v>0</v>
      </c>
      <c r="BA34" s="1">
        <f t="shared" si="36"/>
        <v>0</v>
      </c>
      <c r="BB34" s="1">
        <f t="shared" si="37"/>
        <v>0</v>
      </c>
      <c r="BC34" s="1">
        <f t="shared" si="38"/>
        <v>0</v>
      </c>
      <c r="BD34" s="1">
        <f t="shared" si="39"/>
        <v>200</v>
      </c>
      <c r="BE34" s="1">
        <f t="shared" si="40"/>
        <v>200</v>
      </c>
      <c r="BF34" s="1">
        <f t="shared" si="41"/>
        <v>200</v>
      </c>
      <c r="BG34" s="1">
        <f t="shared" si="42"/>
        <v>200</v>
      </c>
      <c r="BH34" s="1">
        <f t="shared" si="43"/>
        <v>200</v>
      </c>
      <c r="BI34" s="1">
        <f t="shared" si="44"/>
        <v>200</v>
      </c>
      <c r="BJ34" s="1">
        <f t="shared" si="45"/>
        <v>200</v>
      </c>
      <c r="BK34" s="1">
        <f t="shared" si="46"/>
        <v>200</v>
      </c>
    </row>
    <row r="35" spans="2:63" x14ac:dyDescent="0.25">
      <c r="B35" s="109" t="s">
        <v>229</v>
      </c>
      <c r="C35" s="111">
        <v>0.1</v>
      </c>
      <c r="D35" s="110"/>
      <c r="E35" s="110"/>
      <c r="F35" s="110"/>
      <c r="G35" s="110"/>
      <c r="H35" s="110"/>
      <c r="I35" s="110"/>
      <c r="J35" s="110">
        <f>+I34</f>
        <v>2000</v>
      </c>
      <c r="K35" s="110"/>
      <c r="L35" s="110"/>
      <c r="M35" s="110"/>
      <c r="N35" s="110"/>
      <c r="O35" s="110"/>
      <c r="P35" s="110"/>
      <c r="Q35" s="110"/>
      <c r="R35" s="1">
        <f t="shared" si="5"/>
        <v>2000</v>
      </c>
      <c r="S35" s="107"/>
      <c r="T35" s="1"/>
      <c r="U35" s="1">
        <f t="shared" si="6"/>
        <v>0</v>
      </c>
      <c r="V35" s="1">
        <f t="shared" si="7"/>
        <v>0</v>
      </c>
      <c r="W35" s="1">
        <f t="shared" si="8"/>
        <v>0</v>
      </c>
      <c r="X35" s="1">
        <f t="shared" si="9"/>
        <v>0</v>
      </c>
      <c r="Y35" s="1">
        <f t="shared" si="10"/>
        <v>0</v>
      </c>
      <c r="Z35" s="1">
        <f t="shared" si="11"/>
        <v>0</v>
      </c>
      <c r="AA35" s="1">
        <f t="shared" si="12"/>
        <v>200</v>
      </c>
      <c r="AB35" s="1">
        <f t="shared" si="13"/>
        <v>200</v>
      </c>
      <c r="AC35" s="1">
        <f t="shared" si="14"/>
        <v>200</v>
      </c>
      <c r="AD35" s="1">
        <f t="shared" si="15"/>
        <v>200</v>
      </c>
      <c r="AE35" s="1">
        <f t="shared" si="16"/>
        <v>200</v>
      </c>
      <c r="AF35" s="1">
        <f t="shared" si="17"/>
        <v>200</v>
      </c>
      <c r="AG35" s="1">
        <f t="shared" si="18"/>
        <v>200</v>
      </c>
      <c r="AH35" s="107"/>
      <c r="AI35" s="1">
        <f t="shared" si="19"/>
        <v>0</v>
      </c>
      <c r="AJ35" s="1">
        <f t="shared" si="20"/>
        <v>0</v>
      </c>
      <c r="AK35" s="1">
        <f t="shared" si="21"/>
        <v>0</v>
      </c>
      <c r="AL35" s="1">
        <f t="shared" si="22"/>
        <v>0</v>
      </c>
      <c r="AM35" s="1">
        <f t="shared" si="23"/>
        <v>0</v>
      </c>
      <c r="AN35" s="1">
        <f t="shared" si="24"/>
        <v>0</v>
      </c>
      <c r="AO35" s="1">
        <f t="shared" si="25"/>
        <v>0</v>
      </c>
      <c r="AP35" s="1">
        <f t="shared" si="26"/>
        <v>200</v>
      </c>
      <c r="AQ35" s="1">
        <f t="shared" si="27"/>
        <v>400</v>
      </c>
      <c r="AR35" s="1">
        <f t="shared" si="28"/>
        <v>600</v>
      </c>
      <c r="AS35" s="1">
        <f t="shared" si="29"/>
        <v>800</v>
      </c>
      <c r="AT35" s="1">
        <f t="shared" si="30"/>
        <v>1000</v>
      </c>
      <c r="AU35" s="1">
        <f t="shared" si="31"/>
        <v>1200</v>
      </c>
      <c r="AV35" s="1">
        <f t="shared" si="32"/>
        <v>1400</v>
      </c>
      <c r="AW35" s="107"/>
      <c r="AX35" s="1">
        <f t="shared" si="33"/>
        <v>0</v>
      </c>
      <c r="AY35" s="1">
        <f t="shared" si="34"/>
        <v>0</v>
      </c>
      <c r="AZ35" s="1">
        <f t="shared" si="35"/>
        <v>0</v>
      </c>
      <c r="BA35" s="1">
        <f t="shared" si="36"/>
        <v>0</v>
      </c>
      <c r="BB35" s="1">
        <f t="shared" si="37"/>
        <v>0</v>
      </c>
      <c r="BC35" s="1">
        <f t="shared" si="38"/>
        <v>0</v>
      </c>
      <c r="BD35" s="1">
        <f t="shared" si="39"/>
        <v>0</v>
      </c>
      <c r="BE35" s="1">
        <f t="shared" si="40"/>
        <v>200</v>
      </c>
      <c r="BF35" s="1">
        <f t="shared" si="41"/>
        <v>200</v>
      </c>
      <c r="BG35" s="1">
        <f t="shared" si="42"/>
        <v>200</v>
      </c>
      <c r="BH35" s="1">
        <f t="shared" si="43"/>
        <v>200</v>
      </c>
      <c r="BI35" s="1">
        <f t="shared" si="44"/>
        <v>200</v>
      </c>
      <c r="BJ35" s="1">
        <f t="shared" si="45"/>
        <v>200</v>
      </c>
      <c r="BK35" s="1">
        <f t="shared" si="46"/>
        <v>200</v>
      </c>
    </row>
    <row r="36" spans="2:63" x14ac:dyDescent="0.25">
      <c r="B36" s="109" t="s">
        <v>229</v>
      </c>
      <c r="C36" s="111">
        <v>0.1</v>
      </c>
      <c r="D36" s="110"/>
      <c r="E36" s="110"/>
      <c r="F36" s="110"/>
      <c r="G36" s="110"/>
      <c r="H36" s="110"/>
      <c r="I36" s="110"/>
      <c r="J36" s="110"/>
      <c r="K36" s="110">
        <f>+J35</f>
        <v>2000</v>
      </c>
      <c r="L36" s="110"/>
      <c r="M36" s="110"/>
      <c r="N36" s="110"/>
      <c r="O36" s="110"/>
      <c r="P36" s="110"/>
      <c r="Q36" s="110"/>
      <c r="R36" s="1">
        <f t="shared" si="5"/>
        <v>2000</v>
      </c>
      <c r="S36" s="107"/>
      <c r="T36" s="1"/>
      <c r="U36" s="1">
        <f t="shared" si="6"/>
        <v>0</v>
      </c>
      <c r="V36" s="1">
        <f t="shared" si="7"/>
        <v>0</v>
      </c>
      <c r="W36" s="1">
        <f t="shared" si="8"/>
        <v>0</v>
      </c>
      <c r="X36" s="1">
        <f t="shared" si="9"/>
        <v>0</v>
      </c>
      <c r="Y36" s="1">
        <f t="shared" si="10"/>
        <v>0</v>
      </c>
      <c r="Z36" s="1">
        <f t="shared" si="11"/>
        <v>0</v>
      </c>
      <c r="AA36" s="1">
        <f t="shared" si="12"/>
        <v>0</v>
      </c>
      <c r="AB36" s="1">
        <f t="shared" si="13"/>
        <v>200</v>
      </c>
      <c r="AC36" s="1">
        <f t="shared" si="14"/>
        <v>200</v>
      </c>
      <c r="AD36" s="1">
        <f t="shared" si="15"/>
        <v>200</v>
      </c>
      <c r="AE36" s="1">
        <f t="shared" si="16"/>
        <v>200</v>
      </c>
      <c r="AF36" s="1">
        <f t="shared" si="17"/>
        <v>200</v>
      </c>
      <c r="AG36" s="1">
        <f t="shared" si="18"/>
        <v>200</v>
      </c>
      <c r="AH36" s="107"/>
      <c r="AI36" s="1">
        <f t="shared" si="19"/>
        <v>0</v>
      </c>
      <c r="AJ36" s="1">
        <f t="shared" si="20"/>
        <v>0</v>
      </c>
      <c r="AK36" s="1">
        <f t="shared" si="21"/>
        <v>0</v>
      </c>
      <c r="AL36" s="1">
        <f t="shared" si="22"/>
        <v>0</v>
      </c>
      <c r="AM36" s="1">
        <f t="shared" si="23"/>
        <v>0</v>
      </c>
      <c r="AN36" s="1">
        <f t="shared" si="24"/>
        <v>0</v>
      </c>
      <c r="AO36" s="1">
        <f t="shared" si="25"/>
        <v>0</v>
      </c>
      <c r="AP36" s="1">
        <f t="shared" si="26"/>
        <v>0</v>
      </c>
      <c r="AQ36" s="1">
        <f t="shared" si="27"/>
        <v>200</v>
      </c>
      <c r="AR36" s="1">
        <f t="shared" si="28"/>
        <v>400</v>
      </c>
      <c r="AS36" s="1">
        <f t="shared" si="29"/>
        <v>600</v>
      </c>
      <c r="AT36" s="1">
        <f t="shared" si="30"/>
        <v>800</v>
      </c>
      <c r="AU36" s="1">
        <f t="shared" si="31"/>
        <v>1000</v>
      </c>
      <c r="AV36" s="1">
        <f t="shared" si="32"/>
        <v>1200</v>
      </c>
      <c r="AW36" s="107"/>
      <c r="AX36" s="1">
        <f t="shared" si="33"/>
        <v>0</v>
      </c>
      <c r="AY36" s="1">
        <f t="shared" si="34"/>
        <v>0</v>
      </c>
      <c r="AZ36" s="1">
        <f t="shared" si="35"/>
        <v>0</v>
      </c>
      <c r="BA36" s="1">
        <f t="shared" si="36"/>
        <v>0</v>
      </c>
      <c r="BB36" s="1">
        <f t="shared" si="37"/>
        <v>0</v>
      </c>
      <c r="BC36" s="1">
        <f t="shared" si="38"/>
        <v>0</v>
      </c>
      <c r="BD36" s="1">
        <f t="shared" si="39"/>
        <v>0</v>
      </c>
      <c r="BE36" s="1">
        <f t="shared" si="40"/>
        <v>0</v>
      </c>
      <c r="BF36" s="1">
        <f t="shared" si="41"/>
        <v>200</v>
      </c>
      <c r="BG36" s="1">
        <f t="shared" si="42"/>
        <v>200</v>
      </c>
      <c r="BH36" s="1">
        <f t="shared" si="43"/>
        <v>200</v>
      </c>
      <c r="BI36" s="1">
        <f t="shared" si="44"/>
        <v>200</v>
      </c>
      <c r="BJ36" s="1">
        <f t="shared" si="45"/>
        <v>200</v>
      </c>
      <c r="BK36" s="1">
        <f t="shared" si="46"/>
        <v>200</v>
      </c>
    </row>
    <row r="37" spans="2:63" x14ac:dyDescent="0.25">
      <c r="B37" s="109" t="s">
        <v>229</v>
      </c>
      <c r="C37" s="111">
        <v>0.1</v>
      </c>
      <c r="D37" s="110"/>
      <c r="E37" s="110"/>
      <c r="F37" s="110"/>
      <c r="G37" s="110"/>
      <c r="H37" s="110"/>
      <c r="I37" s="110"/>
      <c r="J37" s="110"/>
      <c r="K37" s="110"/>
      <c r="L37" s="110">
        <f>+K36</f>
        <v>2000</v>
      </c>
      <c r="M37" s="110"/>
      <c r="N37" s="110"/>
      <c r="O37" s="110"/>
      <c r="P37" s="110"/>
      <c r="Q37" s="110"/>
      <c r="R37" s="1">
        <f t="shared" si="5"/>
        <v>2000</v>
      </c>
      <c r="S37" s="107"/>
      <c r="T37" s="1"/>
      <c r="U37" s="1">
        <f t="shared" si="6"/>
        <v>0</v>
      </c>
      <c r="V37" s="1">
        <f t="shared" si="7"/>
        <v>0</v>
      </c>
      <c r="W37" s="1">
        <f t="shared" si="8"/>
        <v>0</v>
      </c>
      <c r="X37" s="1">
        <f t="shared" si="9"/>
        <v>0</v>
      </c>
      <c r="Y37" s="1">
        <f t="shared" si="10"/>
        <v>0</v>
      </c>
      <c r="Z37" s="1">
        <f t="shared" si="11"/>
        <v>0</v>
      </c>
      <c r="AA37" s="1">
        <f t="shared" si="12"/>
        <v>0</v>
      </c>
      <c r="AB37" s="1">
        <f t="shared" si="13"/>
        <v>0</v>
      </c>
      <c r="AC37" s="1">
        <f t="shared" si="14"/>
        <v>200</v>
      </c>
      <c r="AD37" s="1">
        <f t="shared" si="15"/>
        <v>200</v>
      </c>
      <c r="AE37" s="1">
        <f t="shared" si="16"/>
        <v>200</v>
      </c>
      <c r="AF37" s="1">
        <f t="shared" si="17"/>
        <v>200</v>
      </c>
      <c r="AG37" s="1">
        <f t="shared" si="18"/>
        <v>200</v>
      </c>
      <c r="AH37" s="107"/>
      <c r="AI37" s="1">
        <f t="shared" si="19"/>
        <v>0</v>
      </c>
      <c r="AJ37" s="1">
        <f t="shared" si="20"/>
        <v>0</v>
      </c>
      <c r="AK37" s="1">
        <f t="shared" si="21"/>
        <v>0</v>
      </c>
      <c r="AL37" s="1">
        <f t="shared" si="22"/>
        <v>0</v>
      </c>
      <c r="AM37" s="1">
        <f t="shared" si="23"/>
        <v>0</v>
      </c>
      <c r="AN37" s="1">
        <f t="shared" si="24"/>
        <v>0</v>
      </c>
      <c r="AO37" s="1">
        <f t="shared" si="25"/>
        <v>0</v>
      </c>
      <c r="AP37" s="1">
        <f t="shared" si="26"/>
        <v>0</v>
      </c>
      <c r="AQ37" s="1">
        <f t="shared" si="27"/>
        <v>0</v>
      </c>
      <c r="AR37" s="1">
        <f t="shared" si="28"/>
        <v>200</v>
      </c>
      <c r="AS37" s="1">
        <f t="shared" si="29"/>
        <v>400</v>
      </c>
      <c r="AT37" s="1">
        <f t="shared" si="30"/>
        <v>600</v>
      </c>
      <c r="AU37" s="1">
        <f t="shared" si="31"/>
        <v>800</v>
      </c>
      <c r="AV37" s="1">
        <f t="shared" si="32"/>
        <v>1000</v>
      </c>
      <c r="AW37" s="107"/>
      <c r="AX37" s="1">
        <f t="shared" si="33"/>
        <v>0</v>
      </c>
      <c r="AY37" s="1">
        <f t="shared" si="34"/>
        <v>0</v>
      </c>
      <c r="AZ37" s="1">
        <f t="shared" si="35"/>
        <v>0</v>
      </c>
      <c r="BA37" s="1">
        <f t="shared" si="36"/>
        <v>0</v>
      </c>
      <c r="BB37" s="1">
        <f t="shared" si="37"/>
        <v>0</v>
      </c>
      <c r="BC37" s="1">
        <f t="shared" si="38"/>
        <v>0</v>
      </c>
      <c r="BD37" s="1">
        <f t="shared" si="39"/>
        <v>0</v>
      </c>
      <c r="BE37" s="1">
        <f t="shared" si="40"/>
        <v>0</v>
      </c>
      <c r="BF37" s="1">
        <f t="shared" si="41"/>
        <v>0</v>
      </c>
      <c r="BG37" s="1">
        <f t="shared" si="42"/>
        <v>200</v>
      </c>
      <c r="BH37" s="1">
        <f t="shared" si="43"/>
        <v>200</v>
      </c>
      <c r="BI37" s="1">
        <f t="shared" si="44"/>
        <v>200</v>
      </c>
      <c r="BJ37" s="1">
        <f t="shared" si="45"/>
        <v>200</v>
      </c>
      <c r="BK37" s="1">
        <f t="shared" si="46"/>
        <v>200</v>
      </c>
    </row>
    <row r="38" spans="2:63" x14ac:dyDescent="0.25">
      <c r="B38" s="109" t="s">
        <v>229</v>
      </c>
      <c r="C38" s="111">
        <v>0.1</v>
      </c>
      <c r="D38" s="110"/>
      <c r="E38" s="110"/>
      <c r="F38" s="110"/>
      <c r="G38" s="110"/>
      <c r="H38" s="110"/>
      <c r="I38" s="110"/>
      <c r="J38" s="110"/>
      <c r="K38" s="110"/>
      <c r="L38" s="110"/>
      <c r="M38" s="110">
        <f>+L37</f>
        <v>2000</v>
      </c>
      <c r="N38" s="110"/>
      <c r="O38" s="110"/>
      <c r="P38" s="110"/>
      <c r="Q38" s="110"/>
      <c r="R38" s="1">
        <f t="shared" si="5"/>
        <v>2000</v>
      </c>
      <c r="S38" s="107"/>
      <c r="T38" s="1"/>
      <c r="U38" s="1">
        <f t="shared" si="6"/>
        <v>0</v>
      </c>
      <c r="V38" s="1">
        <f t="shared" si="7"/>
        <v>0</v>
      </c>
      <c r="W38" s="1">
        <f t="shared" si="8"/>
        <v>0</v>
      </c>
      <c r="X38" s="1">
        <f t="shared" si="9"/>
        <v>0</v>
      </c>
      <c r="Y38" s="1">
        <f t="shared" si="10"/>
        <v>0</v>
      </c>
      <c r="Z38" s="1">
        <f t="shared" si="11"/>
        <v>0</v>
      </c>
      <c r="AA38" s="1">
        <f t="shared" si="12"/>
        <v>0</v>
      </c>
      <c r="AB38" s="1">
        <f t="shared" si="13"/>
        <v>0</v>
      </c>
      <c r="AC38" s="1">
        <f t="shared" si="14"/>
        <v>0</v>
      </c>
      <c r="AD38" s="1">
        <f t="shared" si="15"/>
        <v>200</v>
      </c>
      <c r="AE38" s="1">
        <f t="shared" si="16"/>
        <v>200</v>
      </c>
      <c r="AF38" s="1">
        <f t="shared" si="17"/>
        <v>200</v>
      </c>
      <c r="AG38" s="1">
        <f t="shared" si="18"/>
        <v>200</v>
      </c>
      <c r="AH38" s="107"/>
      <c r="AI38" s="1">
        <f t="shared" si="19"/>
        <v>0</v>
      </c>
      <c r="AJ38" s="1">
        <f t="shared" si="20"/>
        <v>0</v>
      </c>
      <c r="AK38" s="1">
        <f t="shared" si="21"/>
        <v>0</v>
      </c>
      <c r="AL38" s="1">
        <f t="shared" si="22"/>
        <v>0</v>
      </c>
      <c r="AM38" s="1">
        <f t="shared" si="23"/>
        <v>0</v>
      </c>
      <c r="AN38" s="1">
        <f t="shared" si="24"/>
        <v>0</v>
      </c>
      <c r="AO38" s="1">
        <f t="shared" si="25"/>
        <v>0</v>
      </c>
      <c r="AP38" s="1">
        <f t="shared" si="26"/>
        <v>0</v>
      </c>
      <c r="AQ38" s="1">
        <f t="shared" si="27"/>
        <v>0</v>
      </c>
      <c r="AR38" s="1">
        <f t="shared" si="28"/>
        <v>0</v>
      </c>
      <c r="AS38" s="1">
        <f t="shared" si="29"/>
        <v>200</v>
      </c>
      <c r="AT38" s="1">
        <f t="shared" si="30"/>
        <v>400</v>
      </c>
      <c r="AU38" s="1">
        <f t="shared" si="31"/>
        <v>600</v>
      </c>
      <c r="AV38" s="1">
        <f t="shared" si="32"/>
        <v>800</v>
      </c>
      <c r="AW38" s="107"/>
      <c r="AX38" s="1">
        <f t="shared" si="33"/>
        <v>0</v>
      </c>
      <c r="AY38" s="1">
        <f t="shared" si="34"/>
        <v>0</v>
      </c>
      <c r="AZ38" s="1">
        <f t="shared" si="35"/>
        <v>0</v>
      </c>
      <c r="BA38" s="1">
        <f t="shared" si="36"/>
        <v>0</v>
      </c>
      <c r="BB38" s="1">
        <f t="shared" si="37"/>
        <v>0</v>
      </c>
      <c r="BC38" s="1">
        <f t="shared" si="38"/>
        <v>0</v>
      </c>
      <c r="BD38" s="1">
        <f t="shared" si="39"/>
        <v>0</v>
      </c>
      <c r="BE38" s="1">
        <f t="shared" si="40"/>
        <v>0</v>
      </c>
      <c r="BF38" s="1">
        <f t="shared" si="41"/>
        <v>0</v>
      </c>
      <c r="BG38" s="1">
        <f t="shared" si="42"/>
        <v>0</v>
      </c>
      <c r="BH38" s="1">
        <f t="shared" si="43"/>
        <v>200</v>
      </c>
      <c r="BI38" s="1">
        <f t="shared" si="44"/>
        <v>200</v>
      </c>
      <c r="BJ38" s="1">
        <f t="shared" si="45"/>
        <v>200</v>
      </c>
      <c r="BK38" s="1">
        <f t="shared" si="46"/>
        <v>200</v>
      </c>
    </row>
    <row r="39" spans="2:63" x14ac:dyDescent="0.25">
      <c r="B39" s="109" t="s">
        <v>229</v>
      </c>
      <c r="C39" s="111">
        <v>0.1</v>
      </c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>
        <f>+M38</f>
        <v>2000</v>
      </c>
      <c r="O39" s="110"/>
      <c r="P39" s="110"/>
      <c r="Q39" s="110"/>
      <c r="R39" s="1">
        <f t="shared" si="5"/>
        <v>2000</v>
      </c>
      <c r="S39" s="107"/>
      <c r="T39" s="1"/>
      <c r="U39" s="1">
        <f t="shared" si="6"/>
        <v>0</v>
      </c>
      <c r="V39" s="1">
        <f t="shared" si="7"/>
        <v>0</v>
      </c>
      <c r="W39" s="1">
        <f t="shared" si="8"/>
        <v>0</v>
      </c>
      <c r="X39" s="1">
        <f t="shared" si="9"/>
        <v>0</v>
      </c>
      <c r="Y39" s="1">
        <f t="shared" si="10"/>
        <v>0</v>
      </c>
      <c r="Z39" s="1">
        <f t="shared" si="11"/>
        <v>0</v>
      </c>
      <c r="AA39" s="1">
        <f t="shared" si="12"/>
        <v>0</v>
      </c>
      <c r="AB39" s="1">
        <f t="shared" si="13"/>
        <v>0</v>
      </c>
      <c r="AC39" s="1">
        <f t="shared" si="14"/>
        <v>0</v>
      </c>
      <c r="AD39" s="1">
        <f t="shared" si="15"/>
        <v>0</v>
      </c>
      <c r="AE39" s="1">
        <f t="shared" si="16"/>
        <v>200</v>
      </c>
      <c r="AF39" s="1">
        <f t="shared" si="17"/>
        <v>200</v>
      </c>
      <c r="AG39" s="1">
        <f t="shared" si="18"/>
        <v>200</v>
      </c>
      <c r="AH39" s="107"/>
      <c r="AI39" s="1">
        <f t="shared" si="19"/>
        <v>0</v>
      </c>
      <c r="AJ39" s="1">
        <f t="shared" si="20"/>
        <v>0</v>
      </c>
      <c r="AK39" s="1">
        <f t="shared" si="21"/>
        <v>0</v>
      </c>
      <c r="AL39" s="1">
        <f t="shared" si="22"/>
        <v>0</v>
      </c>
      <c r="AM39" s="1">
        <f t="shared" si="23"/>
        <v>0</v>
      </c>
      <c r="AN39" s="1">
        <f t="shared" si="24"/>
        <v>0</v>
      </c>
      <c r="AO39" s="1">
        <f t="shared" si="25"/>
        <v>0</v>
      </c>
      <c r="AP39" s="1">
        <f t="shared" si="26"/>
        <v>0</v>
      </c>
      <c r="AQ39" s="1">
        <f t="shared" si="27"/>
        <v>0</v>
      </c>
      <c r="AR39" s="1">
        <f t="shared" si="28"/>
        <v>0</v>
      </c>
      <c r="AS39" s="1">
        <f t="shared" si="29"/>
        <v>0</v>
      </c>
      <c r="AT39" s="1">
        <f t="shared" si="30"/>
        <v>200</v>
      </c>
      <c r="AU39" s="1">
        <f t="shared" si="31"/>
        <v>400</v>
      </c>
      <c r="AV39" s="1">
        <f t="shared" si="32"/>
        <v>600</v>
      </c>
      <c r="AW39" s="107"/>
      <c r="AX39" s="1">
        <f t="shared" si="33"/>
        <v>0</v>
      </c>
      <c r="AY39" s="1">
        <f t="shared" si="34"/>
        <v>0</v>
      </c>
      <c r="AZ39" s="1">
        <f t="shared" si="35"/>
        <v>0</v>
      </c>
      <c r="BA39" s="1">
        <f t="shared" si="36"/>
        <v>0</v>
      </c>
      <c r="BB39" s="1">
        <f t="shared" si="37"/>
        <v>0</v>
      </c>
      <c r="BC39" s="1">
        <f t="shared" si="38"/>
        <v>0</v>
      </c>
      <c r="BD39" s="1">
        <f t="shared" si="39"/>
        <v>0</v>
      </c>
      <c r="BE39" s="1">
        <f t="shared" si="40"/>
        <v>0</v>
      </c>
      <c r="BF39" s="1">
        <f t="shared" si="41"/>
        <v>0</v>
      </c>
      <c r="BG39" s="1">
        <f t="shared" si="42"/>
        <v>0</v>
      </c>
      <c r="BH39" s="1">
        <f t="shared" si="43"/>
        <v>0</v>
      </c>
      <c r="BI39" s="1">
        <f t="shared" si="44"/>
        <v>200</v>
      </c>
      <c r="BJ39" s="1">
        <f t="shared" si="45"/>
        <v>200</v>
      </c>
      <c r="BK39" s="1">
        <f t="shared" si="46"/>
        <v>200</v>
      </c>
    </row>
    <row r="40" spans="2:63" x14ac:dyDescent="0.25">
      <c r="B40" s="109" t="s">
        <v>209</v>
      </c>
      <c r="C40" s="111">
        <v>0</v>
      </c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>
        <f>+N39</f>
        <v>2000</v>
      </c>
      <c r="P40" s="110"/>
      <c r="Q40" s="110"/>
      <c r="R40" s="1">
        <f t="shared" si="5"/>
        <v>0</v>
      </c>
      <c r="S40" s="107"/>
      <c r="T40" s="1"/>
      <c r="U40" s="1">
        <f t="shared" si="6"/>
        <v>0</v>
      </c>
      <c r="V40" s="1">
        <f t="shared" si="7"/>
        <v>0</v>
      </c>
      <c r="W40" s="1">
        <f t="shared" si="8"/>
        <v>0</v>
      </c>
      <c r="X40" s="1">
        <f t="shared" si="9"/>
        <v>0</v>
      </c>
      <c r="Y40" s="1">
        <f t="shared" si="10"/>
        <v>0</v>
      </c>
      <c r="Z40" s="1">
        <f t="shared" si="11"/>
        <v>0</v>
      </c>
      <c r="AA40" s="1">
        <f t="shared" si="12"/>
        <v>0</v>
      </c>
      <c r="AB40" s="1">
        <f t="shared" si="13"/>
        <v>0</v>
      </c>
      <c r="AC40" s="1">
        <f t="shared" si="14"/>
        <v>0</v>
      </c>
      <c r="AD40" s="1">
        <f t="shared" si="15"/>
        <v>0</v>
      </c>
      <c r="AE40" s="1">
        <f t="shared" si="16"/>
        <v>0</v>
      </c>
      <c r="AF40" s="1">
        <f t="shared" si="17"/>
        <v>0</v>
      </c>
      <c r="AG40" s="1">
        <f t="shared" si="18"/>
        <v>0</v>
      </c>
      <c r="AH40" s="107"/>
      <c r="AI40" s="1">
        <f t="shared" si="19"/>
        <v>0</v>
      </c>
      <c r="AJ40" s="1">
        <f t="shared" si="20"/>
        <v>0</v>
      </c>
      <c r="AK40" s="1">
        <f t="shared" si="21"/>
        <v>0</v>
      </c>
      <c r="AL40" s="1">
        <f t="shared" si="22"/>
        <v>0</v>
      </c>
      <c r="AM40" s="1">
        <f t="shared" si="23"/>
        <v>0</v>
      </c>
      <c r="AN40" s="1">
        <f t="shared" si="24"/>
        <v>0</v>
      </c>
      <c r="AO40" s="1">
        <f t="shared" si="25"/>
        <v>0</v>
      </c>
      <c r="AP40" s="1">
        <f t="shared" si="26"/>
        <v>0</v>
      </c>
      <c r="AQ40" s="1">
        <f t="shared" si="27"/>
        <v>0</v>
      </c>
      <c r="AR40" s="1">
        <f t="shared" si="28"/>
        <v>0</v>
      </c>
      <c r="AS40" s="1">
        <f t="shared" si="29"/>
        <v>0</v>
      </c>
      <c r="AT40" s="1">
        <f t="shared" si="30"/>
        <v>0</v>
      </c>
      <c r="AU40" s="1">
        <f t="shared" si="31"/>
        <v>0</v>
      </c>
      <c r="AV40" s="1">
        <f t="shared" si="32"/>
        <v>0</v>
      </c>
      <c r="AW40" s="107"/>
      <c r="AX40" s="1">
        <f t="shared" si="33"/>
        <v>0</v>
      </c>
      <c r="AY40" s="1">
        <f t="shared" si="34"/>
        <v>0</v>
      </c>
      <c r="AZ40" s="1">
        <f t="shared" si="35"/>
        <v>0</v>
      </c>
      <c r="BA40" s="1">
        <f t="shared" si="36"/>
        <v>0</v>
      </c>
      <c r="BB40" s="1">
        <f t="shared" si="37"/>
        <v>0</v>
      </c>
      <c r="BC40" s="1">
        <f t="shared" si="38"/>
        <v>0</v>
      </c>
      <c r="BD40" s="1">
        <f t="shared" si="39"/>
        <v>0</v>
      </c>
      <c r="BE40" s="1">
        <f t="shared" si="40"/>
        <v>0</v>
      </c>
      <c r="BF40" s="1">
        <f t="shared" si="41"/>
        <v>0</v>
      </c>
      <c r="BG40" s="1">
        <f t="shared" si="42"/>
        <v>0</v>
      </c>
      <c r="BH40" s="1">
        <f t="shared" si="43"/>
        <v>0</v>
      </c>
      <c r="BI40" s="1">
        <f t="shared" si="44"/>
        <v>0</v>
      </c>
      <c r="BJ40" s="1">
        <f t="shared" si="45"/>
        <v>0</v>
      </c>
      <c r="BK40" s="1">
        <f t="shared" si="46"/>
        <v>0</v>
      </c>
    </row>
    <row r="41" spans="2:63" x14ac:dyDescent="0.25">
      <c r="B41" s="109" t="s">
        <v>209</v>
      </c>
      <c r="C41" s="111">
        <v>0</v>
      </c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>
        <f>+O40</f>
        <v>2000</v>
      </c>
      <c r="Q41" s="110"/>
      <c r="R41" s="1">
        <f t="shared" si="5"/>
        <v>0</v>
      </c>
      <c r="S41" s="107"/>
      <c r="T41" s="1"/>
      <c r="U41" s="1">
        <f t="shared" si="6"/>
        <v>0</v>
      </c>
      <c r="V41" s="1">
        <f t="shared" si="7"/>
        <v>0</v>
      </c>
      <c r="W41" s="1">
        <f t="shared" si="8"/>
        <v>0</v>
      </c>
      <c r="X41" s="1">
        <f t="shared" si="9"/>
        <v>0</v>
      </c>
      <c r="Y41" s="1">
        <f t="shared" si="10"/>
        <v>0</v>
      </c>
      <c r="Z41" s="1">
        <f t="shared" si="11"/>
        <v>0</v>
      </c>
      <c r="AA41" s="1">
        <f t="shared" si="12"/>
        <v>0</v>
      </c>
      <c r="AB41" s="1">
        <f t="shared" si="13"/>
        <v>0</v>
      </c>
      <c r="AC41" s="1">
        <f t="shared" si="14"/>
        <v>0</v>
      </c>
      <c r="AD41" s="1">
        <f t="shared" si="15"/>
        <v>0</v>
      </c>
      <c r="AE41" s="1">
        <f t="shared" si="16"/>
        <v>0</v>
      </c>
      <c r="AF41" s="1">
        <f t="shared" si="17"/>
        <v>0</v>
      </c>
      <c r="AG41" s="1">
        <f t="shared" si="18"/>
        <v>0</v>
      </c>
      <c r="AH41" s="107"/>
      <c r="AI41" s="1">
        <f t="shared" si="19"/>
        <v>0</v>
      </c>
      <c r="AJ41" s="1">
        <f t="shared" si="20"/>
        <v>0</v>
      </c>
      <c r="AK41" s="1">
        <f t="shared" si="21"/>
        <v>0</v>
      </c>
      <c r="AL41" s="1">
        <f t="shared" si="22"/>
        <v>0</v>
      </c>
      <c r="AM41" s="1">
        <f t="shared" si="23"/>
        <v>0</v>
      </c>
      <c r="AN41" s="1">
        <f t="shared" si="24"/>
        <v>0</v>
      </c>
      <c r="AO41" s="1">
        <f t="shared" si="25"/>
        <v>0</v>
      </c>
      <c r="AP41" s="1">
        <f t="shared" si="26"/>
        <v>0</v>
      </c>
      <c r="AQ41" s="1">
        <f t="shared" si="27"/>
        <v>0</v>
      </c>
      <c r="AR41" s="1">
        <f t="shared" si="28"/>
        <v>0</v>
      </c>
      <c r="AS41" s="1">
        <f t="shared" si="29"/>
        <v>0</v>
      </c>
      <c r="AT41" s="1">
        <f t="shared" si="30"/>
        <v>0</v>
      </c>
      <c r="AU41" s="1">
        <f t="shared" si="31"/>
        <v>0</v>
      </c>
      <c r="AV41" s="1">
        <f t="shared" si="32"/>
        <v>0</v>
      </c>
      <c r="AW41" s="107"/>
      <c r="AX41" s="1">
        <f t="shared" si="33"/>
        <v>0</v>
      </c>
      <c r="AY41" s="1">
        <f t="shared" si="34"/>
        <v>0</v>
      </c>
      <c r="AZ41" s="1">
        <f t="shared" si="35"/>
        <v>0</v>
      </c>
      <c r="BA41" s="1">
        <f t="shared" si="36"/>
        <v>0</v>
      </c>
      <c r="BB41" s="1">
        <f t="shared" si="37"/>
        <v>0</v>
      </c>
      <c r="BC41" s="1">
        <f t="shared" si="38"/>
        <v>0</v>
      </c>
      <c r="BD41" s="1">
        <f t="shared" si="39"/>
        <v>0</v>
      </c>
      <c r="BE41" s="1">
        <f t="shared" si="40"/>
        <v>0</v>
      </c>
      <c r="BF41" s="1">
        <f t="shared" si="41"/>
        <v>0</v>
      </c>
      <c r="BG41" s="1">
        <f t="shared" si="42"/>
        <v>0</v>
      </c>
      <c r="BH41" s="1">
        <f t="shared" si="43"/>
        <v>0</v>
      </c>
      <c r="BI41" s="1">
        <f t="shared" si="44"/>
        <v>0</v>
      </c>
      <c r="BJ41" s="1">
        <f t="shared" si="45"/>
        <v>0</v>
      </c>
      <c r="BK41" s="1">
        <f t="shared" si="46"/>
        <v>0</v>
      </c>
    </row>
    <row r="42" spans="2:63" x14ac:dyDescent="0.25">
      <c r="B42" s="109" t="s">
        <v>209</v>
      </c>
      <c r="C42" s="111">
        <v>0</v>
      </c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>
        <f>+P41</f>
        <v>2000</v>
      </c>
      <c r="R42" s="1">
        <f t="shared" si="5"/>
        <v>0</v>
      </c>
      <c r="S42" s="107"/>
      <c r="T42" s="1"/>
      <c r="U42" s="1">
        <f t="shared" si="6"/>
        <v>0</v>
      </c>
      <c r="V42" s="1">
        <f t="shared" si="7"/>
        <v>0</v>
      </c>
      <c r="W42" s="1">
        <f t="shared" si="8"/>
        <v>0</v>
      </c>
      <c r="X42" s="1">
        <f t="shared" si="9"/>
        <v>0</v>
      </c>
      <c r="Y42" s="1">
        <f t="shared" si="10"/>
        <v>0</v>
      </c>
      <c r="Z42" s="1">
        <f t="shared" si="11"/>
        <v>0</v>
      </c>
      <c r="AA42" s="1">
        <f t="shared" si="12"/>
        <v>0</v>
      </c>
      <c r="AB42" s="1">
        <f t="shared" si="13"/>
        <v>0</v>
      </c>
      <c r="AC42" s="1">
        <f t="shared" si="14"/>
        <v>0</v>
      </c>
      <c r="AD42" s="1">
        <f t="shared" si="15"/>
        <v>0</v>
      </c>
      <c r="AE42" s="1">
        <f t="shared" si="16"/>
        <v>0</v>
      </c>
      <c r="AF42" s="1">
        <f t="shared" si="17"/>
        <v>0</v>
      </c>
      <c r="AG42" s="1">
        <f t="shared" si="18"/>
        <v>0</v>
      </c>
      <c r="AH42" s="107"/>
      <c r="AI42" s="1">
        <f t="shared" si="19"/>
        <v>0</v>
      </c>
      <c r="AJ42" s="1">
        <f t="shared" si="20"/>
        <v>0</v>
      </c>
      <c r="AK42" s="1">
        <f t="shared" si="21"/>
        <v>0</v>
      </c>
      <c r="AL42" s="1">
        <f t="shared" si="22"/>
        <v>0</v>
      </c>
      <c r="AM42" s="1">
        <f t="shared" si="23"/>
        <v>0</v>
      </c>
      <c r="AN42" s="1">
        <f t="shared" si="24"/>
        <v>0</v>
      </c>
      <c r="AO42" s="1">
        <f t="shared" si="25"/>
        <v>0</v>
      </c>
      <c r="AP42" s="1">
        <f t="shared" si="26"/>
        <v>0</v>
      </c>
      <c r="AQ42" s="1">
        <f t="shared" si="27"/>
        <v>0</v>
      </c>
      <c r="AR42" s="1">
        <f t="shared" si="28"/>
        <v>0</v>
      </c>
      <c r="AS42" s="1">
        <f t="shared" si="29"/>
        <v>0</v>
      </c>
      <c r="AT42" s="1">
        <f t="shared" si="30"/>
        <v>0</v>
      </c>
      <c r="AU42" s="1">
        <f t="shared" si="31"/>
        <v>0</v>
      </c>
      <c r="AV42" s="1">
        <f t="shared" si="32"/>
        <v>0</v>
      </c>
      <c r="AW42" s="107"/>
      <c r="AX42" s="1">
        <f t="shared" si="33"/>
        <v>0</v>
      </c>
      <c r="AY42" s="1">
        <f t="shared" si="34"/>
        <v>0</v>
      </c>
      <c r="AZ42" s="1">
        <f t="shared" si="35"/>
        <v>0</v>
      </c>
      <c r="BA42" s="1">
        <f t="shared" si="36"/>
        <v>0</v>
      </c>
      <c r="BB42" s="1">
        <f t="shared" si="37"/>
        <v>0</v>
      </c>
      <c r="BC42" s="1">
        <f t="shared" si="38"/>
        <v>0</v>
      </c>
      <c r="BD42" s="1">
        <f t="shared" si="39"/>
        <v>0</v>
      </c>
      <c r="BE42" s="1">
        <f t="shared" si="40"/>
        <v>0</v>
      </c>
      <c r="BF42" s="1">
        <f t="shared" si="41"/>
        <v>0</v>
      </c>
      <c r="BG42" s="1">
        <f t="shared" si="42"/>
        <v>0</v>
      </c>
      <c r="BH42" s="1">
        <f t="shared" si="43"/>
        <v>0</v>
      </c>
      <c r="BI42" s="1">
        <f t="shared" si="44"/>
        <v>0</v>
      </c>
      <c r="BJ42" s="1">
        <f t="shared" si="45"/>
        <v>0</v>
      </c>
      <c r="BK42" s="1">
        <f t="shared" si="46"/>
        <v>0</v>
      </c>
    </row>
    <row r="43" spans="2:63" x14ac:dyDescent="0.25">
      <c r="B43" s="109" t="s">
        <v>209</v>
      </c>
      <c r="C43" s="111">
        <v>0</v>
      </c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">
        <f t="shared" si="5"/>
        <v>0</v>
      </c>
      <c r="S43" s="107"/>
      <c r="T43" s="1"/>
      <c r="U43" s="1">
        <f t="shared" si="6"/>
        <v>0</v>
      </c>
      <c r="V43" s="1">
        <f t="shared" si="7"/>
        <v>0</v>
      </c>
      <c r="W43" s="1">
        <f t="shared" si="8"/>
        <v>0</v>
      </c>
      <c r="X43" s="1">
        <f t="shared" si="9"/>
        <v>0</v>
      </c>
      <c r="Y43" s="1">
        <f t="shared" si="10"/>
        <v>0</v>
      </c>
      <c r="Z43" s="1">
        <f t="shared" si="11"/>
        <v>0</v>
      </c>
      <c r="AA43" s="1">
        <f t="shared" si="12"/>
        <v>0</v>
      </c>
      <c r="AB43" s="1">
        <f t="shared" si="13"/>
        <v>0</v>
      </c>
      <c r="AC43" s="1">
        <f t="shared" si="14"/>
        <v>0</v>
      </c>
      <c r="AD43" s="1">
        <f t="shared" si="15"/>
        <v>0</v>
      </c>
      <c r="AE43" s="1">
        <f t="shared" si="16"/>
        <v>0</v>
      </c>
      <c r="AF43" s="1">
        <f t="shared" si="17"/>
        <v>0</v>
      </c>
      <c r="AG43" s="1">
        <f t="shared" si="18"/>
        <v>0</v>
      </c>
      <c r="AH43" s="107"/>
      <c r="AI43" s="1">
        <f t="shared" si="19"/>
        <v>0</v>
      </c>
      <c r="AJ43" s="1">
        <f t="shared" si="20"/>
        <v>0</v>
      </c>
      <c r="AK43" s="1">
        <f t="shared" si="21"/>
        <v>0</v>
      </c>
      <c r="AL43" s="1">
        <f t="shared" si="22"/>
        <v>0</v>
      </c>
      <c r="AM43" s="1">
        <f t="shared" si="23"/>
        <v>0</v>
      </c>
      <c r="AN43" s="1">
        <f t="shared" si="24"/>
        <v>0</v>
      </c>
      <c r="AO43" s="1">
        <f t="shared" si="25"/>
        <v>0</v>
      </c>
      <c r="AP43" s="1">
        <f t="shared" si="26"/>
        <v>0</v>
      </c>
      <c r="AQ43" s="1">
        <f t="shared" si="27"/>
        <v>0</v>
      </c>
      <c r="AR43" s="1">
        <f t="shared" si="28"/>
        <v>0</v>
      </c>
      <c r="AS43" s="1">
        <f t="shared" si="29"/>
        <v>0</v>
      </c>
      <c r="AT43" s="1">
        <f t="shared" si="30"/>
        <v>0</v>
      </c>
      <c r="AU43" s="1">
        <f t="shared" si="31"/>
        <v>0</v>
      </c>
      <c r="AV43" s="1">
        <f t="shared" si="32"/>
        <v>0</v>
      </c>
      <c r="AW43" s="107"/>
      <c r="AX43" s="1">
        <f t="shared" si="33"/>
        <v>0</v>
      </c>
      <c r="AY43" s="1">
        <f t="shared" si="34"/>
        <v>0</v>
      </c>
      <c r="AZ43" s="1">
        <f t="shared" si="35"/>
        <v>0</v>
      </c>
      <c r="BA43" s="1">
        <f t="shared" si="36"/>
        <v>0</v>
      </c>
      <c r="BB43" s="1">
        <f t="shared" si="37"/>
        <v>0</v>
      </c>
      <c r="BC43" s="1">
        <f t="shared" si="38"/>
        <v>0</v>
      </c>
      <c r="BD43" s="1">
        <f t="shared" si="39"/>
        <v>0</v>
      </c>
      <c r="BE43" s="1">
        <f t="shared" si="40"/>
        <v>0</v>
      </c>
      <c r="BF43" s="1">
        <f t="shared" si="41"/>
        <v>0</v>
      </c>
      <c r="BG43" s="1">
        <f t="shared" si="42"/>
        <v>0</v>
      </c>
      <c r="BH43" s="1">
        <f t="shared" si="43"/>
        <v>0</v>
      </c>
      <c r="BI43" s="1">
        <f t="shared" si="44"/>
        <v>0</v>
      </c>
      <c r="BJ43" s="1">
        <f t="shared" si="45"/>
        <v>0</v>
      </c>
      <c r="BK43" s="1">
        <f t="shared" si="46"/>
        <v>0</v>
      </c>
    </row>
    <row r="44" spans="2:63" x14ac:dyDescent="0.25">
      <c r="B44" s="109" t="s">
        <v>209</v>
      </c>
      <c r="C44" s="111">
        <v>0</v>
      </c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">
        <f t="shared" si="5"/>
        <v>0</v>
      </c>
      <c r="S44" s="107"/>
      <c r="T44" s="1"/>
      <c r="U44" s="1">
        <f t="shared" si="6"/>
        <v>0</v>
      </c>
      <c r="V44" s="1">
        <f t="shared" si="7"/>
        <v>0</v>
      </c>
      <c r="W44" s="1">
        <f t="shared" si="8"/>
        <v>0</v>
      </c>
      <c r="X44" s="1">
        <f t="shared" si="9"/>
        <v>0</v>
      </c>
      <c r="Y44" s="1">
        <f t="shared" si="10"/>
        <v>0</v>
      </c>
      <c r="Z44" s="1">
        <f t="shared" si="11"/>
        <v>0</v>
      </c>
      <c r="AA44" s="1">
        <f t="shared" si="12"/>
        <v>0</v>
      </c>
      <c r="AB44" s="1">
        <f t="shared" si="13"/>
        <v>0</v>
      </c>
      <c r="AC44" s="1">
        <f t="shared" si="14"/>
        <v>0</v>
      </c>
      <c r="AD44" s="1">
        <f t="shared" si="15"/>
        <v>0</v>
      </c>
      <c r="AE44" s="1">
        <f t="shared" si="16"/>
        <v>0</v>
      </c>
      <c r="AF44" s="1">
        <f t="shared" si="17"/>
        <v>0</v>
      </c>
      <c r="AG44" s="1">
        <f t="shared" si="18"/>
        <v>0</v>
      </c>
      <c r="AH44" s="107"/>
      <c r="AI44" s="1">
        <f t="shared" si="19"/>
        <v>0</v>
      </c>
      <c r="AJ44" s="1">
        <f t="shared" si="20"/>
        <v>0</v>
      </c>
      <c r="AK44" s="1">
        <f t="shared" si="21"/>
        <v>0</v>
      </c>
      <c r="AL44" s="1">
        <f t="shared" si="22"/>
        <v>0</v>
      </c>
      <c r="AM44" s="1">
        <f t="shared" si="23"/>
        <v>0</v>
      </c>
      <c r="AN44" s="1">
        <f t="shared" si="24"/>
        <v>0</v>
      </c>
      <c r="AO44" s="1">
        <f t="shared" si="25"/>
        <v>0</v>
      </c>
      <c r="AP44" s="1">
        <f t="shared" si="26"/>
        <v>0</v>
      </c>
      <c r="AQ44" s="1">
        <f t="shared" si="27"/>
        <v>0</v>
      </c>
      <c r="AR44" s="1">
        <f t="shared" si="28"/>
        <v>0</v>
      </c>
      <c r="AS44" s="1">
        <f t="shared" si="29"/>
        <v>0</v>
      </c>
      <c r="AT44" s="1">
        <f t="shared" si="30"/>
        <v>0</v>
      </c>
      <c r="AU44" s="1">
        <f t="shared" si="31"/>
        <v>0</v>
      </c>
      <c r="AV44" s="1">
        <f t="shared" si="32"/>
        <v>0</v>
      </c>
      <c r="AW44" s="107"/>
      <c r="AX44" s="1">
        <f t="shared" si="33"/>
        <v>0</v>
      </c>
      <c r="AY44" s="1">
        <f t="shared" si="34"/>
        <v>0</v>
      </c>
      <c r="AZ44" s="1">
        <f t="shared" si="35"/>
        <v>0</v>
      </c>
      <c r="BA44" s="1">
        <f t="shared" si="36"/>
        <v>0</v>
      </c>
      <c r="BB44" s="1">
        <f t="shared" si="37"/>
        <v>0</v>
      </c>
      <c r="BC44" s="1">
        <f t="shared" si="38"/>
        <v>0</v>
      </c>
      <c r="BD44" s="1">
        <f t="shared" si="39"/>
        <v>0</v>
      </c>
      <c r="BE44" s="1">
        <f t="shared" si="40"/>
        <v>0</v>
      </c>
      <c r="BF44" s="1">
        <f t="shared" si="41"/>
        <v>0</v>
      </c>
      <c r="BG44" s="1">
        <f t="shared" si="42"/>
        <v>0</v>
      </c>
      <c r="BH44" s="1">
        <f t="shared" si="43"/>
        <v>0</v>
      </c>
      <c r="BI44" s="1">
        <f t="shared" si="44"/>
        <v>0</v>
      </c>
      <c r="BJ44" s="1">
        <f t="shared" si="45"/>
        <v>0</v>
      </c>
      <c r="BK44" s="1">
        <f t="shared" si="46"/>
        <v>0</v>
      </c>
    </row>
    <row r="45" spans="2:63" x14ac:dyDescent="0.25">
      <c r="B45" s="109" t="s">
        <v>209</v>
      </c>
      <c r="C45" s="111">
        <v>0</v>
      </c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">
        <f t="shared" si="5"/>
        <v>0</v>
      </c>
      <c r="S45" s="107"/>
      <c r="T45" s="1"/>
      <c r="U45" s="1">
        <f t="shared" si="6"/>
        <v>0</v>
      </c>
      <c r="V45" s="1">
        <f t="shared" si="7"/>
        <v>0</v>
      </c>
      <c r="W45" s="1">
        <f t="shared" si="8"/>
        <v>0</v>
      </c>
      <c r="X45" s="1">
        <f t="shared" si="9"/>
        <v>0</v>
      </c>
      <c r="Y45" s="1">
        <f t="shared" si="10"/>
        <v>0</v>
      </c>
      <c r="Z45" s="1">
        <f t="shared" si="11"/>
        <v>0</v>
      </c>
      <c r="AA45" s="1">
        <f t="shared" si="12"/>
        <v>0</v>
      </c>
      <c r="AB45" s="1">
        <f t="shared" si="13"/>
        <v>0</v>
      </c>
      <c r="AC45" s="1">
        <f t="shared" si="14"/>
        <v>0</v>
      </c>
      <c r="AD45" s="1">
        <f t="shared" si="15"/>
        <v>0</v>
      </c>
      <c r="AE45" s="1">
        <f t="shared" si="16"/>
        <v>0</v>
      </c>
      <c r="AF45" s="1">
        <f t="shared" si="17"/>
        <v>0</v>
      </c>
      <c r="AG45" s="1">
        <f t="shared" si="18"/>
        <v>0</v>
      </c>
      <c r="AH45" s="107"/>
      <c r="AI45" s="1">
        <f t="shared" si="19"/>
        <v>0</v>
      </c>
      <c r="AJ45" s="1">
        <f t="shared" si="20"/>
        <v>0</v>
      </c>
      <c r="AK45" s="1">
        <f t="shared" si="21"/>
        <v>0</v>
      </c>
      <c r="AL45" s="1">
        <f t="shared" si="22"/>
        <v>0</v>
      </c>
      <c r="AM45" s="1">
        <f t="shared" si="23"/>
        <v>0</v>
      </c>
      <c r="AN45" s="1">
        <f t="shared" si="24"/>
        <v>0</v>
      </c>
      <c r="AO45" s="1">
        <f t="shared" si="25"/>
        <v>0</v>
      </c>
      <c r="AP45" s="1">
        <f t="shared" si="26"/>
        <v>0</v>
      </c>
      <c r="AQ45" s="1">
        <f t="shared" si="27"/>
        <v>0</v>
      </c>
      <c r="AR45" s="1">
        <f t="shared" si="28"/>
        <v>0</v>
      </c>
      <c r="AS45" s="1">
        <f t="shared" si="29"/>
        <v>0</v>
      </c>
      <c r="AT45" s="1">
        <f t="shared" si="30"/>
        <v>0</v>
      </c>
      <c r="AU45" s="1">
        <f t="shared" si="31"/>
        <v>0</v>
      </c>
      <c r="AV45" s="1">
        <f t="shared" si="32"/>
        <v>0</v>
      </c>
      <c r="AW45" s="107"/>
      <c r="AX45" s="1">
        <f t="shared" si="33"/>
        <v>0</v>
      </c>
      <c r="AY45" s="1">
        <f t="shared" si="34"/>
        <v>0</v>
      </c>
      <c r="AZ45" s="1">
        <f t="shared" si="35"/>
        <v>0</v>
      </c>
      <c r="BA45" s="1">
        <f t="shared" si="36"/>
        <v>0</v>
      </c>
      <c r="BB45" s="1">
        <f t="shared" si="37"/>
        <v>0</v>
      </c>
      <c r="BC45" s="1">
        <f t="shared" si="38"/>
        <v>0</v>
      </c>
      <c r="BD45" s="1">
        <f t="shared" si="39"/>
        <v>0</v>
      </c>
      <c r="BE45" s="1">
        <f t="shared" si="40"/>
        <v>0</v>
      </c>
      <c r="BF45" s="1">
        <f t="shared" si="41"/>
        <v>0</v>
      </c>
      <c r="BG45" s="1">
        <f t="shared" si="42"/>
        <v>0</v>
      </c>
      <c r="BH45" s="1">
        <f t="shared" si="43"/>
        <v>0</v>
      </c>
      <c r="BI45" s="1">
        <f t="shared" si="44"/>
        <v>0</v>
      </c>
      <c r="BJ45" s="1">
        <f t="shared" si="45"/>
        <v>0</v>
      </c>
      <c r="BK45" s="1">
        <f t="shared" si="46"/>
        <v>0</v>
      </c>
    </row>
    <row r="46" spans="2:63" x14ac:dyDescent="0.25">
      <c r="B46" s="109" t="s">
        <v>209</v>
      </c>
      <c r="C46" s="111">
        <v>0</v>
      </c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">
        <f t="shared" si="5"/>
        <v>0</v>
      </c>
      <c r="S46" s="107"/>
      <c r="T46" s="1"/>
      <c r="U46" s="1">
        <f t="shared" si="6"/>
        <v>0</v>
      </c>
      <c r="V46" s="1">
        <f t="shared" si="7"/>
        <v>0</v>
      </c>
      <c r="W46" s="1">
        <f t="shared" si="8"/>
        <v>0</v>
      </c>
      <c r="X46" s="1">
        <f t="shared" si="9"/>
        <v>0</v>
      </c>
      <c r="Y46" s="1">
        <f t="shared" si="10"/>
        <v>0</v>
      </c>
      <c r="Z46" s="1">
        <f t="shared" si="11"/>
        <v>0</v>
      </c>
      <c r="AA46" s="1">
        <f t="shared" si="12"/>
        <v>0</v>
      </c>
      <c r="AB46" s="1">
        <f t="shared" si="13"/>
        <v>0</v>
      </c>
      <c r="AC46" s="1">
        <f t="shared" si="14"/>
        <v>0</v>
      </c>
      <c r="AD46" s="1">
        <f t="shared" si="15"/>
        <v>0</v>
      </c>
      <c r="AE46" s="1">
        <f t="shared" si="16"/>
        <v>0</v>
      </c>
      <c r="AF46" s="1">
        <f t="shared" si="17"/>
        <v>0</v>
      </c>
      <c r="AG46" s="1">
        <f t="shared" si="18"/>
        <v>0</v>
      </c>
      <c r="AH46" s="107"/>
      <c r="AI46" s="1">
        <f t="shared" si="19"/>
        <v>0</v>
      </c>
      <c r="AJ46" s="1">
        <f t="shared" si="20"/>
        <v>0</v>
      </c>
      <c r="AK46" s="1">
        <f t="shared" si="21"/>
        <v>0</v>
      </c>
      <c r="AL46" s="1">
        <f t="shared" si="22"/>
        <v>0</v>
      </c>
      <c r="AM46" s="1">
        <f t="shared" si="23"/>
        <v>0</v>
      </c>
      <c r="AN46" s="1">
        <f t="shared" si="24"/>
        <v>0</v>
      </c>
      <c r="AO46" s="1">
        <f t="shared" si="25"/>
        <v>0</v>
      </c>
      <c r="AP46" s="1">
        <f t="shared" si="26"/>
        <v>0</v>
      </c>
      <c r="AQ46" s="1">
        <f t="shared" si="27"/>
        <v>0</v>
      </c>
      <c r="AR46" s="1">
        <f t="shared" si="28"/>
        <v>0</v>
      </c>
      <c r="AS46" s="1">
        <f t="shared" si="29"/>
        <v>0</v>
      </c>
      <c r="AT46" s="1">
        <f t="shared" si="30"/>
        <v>0</v>
      </c>
      <c r="AU46" s="1">
        <f t="shared" si="31"/>
        <v>0</v>
      </c>
      <c r="AV46" s="1">
        <f t="shared" si="32"/>
        <v>0</v>
      </c>
      <c r="AW46" s="107"/>
      <c r="AX46" s="1">
        <f t="shared" si="33"/>
        <v>0</v>
      </c>
      <c r="AY46" s="1">
        <f t="shared" si="34"/>
        <v>0</v>
      </c>
      <c r="AZ46" s="1">
        <f t="shared" si="35"/>
        <v>0</v>
      </c>
      <c r="BA46" s="1">
        <f t="shared" si="36"/>
        <v>0</v>
      </c>
      <c r="BB46" s="1">
        <f t="shared" si="37"/>
        <v>0</v>
      </c>
      <c r="BC46" s="1">
        <f t="shared" si="38"/>
        <v>0</v>
      </c>
      <c r="BD46" s="1">
        <f t="shared" si="39"/>
        <v>0</v>
      </c>
      <c r="BE46" s="1">
        <f t="shared" si="40"/>
        <v>0</v>
      </c>
      <c r="BF46" s="1">
        <f t="shared" si="41"/>
        <v>0</v>
      </c>
      <c r="BG46" s="1">
        <f t="shared" si="42"/>
        <v>0</v>
      </c>
      <c r="BH46" s="1">
        <f t="shared" si="43"/>
        <v>0</v>
      </c>
      <c r="BI46" s="1">
        <f t="shared" si="44"/>
        <v>0</v>
      </c>
      <c r="BJ46" s="1">
        <f t="shared" si="45"/>
        <v>0</v>
      </c>
      <c r="BK46" s="1">
        <f t="shared" si="46"/>
        <v>0</v>
      </c>
    </row>
    <row r="47" spans="2:63" x14ac:dyDescent="0.25">
      <c r="B47" s="109" t="s">
        <v>209</v>
      </c>
      <c r="C47" s="111">
        <v>0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">
        <f t="shared" si="5"/>
        <v>0</v>
      </c>
      <c r="S47" s="107"/>
      <c r="T47" s="1"/>
      <c r="U47" s="1">
        <f t="shared" si="6"/>
        <v>0</v>
      </c>
      <c r="V47" s="1">
        <f t="shared" si="7"/>
        <v>0</v>
      </c>
      <c r="W47" s="1">
        <f t="shared" si="8"/>
        <v>0</v>
      </c>
      <c r="X47" s="1">
        <f t="shared" si="9"/>
        <v>0</v>
      </c>
      <c r="Y47" s="1">
        <f t="shared" si="10"/>
        <v>0</v>
      </c>
      <c r="Z47" s="1">
        <f t="shared" si="11"/>
        <v>0</v>
      </c>
      <c r="AA47" s="1">
        <f t="shared" si="12"/>
        <v>0</v>
      </c>
      <c r="AB47" s="1">
        <f t="shared" si="13"/>
        <v>0</v>
      </c>
      <c r="AC47" s="1">
        <f t="shared" si="14"/>
        <v>0</v>
      </c>
      <c r="AD47" s="1">
        <f t="shared" si="15"/>
        <v>0</v>
      </c>
      <c r="AE47" s="1">
        <f t="shared" si="16"/>
        <v>0</v>
      </c>
      <c r="AF47" s="1">
        <f t="shared" si="17"/>
        <v>0</v>
      </c>
      <c r="AG47" s="1">
        <f t="shared" si="18"/>
        <v>0</v>
      </c>
      <c r="AH47" s="107"/>
      <c r="AI47" s="1">
        <f t="shared" si="19"/>
        <v>0</v>
      </c>
      <c r="AJ47" s="1">
        <f t="shared" si="20"/>
        <v>0</v>
      </c>
      <c r="AK47" s="1">
        <f t="shared" si="21"/>
        <v>0</v>
      </c>
      <c r="AL47" s="1">
        <f t="shared" si="22"/>
        <v>0</v>
      </c>
      <c r="AM47" s="1">
        <f t="shared" si="23"/>
        <v>0</v>
      </c>
      <c r="AN47" s="1">
        <f t="shared" si="24"/>
        <v>0</v>
      </c>
      <c r="AO47" s="1">
        <f t="shared" si="25"/>
        <v>0</v>
      </c>
      <c r="AP47" s="1">
        <f t="shared" si="26"/>
        <v>0</v>
      </c>
      <c r="AQ47" s="1">
        <f t="shared" si="27"/>
        <v>0</v>
      </c>
      <c r="AR47" s="1">
        <f t="shared" si="28"/>
        <v>0</v>
      </c>
      <c r="AS47" s="1">
        <f t="shared" si="29"/>
        <v>0</v>
      </c>
      <c r="AT47" s="1">
        <f t="shared" si="30"/>
        <v>0</v>
      </c>
      <c r="AU47" s="1">
        <f t="shared" si="31"/>
        <v>0</v>
      </c>
      <c r="AV47" s="1">
        <f t="shared" si="32"/>
        <v>0</v>
      </c>
      <c r="AW47" s="107"/>
      <c r="AX47" s="1">
        <f t="shared" si="33"/>
        <v>0</v>
      </c>
      <c r="AY47" s="1">
        <f t="shared" si="34"/>
        <v>0</v>
      </c>
      <c r="AZ47" s="1">
        <f t="shared" si="35"/>
        <v>0</v>
      </c>
      <c r="BA47" s="1">
        <f t="shared" si="36"/>
        <v>0</v>
      </c>
      <c r="BB47" s="1">
        <f t="shared" si="37"/>
        <v>0</v>
      </c>
      <c r="BC47" s="1">
        <f t="shared" si="38"/>
        <v>0</v>
      </c>
      <c r="BD47" s="1">
        <f t="shared" si="39"/>
        <v>0</v>
      </c>
      <c r="BE47" s="1">
        <f t="shared" si="40"/>
        <v>0</v>
      </c>
      <c r="BF47" s="1">
        <f t="shared" si="41"/>
        <v>0</v>
      </c>
      <c r="BG47" s="1">
        <f t="shared" si="42"/>
        <v>0</v>
      </c>
      <c r="BH47" s="1">
        <f t="shared" si="43"/>
        <v>0</v>
      </c>
      <c r="BI47" s="1">
        <f t="shared" si="44"/>
        <v>0</v>
      </c>
      <c r="BJ47" s="1">
        <f t="shared" si="45"/>
        <v>0</v>
      </c>
      <c r="BK47" s="1">
        <f t="shared" si="46"/>
        <v>0</v>
      </c>
    </row>
    <row r="48" spans="2:63" x14ac:dyDescent="0.25">
      <c r="B48" s="109" t="s">
        <v>209</v>
      </c>
      <c r="C48" s="111">
        <v>0</v>
      </c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">
        <f t="shared" si="5"/>
        <v>0</v>
      </c>
      <c r="S48" s="107"/>
      <c r="T48" s="1"/>
      <c r="U48" s="1">
        <f t="shared" si="6"/>
        <v>0</v>
      </c>
      <c r="V48" s="1">
        <f t="shared" si="7"/>
        <v>0</v>
      </c>
      <c r="W48" s="1">
        <f t="shared" si="8"/>
        <v>0</v>
      </c>
      <c r="X48" s="1">
        <f t="shared" si="9"/>
        <v>0</v>
      </c>
      <c r="Y48" s="1">
        <f t="shared" si="10"/>
        <v>0</v>
      </c>
      <c r="Z48" s="1">
        <f t="shared" si="11"/>
        <v>0</v>
      </c>
      <c r="AA48" s="1">
        <f t="shared" si="12"/>
        <v>0</v>
      </c>
      <c r="AB48" s="1">
        <f t="shared" si="13"/>
        <v>0</v>
      </c>
      <c r="AC48" s="1">
        <f t="shared" si="14"/>
        <v>0</v>
      </c>
      <c r="AD48" s="1">
        <f t="shared" si="15"/>
        <v>0</v>
      </c>
      <c r="AE48" s="1">
        <f t="shared" si="16"/>
        <v>0</v>
      </c>
      <c r="AF48" s="1">
        <f t="shared" si="17"/>
        <v>0</v>
      </c>
      <c r="AG48" s="1">
        <f t="shared" si="18"/>
        <v>0</v>
      </c>
      <c r="AH48" s="107"/>
      <c r="AI48" s="1">
        <f t="shared" si="19"/>
        <v>0</v>
      </c>
      <c r="AJ48" s="1">
        <f t="shared" si="20"/>
        <v>0</v>
      </c>
      <c r="AK48" s="1">
        <f t="shared" si="21"/>
        <v>0</v>
      </c>
      <c r="AL48" s="1">
        <f t="shared" si="22"/>
        <v>0</v>
      </c>
      <c r="AM48" s="1">
        <f t="shared" si="23"/>
        <v>0</v>
      </c>
      <c r="AN48" s="1">
        <f t="shared" si="24"/>
        <v>0</v>
      </c>
      <c r="AO48" s="1">
        <f t="shared" si="25"/>
        <v>0</v>
      </c>
      <c r="AP48" s="1">
        <f t="shared" si="26"/>
        <v>0</v>
      </c>
      <c r="AQ48" s="1">
        <f t="shared" si="27"/>
        <v>0</v>
      </c>
      <c r="AR48" s="1">
        <f t="shared" si="28"/>
        <v>0</v>
      </c>
      <c r="AS48" s="1">
        <f t="shared" si="29"/>
        <v>0</v>
      </c>
      <c r="AT48" s="1">
        <f t="shared" si="30"/>
        <v>0</v>
      </c>
      <c r="AU48" s="1">
        <f t="shared" si="31"/>
        <v>0</v>
      </c>
      <c r="AV48" s="1">
        <f t="shared" si="32"/>
        <v>0</v>
      </c>
      <c r="AW48" s="107"/>
      <c r="AX48" s="1">
        <f t="shared" si="33"/>
        <v>0</v>
      </c>
      <c r="AY48" s="1">
        <f t="shared" si="34"/>
        <v>0</v>
      </c>
      <c r="AZ48" s="1">
        <f t="shared" si="35"/>
        <v>0</v>
      </c>
      <c r="BA48" s="1">
        <f t="shared" si="36"/>
        <v>0</v>
      </c>
      <c r="BB48" s="1">
        <f t="shared" si="37"/>
        <v>0</v>
      </c>
      <c r="BC48" s="1">
        <f t="shared" si="38"/>
        <v>0</v>
      </c>
      <c r="BD48" s="1">
        <f t="shared" si="39"/>
        <v>0</v>
      </c>
      <c r="BE48" s="1">
        <f t="shared" si="40"/>
        <v>0</v>
      </c>
      <c r="BF48" s="1">
        <f t="shared" si="41"/>
        <v>0</v>
      </c>
      <c r="BG48" s="1">
        <f t="shared" si="42"/>
        <v>0</v>
      </c>
      <c r="BH48" s="1">
        <f t="shared" si="43"/>
        <v>0</v>
      </c>
      <c r="BI48" s="1">
        <f t="shared" si="44"/>
        <v>0</v>
      </c>
      <c r="BJ48" s="1">
        <f t="shared" si="45"/>
        <v>0</v>
      </c>
      <c r="BK48" s="1">
        <f t="shared" si="46"/>
        <v>0</v>
      </c>
    </row>
    <row r="49" spans="2:63" x14ac:dyDescent="0.25">
      <c r="B49" s="109" t="s">
        <v>209</v>
      </c>
      <c r="C49" s="111">
        <v>0</v>
      </c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">
        <f t="shared" si="5"/>
        <v>0</v>
      </c>
      <c r="S49" s="107"/>
      <c r="T49" s="1"/>
      <c r="U49" s="1">
        <f t="shared" si="6"/>
        <v>0</v>
      </c>
      <c r="V49" s="1">
        <f t="shared" si="7"/>
        <v>0</v>
      </c>
      <c r="W49" s="1">
        <f t="shared" si="8"/>
        <v>0</v>
      </c>
      <c r="X49" s="1">
        <f t="shared" si="9"/>
        <v>0</v>
      </c>
      <c r="Y49" s="1">
        <f t="shared" si="10"/>
        <v>0</v>
      </c>
      <c r="Z49" s="1">
        <f t="shared" si="11"/>
        <v>0</v>
      </c>
      <c r="AA49" s="1">
        <f t="shared" si="12"/>
        <v>0</v>
      </c>
      <c r="AB49" s="1">
        <f t="shared" si="13"/>
        <v>0</v>
      </c>
      <c r="AC49" s="1">
        <f t="shared" si="14"/>
        <v>0</v>
      </c>
      <c r="AD49" s="1">
        <f t="shared" si="15"/>
        <v>0</v>
      </c>
      <c r="AE49" s="1">
        <f t="shared" si="16"/>
        <v>0</v>
      </c>
      <c r="AF49" s="1">
        <f t="shared" si="17"/>
        <v>0</v>
      </c>
      <c r="AG49" s="1">
        <f t="shared" si="18"/>
        <v>0</v>
      </c>
      <c r="AH49" s="107"/>
      <c r="AI49" s="1">
        <f t="shared" si="19"/>
        <v>0</v>
      </c>
      <c r="AJ49" s="1">
        <f t="shared" si="20"/>
        <v>0</v>
      </c>
      <c r="AK49" s="1">
        <f t="shared" si="21"/>
        <v>0</v>
      </c>
      <c r="AL49" s="1">
        <f t="shared" si="22"/>
        <v>0</v>
      </c>
      <c r="AM49" s="1">
        <f t="shared" si="23"/>
        <v>0</v>
      </c>
      <c r="AN49" s="1">
        <f t="shared" si="24"/>
        <v>0</v>
      </c>
      <c r="AO49" s="1">
        <f t="shared" si="25"/>
        <v>0</v>
      </c>
      <c r="AP49" s="1">
        <f t="shared" si="26"/>
        <v>0</v>
      </c>
      <c r="AQ49" s="1">
        <f t="shared" si="27"/>
        <v>0</v>
      </c>
      <c r="AR49" s="1">
        <f t="shared" si="28"/>
        <v>0</v>
      </c>
      <c r="AS49" s="1">
        <f t="shared" si="29"/>
        <v>0</v>
      </c>
      <c r="AT49" s="1">
        <f t="shared" si="30"/>
        <v>0</v>
      </c>
      <c r="AU49" s="1">
        <f t="shared" si="31"/>
        <v>0</v>
      </c>
      <c r="AV49" s="1">
        <f t="shared" si="32"/>
        <v>0</v>
      </c>
      <c r="AW49" s="107"/>
      <c r="AX49" s="1">
        <f t="shared" si="33"/>
        <v>0</v>
      </c>
      <c r="AY49" s="1">
        <f t="shared" si="34"/>
        <v>0</v>
      </c>
      <c r="AZ49" s="1">
        <f t="shared" si="35"/>
        <v>0</v>
      </c>
      <c r="BA49" s="1">
        <f t="shared" si="36"/>
        <v>0</v>
      </c>
      <c r="BB49" s="1">
        <f t="shared" si="37"/>
        <v>0</v>
      </c>
      <c r="BC49" s="1">
        <f t="shared" si="38"/>
        <v>0</v>
      </c>
      <c r="BD49" s="1">
        <f t="shared" si="39"/>
        <v>0</v>
      </c>
      <c r="BE49" s="1">
        <f t="shared" si="40"/>
        <v>0</v>
      </c>
      <c r="BF49" s="1">
        <f t="shared" si="41"/>
        <v>0</v>
      </c>
      <c r="BG49" s="1">
        <f t="shared" si="42"/>
        <v>0</v>
      </c>
      <c r="BH49" s="1">
        <f t="shared" si="43"/>
        <v>0</v>
      </c>
      <c r="BI49" s="1">
        <f t="shared" si="44"/>
        <v>0</v>
      </c>
      <c r="BJ49" s="1">
        <f t="shared" si="45"/>
        <v>0</v>
      </c>
      <c r="BK49" s="1">
        <f t="shared" si="46"/>
        <v>0</v>
      </c>
    </row>
    <row r="50" spans="2:63" x14ac:dyDescent="0.25">
      <c r="B50" s="109" t="s">
        <v>209</v>
      </c>
      <c r="C50" s="111">
        <v>0</v>
      </c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">
        <f t="shared" si="5"/>
        <v>0</v>
      </c>
      <c r="S50" s="107"/>
      <c r="T50" s="1"/>
      <c r="U50" s="1">
        <f t="shared" si="6"/>
        <v>0</v>
      </c>
      <c r="V50" s="1">
        <f t="shared" si="7"/>
        <v>0</v>
      </c>
      <c r="W50" s="1">
        <f t="shared" si="8"/>
        <v>0</v>
      </c>
      <c r="X50" s="1">
        <f t="shared" si="9"/>
        <v>0</v>
      </c>
      <c r="Y50" s="1">
        <f t="shared" si="10"/>
        <v>0</v>
      </c>
      <c r="Z50" s="1">
        <f t="shared" si="11"/>
        <v>0</v>
      </c>
      <c r="AA50" s="1">
        <f t="shared" si="12"/>
        <v>0</v>
      </c>
      <c r="AB50" s="1">
        <f t="shared" si="13"/>
        <v>0</v>
      </c>
      <c r="AC50" s="1">
        <f t="shared" si="14"/>
        <v>0</v>
      </c>
      <c r="AD50" s="1">
        <f t="shared" si="15"/>
        <v>0</v>
      </c>
      <c r="AE50" s="1">
        <f t="shared" si="16"/>
        <v>0</v>
      </c>
      <c r="AF50" s="1">
        <f t="shared" si="17"/>
        <v>0</v>
      </c>
      <c r="AG50" s="1">
        <f t="shared" si="18"/>
        <v>0</v>
      </c>
      <c r="AH50" s="107"/>
      <c r="AI50" s="1">
        <f t="shared" si="19"/>
        <v>0</v>
      </c>
      <c r="AJ50" s="1">
        <f t="shared" si="20"/>
        <v>0</v>
      </c>
      <c r="AK50" s="1">
        <f t="shared" si="21"/>
        <v>0</v>
      </c>
      <c r="AL50" s="1">
        <f t="shared" si="22"/>
        <v>0</v>
      </c>
      <c r="AM50" s="1">
        <f t="shared" si="23"/>
        <v>0</v>
      </c>
      <c r="AN50" s="1">
        <f t="shared" si="24"/>
        <v>0</v>
      </c>
      <c r="AO50" s="1">
        <f t="shared" si="25"/>
        <v>0</v>
      </c>
      <c r="AP50" s="1">
        <f t="shared" si="26"/>
        <v>0</v>
      </c>
      <c r="AQ50" s="1">
        <f t="shared" si="27"/>
        <v>0</v>
      </c>
      <c r="AR50" s="1">
        <f t="shared" si="28"/>
        <v>0</v>
      </c>
      <c r="AS50" s="1">
        <f t="shared" si="29"/>
        <v>0</v>
      </c>
      <c r="AT50" s="1">
        <f t="shared" si="30"/>
        <v>0</v>
      </c>
      <c r="AU50" s="1">
        <f t="shared" si="31"/>
        <v>0</v>
      </c>
      <c r="AV50" s="1">
        <f t="shared" si="32"/>
        <v>0</v>
      </c>
      <c r="AW50" s="107"/>
      <c r="AX50" s="1">
        <f t="shared" si="33"/>
        <v>0</v>
      </c>
      <c r="AY50" s="1">
        <f t="shared" si="34"/>
        <v>0</v>
      </c>
      <c r="AZ50" s="1">
        <f t="shared" si="35"/>
        <v>0</v>
      </c>
      <c r="BA50" s="1">
        <f t="shared" si="36"/>
        <v>0</v>
      </c>
      <c r="BB50" s="1">
        <f t="shared" si="37"/>
        <v>0</v>
      </c>
      <c r="BC50" s="1">
        <f t="shared" si="38"/>
        <v>0</v>
      </c>
      <c r="BD50" s="1">
        <f t="shared" si="39"/>
        <v>0</v>
      </c>
      <c r="BE50" s="1">
        <f t="shared" si="40"/>
        <v>0</v>
      </c>
      <c r="BF50" s="1">
        <f t="shared" si="41"/>
        <v>0</v>
      </c>
      <c r="BG50" s="1">
        <f t="shared" si="42"/>
        <v>0</v>
      </c>
      <c r="BH50" s="1">
        <f t="shared" si="43"/>
        <v>0</v>
      </c>
      <c r="BI50" s="1">
        <f t="shared" si="44"/>
        <v>0</v>
      </c>
      <c r="BJ50" s="1">
        <f t="shared" si="45"/>
        <v>0</v>
      </c>
      <c r="BK50" s="1">
        <f t="shared" si="46"/>
        <v>0</v>
      </c>
    </row>
    <row r="51" spans="2:63" x14ac:dyDescent="0.25">
      <c r="B51" s="109" t="s">
        <v>209</v>
      </c>
      <c r="C51" s="111">
        <v>0</v>
      </c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">
        <f t="shared" si="5"/>
        <v>0</v>
      </c>
      <c r="S51" s="107"/>
      <c r="T51" s="1"/>
      <c r="U51" s="1">
        <f t="shared" si="6"/>
        <v>0</v>
      </c>
      <c r="V51" s="1">
        <f t="shared" si="7"/>
        <v>0</v>
      </c>
      <c r="W51" s="1">
        <f t="shared" si="8"/>
        <v>0</v>
      </c>
      <c r="X51" s="1">
        <f t="shared" si="9"/>
        <v>0</v>
      </c>
      <c r="Y51" s="1">
        <f t="shared" si="10"/>
        <v>0</v>
      </c>
      <c r="Z51" s="1">
        <f t="shared" si="11"/>
        <v>0</v>
      </c>
      <c r="AA51" s="1">
        <f t="shared" si="12"/>
        <v>0</v>
      </c>
      <c r="AB51" s="1">
        <f t="shared" si="13"/>
        <v>0</v>
      </c>
      <c r="AC51" s="1">
        <f t="shared" si="14"/>
        <v>0</v>
      </c>
      <c r="AD51" s="1">
        <f t="shared" si="15"/>
        <v>0</v>
      </c>
      <c r="AE51" s="1">
        <f t="shared" si="16"/>
        <v>0</v>
      </c>
      <c r="AF51" s="1">
        <f t="shared" si="17"/>
        <v>0</v>
      </c>
      <c r="AG51" s="1">
        <f t="shared" si="18"/>
        <v>0</v>
      </c>
      <c r="AH51" s="107"/>
      <c r="AI51" s="1">
        <f t="shared" si="19"/>
        <v>0</v>
      </c>
      <c r="AJ51" s="1">
        <f t="shared" si="20"/>
        <v>0</v>
      </c>
      <c r="AK51" s="1">
        <f t="shared" si="21"/>
        <v>0</v>
      </c>
      <c r="AL51" s="1">
        <f t="shared" si="22"/>
        <v>0</v>
      </c>
      <c r="AM51" s="1">
        <f t="shared" si="23"/>
        <v>0</v>
      </c>
      <c r="AN51" s="1">
        <f t="shared" si="24"/>
        <v>0</v>
      </c>
      <c r="AO51" s="1">
        <f t="shared" si="25"/>
        <v>0</v>
      </c>
      <c r="AP51" s="1">
        <f t="shared" si="26"/>
        <v>0</v>
      </c>
      <c r="AQ51" s="1">
        <f t="shared" si="27"/>
        <v>0</v>
      </c>
      <c r="AR51" s="1">
        <f t="shared" si="28"/>
        <v>0</v>
      </c>
      <c r="AS51" s="1">
        <f t="shared" si="29"/>
        <v>0</v>
      </c>
      <c r="AT51" s="1">
        <f t="shared" si="30"/>
        <v>0</v>
      </c>
      <c r="AU51" s="1">
        <f t="shared" si="31"/>
        <v>0</v>
      </c>
      <c r="AV51" s="1">
        <f t="shared" si="32"/>
        <v>0</v>
      </c>
      <c r="AW51" s="107"/>
      <c r="AX51" s="1">
        <f t="shared" si="33"/>
        <v>0</v>
      </c>
      <c r="AY51" s="1">
        <f t="shared" si="34"/>
        <v>0</v>
      </c>
      <c r="AZ51" s="1">
        <f t="shared" si="35"/>
        <v>0</v>
      </c>
      <c r="BA51" s="1">
        <f t="shared" si="36"/>
        <v>0</v>
      </c>
      <c r="BB51" s="1">
        <f t="shared" si="37"/>
        <v>0</v>
      </c>
      <c r="BC51" s="1">
        <f t="shared" si="38"/>
        <v>0</v>
      </c>
      <c r="BD51" s="1">
        <f t="shared" si="39"/>
        <v>0</v>
      </c>
      <c r="BE51" s="1">
        <f t="shared" si="40"/>
        <v>0</v>
      </c>
      <c r="BF51" s="1">
        <f t="shared" si="41"/>
        <v>0</v>
      </c>
      <c r="BG51" s="1">
        <f t="shared" si="42"/>
        <v>0</v>
      </c>
      <c r="BH51" s="1">
        <f t="shared" si="43"/>
        <v>0</v>
      </c>
      <c r="BI51" s="1">
        <f t="shared" si="44"/>
        <v>0</v>
      </c>
      <c r="BJ51" s="1">
        <f t="shared" si="45"/>
        <v>0</v>
      </c>
      <c r="BK51" s="1">
        <f t="shared" si="46"/>
        <v>0</v>
      </c>
    </row>
    <row r="52" spans="2:63" x14ac:dyDescent="0.25">
      <c r="B52" s="109" t="s">
        <v>209</v>
      </c>
      <c r="C52" s="111">
        <v>0</v>
      </c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">
        <f t="shared" si="5"/>
        <v>0</v>
      </c>
      <c r="S52" s="107"/>
      <c r="T52" s="1"/>
      <c r="U52" s="1">
        <f t="shared" si="6"/>
        <v>0</v>
      </c>
      <c r="V52" s="1">
        <f t="shared" si="7"/>
        <v>0</v>
      </c>
      <c r="W52" s="1">
        <f t="shared" si="8"/>
        <v>0</v>
      </c>
      <c r="X52" s="1">
        <f t="shared" si="9"/>
        <v>0</v>
      </c>
      <c r="Y52" s="1">
        <f t="shared" si="10"/>
        <v>0</v>
      </c>
      <c r="Z52" s="1">
        <f t="shared" si="11"/>
        <v>0</v>
      </c>
      <c r="AA52" s="1">
        <f t="shared" si="12"/>
        <v>0</v>
      </c>
      <c r="AB52" s="1">
        <f t="shared" si="13"/>
        <v>0</v>
      </c>
      <c r="AC52" s="1">
        <f t="shared" si="14"/>
        <v>0</v>
      </c>
      <c r="AD52" s="1">
        <f t="shared" si="15"/>
        <v>0</v>
      </c>
      <c r="AE52" s="1">
        <f t="shared" si="16"/>
        <v>0</v>
      </c>
      <c r="AF52" s="1">
        <f t="shared" si="17"/>
        <v>0</v>
      </c>
      <c r="AG52" s="1">
        <f t="shared" si="18"/>
        <v>0</v>
      </c>
      <c r="AH52" s="107"/>
      <c r="AI52" s="1">
        <f t="shared" si="19"/>
        <v>0</v>
      </c>
      <c r="AJ52" s="1">
        <f t="shared" si="20"/>
        <v>0</v>
      </c>
      <c r="AK52" s="1">
        <f t="shared" si="21"/>
        <v>0</v>
      </c>
      <c r="AL52" s="1">
        <f t="shared" si="22"/>
        <v>0</v>
      </c>
      <c r="AM52" s="1">
        <f t="shared" si="23"/>
        <v>0</v>
      </c>
      <c r="AN52" s="1">
        <f t="shared" si="24"/>
        <v>0</v>
      </c>
      <c r="AO52" s="1">
        <f t="shared" si="25"/>
        <v>0</v>
      </c>
      <c r="AP52" s="1">
        <f t="shared" si="26"/>
        <v>0</v>
      </c>
      <c r="AQ52" s="1">
        <f t="shared" si="27"/>
        <v>0</v>
      </c>
      <c r="AR52" s="1">
        <f t="shared" si="28"/>
        <v>0</v>
      </c>
      <c r="AS52" s="1">
        <f t="shared" si="29"/>
        <v>0</v>
      </c>
      <c r="AT52" s="1">
        <f t="shared" si="30"/>
        <v>0</v>
      </c>
      <c r="AU52" s="1">
        <f t="shared" si="31"/>
        <v>0</v>
      </c>
      <c r="AV52" s="1">
        <f t="shared" si="32"/>
        <v>0</v>
      </c>
      <c r="AW52" s="107"/>
      <c r="AX52" s="1">
        <f t="shared" si="33"/>
        <v>0</v>
      </c>
      <c r="AY52" s="1">
        <f t="shared" si="34"/>
        <v>0</v>
      </c>
      <c r="AZ52" s="1">
        <f t="shared" si="35"/>
        <v>0</v>
      </c>
      <c r="BA52" s="1">
        <f t="shared" si="36"/>
        <v>0</v>
      </c>
      <c r="BB52" s="1">
        <f t="shared" si="37"/>
        <v>0</v>
      </c>
      <c r="BC52" s="1">
        <f t="shared" si="38"/>
        <v>0</v>
      </c>
      <c r="BD52" s="1">
        <f t="shared" si="39"/>
        <v>0</v>
      </c>
      <c r="BE52" s="1">
        <f t="shared" si="40"/>
        <v>0</v>
      </c>
      <c r="BF52" s="1">
        <f t="shared" si="41"/>
        <v>0</v>
      </c>
      <c r="BG52" s="1">
        <f t="shared" si="42"/>
        <v>0</v>
      </c>
      <c r="BH52" s="1">
        <f t="shared" si="43"/>
        <v>0</v>
      </c>
      <c r="BI52" s="1">
        <f t="shared" si="44"/>
        <v>0</v>
      </c>
      <c r="BJ52" s="1">
        <f t="shared" si="45"/>
        <v>0</v>
      </c>
      <c r="BK52" s="1">
        <f t="shared" si="46"/>
        <v>0</v>
      </c>
    </row>
    <row r="53" spans="2:63" x14ac:dyDescent="0.25">
      <c r="B53" s="109" t="s">
        <v>209</v>
      </c>
      <c r="C53" s="111">
        <v>0</v>
      </c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">
        <f t="shared" si="5"/>
        <v>0</v>
      </c>
      <c r="S53" s="107"/>
      <c r="T53" s="1"/>
      <c r="U53" s="1">
        <f t="shared" si="6"/>
        <v>0</v>
      </c>
      <c r="V53" s="1">
        <f t="shared" si="7"/>
        <v>0</v>
      </c>
      <c r="W53" s="1">
        <f t="shared" si="8"/>
        <v>0</v>
      </c>
      <c r="X53" s="1">
        <f t="shared" si="9"/>
        <v>0</v>
      </c>
      <c r="Y53" s="1">
        <f t="shared" si="10"/>
        <v>0</v>
      </c>
      <c r="Z53" s="1">
        <f t="shared" si="11"/>
        <v>0</v>
      </c>
      <c r="AA53" s="1">
        <f t="shared" si="12"/>
        <v>0</v>
      </c>
      <c r="AB53" s="1">
        <f t="shared" si="13"/>
        <v>0</v>
      </c>
      <c r="AC53" s="1">
        <f t="shared" si="14"/>
        <v>0</v>
      </c>
      <c r="AD53" s="1">
        <f t="shared" si="15"/>
        <v>0</v>
      </c>
      <c r="AE53" s="1">
        <f t="shared" si="16"/>
        <v>0</v>
      </c>
      <c r="AF53" s="1">
        <f t="shared" si="17"/>
        <v>0</v>
      </c>
      <c r="AG53" s="1">
        <f t="shared" si="18"/>
        <v>0</v>
      </c>
      <c r="AH53" s="107"/>
      <c r="AI53" s="1">
        <f t="shared" si="19"/>
        <v>0</v>
      </c>
      <c r="AJ53" s="1">
        <f t="shared" si="20"/>
        <v>0</v>
      </c>
      <c r="AK53" s="1">
        <f t="shared" si="21"/>
        <v>0</v>
      </c>
      <c r="AL53" s="1">
        <f t="shared" si="22"/>
        <v>0</v>
      </c>
      <c r="AM53" s="1">
        <f t="shared" si="23"/>
        <v>0</v>
      </c>
      <c r="AN53" s="1">
        <f t="shared" si="24"/>
        <v>0</v>
      </c>
      <c r="AO53" s="1">
        <f t="shared" si="25"/>
        <v>0</v>
      </c>
      <c r="AP53" s="1">
        <f t="shared" si="26"/>
        <v>0</v>
      </c>
      <c r="AQ53" s="1">
        <f t="shared" si="27"/>
        <v>0</v>
      </c>
      <c r="AR53" s="1">
        <f t="shared" si="28"/>
        <v>0</v>
      </c>
      <c r="AS53" s="1">
        <f t="shared" si="29"/>
        <v>0</v>
      </c>
      <c r="AT53" s="1">
        <f t="shared" si="30"/>
        <v>0</v>
      </c>
      <c r="AU53" s="1">
        <f t="shared" si="31"/>
        <v>0</v>
      </c>
      <c r="AV53" s="1">
        <f t="shared" si="32"/>
        <v>0</v>
      </c>
      <c r="AW53" s="107"/>
      <c r="AX53" s="1">
        <f t="shared" si="33"/>
        <v>0</v>
      </c>
      <c r="AY53" s="1">
        <f t="shared" si="34"/>
        <v>0</v>
      </c>
      <c r="AZ53" s="1">
        <f t="shared" si="35"/>
        <v>0</v>
      </c>
      <c r="BA53" s="1">
        <f t="shared" si="36"/>
        <v>0</v>
      </c>
      <c r="BB53" s="1">
        <f t="shared" si="37"/>
        <v>0</v>
      </c>
      <c r="BC53" s="1">
        <f t="shared" si="38"/>
        <v>0</v>
      </c>
      <c r="BD53" s="1">
        <f t="shared" si="39"/>
        <v>0</v>
      </c>
      <c r="BE53" s="1">
        <f t="shared" si="40"/>
        <v>0</v>
      </c>
      <c r="BF53" s="1">
        <f t="shared" si="41"/>
        <v>0</v>
      </c>
      <c r="BG53" s="1">
        <f t="shared" si="42"/>
        <v>0</v>
      </c>
      <c r="BH53" s="1">
        <f t="shared" si="43"/>
        <v>0</v>
      </c>
      <c r="BI53" s="1">
        <f t="shared" si="44"/>
        <v>0</v>
      </c>
      <c r="BJ53" s="1">
        <f t="shared" si="45"/>
        <v>0</v>
      </c>
      <c r="BK53" s="1">
        <f t="shared" si="46"/>
        <v>0</v>
      </c>
    </row>
    <row r="54" spans="2:63" s="5" customFormat="1" x14ac:dyDescent="0.25">
      <c r="B54" s="112"/>
      <c r="C54" s="112"/>
      <c r="D54" s="8">
        <f>SUM(D6:D53)</f>
        <v>0</v>
      </c>
      <c r="E54" s="8">
        <f t="shared" ref="E54:Y54" si="90">SUM(E6:E53)</f>
        <v>0</v>
      </c>
      <c r="F54" s="8">
        <f t="shared" si="90"/>
        <v>0</v>
      </c>
      <c r="G54" s="8">
        <f t="shared" si="90"/>
        <v>2201.85</v>
      </c>
      <c r="H54" s="8">
        <f t="shared" si="90"/>
        <v>49226.563999999998</v>
      </c>
      <c r="I54" s="8">
        <f t="shared" si="90"/>
        <v>17306.221700000002</v>
      </c>
      <c r="J54" s="8">
        <f t="shared" si="90"/>
        <v>2000</v>
      </c>
      <c r="K54" s="8">
        <f t="shared" si="90"/>
        <v>2000</v>
      </c>
      <c r="L54" s="8">
        <f t="shared" si="90"/>
        <v>2000</v>
      </c>
      <c r="M54" s="8">
        <f t="shared" si="90"/>
        <v>2000</v>
      </c>
      <c r="N54" s="8">
        <f t="shared" si="90"/>
        <v>2000</v>
      </c>
      <c r="O54" s="8">
        <f t="shared" ref="O54:Q54" si="91">SUM(O6:O53)</f>
        <v>2000</v>
      </c>
      <c r="P54" s="8">
        <f t="shared" si="91"/>
        <v>2000</v>
      </c>
      <c r="Q54" s="8">
        <f t="shared" si="91"/>
        <v>2000</v>
      </c>
      <c r="R54" s="8">
        <f t="shared" si="5"/>
        <v>78734.635699999999</v>
      </c>
      <c r="S54" s="108"/>
      <c r="T54" s="8">
        <f t="shared" si="90"/>
        <v>0</v>
      </c>
      <c r="U54" s="8">
        <f t="shared" si="90"/>
        <v>0</v>
      </c>
      <c r="V54" s="8">
        <f t="shared" si="90"/>
        <v>0</v>
      </c>
      <c r="W54" s="8">
        <f t="shared" si="90"/>
        <v>0</v>
      </c>
      <c r="X54" s="8">
        <f t="shared" si="90"/>
        <v>220.185</v>
      </c>
      <c r="Y54" s="8">
        <f t="shared" si="90"/>
        <v>5142.8414000000002</v>
      </c>
      <c r="Z54" s="8">
        <f t="shared" ref="Z54:BH54" si="92">SUM(Z6:Z53)</f>
        <v>6873.4635699999999</v>
      </c>
      <c r="AA54" s="8">
        <f t="shared" si="92"/>
        <v>7073.4635699999999</v>
      </c>
      <c r="AB54" s="8">
        <f t="shared" si="92"/>
        <v>7273.4635699999999</v>
      </c>
      <c r="AC54" s="8">
        <f t="shared" si="92"/>
        <v>7473.4635699999999</v>
      </c>
      <c r="AD54" s="8">
        <f t="shared" si="92"/>
        <v>7673.4635699999999</v>
      </c>
      <c r="AE54" s="8">
        <f t="shared" ref="AE54:AG54" si="93">SUM(AE6:AE53)</f>
        <v>7873.4635699999999</v>
      </c>
      <c r="AF54" s="8">
        <f t="shared" si="93"/>
        <v>7873.4635699999999</v>
      </c>
      <c r="AG54" s="8">
        <f t="shared" si="93"/>
        <v>7873.4635699999999</v>
      </c>
      <c r="AH54" s="8">
        <f t="shared" si="92"/>
        <v>0</v>
      </c>
      <c r="AI54" s="8">
        <f t="shared" si="92"/>
        <v>0</v>
      </c>
      <c r="AJ54" s="8">
        <f t="shared" si="92"/>
        <v>0</v>
      </c>
      <c r="AK54" s="8">
        <f t="shared" si="92"/>
        <v>0</v>
      </c>
      <c r="AL54" s="8">
        <f t="shared" si="92"/>
        <v>0</v>
      </c>
      <c r="AM54" s="8">
        <f t="shared" si="92"/>
        <v>220.185</v>
      </c>
      <c r="AN54" s="8">
        <f t="shared" si="92"/>
        <v>5363.0264000000006</v>
      </c>
      <c r="AO54" s="8">
        <f t="shared" si="92"/>
        <v>12236.489970000001</v>
      </c>
      <c r="AP54" s="8">
        <f t="shared" si="92"/>
        <v>19309.953540000002</v>
      </c>
      <c r="AQ54" s="8">
        <f t="shared" si="92"/>
        <v>26583.417110000006</v>
      </c>
      <c r="AR54" s="8">
        <f t="shared" si="92"/>
        <v>34056.880680000002</v>
      </c>
      <c r="AS54" s="8">
        <f t="shared" si="92"/>
        <v>41730.344250000002</v>
      </c>
      <c r="AT54" s="8">
        <f t="shared" ref="AT54:AV54" si="94">SUM(AT6:AT53)</f>
        <v>49603.807820000009</v>
      </c>
      <c r="AU54" s="8">
        <f t="shared" si="94"/>
        <v>57477.271390000002</v>
      </c>
      <c r="AV54" s="8">
        <f t="shared" si="94"/>
        <v>65350.734960000002</v>
      </c>
      <c r="AW54" s="8">
        <f t="shared" si="92"/>
        <v>0</v>
      </c>
      <c r="AX54" s="8">
        <f t="shared" si="92"/>
        <v>0</v>
      </c>
      <c r="AY54" s="8">
        <f t="shared" si="92"/>
        <v>0</v>
      </c>
      <c r="AZ54" s="8">
        <f t="shared" si="92"/>
        <v>0</v>
      </c>
      <c r="BA54" s="8">
        <f t="shared" si="92"/>
        <v>0</v>
      </c>
      <c r="BB54" s="8">
        <f t="shared" si="92"/>
        <v>220.185</v>
      </c>
      <c r="BC54" s="8">
        <f t="shared" si="92"/>
        <v>5142.8414000000002</v>
      </c>
      <c r="BD54" s="8">
        <f t="shared" si="92"/>
        <v>6873.4635699999999</v>
      </c>
      <c r="BE54" s="8">
        <f t="shared" si="92"/>
        <v>7073.4635700000008</v>
      </c>
      <c r="BF54" s="8">
        <f t="shared" si="92"/>
        <v>7273.4635699999999</v>
      </c>
      <c r="BG54" s="8">
        <f t="shared" si="92"/>
        <v>7473.4635699999999</v>
      </c>
      <c r="BH54" s="8">
        <f t="shared" si="92"/>
        <v>7673.463569999999</v>
      </c>
      <c r="BI54" s="8">
        <f t="shared" ref="BI54:BK54" si="95">SUM(BI6:BI53)</f>
        <v>7873.4635699999999</v>
      </c>
      <c r="BJ54" s="8">
        <f t="shared" si="95"/>
        <v>7873.4635700000017</v>
      </c>
      <c r="BK54" s="8">
        <f t="shared" si="95"/>
        <v>7873.4635700000044</v>
      </c>
    </row>
    <row r="56" spans="2:63" x14ac:dyDescent="0.25">
      <c r="B56" s="363" t="s">
        <v>657</v>
      </c>
      <c r="C56" s="264"/>
      <c r="D56" s="264">
        <f>+D5</f>
        <v>2009</v>
      </c>
      <c r="E56" s="264">
        <f t="shared" ref="E56:N56" si="96">+E5</f>
        <v>2010</v>
      </c>
      <c r="F56" s="264">
        <f t="shared" si="96"/>
        <v>2011</v>
      </c>
      <c r="G56" s="264">
        <f t="shared" si="96"/>
        <v>2012</v>
      </c>
      <c r="H56" s="264">
        <f t="shared" si="96"/>
        <v>2013</v>
      </c>
      <c r="I56" s="264">
        <f t="shared" si="96"/>
        <v>2014</v>
      </c>
      <c r="J56" s="264">
        <f t="shared" si="96"/>
        <v>2015</v>
      </c>
      <c r="K56" s="264">
        <f t="shared" si="96"/>
        <v>2016</v>
      </c>
      <c r="L56" s="264">
        <f t="shared" si="96"/>
        <v>2017</v>
      </c>
      <c r="M56" s="264">
        <f t="shared" si="96"/>
        <v>2018</v>
      </c>
      <c r="N56" s="397">
        <f t="shared" si="96"/>
        <v>2019</v>
      </c>
      <c r="O56" s="397">
        <f t="shared" ref="O56:Q56" si="97">+O5</f>
        <v>2020</v>
      </c>
      <c r="P56" s="397">
        <f t="shared" si="97"/>
        <v>2021</v>
      </c>
      <c r="Q56" s="397">
        <f t="shared" si="97"/>
        <v>2022</v>
      </c>
    </row>
    <row r="57" spans="2:63" x14ac:dyDescent="0.25">
      <c r="B57" s="14"/>
      <c r="N57" s="77"/>
      <c r="O57" s="77"/>
      <c r="P57" s="77"/>
      <c r="Q57" s="77"/>
    </row>
    <row r="58" spans="2:63" x14ac:dyDescent="0.25">
      <c r="B58" s="14"/>
      <c r="D58" s="651"/>
      <c r="E58" s="651"/>
      <c r="F58" s="651"/>
    </row>
    <row r="59" spans="2:63" x14ac:dyDescent="0.25">
      <c r="B59" s="168" t="s">
        <v>663</v>
      </c>
      <c r="C59" s="395"/>
      <c r="D59" s="39">
        <f>1714*0</f>
        <v>0</v>
      </c>
      <c r="E59" s="39"/>
      <c r="F59" s="39"/>
      <c r="G59" s="110"/>
    </row>
    <row r="60" spans="2:63" x14ac:dyDescent="0.25">
      <c r="B60" s="168" t="s">
        <v>663</v>
      </c>
      <c r="C60" s="395"/>
      <c r="D60" s="39"/>
      <c r="E60" s="39">
        <f>3007*0</f>
        <v>0</v>
      </c>
      <c r="F60" s="39"/>
      <c r="G60" s="110"/>
    </row>
    <row r="61" spans="2:63" x14ac:dyDescent="0.25">
      <c r="B61" s="168" t="s">
        <v>663</v>
      </c>
      <c r="C61" s="395"/>
      <c r="D61" s="39"/>
      <c r="E61" s="39"/>
      <c r="F61" s="39">
        <f>114*0</f>
        <v>0</v>
      </c>
      <c r="G61" s="110"/>
    </row>
    <row r="62" spans="2:63" x14ac:dyDescent="0.25">
      <c r="B62" s="168" t="s">
        <v>663</v>
      </c>
      <c r="C62" s="395"/>
      <c r="D62" s="39"/>
      <c r="E62" s="39"/>
      <c r="F62" s="39"/>
      <c r="G62" s="110"/>
    </row>
    <row r="63" spans="2:63" x14ac:dyDescent="0.25">
      <c r="B63" s="168" t="s">
        <v>663</v>
      </c>
      <c r="C63" s="395"/>
      <c r="D63" s="39"/>
      <c r="E63" s="39"/>
      <c r="F63" s="39"/>
      <c r="G63" s="110"/>
    </row>
    <row r="64" spans="2:63" x14ac:dyDescent="0.25">
      <c r="B64" s="168" t="s">
        <v>663</v>
      </c>
      <c r="C64" s="395"/>
      <c r="D64" s="39"/>
      <c r="E64" s="39"/>
      <c r="F64" s="39"/>
      <c r="G64" s="110"/>
    </row>
    <row r="65" spans="2:17" x14ac:dyDescent="0.25">
      <c r="B65" s="168" t="s">
        <v>544</v>
      </c>
      <c r="C65" s="395"/>
      <c r="D65" s="39"/>
      <c r="E65" s="39"/>
      <c r="F65" s="39"/>
      <c r="G65" s="110"/>
    </row>
    <row r="66" spans="2:17" x14ac:dyDescent="0.25">
      <c r="B66" s="168" t="s">
        <v>545</v>
      </c>
      <c r="C66" s="395"/>
      <c r="D66" s="39"/>
      <c r="E66" s="39"/>
      <c r="F66" s="39"/>
      <c r="G66" s="110"/>
    </row>
    <row r="67" spans="2:17" ht="18.75" x14ac:dyDescent="0.3">
      <c r="B67" s="168" t="s">
        <v>658</v>
      </c>
      <c r="C67" s="395"/>
      <c r="D67" s="110"/>
      <c r="E67" s="110"/>
      <c r="F67" s="110"/>
      <c r="G67" s="653">
        <f>1170-5</f>
        <v>1165</v>
      </c>
    </row>
    <row r="68" spans="2:17" x14ac:dyDescent="0.25">
      <c r="B68" s="168" t="s">
        <v>545</v>
      </c>
      <c r="C68" s="395"/>
      <c r="D68" s="110"/>
      <c r="E68" s="110"/>
      <c r="F68" s="110"/>
      <c r="G68" s="110"/>
    </row>
    <row r="69" spans="2:17" ht="18.75" x14ac:dyDescent="0.3">
      <c r="B69" s="168" t="s">
        <v>662</v>
      </c>
      <c r="C69" s="395"/>
      <c r="D69" s="110"/>
      <c r="E69" s="110"/>
      <c r="F69" s="110"/>
      <c r="G69" s="653"/>
      <c r="H69" s="653">
        <v>10866</v>
      </c>
      <c r="I69" s="653"/>
      <c r="J69" s="653"/>
    </row>
    <row r="70" spans="2:17" ht="18.75" x14ac:dyDescent="0.3">
      <c r="B70" s="168" t="s">
        <v>659</v>
      </c>
      <c r="C70" s="395"/>
      <c r="D70" s="110"/>
      <c r="E70" s="110"/>
      <c r="F70" s="110"/>
      <c r="G70" s="110"/>
      <c r="H70" s="653">
        <f>11102+748</f>
        <v>11850</v>
      </c>
      <c r="I70" s="653"/>
      <c r="J70" s="653"/>
    </row>
    <row r="71" spans="2:17" ht="18.75" x14ac:dyDescent="0.3">
      <c r="B71" s="168" t="s">
        <v>659</v>
      </c>
      <c r="C71" s="395"/>
      <c r="D71" s="110"/>
      <c r="E71" s="110"/>
      <c r="F71" s="110"/>
      <c r="G71" s="110"/>
      <c r="H71" s="653"/>
      <c r="I71" s="653">
        <v>2005</v>
      </c>
      <c r="J71" s="653"/>
    </row>
    <row r="72" spans="2:17" ht="18.75" x14ac:dyDescent="0.3">
      <c r="B72" s="168" t="s">
        <v>662</v>
      </c>
      <c r="C72" s="395"/>
      <c r="D72" s="110"/>
      <c r="E72" s="110"/>
      <c r="F72" s="110"/>
      <c r="G72" s="653"/>
      <c r="H72" s="653"/>
      <c r="I72" s="653">
        <v>4688</v>
      </c>
      <c r="J72" s="653"/>
    </row>
    <row r="73" spans="2:17" x14ac:dyDescent="0.25">
      <c r="B73" s="168"/>
      <c r="C73" s="395"/>
      <c r="D73" s="110"/>
      <c r="E73" s="110"/>
      <c r="F73" s="110"/>
      <c r="G73" s="110"/>
      <c r="H73" s="1"/>
    </row>
    <row r="74" spans="2:17" x14ac:dyDescent="0.25">
      <c r="B74" s="14"/>
      <c r="C74" s="395"/>
      <c r="D74" s="110"/>
      <c r="E74" s="110"/>
      <c r="F74" s="110"/>
      <c r="G74" s="110"/>
    </row>
    <row r="75" spans="2:17" x14ac:dyDescent="0.25">
      <c r="B75" s="14"/>
      <c r="C75" s="395"/>
      <c r="D75" s="110"/>
      <c r="E75" s="110"/>
      <c r="F75" s="110"/>
      <c r="G75" s="110"/>
    </row>
    <row r="76" spans="2:17" x14ac:dyDescent="0.25">
      <c r="B76" s="14" t="str">
        <f t="shared" ref="B76:B79" si="98">+B24</f>
        <v>contingencies 2011</v>
      </c>
      <c r="C76" s="395"/>
      <c r="D76" s="110"/>
      <c r="E76" s="110"/>
      <c r="F76" s="110">
        <f>2000*0</f>
        <v>0</v>
      </c>
      <c r="G76" s="110"/>
    </row>
    <row r="77" spans="2:17" x14ac:dyDescent="0.25">
      <c r="B77" s="14" t="str">
        <f t="shared" si="98"/>
        <v>contingencies 2012</v>
      </c>
      <c r="D77" s="110"/>
      <c r="E77" s="110"/>
      <c r="F77" s="110"/>
      <c r="G77" s="110">
        <f>2000*0</f>
        <v>0</v>
      </c>
    </row>
    <row r="78" spans="2:17" x14ac:dyDescent="0.25">
      <c r="B78" s="14" t="str">
        <f t="shared" si="98"/>
        <v>contingencies 2013</v>
      </c>
      <c r="F78" s="110"/>
      <c r="G78" s="110"/>
      <c r="H78">
        <f>2000*0</f>
        <v>0</v>
      </c>
    </row>
    <row r="79" spans="2:17" x14ac:dyDescent="0.25">
      <c r="B79" s="14" t="str">
        <f t="shared" si="98"/>
        <v>other assets</v>
      </c>
      <c r="F79" s="110"/>
      <c r="G79" s="110"/>
    </row>
    <row r="80" spans="2:17" x14ac:dyDescent="0.25">
      <c r="B80" s="14" t="str">
        <f t="shared" ref="B80:B101" si="99">+B32</f>
        <v>other assets (replacements)</v>
      </c>
      <c r="H80" s="721">
        <f>H33/H$2</f>
        <v>962.00096200096186</v>
      </c>
      <c r="I80" s="721">
        <f t="shared" ref="I80:Q80" si="100">I33/I$2</f>
        <v>0</v>
      </c>
      <c r="J80" s="721">
        <f t="shared" si="100"/>
        <v>0</v>
      </c>
      <c r="K80" s="721">
        <f t="shared" si="100"/>
        <v>0</v>
      </c>
      <c r="L80" s="721">
        <f t="shared" si="100"/>
        <v>0</v>
      </c>
      <c r="M80" s="721">
        <f t="shared" si="100"/>
        <v>0</v>
      </c>
      <c r="N80" s="721">
        <f t="shared" si="100"/>
        <v>0</v>
      </c>
      <c r="O80" s="721">
        <f t="shared" si="100"/>
        <v>0</v>
      </c>
      <c r="P80" s="721">
        <f t="shared" si="100"/>
        <v>0</v>
      </c>
      <c r="Q80" s="721">
        <f t="shared" si="100"/>
        <v>0</v>
      </c>
    </row>
    <row r="81" spans="2:17" x14ac:dyDescent="0.25">
      <c r="B81" s="14" t="str">
        <f t="shared" si="99"/>
        <v>other assets (replacements)</v>
      </c>
      <c r="H81" s="721">
        <f t="shared" ref="H81:Q81" si="101">H34/H$2</f>
        <v>0</v>
      </c>
      <c r="I81" s="721">
        <f t="shared" si="101"/>
        <v>874.5463290917836</v>
      </c>
      <c r="J81" s="721">
        <f t="shared" si="101"/>
        <v>0</v>
      </c>
      <c r="K81" s="721">
        <f t="shared" si="101"/>
        <v>0</v>
      </c>
      <c r="L81" s="721">
        <f t="shared" si="101"/>
        <v>0</v>
      </c>
      <c r="M81" s="721">
        <f t="shared" si="101"/>
        <v>0</v>
      </c>
      <c r="N81" s="721">
        <f t="shared" si="101"/>
        <v>0</v>
      </c>
      <c r="O81" s="721">
        <f t="shared" si="101"/>
        <v>0</v>
      </c>
      <c r="P81" s="721">
        <f t="shared" si="101"/>
        <v>0</v>
      </c>
      <c r="Q81" s="721">
        <f t="shared" si="101"/>
        <v>0</v>
      </c>
    </row>
    <row r="82" spans="2:17" x14ac:dyDescent="0.25">
      <c r="B82" s="14" t="str">
        <f t="shared" si="99"/>
        <v>other assets (replacements)</v>
      </c>
      <c r="H82" s="721">
        <f t="shared" ref="H82:Q82" si="102">H35/H$2</f>
        <v>0</v>
      </c>
      <c r="I82" s="721">
        <f t="shared" si="102"/>
        <v>0</v>
      </c>
      <c r="J82" s="721">
        <f t="shared" si="102"/>
        <v>795.04211735616695</v>
      </c>
      <c r="K82" s="721">
        <f t="shared" si="102"/>
        <v>0</v>
      </c>
      <c r="L82" s="721">
        <f t="shared" si="102"/>
        <v>0</v>
      </c>
      <c r="M82" s="721">
        <f t="shared" si="102"/>
        <v>0</v>
      </c>
      <c r="N82" s="721">
        <f t="shared" si="102"/>
        <v>0</v>
      </c>
      <c r="O82" s="721">
        <f t="shared" si="102"/>
        <v>0</v>
      </c>
      <c r="P82" s="721">
        <f t="shared" si="102"/>
        <v>0</v>
      </c>
      <c r="Q82" s="721">
        <f t="shared" si="102"/>
        <v>0</v>
      </c>
    </row>
    <row r="83" spans="2:17" x14ac:dyDescent="0.25">
      <c r="B83" s="14" t="str">
        <f t="shared" si="99"/>
        <v>other assets (replacements)</v>
      </c>
      <c r="H83" s="721">
        <f t="shared" ref="H83:Q83" si="103">H36/H$2</f>
        <v>0</v>
      </c>
      <c r="I83" s="721">
        <f t="shared" si="103"/>
        <v>0</v>
      </c>
      <c r="J83" s="721">
        <f t="shared" si="103"/>
        <v>0</v>
      </c>
      <c r="K83" s="721">
        <f t="shared" si="103"/>
        <v>722.76556123287901</v>
      </c>
      <c r="L83" s="721">
        <f t="shared" si="103"/>
        <v>0</v>
      </c>
      <c r="M83" s="721">
        <f t="shared" si="103"/>
        <v>0</v>
      </c>
      <c r="N83" s="721">
        <f t="shared" si="103"/>
        <v>0</v>
      </c>
      <c r="O83" s="721">
        <f t="shared" si="103"/>
        <v>0</v>
      </c>
      <c r="P83" s="721">
        <f t="shared" si="103"/>
        <v>0</v>
      </c>
      <c r="Q83" s="721">
        <f t="shared" si="103"/>
        <v>0</v>
      </c>
    </row>
    <row r="84" spans="2:17" x14ac:dyDescent="0.25">
      <c r="B84" s="14" t="str">
        <f t="shared" si="99"/>
        <v>other assets (replacements)</v>
      </c>
      <c r="H84" s="721">
        <f t="shared" ref="H84:Q84" si="104">H37/H$2</f>
        <v>0</v>
      </c>
      <c r="I84" s="721">
        <f t="shared" si="104"/>
        <v>0</v>
      </c>
      <c r="J84" s="721">
        <f t="shared" si="104"/>
        <v>0</v>
      </c>
      <c r="K84" s="721">
        <f t="shared" si="104"/>
        <v>0</v>
      </c>
      <c r="L84" s="721">
        <f t="shared" si="104"/>
        <v>657.05960112079902</v>
      </c>
      <c r="M84" s="721">
        <f t="shared" si="104"/>
        <v>0</v>
      </c>
      <c r="N84" s="721">
        <f t="shared" si="104"/>
        <v>0</v>
      </c>
      <c r="O84" s="721">
        <f t="shared" si="104"/>
        <v>0</v>
      </c>
      <c r="P84" s="721">
        <f t="shared" si="104"/>
        <v>0</v>
      </c>
      <c r="Q84" s="721">
        <f t="shared" si="104"/>
        <v>0</v>
      </c>
    </row>
    <row r="85" spans="2:17" x14ac:dyDescent="0.25">
      <c r="B85" s="14" t="str">
        <f t="shared" si="99"/>
        <v>other assets (replacements)</v>
      </c>
      <c r="H85" s="721">
        <f t="shared" ref="H85:Q85" si="105">H38/H$2</f>
        <v>0</v>
      </c>
      <c r="I85" s="721">
        <f t="shared" si="105"/>
        <v>0</v>
      </c>
      <c r="J85" s="721">
        <f t="shared" si="105"/>
        <v>0</v>
      </c>
      <c r="K85" s="721">
        <f t="shared" si="105"/>
        <v>0</v>
      </c>
      <c r="L85" s="721">
        <f t="shared" si="105"/>
        <v>0</v>
      </c>
      <c r="M85" s="721">
        <f t="shared" si="105"/>
        <v>597.32691010981716</v>
      </c>
      <c r="N85" s="721">
        <f t="shared" si="105"/>
        <v>0</v>
      </c>
      <c r="O85" s="721">
        <f t="shared" si="105"/>
        <v>0</v>
      </c>
      <c r="P85" s="721">
        <f t="shared" si="105"/>
        <v>0</v>
      </c>
      <c r="Q85" s="721">
        <f t="shared" si="105"/>
        <v>0</v>
      </c>
    </row>
    <row r="86" spans="2:17" x14ac:dyDescent="0.25">
      <c r="B86" s="14" t="str">
        <f t="shared" si="99"/>
        <v>other assets (replacements)</v>
      </c>
      <c r="H86" s="721">
        <f t="shared" ref="H86:Q86" si="106">H39/H$2</f>
        <v>0</v>
      </c>
      <c r="I86" s="721">
        <f t="shared" si="106"/>
        <v>0</v>
      </c>
      <c r="J86" s="721">
        <f t="shared" si="106"/>
        <v>0</v>
      </c>
      <c r="K86" s="721">
        <f t="shared" si="106"/>
        <v>0</v>
      </c>
      <c r="L86" s="721">
        <f t="shared" si="106"/>
        <v>0</v>
      </c>
      <c r="M86" s="721">
        <f t="shared" si="106"/>
        <v>0</v>
      </c>
      <c r="N86" s="721">
        <f t="shared" si="106"/>
        <v>543.0244637361975</v>
      </c>
      <c r="O86" s="721">
        <f t="shared" si="106"/>
        <v>0</v>
      </c>
      <c r="P86" s="721">
        <f t="shared" si="106"/>
        <v>0</v>
      </c>
      <c r="Q86" s="721">
        <f t="shared" si="106"/>
        <v>0</v>
      </c>
    </row>
    <row r="87" spans="2:17" x14ac:dyDescent="0.25">
      <c r="B87" s="14" t="str">
        <f t="shared" si="99"/>
        <v>other assets (replacements)</v>
      </c>
      <c r="H87" s="721">
        <f t="shared" ref="H87:Q87" si="107">H40/H$2</f>
        <v>0</v>
      </c>
      <c r="I87" s="721">
        <f t="shared" si="107"/>
        <v>0</v>
      </c>
      <c r="J87" s="721">
        <f t="shared" si="107"/>
        <v>0</v>
      </c>
      <c r="K87" s="721">
        <f t="shared" si="107"/>
        <v>0</v>
      </c>
      <c r="L87" s="721">
        <f t="shared" si="107"/>
        <v>0</v>
      </c>
      <c r="M87" s="721">
        <f t="shared" si="107"/>
        <v>0</v>
      </c>
      <c r="N87" s="721">
        <f t="shared" si="107"/>
        <v>0</v>
      </c>
      <c r="O87" s="721">
        <f t="shared" si="107"/>
        <v>493.65860339654313</v>
      </c>
      <c r="P87" s="721">
        <f t="shared" si="107"/>
        <v>0</v>
      </c>
      <c r="Q87" s="721">
        <f t="shared" si="107"/>
        <v>0</v>
      </c>
    </row>
    <row r="88" spans="2:17" x14ac:dyDescent="0.25">
      <c r="B88" s="14" t="str">
        <f t="shared" si="99"/>
        <v>…….</v>
      </c>
      <c r="H88" s="721">
        <f t="shared" ref="H88:Q88" si="108">H41/H$2</f>
        <v>0</v>
      </c>
      <c r="I88" s="721">
        <f t="shared" si="108"/>
        <v>0</v>
      </c>
      <c r="J88" s="721">
        <f t="shared" si="108"/>
        <v>0</v>
      </c>
      <c r="K88" s="721">
        <f t="shared" si="108"/>
        <v>0</v>
      </c>
      <c r="L88" s="721">
        <f t="shared" si="108"/>
        <v>0</v>
      </c>
      <c r="M88" s="721">
        <f t="shared" si="108"/>
        <v>0</v>
      </c>
      <c r="N88" s="721">
        <f t="shared" si="108"/>
        <v>0</v>
      </c>
      <c r="O88" s="721">
        <f t="shared" si="108"/>
        <v>0</v>
      </c>
      <c r="P88" s="721">
        <f t="shared" si="108"/>
        <v>448.78054854231192</v>
      </c>
      <c r="Q88" s="721">
        <f t="shared" si="108"/>
        <v>0</v>
      </c>
    </row>
    <row r="89" spans="2:17" x14ac:dyDescent="0.25">
      <c r="B89" s="14" t="str">
        <f t="shared" si="99"/>
        <v>…….</v>
      </c>
      <c r="H89" s="721">
        <f t="shared" ref="H89:Q89" si="109">H42/H$2</f>
        <v>0</v>
      </c>
      <c r="I89" s="721">
        <f t="shared" si="109"/>
        <v>0</v>
      </c>
      <c r="J89" s="721">
        <f t="shared" si="109"/>
        <v>0</v>
      </c>
      <c r="K89" s="721">
        <f t="shared" si="109"/>
        <v>0</v>
      </c>
      <c r="L89" s="721">
        <f t="shared" si="109"/>
        <v>0</v>
      </c>
      <c r="M89" s="721">
        <f t="shared" si="109"/>
        <v>0</v>
      </c>
      <c r="N89" s="721">
        <f t="shared" si="109"/>
        <v>0</v>
      </c>
      <c r="O89" s="721">
        <f t="shared" si="109"/>
        <v>0</v>
      </c>
      <c r="P89" s="721">
        <f t="shared" si="109"/>
        <v>0</v>
      </c>
      <c r="Q89" s="721">
        <f t="shared" si="109"/>
        <v>407.98231685664712</v>
      </c>
    </row>
    <row r="90" spans="2:17" x14ac:dyDescent="0.25">
      <c r="B90" s="14" t="str">
        <f t="shared" si="99"/>
        <v>…….</v>
      </c>
      <c r="H90" s="721">
        <f t="shared" ref="H90:Q90" si="110">H43/H$2</f>
        <v>0</v>
      </c>
      <c r="I90" s="721">
        <f t="shared" si="110"/>
        <v>0</v>
      </c>
      <c r="J90" s="721">
        <f t="shared" si="110"/>
        <v>0</v>
      </c>
      <c r="K90" s="721">
        <f t="shared" si="110"/>
        <v>0</v>
      </c>
      <c r="L90" s="721">
        <f t="shared" si="110"/>
        <v>0</v>
      </c>
      <c r="M90" s="721">
        <f t="shared" si="110"/>
        <v>0</v>
      </c>
      <c r="N90" s="721">
        <f t="shared" si="110"/>
        <v>0</v>
      </c>
      <c r="O90" s="721">
        <f t="shared" si="110"/>
        <v>0</v>
      </c>
      <c r="P90" s="721">
        <f t="shared" si="110"/>
        <v>0</v>
      </c>
      <c r="Q90" s="721">
        <f t="shared" si="110"/>
        <v>0</v>
      </c>
    </row>
    <row r="91" spans="2:17" x14ac:dyDescent="0.25">
      <c r="B91" s="14" t="str">
        <f t="shared" si="99"/>
        <v>…….</v>
      </c>
      <c r="H91" s="721">
        <f t="shared" ref="H91:Q91" si="111">H44/H$2</f>
        <v>0</v>
      </c>
      <c r="I91" s="721">
        <f t="shared" si="111"/>
        <v>0</v>
      </c>
      <c r="J91" s="721">
        <f t="shared" si="111"/>
        <v>0</v>
      </c>
      <c r="K91" s="721">
        <f t="shared" si="111"/>
        <v>0</v>
      </c>
      <c r="L91" s="721">
        <f t="shared" si="111"/>
        <v>0</v>
      </c>
      <c r="M91" s="721">
        <f t="shared" si="111"/>
        <v>0</v>
      </c>
      <c r="N91" s="721">
        <f t="shared" si="111"/>
        <v>0</v>
      </c>
      <c r="O91" s="721">
        <f t="shared" si="111"/>
        <v>0</v>
      </c>
      <c r="P91" s="721">
        <f t="shared" si="111"/>
        <v>0</v>
      </c>
      <c r="Q91" s="721">
        <f t="shared" si="111"/>
        <v>0</v>
      </c>
    </row>
    <row r="92" spans="2:17" x14ac:dyDescent="0.25">
      <c r="B92" s="14" t="str">
        <f t="shared" si="99"/>
        <v>…….</v>
      </c>
      <c r="H92" s="721">
        <f t="shared" ref="H92:Q92" si="112">H45/H$2</f>
        <v>0</v>
      </c>
      <c r="I92" s="721">
        <f t="shared" si="112"/>
        <v>0</v>
      </c>
      <c r="J92" s="721">
        <f t="shared" si="112"/>
        <v>0</v>
      </c>
      <c r="K92" s="721">
        <f t="shared" si="112"/>
        <v>0</v>
      </c>
      <c r="L92" s="721">
        <f t="shared" si="112"/>
        <v>0</v>
      </c>
      <c r="M92" s="721">
        <f t="shared" si="112"/>
        <v>0</v>
      </c>
      <c r="N92" s="721">
        <f t="shared" si="112"/>
        <v>0</v>
      </c>
      <c r="O92" s="721">
        <f t="shared" si="112"/>
        <v>0</v>
      </c>
      <c r="P92" s="721">
        <f t="shared" si="112"/>
        <v>0</v>
      </c>
      <c r="Q92" s="721">
        <f t="shared" si="112"/>
        <v>0</v>
      </c>
    </row>
    <row r="93" spans="2:17" x14ac:dyDescent="0.25">
      <c r="B93" s="14" t="str">
        <f>+B45</f>
        <v>…….</v>
      </c>
      <c r="H93" s="721">
        <f t="shared" ref="H93:Q93" si="113">H46/H$2</f>
        <v>0</v>
      </c>
      <c r="I93" s="721">
        <f t="shared" si="113"/>
        <v>0</v>
      </c>
      <c r="J93" s="721">
        <f t="shared" si="113"/>
        <v>0</v>
      </c>
      <c r="K93" s="721">
        <f t="shared" si="113"/>
        <v>0</v>
      </c>
      <c r="L93" s="721">
        <f t="shared" si="113"/>
        <v>0</v>
      </c>
      <c r="M93" s="721">
        <f t="shared" si="113"/>
        <v>0</v>
      </c>
      <c r="N93" s="721">
        <f t="shared" si="113"/>
        <v>0</v>
      </c>
      <c r="O93" s="721">
        <f t="shared" si="113"/>
        <v>0</v>
      </c>
      <c r="P93" s="721">
        <f t="shared" si="113"/>
        <v>0</v>
      </c>
      <c r="Q93" s="721">
        <f t="shared" si="113"/>
        <v>0</v>
      </c>
    </row>
    <row r="94" spans="2:17" x14ac:dyDescent="0.25">
      <c r="B94" s="14" t="str">
        <f t="shared" si="99"/>
        <v>…….</v>
      </c>
      <c r="H94" s="721">
        <f t="shared" ref="H94:Q94" si="114">H47/H$2</f>
        <v>0</v>
      </c>
      <c r="I94" s="721">
        <f t="shared" si="114"/>
        <v>0</v>
      </c>
      <c r="J94" s="721">
        <f t="shared" si="114"/>
        <v>0</v>
      </c>
      <c r="K94" s="721">
        <f t="shared" si="114"/>
        <v>0</v>
      </c>
      <c r="L94" s="721">
        <f t="shared" si="114"/>
        <v>0</v>
      </c>
      <c r="M94" s="721">
        <f t="shared" si="114"/>
        <v>0</v>
      </c>
      <c r="N94" s="721">
        <f t="shared" si="114"/>
        <v>0</v>
      </c>
      <c r="O94" s="721">
        <f t="shared" si="114"/>
        <v>0</v>
      </c>
      <c r="P94" s="721">
        <f t="shared" si="114"/>
        <v>0</v>
      </c>
      <c r="Q94" s="721">
        <f t="shared" si="114"/>
        <v>0</v>
      </c>
    </row>
    <row r="95" spans="2:17" x14ac:dyDescent="0.25">
      <c r="B95" s="14" t="str">
        <f t="shared" si="99"/>
        <v>…….</v>
      </c>
      <c r="H95" s="721">
        <f t="shared" ref="H95:Q95" si="115">H48/H$2</f>
        <v>0</v>
      </c>
      <c r="I95" s="721">
        <f t="shared" si="115"/>
        <v>0</v>
      </c>
      <c r="J95" s="721">
        <f t="shared" si="115"/>
        <v>0</v>
      </c>
      <c r="K95" s="721">
        <f t="shared" si="115"/>
        <v>0</v>
      </c>
      <c r="L95" s="721">
        <f t="shared" si="115"/>
        <v>0</v>
      </c>
      <c r="M95" s="721">
        <f t="shared" si="115"/>
        <v>0</v>
      </c>
      <c r="N95" s="721">
        <f t="shared" si="115"/>
        <v>0</v>
      </c>
      <c r="O95" s="721">
        <f t="shared" si="115"/>
        <v>0</v>
      </c>
      <c r="P95" s="721">
        <f t="shared" si="115"/>
        <v>0</v>
      </c>
      <c r="Q95" s="721">
        <f t="shared" si="115"/>
        <v>0</v>
      </c>
    </row>
    <row r="96" spans="2:17" x14ac:dyDescent="0.25">
      <c r="B96" s="14" t="str">
        <f t="shared" si="99"/>
        <v>…….</v>
      </c>
      <c r="H96" s="721">
        <f t="shared" ref="H96:Q96" si="116">H49/H$2</f>
        <v>0</v>
      </c>
      <c r="I96" s="721">
        <f t="shared" si="116"/>
        <v>0</v>
      </c>
      <c r="J96" s="721">
        <f t="shared" si="116"/>
        <v>0</v>
      </c>
      <c r="K96" s="721">
        <f t="shared" si="116"/>
        <v>0</v>
      </c>
      <c r="L96" s="721">
        <f t="shared" si="116"/>
        <v>0</v>
      </c>
      <c r="M96" s="721">
        <f t="shared" si="116"/>
        <v>0</v>
      </c>
      <c r="N96" s="721">
        <f t="shared" si="116"/>
        <v>0</v>
      </c>
      <c r="O96" s="721">
        <f t="shared" si="116"/>
        <v>0</v>
      </c>
      <c r="P96" s="721">
        <f t="shared" si="116"/>
        <v>0</v>
      </c>
      <c r="Q96" s="721">
        <f t="shared" si="116"/>
        <v>0</v>
      </c>
    </row>
    <row r="97" spans="2:17" x14ac:dyDescent="0.25">
      <c r="B97" s="14" t="str">
        <f t="shared" si="99"/>
        <v>…….</v>
      </c>
    </row>
    <row r="98" spans="2:17" x14ac:dyDescent="0.25">
      <c r="B98" s="14" t="str">
        <f t="shared" si="99"/>
        <v>…….</v>
      </c>
    </row>
    <row r="99" spans="2:17" x14ac:dyDescent="0.25">
      <c r="B99" s="14" t="str">
        <f t="shared" si="99"/>
        <v>…….</v>
      </c>
    </row>
    <row r="100" spans="2:17" x14ac:dyDescent="0.25">
      <c r="B100" s="14" t="str">
        <f>+B52</f>
        <v>…….</v>
      </c>
    </row>
    <row r="101" spans="2:17" x14ac:dyDescent="0.25">
      <c r="B101" s="14" t="str">
        <f t="shared" si="99"/>
        <v>…….</v>
      </c>
    </row>
    <row r="102" spans="2:17" x14ac:dyDescent="0.25">
      <c r="B102" s="14"/>
    </row>
    <row r="103" spans="2:17" x14ac:dyDescent="0.25">
      <c r="B103" s="363" t="s">
        <v>114</v>
      </c>
      <c r="C103" s="398">
        <f>SUM(D103:N103)</f>
        <v>35725.765944648607</v>
      </c>
      <c r="D103" s="398">
        <f>SUM(D57:D102)</f>
        <v>0</v>
      </c>
      <c r="E103" s="398">
        <f t="shared" ref="E103:L103" si="117">SUM(E57:E102)</f>
        <v>0</v>
      </c>
      <c r="F103" s="398">
        <f t="shared" si="117"/>
        <v>0</v>
      </c>
      <c r="G103" s="398">
        <f t="shared" si="117"/>
        <v>1165</v>
      </c>
      <c r="H103" s="398">
        <f t="shared" si="117"/>
        <v>23678.000962000962</v>
      </c>
      <c r="I103" s="398">
        <f t="shared" si="117"/>
        <v>7567.5463290917833</v>
      </c>
      <c r="J103" s="398">
        <f t="shared" si="117"/>
        <v>795.04211735616695</v>
      </c>
      <c r="K103" s="398">
        <f t="shared" si="117"/>
        <v>722.76556123287901</v>
      </c>
      <c r="L103" s="398">
        <f t="shared" si="117"/>
        <v>657.05960112079902</v>
      </c>
      <c r="M103" s="398">
        <f t="shared" ref="M103:Q103" si="118">SUM(M57:M102)</f>
        <v>597.32691010981716</v>
      </c>
      <c r="N103" s="398">
        <f t="shared" si="118"/>
        <v>543.0244637361975</v>
      </c>
      <c r="O103" s="398">
        <f t="shared" si="118"/>
        <v>493.65860339654313</v>
      </c>
      <c r="P103" s="398">
        <f t="shared" si="118"/>
        <v>448.78054854231192</v>
      </c>
      <c r="Q103" s="398">
        <f t="shared" si="118"/>
        <v>407.98231685664712</v>
      </c>
    </row>
    <row r="104" spans="2:17" x14ac:dyDescent="0.25">
      <c r="B104" s="168" t="s">
        <v>528</v>
      </c>
      <c r="C104" s="1"/>
    </row>
    <row r="105" spans="2:17" x14ac:dyDescent="0.25">
      <c r="B105" s="168" t="s">
        <v>529</v>
      </c>
      <c r="C105" s="1">
        <f>SUM(D105:N105)</f>
        <v>35725.765944648607</v>
      </c>
      <c r="D105" s="1">
        <f>+D103-D106</f>
        <v>0</v>
      </c>
      <c r="E105" s="1">
        <f t="shared" ref="E105:L105" si="119">+E103-E106</f>
        <v>0</v>
      </c>
      <c r="F105" s="1">
        <f t="shared" si="119"/>
        <v>0</v>
      </c>
      <c r="G105" s="1">
        <f t="shared" si="119"/>
        <v>1165</v>
      </c>
      <c r="H105" s="1">
        <f t="shared" si="119"/>
        <v>23678.000962000962</v>
      </c>
      <c r="I105" s="1">
        <f t="shared" si="119"/>
        <v>7567.5463290917833</v>
      </c>
      <c r="J105" s="1">
        <f t="shared" si="119"/>
        <v>795.04211735616695</v>
      </c>
      <c r="K105" s="1">
        <f t="shared" si="119"/>
        <v>722.76556123287901</v>
      </c>
      <c r="L105" s="1">
        <f t="shared" si="119"/>
        <v>657.05960112079902</v>
      </c>
      <c r="M105" s="1">
        <f t="shared" ref="M105:Q105" si="120">+M103-M106</f>
        <v>597.32691010981716</v>
      </c>
      <c r="N105" s="1">
        <f t="shared" si="120"/>
        <v>543.0244637361975</v>
      </c>
      <c r="O105" s="1">
        <f t="shared" si="120"/>
        <v>493.65860339654313</v>
      </c>
      <c r="P105" s="1">
        <f t="shared" si="120"/>
        <v>448.78054854231192</v>
      </c>
      <c r="Q105" s="1">
        <f t="shared" si="120"/>
        <v>407.98231685664712</v>
      </c>
    </row>
    <row r="106" spans="2:17" x14ac:dyDescent="0.25">
      <c r="B106" s="170" t="s">
        <v>531</v>
      </c>
      <c r="C106" s="396">
        <f>SUM(D106:N106)</f>
        <v>0</v>
      </c>
      <c r="D106" s="81"/>
      <c r="E106" s="81"/>
      <c r="F106" s="396">
        <f>+F76</f>
        <v>0</v>
      </c>
      <c r="G106" s="396">
        <f>+G77</f>
        <v>0</v>
      </c>
      <c r="H106" s="81">
        <f>+H78</f>
        <v>0</v>
      </c>
      <c r="I106" s="81">
        <f t="shared" ref="I106:L106" si="121">+I78</f>
        <v>0</v>
      </c>
      <c r="J106" s="81">
        <f t="shared" si="121"/>
        <v>0</v>
      </c>
      <c r="K106" s="81">
        <f t="shared" si="121"/>
        <v>0</v>
      </c>
      <c r="L106" s="81">
        <f t="shared" si="121"/>
        <v>0</v>
      </c>
      <c r="M106" s="81">
        <f t="shared" ref="M106:Q106" si="122">+M78</f>
        <v>0</v>
      </c>
      <c r="N106" s="81">
        <f t="shared" si="122"/>
        <v>0</v>
      </c>
      <c r="O106" s="81">
        <f t="shared" si="122"/>
        <v>0</v>
      </c>
      <c r="P106" s="81">
        <f t="shared" si="122"/>
        <v>0</v>
      </c>
      <c r="Q106" s="81">
        <f t="shared" si="122"/>
        <v>0</v>
      </c>
    </row>
    <row r="109" spans="2:17" x14ac:dyDescent="0.25">
      <c r="I109" s="166" t="s">
        <v>530</v>
      </c>
      <c r="J109" s="166"/>
    </row>
  </sheetData>
  <mergeCells count="4">
    <mergeCell ref="D4:N4"/>
    <mergeCell ref="T4:AD4"/>
    <mergeCell ref="AI4:AS4"/>
    <mergeCell ref="AX4:BH4"/>
  </mergeCells>
  <phoneticPr fontId="73" type="noConversion"/>
  <printOptions headings="1"/>
  <pageMargins left="0.4" right="0.4" top="0.5" bottom="0.5" header="0.3" footer="0.3"/>
  <pageSetup paperSize="3" scale="4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59"/>
  <sheetViews>
    <sheetView workbookViewId="0"/>
  </sheetViews>
  <sheetFormatPr defaultRowHeight="15.75" x14ac:dyDescent="0.25"/>
  <cols>
    <col min="1" max="1" width="22.75" bestFit="1" customWidth="1"/>
    <col min="2" max="2" width="10.125" customWidth="1"/>
    <col min="3" max="3" width="11.375" bestFit="1" customWidth="1"/>
    <col min="4" max="4" width="10.375" bestFit="1" customWidth="1"/>
    <col min="5" max="5" width="11.375" bestFit="1" customWidth="1"/>
    <col min="6" max="14" width="10.375" bestFit="1" customWidth="1"/>
    <col min="15" max="15" width="7.875" bestFit="1" customWidth="1"/>
  </cols>
  <sheetData>
    <row r="1" spans="1:17" x14ac:dyDescent="0.25">
      <c r="A1" s="64" t="s">
        <v>448</v>
      </c>
      <c r="B1" s="64"/>
      <c r="C1" s="64"/>
      <c r="D1" s="107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</row>
    <row r="2" spans="1:17" s="304" customFormat="1" x14ac:dyDescent="0.25">
      <c r="A2" s="331"/>
      <c r="B2" s="331"/>
      <c r="C2" s="331">
        <v>2008</v>
      </c>
      <c r="D2" s="331">
        <v>2009</v>
      </c>
      <c r="E2" s="331">
        <v>2010</v>
      </c>
      <c r="F2" s="331">
        <v>2011</v>
      </c>
      <c r="G2" s="331">
        <v>2012</v>
      </c>
      <c r="H2" s="331">
        <v>2013</v>
      </c>
      <c r="I2" s="331">
        <v>2014</v>
      </c>
      <c r="J2" s="331">
        <v>2015</v>
      </c>
      <c r="K2" s="331">
        <v>2016</v>
      </c>
      <c r="L2" s="331">
        <v>2017</v>
      </c>
      <c r="M2" s="331">
        <v>2018</v>
      </c>
      <c r="N2" s="331">
        <v>2019</v>
      </c>
      <c r="O2" s="331">
        <v>2020</v>
      </c>
      <c r="P2" s="331">
        <v>2021</v>
      </c>
      <c r="Q2" s="331">
        <v>2022</v>
      </c>
    </row>
    <row r="3" spans="1:17" x14ac:dyDescent="0.25">
      <c r="A3" s="64" t="s">
        <v>437</v>
      </c>
      <c r="B3" s="64"/>
      <c r="C3" s="64">
        <f>Assumptions!C6</f>
        <v>1319.6</v>
      </c>
      <c r="D3" s="64">
        <f>Assumptions!D6</f>
        <v>1465.6</v>
      </c>
      <c r="E3" s="64">
        <f>Assumptions!E6</f>
        <v>1587.5</v>
      </c>
      <c r="F3" s="64">
        <f>Assumptions!F6</f>
        <v>1714</v>
      </c>
      <c r="G3" s="64">
        <f>Assumptions!G6</f>
        <v>1890</v>
      </c>
      <c r="H3" s="64">
        <f>Assumptions!H6</f>
        <v>2079</v>
      </c>
      <c r="I3" s="64">
        <f>Assumptions!I6</f>
        <v>2286.9</v>
      </c>
      <c r="J3" s="64">
        <f>Assumptions!J6</f>
        <v>2515.59</v>
      </c>
      <c r="K3" s="64">
        <f>Assumptions!K6</f>
        <v>2767.1490000000003</v>
      </c>
      <c r="L3" s="64">
        <f>Assumptions!L6</f>
        <v>3043.8639000000007</v>
      </c>
      <c r="M3" s="64">
        <f>Assumptions!M6</f>
        <v>3348.2502900000009</v>
      </c>
      <c r="N3" s="64">
        <f>Assumptions!N6</f>
        <v>3683.0753190000014</v>
      </c>
      <c r="O3" s="64">
        <f>Assumptions!O6</f>
        <v>4051.3828509000018</v>
      </c>
      <c r="P3" s="64">
        <f>Assumptions!P6</f>
        <v>4456.5211359900022</v>
      </c>
      <c r="Q3" s="64">
        <f>Assumptions!Q6</f>
        <v>4902.1732495890028</v>
      </c>
    </row>
    <row r="4" spans="1:17" x14ac:dyDescent="0.25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</row>
    <row r="5" spans="1:17" x14ac:dyDescent="0.25">
      <c r="A5" s="64" t="s">
        <v>438</v>
      </c>
      <c r="B5" s="64"/>
      <c r="C5" s="107">
        <f>PL!C6*turnover!C7/turnover!C8</f>
        <v>50020.642918650665</v>
      </c>
      <c r="D5" s="107">
        <f>turnover!D7/D3*1000</f>
        <v>9284.9344978165955</v>
      </c>
      <c r="E5" s="107">
        <f>turnover!E7/E3*1000</f>
        <v>46199.810904506761</v>
      </c>
      <c r="F5" s="107">
        <f>turnover!F7/F3*1000</f>
        <v>38493.582263710625</v>
      </c>
      <c r="G5" s="107">
        <f>turnover!G7/G3*1000</f>
        <v>46500</v>
      </c>
      <c r="H5" s="107">
        <f>turnover!H7/H3*1000</f>
        <v>52985.731999999996</v>
      </c>
      <c r="I5" s="107">
        <f>turnover!I7/I3*1000</f>
        <v>74248.37000000001</v>
      </c>
      <c r="J5" s="107">
        <f>turnover!J7/J3*1000</f>
        <v>95895.739000000001</v>
      </c>
      <c r="K5" s="107">
        <f>turnover!K7/K3*1000</f>
        <v>98736.755000000019</v>
      </c>
      <c r="L5" s="107">
        <f>turnover!L7/L3*1000</f>
        <v>101718.60499999998</v>
      </c>
      <c r="M5" s="107">
        <f>turnover!M7/M3*1000</f>
        <v>104744.94500000004</v>
      </c>
      <c r="N5" s="107">
        <f>turnover!N7/N3*1000</f>
        <v>107832.64599999999</v>
      </c>
      <c r="O5" s="107">
        <f>turnover!O7/O3*1000</f>
        <v>111104.35199999998</v>
      </c>
      <c r="P5" s="107">
        <f>turnover!P7/P3*1000</f>
        <v>114444.83399999999</v>
      </c>
      <c r="Q5" s="107">
        <f>turnover!Q7/Q3*1000</f>
        <v>117824.86</v>
      </c>
    </row>
    <row r="6" spans="1:17" x14ac:dyDescent="0.25">
      <c r="A6" s="64" t="s">
        <v>439</v>
      </c>
      <c r="B6" s="64"/>
      <c r="C6" s="107">
        <f>C5/2</f>
        <v>25010.321459325332</v>
      </c>
      <c r="D6" s="107">
        <f t="shared" ref="D6:N6" si="0">D5/2</f>
        <v>4642.4672489082977</v>
      </c>
      <c r="E6" s="107">
        <f t="shared" si="0"/>
        <v>23099.905452253381</v>
      </c>
      <c r="F6" s="107">
        <f t="shared" si="0"/>
        <v>19246.791131855312</v>
      </c>
      <c r="G6" s="107">
        <f t="shared" si="0"/>
        <v>23250</v>
      </c>
      <c r="H6" s="107">
        <f t="shared" si="0"/>
        <v>26492.865999999998</v>
      </c>
      <c r="I6" s="107">
        <f t="shared" si="0"/>
        <v>37124.185000000005</v>
      </c>
      <c r="J6" s="107">
        <f t="shared" si="0"/>
        <v>47947.869500000001</v>
      </c>
      <c r="K6" s="107">
        <f t="shared" si="0"/>
        <v>49368.37750000001</v>
      </c>
      <c r="L6" s="107">
        <f t="shared" si="0"/>
        <v>50859.302499999991</v>
      </c>
      <c r="M6" s="107">
        <f t="shared" si="0"/>
        <v>52372.472500000018</v>
      </c>
      <c r="N6" s="107">
        <f t="shared" si="0"/>
        <v>53916.322999999997</v>
      </c>
      <c r="O6" s="107">
        <f t="shared" ref="O6:Q6" si="1">O5/2</f>
        <v>55552.175999999992</v>
      </c>
      <c r="P6" s="107">
        <f t="shared" si="1"/>
        <v>57222.416999999994</v>
      </c>
      <c r="Q6" s="107">
        <f t="shared" si="1"/>
        <v>58912.43</v>
      </c>
    </row>
    <row r="7" spans="1:17" x14ac:dyDescent="0.25">
      <c r="A7" s="64" t="s">
        <v>405</v>
      </c>
      <c r="B7" s="64"/>
      <c r="C7" s="107">
        <f>'CF USD'!C17</f>
        <v>242.13308358639816</v>
      </c>
      <c r="D7" s="107">
        <f>'CF USD'!D17</f>
        <v>-3108.6244541484721</v>
      </c>
      <c r="E7" s="107">
        <f>'CF USD'!E17</f>
        <v>-5585.5118110236217</v>
      </c>
      <c r="F7" s="107">
        <f>'CF USD'!F17</f>
        <v>-2744.457409568261</v>
      </c>
      <c r="G7" s="107">
        <f>'CF USD'!G17</f>
        <v>-1165</v>
      </c>
      <c r="H7" s="107">
        <f>'CF USD'!H17</f>
        <v>-23678.000962000962</v>
      </c>
      <c r="I7" s="107">
        <f>'CF USD'!I17</f>
        <v>-7567.5463290917842</v>
      </c>
      <c r="J7" s="107">
        <f>'CF USD'!J17</f>
        <v>-795.04211735616695</v>
      </c>
      <c r="K7" s="107">
        <f>'CF USD'!K17</f>
        <v>-722.76556123287889</v>
      </c>
      <c r="L7" s="107">
        <f>'CF USD'!L17</f>
        <v>-657.05960112079902</v>
      </c>
      <c r="M7" s="107">
        <f>'CF USD'!M17</f>
        <v>-597.32691010981716</v>
      </c>
      <c r="N7" s="107">
        <f>'CF USD'!N17</f>
        <v>-543.02446373619739</v>
      </c>
      <c r="O7" s="107">
        <f>'CF USD'!O17</f>
        <v>-493.65860339654307</v>
      </c>
      <c r="P7" s="107">
        <f>'CF USD'!P17</f>
        <v>-448.78054854231186</v>
      </c>
      <c r="Q7" s="107">
        <f>'CF USD'!Q17</f>
        <v>-407.98231685664712</v>
      </c>
    </row>
    <row r="8" spans="1:17" x14ac:dyDescent="0.25">
      <c r="A8" s="64" t="s">
        <v>441</v>
      </c>
      <c r="B8" s="64"/>
      <c r="C8" s="107">
        <f>'CF USD'!C20</f>
        <v>0</v>
      </c>
      <c r="D8" s="107">
        <f>'CF USD'!D20</f>
        <v>146.69759825327512</v>
      </c>
      <c r="E8" s="107">
        <f>'CF USD'!E20</f>
        <v>0</v>
      </c>
      <c r="F8" s="107">
        <f>'CF USD'!F20</f>
        <v>0</v>
      </c>
      <c r="G8" s="107">
        <f>'CF USD'!G20</f>
        <v>0</v>
      </c>
      <c r="H8" s="107">
        <f>'CF USD'!H20</f>
        <v>22715.999999999996</v>
      </c>
      <c r="I8" s="107">
        <f>'CF USD'!I20</f>
        <v>1284</v>
      </c>
      <c r="J8" s="107">
        <f>'CF USD'!J20</f>
        <v>0</v>
      </c>
      <c r="K8" s="107">
        <f>'CF USD'!K20</f>
        <v>0</v>
      </c>
      <c r="L8" s="107">
        <f>'CF USD'!L20</f>
        <v>0</v>
      </c>
      <c r="M8" s="107">
        <f>'CF USD'!M20</f>
        <v>0</v>
      </c>
      <c r="N8" s="107">
        <f>'CF USD'!N20</f>
        <v>0</v>
      </c>
      <c r="O8" s="107">
        <f>'CF USD'!O20</f>
        <v>0</v>
      </c>
      <c r="P8" s="107">
        <f>'CF USD'!P20</f>
        <v>0</v>
      </c>
      <c r="Q8" s="107">
        <f>'CF USD'!Q20</f>
        <v>0</v>
      </c>
    </row>
    <row r="9" spans="1:17" x14ac:dyDescent="0.25">
      <c r="A9" s="64" t="s">
        <v>415</v>
      </c>
      <c r="B9" s="64"/>
      <c r="C9" s="107">
        <f>'CF USD'!C22</f>
        <v>947.25674446802066</v>
      </c>
      <c r="D9" s="107">
        <f>'CF USD'!D22</f>
        <v>1545.4421397379913</v>
      </c>
      <c r="E9" s="107">
        <f>'CF USD'!E22</f>
        <v>2333.8582677165355</v>
      </c>
      <c r="F9" s="107">
        <f>'CF USD'!F22</f>
        <v>96.849474912485405</v>
      </c>
      <c r="G9" s="107">
        <f>'CF USD'!G22</f>
        <v>1170</v>
      </c>
      <c r="H9" s="107">
        <f>'CF USD'!H22</f>
        <v>0</v>
      </c>
      <c r="I9" s="107">
        <f>'CF USD'!I22</f>
        <v>0</v>
      </c>
      <c r="J9" s="107">
        <f>'CF USD'!J22</f>
        <v>0</v>
      </c>
      <c r="K9" s="107">
        <f>'CF USD'!K22</f>
        <v>0</v>
      </c>
      <c r="L9" s="107">
        <f>'CF USD'!L22</f>
        <v>0</v>
      </c>
      <c r="M9" s="107">
        <f>'CF USD'!M22</f>
        <v>0</v>
      </c>
      <c r="N9" s="107">
        <f>'CF USD'!N22</f>
        <v>0</v>
      </c>
      <c r="O9" s="107">
        <f>'CF USD'!O22</f>
        <v>0</v>
      </c>
      <c r="P9" s="107">
        <f>'CF USD'!P22</f>
        <v>0</v>
      </c>
      <c r="Q9" s="107">
        <f>'CF USD'!Q22</f>
        <v>0</v>
      </c>
    </row>
    <row r="10" spans="1:17" x14ac:dyDescent="0.25">
      <c r="A10" s="64"/>
      <c r="B10" s="64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</row>
    <row r="11" spans="1:17" s="15" customFormat="1" x14ac:dyDescent="0.25">
      <c r="A11" s="331" t="s">
        <v>440</v>
      </c>
      <c r="B11" s="331"/>
      <c r="C11" s="332">
        <f>SUM(C6:C9)</f>
        <v>26199.711287379752</v>
      </c>
      <c r="D11" s="332">
        <f t="shared" ref="D11:N11" si="2">SUM(D6:D9)</f>
        <v>3225.9825327510921</v>
      </c>
      <c r="E11" s="332">
        <f t="shared" si="2"/>
        <v>19848.251908946295</v>
      </c>
      <c r="F11" s="332">
        <f t="shared" si="2"/>
        <v>16599.183197199534</v>
      </c>
      <c r="G11" s="332">
        <f t="shared" si="2"/>
        <v>23255</v>
      </c>
      <c r="H11" s="332">
        <f t="shared" si="2"/>
        <v>25530.865037999032</v>
      </c>
      <c r="I11" s="332">
        <f t="shared" si="2"/>
        <v>30840.638670908222</v>
      </c>
      <c r="J11" s="332">
        <f t="shared" si="2"/>
        <v>47152.827382643831</v>
      </c>
      <c r="K11" s="332">
        <f t="shared" si="2"/>
        <v>48645.611938767128</v>
      </c>
      <c r="L11" s="332">
        <f t="shared" si="2"/>
        <v>50202.242898879194</v>
      </c>
      <c r="M11" s="332">
        <f t="shared" si="2"/>
        <v>51775.145589890199</v>
      </c>
      <c r="N11" s="332">
        <f t="shared" si="2"/>
        <v>53373.298536263799</v>
      </c>
      <c r="O11" s="332">
        <f t="shared" ref="O11:Q11" si="3">SUM(O6:O9)</f>
        <v>55058.517396603449</v>
      </c>
      <c r="P11" s="332">
        <f t="shared" si="3"/>
        <v>56773.636451457685</v>
      </c>
      <c r="Q11" s="332">
        <f t="shared" si="3"/>
        <v>58504.447683143357</v>
      </c>
    </row>
    <row r="12" spans="1:17" x14ac:dyDescent="0.25">
      <c r="A12" s="324"/>
      <c r="B12" s="325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6"/>
      <c r="N12" s="327"/>
      <c r="O12" s="327"/>
      <c r="P12" s="327"/>
      <c r="Q12" s="327"/>
    </row>
    <row r="13" spans="1:17" s="304" customFormat="1" x14ac:dyDescent="0.25">
      <c r="A13" s="331" t="s">
        <v>407</v>
      </c>
      <c r="B13" s="331"/>
      <c r="C13" s="332">
        <f t="shared" ref="C13:N13" si="4">SUM(C14:C15)</f>
        <v>-141.98400000000132</v>
      </c>
      <c r="D13" s="332">
        <f t="shared" si="4"/>
        <v>-1361</v>
      </c>
      <c r="E13" s="332">
        <f t="shared" si="4"/>
        <v>-1251.4330708661416</v>
      </c>
      <c r="F13" s="332">
        <f t="shared" si="4"/>
        <v>-706.30708661417327</v>
      </c>
      <c r="G13" s="332">
        <f t="shared" ca="1" si="4"/>
        <v>-503</v>
      </c>
      <c r="H13" s="332">
        <f t="shared" ca="1" si="4"/>
        <v>-774.34399999999994</v>
      </c>
      <c r="I13" s="332">
        <f t="shared" ca="1" si="4"/>
        <v>-1588.3440000000001</v>
      </c>
      <c r="J13" s="332">
        <f t="shared" ca="1" si="4"/>
        <v>-6020.7312000000002</v>
      </c>
      <c r="K13" s="332">
        <f t="shared" ca="1" si="4"/>
        <v>-5959.8624000000009</v>
      </c>
      <c r="L13" s="332">
        <f t="shared" ca="1" si="4"/>
        <v>-5633.4624000000003</v>
      </c>
      <c r="M13" s="332">
        <f t="shared" ca="1" si="4"/>
        <v>-5307.0623999999998</v>
      </c>
      <c r="N13" s="332">
        <f t="shared" ca="1" si="4"/>
        <v>-4980.6624000000002</v>
      </c>
      <c r="O13" s="332">
        <f t="shared" ref="O13:Q13" ca="1" si="5">SUM(O14:O15)</f>
        <v>-265.53119999999984</v>
      </c>
      <c r="P13" s="332">
        <f t="shared" ca="1" si="5"/>
        <v>0</v>
      </c>
      <c r="Q13" s="332">
        <f t="shared" ca="1" si="5"/>
        <v>0</v>
      </c>
    </row>
    <row r="14" spans="1:17" s="305" customFormat="1" x14ac:dyDescent="0.25">
      <c r="A14" s="333" t="s">
        <v>408</v>
      </c>
      <c r="B14" s="64"/>
      <c r="C14" s="107">
        <f>'CF USD'!C62</f>
        <v>-141.98400000000132</v>
      </c>
      <c r="D14" s="107">
        <f>'CF USD'!D62</f>
        <v>-1361</v>
      </c>
      <c r="E14" s="107">
        <f>'CF USD'!E62</f>
        <v>-1116</v>
      </c>
      <c r="F14" s="107">
        <f>'CF USD'!F62</f>
        <v>-706.30708661417327</v>
      </c>
      <c r="G14" s="107">
        <f ca="1">'CF USD'!G62</f>
        <v>-503</v>
      </c>
      <c r="H14" s="107">
        <f ca="1">'CF USD'!H62</f>
        <v>-774.34399999999994</v>
      </c>
      <c r="I14" s="107">
        <f ca="1">'CF USD'!I62</f>
        <v>-1588.3440000000001</v>
      </c>
      <c r="J14" s="107">
        <f ca="1">'CF USD'!J62</f>
        <v>-1477.5312000000001</v>
      </c>
      <c r="K14" s="107">
        <f ca="1">'CF USD'!K62</f>
        <v>-1159.8624</v>
      </c>
      <c r="L14" s="107">
        <f ca="1">'CF USD'!L62</f>
        <v>-833.46239999999989</v>
      </c>
      <c r="M14" s="107">
        <f ca="1">'CF USD'!M62</f>
        <v>-507.06239999999991</v>
      </c>
      <c r="N14" s="107">
        <f ca="1">'CF USD'!N62</f>
        <v>-180.66239999999993</v>
      </c>
      <c r="O14" s="107">
        <f ca="1">'CF USD'!O62</f>
        <v>-8.7311999999999124</v>
      </c>
      <c r="P14" s="107">
        <f ca="1">'CF USD'!P62</f>
        <v>0</v>
      </c>
      <c r="Q14" s="107">
        <f ca="1">'CF USD'!Q62</f>
        <v>0</v>
      </c>
    </row>
    <row r="15" spans="1:17" s="305" customFormat="1" x14ac:dyDescent="0.25">
      <c r="A15" s="333" t="s">
        <v>409</v>
      </c>
      <c r="B15" s="64"/>
      <c r="C15" s="107">
        <f>'CF USD'!C63</f>
        <v>0</v>
      </c>
      <c r="D15" s="107">
        <f>'CF USD'!D63</f>
        <v>0</v>
      </c>
      <c r="E15" s="107">
        <f>'CF USD'!E63</f>
        <v>-135.43307086614172</v>
      </c>
      <c r="F15" s="107">
        <f>'CF USD'!F63</f>
        <v>0</v>
      </c>
      <c r="G15" s="107">
        <f>'CF USD'!G63</f>
        <v>0</v>
      </c>
      <c r="H15" s="107">
        <f>'CF USD'!H63</f>
        <v>0</v>
      </c>
      <c r="I15" s="107">
        <f>'CF USD'!I63</f>
        <v>0</v>
      </c>
      <c r="J15" s="107">
        <f>'CF USD'!J63</f>
        <v>-4543.2</v>
      </c>
      <c r="K15" s="107">
        <f>'CF USD'!K63</f>
        <v>-4800.0000000000009</v>
      </c>
      <c r="L15" s="107">
        <f>'CF USD'!L63</f>
        <v>-4800</v>
      </c>
      <c r="M15" s="107">
        <f>'CF USD'!M63</f>
        <v>-4800</v>
      </c>
      <c r="N15" s="107">
        <f>'CF USD'!N63</f>
        <v>-4800</v>
      </c>
      <c r="O15" s="107">
        <f>'CF USD'!O63</f>
        <v>-256.79999999999995</v>
      </c>
      <c r="P15" s="107">
        <f>'CF USD'!P63</f>
        <v>0</v>
      </c>
      <c r="Q15" s="107">
        <f>'CF USD'!Q63</f>
        <v>0</v>
      </c>
    </row>
    <row r="16" spans="1:17" s="305" customFormat="1" x14ac:dyDescent="0.25">
      <c r="A16" s="333"/>
      <c r="B16" s="64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</row>
    <row r="17" spans="1:17" s="304" customFormat="1" x14ac:dyDescent="0.25">
      <c r="A17" s="334" t="s">
        <v>414</v>
      </c>
      <c r="B17" s="335"/>
      <c r="C17" s="336">
        <f t="shared" ref="C17:N17" si="6">C11+C13</f>
        <v>26057.727287379752</v>
      </c>
      <c r="D17" s="336">
        <f t="shared" si="6"/>
        <v>1864.9825327510921</v>
      </c>
      <c r="E17" s="336">
        <f t="shared" si="6"/>
        <v>18596.818838080155</v>
      </c>
      <c r="F17" s="336">
        <f t="shared" si="6"/>
        <v>15892.876110585361</v>
      </c>
      <c r="G17" s="336">
        <f t="shared" ca="1" si="6"/>
        <v>22752</v>
      </c>
      <c r="H17" s="336">
        <f t="shared" ca="1" si="6"/>
        <v>24756.521037999031</v>
      </c>
      <c r="I17" s="336">
        <f t="shared" ca="1" si="6"/>
        <v>29252.294670908221</v>
      </c>
      <c r="J17" s="336">
        <f t="shared" ca="1" si="6"/>
        <v>41132.096182643829</v>
      </c>
      <c r="K17" s="336">
        <f t="shared" ca="1" si="6"/>
        <v>42685.74953876713</v>
      </c>
      <c r="L17" s="336">
        <f t="shared" ca="1" si="6"/>
        <v>44568.78049887919</v>
      </c>
      <c r="M17" s="336">
        <f t="shared" ca="1" si="6"/>
        <v>46468.083189890196</v>
      </c>
      <c r="N17" s="336">
        <f t="shared" ca="1" si="6"/>
        <v>48392.636136263798</v>
      </c>
      <c r="O17" s="336">
        <f t="shared" ref="O17:Q17" ca="1" si="7">O11+O13</f>
        <v>54792.986196603451</v>
      </c>
      <c r="P17" s="336">
        <f t="shared" ca="1" si="7"/>
        <v>56773.636451457685</v>
      </c>
      <c r="Q17" s="336">
        <f t="shared" ca="1" si="7"/>
        <v>58504.447683143357</v>
      </c>
    </row>
    <row r="18" spans="1:17" s="304" customFormat="1" x14ac:dyDescent="0.25">
      <c r="A18" s="334"/>
      <c r="B18" s="335"/>
      <c r="C18" s="336"/>
      <c r="D18" s="336"/>
      <c r="E18" s="336"/>
      <c r="F18" s="336"/>
      <c r="G18" s="336"/>
      <c r="H18" s="336"/>
      <c r="I18" s="336"/>
      <c r="J18" s="336"/>
      <c r="K18" s="336"/>
      <c r="L18" s="336"/>
      <c r="M18" s="336"/>
      <c r="N18" s="336"/>
      <c r="O18" s="336"/>
      <c r="P18" s="336"/>
      <c r="Q18" s="336"/>
    </row>
    <row r="19" spans="1:17" s="305" customFormat="1" x14ac:dyDescent="0.25">
      <c r="A19" s="64" t="s">
        <v>418</v>
      </c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</row>
    <row r="20" spans="1:17" s="315" customFormat="1" x14ac:dyDescent="0.25">
      <c r="A20" s="337" t="s">
        <v>412</v>
      </c>
      <c r="B20" s="338"/>
      <c r="C20" s="338">
        <f t="shared" ref="C20:N20" si="8">C11/-C13</f>
        <v>184.525800705569</v>
      </c>
      <c r="D20" s="338">
        <f t="shared" si="8"/>
        <v>2.3703031100301928</v>
      </c>
      <c r="E20" s="338">
        <f t="shared" si="8"/>
        <v>15.860418244508216</v>
      </c>
      <c r="F20" s="338">
        <f t="shared" si="8"/>
        <v>23.501368613999183</v>
      </c>
      <c r="G20" s="338">
        <f t="shared" ca="1" si="8"/>
        <v>46.232604373757454</v>
      </c>
      <c r="H20" s="338">
        <f t="shared" ca="1" si="8"/>
        <v>32.970959984191822</v>
      </c>
      <c r="I20" s="338">
        <f t="shared" ca="1" si="8"/>
        <v>19.416850928330526</v>
      </c>
      <c r="J20" s="338">
        <f t="shared" ca="1" si="8"/>
        <v>7.831744320796755</v>
      </c>
      <c r="K20" s="338">
        <f t="shared" ca="1" si="8"/>
        <v>8.1622038687952134</v>
      </c>
      <c r="L20" s="338">
        <f t="shared" ca="1" si="8"/>
        <v>8.9114365791949179</v>
      </c>
      <c r="M20" s="338">
        <f t="shared" ca="1" si="8"/>
        <v>9.7558953876046761</v>
      </c>
      <c r="N20" s="338">
        <f t="shared" ca="1" si="8"/>
        <v>10.716104455556714</v>
      </c>
      <c r="O20" s="338">
        <f t="shared" ref="O20:Q20" ca="1" si="9">O11/-O13</f>
        <v>207.35234652878262</v>
      </c>
      <c r="P20" s="338" t="e">
        <f t="shared" ca="1" si="9"/>
        <v>#DIV/0!</v>
      </c>
      <c r="Q20" s="338" t="e">
        <f t="shared" ca="1" si="9"/>
        <v>#DIV/0!</v>
      </c>
    </row>
    <row r="21" spans="1:17" s="319" customFormat="1" x14ac:dyDescent="0.25">
      <c r="A21" s="339" t="s">
        <v>413</v>
      </c>
      <c r="B21" s="340"/>
      <c r="C21" s="340">
        <f t="shared" ref="C21:N21" si="10">C11/-C14</f>
        <v>184.525800705569</v>
      </c>
      <c r="D21" s="340">
        <f t="shared" si="10"/>
        <v>2.3703031100301928</v>
      </c>
      <c r="E21" s="340">
        <f t="shared" si="10"/>
        <v>17.785171961421412</v>
      </c>
      <c r="F21" s="340">
        <f t="shared" si="10"/>
        <v>23.501368613999183</v>
      </c>
      <c r="G21" s="340">
        <f t="shared" ca="1" si="10"/>
        <v>46.232604373757454</v>
      </c>
      <c r="H21" s="340">
        <f t="shared" ca="1" si="10"/>
        <v>32.970959984191822</v>
      </c>
      <c r="I21" s="340">
        <f t="shared" ca="1" si="10"/>
        <v>19.416850928330526</v>
      </c>
      <c r="J21" s="340">
        <f t="shared" ca="1" si="10"/>
        <v>31.913253258302653</v>
      </c>
      <c r="K21" s="340">
        <f t="shared" ca="1" si="10"/>
        <v>41.940847413251028</v>
      </c>
      <c r="L21" s="340">
        <f t="shared" ca="1" si="10"/>
        <v>60.233362535465545</v>
      </c>
      <c r="M21" s="340">
        <f t="shared" ca="1" si="10"/>
        <v>102.1080355985579</v>
      </c>
      <c r="N21" s="340">
        <f t="shared" ca="1" si="10"/>
        <v>295.43113861137579</v>
      </c>
      <c r="O21" s="340">
        <f t="shared" ref="O21:Q21" ca="1" si="11">O11/-O14</f>
        <v>6305.9507738459779</v>
      </c>
      <c r="P21" s="340" t="e">
        <f t="shared" ca="1" si="11"/>
        <v>#DIV/0!</v>
      </c>
      <c r="Q21" s="340" t="e">
        <f t="shared" ca="1" si="11"/>
        <v>#DIV/0!</v>
      </c>
    </row>
    <row r="22" spans="1:17" s="305" customFormat="1" x14ac:dyDescent="0.25">
      <c r="A22" s="341"/>
      <c r="B22" s="342"/>
      <c r="C22" s="342"/>
      <c r="D22" s="342"/>
      <c r="E22" s="342"/>
      <c r="F22" s="342"/>
      <c r="G22" s="342"/>
      <c r="H22" s="342"/>
      <c r="I22" s="342"/>
      <c r="J22" s="342"/>
      <c r="K22" s="342"/>
      <c r="L22" s="342"/>
      <c r="M22" s="342"/>
      <c r="N22" s="342"/>
      <c r="O22" s="342"/>
      <c r="P22" s="342"/>
      <c r="Q22" s="342"/>
    </row>
    <row r="23" spans="1:17" s="305" customFormat="1" x14ac:dyDescent="0.25">
      <c r="A23" s="305" t="s">
        <v>447</v>
      </c>
      <c r="D23" s="306"/>
    </row>
    <row r="24" spans="1:17" s="305" customFormat="1" x14ac:dyDescent="0.25">
      <c r="A24" s="304"/>
      <c r="B24" s="304"/>
      <c r="C24" s="304">
        <v>2008</v>
      </c>
      <c r="D24" s="304">
        <v>2009</v>
      </c>
      <c r="E24" s="304">
        <v>2010</v>
      </c>
      <c r="F24" s="304">
        <v>2011</v>
      </c>
      <c r="G24" s="304">
        <v>2012</v>
      </c>
      <c r="H24" s="304">
        <v>2013</v>
      </c>
      <c r="I24" s="304">
        <v>2014</v>
      </c>
      <c r="J24" s="304">
        <v>2015</v>
      </c>
      <c r="K24" s="304">
        <v>2016</v>
      </c>
      <c r="L24" s="304">
        <v>2017</v>
      </c>
      <c r="M24" s="304">
        <v>2018</v>
      </c>
      <c r="N24" s="304">
        <v>2019</v>
      </c>
      <c r="O24" s="304">
        <v>2020</v>
      </c>
      <c r="P24" s="304">
        <v>2021</v>
      </c>
      <c r="Q24" s="304">
        <v>2022</v>
      </c>
    </row>
    <row r="25" spans="1:17" s="305" customFormat="1" x14ac:dyDescent="0.25">
      <c r="A25" s="312" t="s">
        <v>442</v>
      </c>
      <c r="B25" s="330"/>
      <c r="C25" s="328">
        <f>PL!C6-('USD-DSCR'!C5*'USD-DSCR'!C3)/1000</f>
        <v>56712.759604548584</v>
      </c>
      <c r="D25" s="328">
        <f>turnover!D6</f>
        <v>60309.619372442001</v>
      </c>
      <c r="E25" s="328">
        <f>turnover!E6</f>
        <v>94218</v>
      </c>
      <c r="F25" s="328">
        <f>turnover!F6</f>
        <v>90116.800000000003</v>
      </c>
      <c r="G25" s="328">
        <f ca="1">turnover!G6</f>
        <v>86574.349708166963</v>
      </c>
      <c r="H25" s="328">
        <f ca="1">turnover!H6</f>
        <v>104778.12305246333</v>
      </c>
      <c r="I25" s="328">
        <f ca="1">turnover!I6</f>
        <v>116921.4991892705</v>
      </c>
      <c r="J25" s="328">
        <f ca="1">turnover!J6</f>
        <v>124527.70711401819</v>
      </c>
      <c r="K25" s="328">
        <f ca="1">turnover!K6</f>
        <v>141064.66678267624</v>
      </c>
      <c r="L25" s="328">
        <f ca="1">turnover!L6</f>
        <v>160014.87388479491</v>
      </c>
      <c r="M25" s="328">
        <f ca="1">turnover!M6</f>
        <v>181765.78953262349</v>
      </c>
      <c r="N25" s="328">
        <f ca="1">turnover!N6</f>
        <v>206772.62301219755</v>
      </c>
      <c r="O25" s="328">
        <f ca="1">turnover!O6</f>
        <v>235218.83101520804</v>
      </c>
      <c r="P25" s="328">
        <f ca="1">turnover!P6</f>
        <v>267687.01557720039</v>
      </c>
      <c r="Q25" s="328">
        <f ca="1">turnover!Q6</f>
        <v>305991.74255916901</v>
      </c>
    </row>
    <row r="26" spans="1:17" s="305" customFormat="1" x14ac:dyDescent="0.25">
      <c r="A26" s="312" t="s">
        <v>443</v>
      </c>
      <c r="B26" s="330"/>
      <c r="C26" s="328">
        <f>C6*C3/1000</f>
        <v>33003.620197725708</v>
      </c>
      <c r="D26" s="328">
        <f>D6*D3/1000</f>
        <v>6804.0000000000009</v>
      </c>
      <c r="E26" s="328">
        <f t="shared" ref="E26:N26" si="12">E6*E3/1000</f>
        <v>36671.099905452247</v>
      </c>
      <c r="F26" s="328">
        <f t="shared" si="12"/>
        <v>32989.000000000007</v>
      </c>
      <c r="G26" s="328">
        <f t="shared" si="12"/>
        <v>43942.5</v>
      </c>
      <c r="H26" s="328">
        <f t="shared" si="12"/>
        <v>55078.668414</v>
      </c>
      <c r="I26" s="328">
        <f t="shared" si="12"/>
        <v>84899.29867650001</v>
      </c>
      <c r="J26" s="328">
        <f t="shared" si="12"/>
        <v>120617.18103550501</v>
      </c>
      <c r="K26" s="328">
        <f t="shared" si="12"/>
        <v>136609.65643074753</v>
      </c>
      <c r="L26" s="328">
        <f t="shared" si="12"/>
        <v>154808.79485892976</v>
      </c>
      <c r="M26" s="328">
        <f t="shared" si="12"/>
        <v>175356.14623614211</v>
      </c>
      <c r="N26" s="328">
        <f t="shared" si="12"/>
        <v>198577.87853253211</v>
      </c>
      <c r="O26" s="328">
        <f t="shared" ref="O26:Q26" si="13">O6*O3/1000</f>
        <v>225063.13317657865</v>
      </c>
      <c r="P26" s="328">
        <f t="shared" si="13"/>
        <v>255012.91081293358</v>
      </c>
      <c r="Q26" s="328">
        <f t="shared" si="13"/>
        <v>288798.93841428467</v>
      </c>
    </row>
    <row r="27" spans="1:17" s="304" customFormat="1" x14ac:dyDescent="0.25">
      <c r="A27" s="309" t="s">
        <v>444</v>
      </c>
      <c r="B27" s="343"/>
      <c r="C27" s="329">
        <f>SUM(C25:C26)</f>
        <v>89716.379802274285</v>
      </c>
      <c r="D27" s="329">
        <f t="shared" ref="D27:N27" si="14">SUM(D25:D26)</f>
        <v>67113.619372442001</v>
      </c>
      <c r="E27" s="329">
        <f t="shared" si="14"/>
        <v>130889.09990545225</v>
      </c>
      <c r="F27" s="329">
        <f t="shared" si="14"/>
        <v>123105.80000000002</v>
      </c>
      <c r="G27" s="329">
        <f t="shared" ca="1" si="14"/>
        <v>130516.84970816696</v>
      </c>
      <c r="H27" s="329">
        <f t="shared" ca="1" si="14"/>
        <v>159856.79146646333</v>
      </c>
      <c r="I27" s="329">
        <f t="shared" ca="1" si="14"/>
        <v>201820.79786577052</v>
      </c>
      <c r="J27" s="329">
        <f t="shared" ca="1" si="14"/>
        <v>245144.88814952321</v>
      </c>
      <c r="K27" s="329">
        <f t="shared" ca="1" si="14"/>
        <v>277674.32321342378</v>
      </c>
      <c r="L27" s="329">
        <f t="shared" ca="1" si="14"/>
        <v>314823.6687437247</v>
      </c>
      <c r="M27" s="329">
        <f t="shared" ca="1" si="14"/>
        <v>357121.93576876563</v>
      </c>
      <c r="N27" s="329">
        <f t="shared" ca="1" si="14"/>
        <v>405350.50154472969</v>
      </c>
      <c r="O27" s="329">
        <f t="shared" ref="O27:Q27" ca="1" si="15">SUM(O25:O26)</f>
        <v>460281.96419178671</v>
      </c>
      <c r="P27" s="329">
        <f t="shared" ca="1" si="15"/>
        <v>522699.92639013397</v>
      </c>
      <c r="Q27" s="329">
        <f t="shared" ca="1" si="15"/>
        <v>594790.68097345368</v>
      </c>
    </row>
    <row r="29" spans="1:17" s="305" customFormat="1" x14ac:dyDescent="0.25">
      <c r="A29" s="312" t="s">
        <v>445</v>
      </c>
      <c r="B29" s="330"/>
      <c r="C29" s="328">
        <f>PL!C8</f>
        <v>-66011.983999999997</v>
      </c>
      <c r="D29" s="328">
        <f>PL!D8</f>
        <v>-57729</v>
      </c>
      <c r="E29" s="328">
        <f>PL!E8</f>
        <v>-137452.32321038633</v>
      </c>
      <c r="F29" s="328">
        <f>PL!F8</f>
        <v>-129542</v>
      </c>
      <c r="G29" s="328">
        <f ca="1">PL!G8</f>
        <v>-144231.59983100998</v>
      </c>
      <c r="H29" s="328">
        <f ca="1">PL!H8</f>
        <v>-171470.88286195582</v>
      </c>
      <c r="I29" s="328">
        <f ca="1">PL!I8</f>
        <v>-222676.62189126766</v>
      </c>
      <c r="J29" s="328">
        <f ca="1">PL!J8</f>
        <v>-278599.26907105988</v>
      </c>
      <c r="K29" s="328">
        <f ca="1">PL!K8</f>
        <v>-316508.28617754776</v>
      </c>
      <c r="L29" s="328">
        <f ca="1">PL!L8</f>
        <v>-359956.09301970591</v>
      </c>
      <c r="M29" s="328">
        <f ca="1">PL!M8</f>
        <v>-409827.87180476089</v>
      </c>
      <c r="N29" s="328">
        <f ca="1">PL!N8</f>
        <v>-467161.4165909873</v>
      </c>
      <c r="O29" s="328">
        <f ca="1">PL!O8</f>
        <v>-533175.10349099932</v>
      </c>
      <c r="P29" s="328">
        <f ca="1">PL!P8</f>
        <v>-609310.41119568725</v>
      </c>
      <c r="Q29" s="328">
        <f ca="1">PL!Q8</f>
        <v>-697266.53622150188</v>
      </c>
    </row>
    <row r="30" spans="1:17" s="305" customFormat="1" x14ac:dyDescent="0.25">
      <c r="A30" s="312" t="s">
        <v>446</v>
      </c>
      <c r="B30" s="330"/>
      <c r="C30" s="328">
        <f>SUM(PL!C17:C18)</f>
        <v>-15682</v>
      </c>
      <c r="D30" s="328">
        <f>SUM(PL!D17:D18)</f>
        <v>-11544</v>
      </c>
      <c r="E30" s="328">
        <f>SUM(PL!E17:E18)</f>
        <v>-20299.656993381657</v>
      </c>
      <c r="F30" s="328">
        <f>SUM(PL!F17:F18)</f>
        <v>-21651.755000000001</v>
      </c>
      <c r="G30" s="328">
        <f ca="1">SUM(PL!G17:G18)</f>
        <v>-21277.932239785841</v>
      </c>
      <c r="H30" s="328">
        <f ca="1">SUM(PL!H17:H18)</f>
        <v>-26691.408346596218</v>
      </c>
      <c r="I30" s="328">
        <f ca="1">SUM(PL!I17:I18)</f>
        <v>-32792.029022759467</v>
      </c>
      <c r="J30" s="328">
        <f ca="1">SUM(PL!J17:J18)</f>
        <v>-38754.104255211088</v>
      </c>
      <c r="K30" s="328">
        <f ca="1">SUM(PL!K17:K18)</f>
        <v>-43353.569404235946</v>
      </c>
      <c r="L30" s="328">
        <f ca="1">SUM(PL!L17:L18)</f>
        <v>-48706.162886396509</v>
      </c>
      <c r="M30" s="328">
        <f ca="1">SUM(PL!M17:M18)</f>
        <v>-54925.720333069607</v>
      </c>
      <c r="N30" s="328">
        <f ca="1">SUM(PL!N17:N18)</f>
        <v>-62159.889186579792</v>
      </c>
      <c r="O30" s="328">
        <f ca="1">SUM(PL!O17:O18)</f>
        <v>-70616.008159699355</v>
      </c>
      <c r="P30" s="328">
        <f ca="1">SUM(PL!P17:P18)</f>
        <v>-80508.480881691037</v>
      </c>
      <c r="Q30" s="328">
        <f ca="1">SUM(PL!Q17:Q18)</f>
        <v>-92114.677585231533</v>
      </c>
    </row>
    <row r="31" spans="1:17" s="305" customFormat="1" x14ac:dyDescent="0.25">
      <c r="A31" s="312" t="s">
        <v>449</v>
      </c>
      <c r="B31" s="330"/>
      <c r="C31" s="328">
        <f>PL!C35</f>
        <v>-4959.0000000000045</v>
      </c>
      <c r="D31" s="328">
        <f>PL!D35</f>
        <v>-623</v>
      </c>
      <c r="E31" s="328">
        <f>PL!E35</f>
        <v>-1858.7399735101633</v>
      </c>
      <c r="F31" s="328">
        <f>PL!F35</f>
        <v>-1370.3085624999997</v>
      </c>
      <c r="G31" s="328">
        <f ca="1">PL!G35</f>
        <v>-2191.1022046713924</v>
      </c>
      <c r="H31" s="328">
        <f ca="1">PL!H35</f>
        <v>-1778.1600619889095</v>
      </c>
      <c r="I31" s="328">
        <f ca="1">PL!I35</f>
        <v>-2202.5167815304226</v>
      </c>
      <c r="J31" s="328">
        <f ca="1">PL!J35</f>
        <v>-4151.9275771686544</v>
      </c>
      <c r="K31" s="328">
        <f ca="1">PL!K35</f>
        <v>-5178.1286735038493</v>
      </c>
      <c r="L31" s="328">
        <f ca="1">PL!L35</f>
        <v>-6312.8673421299527</v>
      </c>
      <c r="M31" s="328">
        <f ca="1">PL!M35</f>
        <v>-7544.373509552679</v>
      </c>
      <c r="N31" s="328">
        <f ca="1">PL!N35</f>
        <v>-8870.4551456952649</v>
      </c>
      <c r="O31" s="328">
        <f ca="1">PL!O35</f>
        <v>-10387.09788828118</v>
      </c>
      <c r="P31" s="328">
        <f ca="1">PL!P35</f>
        <v>-11812.810194461179</v>
      </c>
      <c r="Q31" s="328">
        <f ca="1">PL!Q35</f>
        <v>-13059.242751375608</v>
      </c>
    </row>
    <row r="32" spans="1:17" s="304" customFormat="1" x14ac:dyDescent="0.25">
      <c r="A32" s="304" t="s">
        <v>450</v>
      </c>
      <c r="C32" s="307">
        <f>SUM(C27,C29:C31)</f>
        <v>3063.3958022742836</v>
      </c>
      <c r="D32" s="307">
        <f t="shared" ref="D32:N32" si="16">SUM(D27,D29:D31)</f>
        <v>-2782.3806275579991</v>
      </c>
      <c r="E32" s="307">
        <f t="shared" si="16"/>
        <v>-28721.620271825894</v>
      </c>
      <c r="F32" s="307">
        <f t="shared" si="16"/>
        <v>-29458.263562499982</v>
      </c>
      <c r="G32" s="307">
        <f t="shared" ca="1" si="16"/>
        <v>-37183.784567300252</v>
      </c>
      <c r="H32" s="307">
        <f t="shared" ca="1" si="16"/>
        <v>-40083.659804077615</v>
      </c>
      <c r="I32" s="307">
        <f t="shared" ca="1" si="16"/>
        <v>-55850.369829787021</v>
      </c>
      <c r="J32" s="307">
        <f t="shared" ca="1" si="16"/>
        <v>-76360.412753916418</v>
      </c>
      <c r="K32" s="307">
        <f t="shared" ca="1" si="16"/>
        <v>-87365.661041863787</v>
      </c>
      <c r="L32" s="307">
        <f t="shared" ca="1" si="16"/>
        <v>-100151.45450450767</v>
      </c>
      <c r="M32" s="307">
        <f t="shared" ca="1" si="16"/>
        <v>-115176.02987861754</v>
      </c>
      <c r="N32" s="307">
        <f t="shared" ca="1" si="16"/>
        <v>-132841.25937853268</v>
      </c>
      <c r="O32" s="307">
        <f t="shared" ref="O32:Q32" ca="1" si="17">SUM(O27,O29:O31)</f>
        <v>-153896.24534719315</v>
      </c>
      <c r="P32" s="307">
        <f t="shared" ca="1" si="17"/>
        <v>-178931.77588170549</v>
      </c>
      <c r="Q32" s="307">
        <f t="shared" ca="1" si="17"/>
        <v>-207649.77558465535</v>
      </c>
    </row>
    <row r="33" spans="1:17" s="305" customFormat="1" x14ac:dyDescent="0.25">
      <c r="A33" s="308"/>
      <c r="C33" s="306"/>
      <c r="D33" s="306"/>
      <c r="E33" s="306"/>
      <c r="F33" s="306"/>
      <c r="G33" s="306"/>
      <c r="H33" s="306"/>
      <c r="I33" s="306"/>
      <c r="J33" s="306"/>
      <c r="K33" s="306"/>
      <c r="L33" s="306"/>
      <c r="M33" s="306"/>
      <c r="N33" s="306"/>
      <c r="O33" s="306"/>
      <c r="P33" s="306"/>
      <c r="Q33" s="306"/>
    </row>
    <row r="34" spans="1:17" s="304" customFormat="1" x14ac:dyDescent="0.25">
      <c r="A34" s="309" t="s">
        <v>451</v>
      </c>
      <c r="C34" s="307">
        <f>SUM(CF!C8:C13)</f>
        <v>-44655.833461105358</v>
      </c>
      <c r="D34" s="307">
        <f>SUM(CF!D8:D13)</f>
        <v>-5269.0000343051943</v>
      </c>
      <c r="E34" s="307">
        <f>SUM(CF!E8:E13)</f>
        <v>1861</v>
      </c>
      <c r="F34" s="307">
        <f>SUM(CF!F8:F13)</f>
        <v>-6353.0208333850096</v>
      </c>
      <c r="G34" s="307">
        <f ca="1">SUM(CF!G8:G13)</f>
        <v>-2155.627641573732</v>
      </c>
      <c r="H34" s="307">
        <f ca="1">SUM(CF!H8:H13)</f>
        <v>-8490.8115250412484</v>
      </c>
      <c r="I34" s="307">
        <f ca="1">SUM(CF!I8:I13)</f>
        <v>-3834.3966666666811</v>
      </c>
      <c r="J34" s="307">
        <f ca="1">SUM(CF!J8:J13)</f>
        <v>-4046.4466666666704</v>
      </c>
      <c r="K34" s="307">
        <f ca="1">SUM(CF!K8:K13)</f>
        <v>-4255.4633333333113</v>
      </c>
      <c r="L34" s="307">
        <f ca="1">SUM(CF!L8:L13)</f>
        <v>-4457.2033333333638</v>
      </c>
      <c r="M34" s="307">
        <f ca="1">SUM(CF!M8:M13)</f>
        <v>-4645.6533333333391</v>
      </c>
      <c r="N34" s="307">
        <f ca="1">SUM(CF!N8:N13)</f>
        <v>-4815.4066666666604</v>
      </c>
      <c r="O34" s="307">
        <f ca="1">SUM(CF!O8:O13)</f>
        <v>-4954.8499999999894</v>
      </c>
      <c r="P34" s="307">
        <f ca="1">SUM(CF!P8:P13)</f>
        <v>-5053.9966666666442</v>
      </c>
      <c r="Q34" s="307">
        <f ca="1">SUM(CF!Q8:Q13)</f>
        <v>-5097.2200000000448</v>
      </c>
    </row>
    <row r="35" spans="1:17" s="305" customFormat="1" x14ac:dyDescent="0.25">
      <c r="A35" s="312"/>
      <c r="B35" s="330"/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8"/>
      <c r="Q35" s="328"/>
    </row>
    <row r="36" spans="1:17" s="304" customFormat="1" x14ac:dyDescent="0.25">
      <c r="A36" s="309" t="s">
        <v>455</v>
      </c>
      <c r="B36" s="343"/>
      <c r="C36" s="329">
        <f>C32+C34</f>
        <v>-41592.437658831077</v>
      </c>
      <c r="D36" s="329">
        <f t="shared" ref="D36:N36" si="18">D32+D34</f>
        <v>-8051.3806618631934</v>
      </c>
      <c r="E36" s="329">
        <f t="shared" si="18"/>
        <v>-26860.620271825894</v>
      </c>
      <c r="F36" s="329">
        <f t="shared" si="18"/>
        <v>-35811.284395884992</v>
      </c>
      <c r="G36" s="329">
        <f t="shared" ca="1" si="18"/>
        <v>-39339.412208873982</v>
      </c>
      <c r="H36" s="329">
        <f t="shared" ca="1" si="18"/>
        <v>-48574.471329118867</v>
      </c>
      <c r="I36" s="329">
        <f t="shared" ca="1" si="18"/>
        <v>-59684.766496453703</v>
      </c>
      <c r="J36" s="329">
        <f t="shared" ca="1" si="18"/>
        <v>-80406.859420583089</v>
      </c>
      <c r="K36" s="329">
        <f t="shared" ca="1" si="18"/>
        <v>-91621.124375197105</v>
      </c>
      <c r="L36" s="329">
        <f t="shared" ca="1" si="18"/>
        <v>-104608.65783784103</v>
      </c>
      <c r="M36" s="329">
        <f t="shared" ca="1" si="18"/>
        <v>-119821.68321195088</v>
      </c>
      <c r="N36" s="329">
        <f t="shared" ca="1" si="18"/>
        <v>-137656.66604519932</v>
      </c>
      <c r="O36" s="329">
        <f t="shared" ref="O36:Q36" ca="1" si="19">O32+O34</f>
        <v>-158851.09534719313</v>
      </c>
      <c r="P36" s="329">
        <f t="shared" ca="1" si="19"/>
        <v>-183985.77254837213</v>
      </c>
      <c r="Q36" s="329">
        <f t="shared" ca="1" si="19"/>
        <v>-212746.99558465538</v>
      </c>
    </row>
    <row r="37" spans="1:17" s="305" customFormat="1" x14ac:dyDescent="0.25">
      <c r="A37" s="312"/>
      <c r="B37" s="330"/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8"/>
      <c r="Q37" s="328"/>
    </row>
    <row r="38" spans="1:17" s="304" customFormat="1" x14ac:dyDescent="0.25">
      <c r="A38" s="309" t="s">
        <v>416</v>
      </c>
      <c r="C38" s="307">
        <f>CF!C25</f>
        <v>0</v>
      </c>
      <c r="D38" s="307">
        <f>CF!D25</f>
        <v>-1126</v>
      </c>
      <c r="E38" s="307">
        <f>CF!E25</f>
        <v>-14647</v>
      </c>
      <c r="F38" s="307">
        <f>CF!F25</f>
        <v>-5463</v>
      </c>
      <c r="G38" s="307">
        <f>CF!G25</f>
        <v>-7389</v>
      </c>
      <c r="H38" s="307">
        <f ca="1">CF!H25</f>
        <v>0</v>
      </c>
      <c r="I38" s="307">
        <f ca="1">CF!I25</f>
        <v>0</v>
      </c>
      <c r="J38" s="307">
        <f ca="1">CF!J25</f>
        <v>-8350.5704824277746</v>
      </c>
      <c r="K38" s="307">
        <f ca="1">CF!K25</f>
        <v>-16538.095824108346</v>
      </c>
      <c r="L38" s="307">
        <f ca="1">CF!L25</f>
        <v>-20848.140428716164</v>
      </c>
      <c r="M38" s="307">
        <f ca="1">CF!M25</f>
        <v>-25614.042836945799</v>
      </c>
      <c r="N38" s="307">
        <f ca="1">CF!N25</f>
        <v>-30786.368740121252</v>
      </c>
      <c r="O38" s="307">
        <f ca="1">CF!O25</f>
        <v>-36355.911611920114</v>
      </c>
      <c r="P38" s="307">
        <f ca="1">CF!P25</f>
        <v>-42725.811130780952</v>
      </c>
      <c r="Q38" s="307">
        <f ca="1">CF!Q25</f>
        <v>-48713.802816736948</v>
      </c>
    </row>
    <row r="39" spans="1:17" s="305" customFormat="1" x14ac:dyDescent="0.25"/>
    <row r="40" spans="1:17" s="304" customFormat="1" x14ac:dyDescent="0.25">
      <c r="A40" s="304" t="s">
        <v>456</v>
      </c>
      <c r="C40" s="329">
        <f>C36+C38</f>
        <v>-41592.437658831077</v>
      </c>
      <c r="D40" s="329">
        <f t="shared" ref="D40:N40" si="20">D36+D38</f>
        <v>-9177.3806618631934</v>
      </c>
      <c r="E40" s="329">
        <f t="shared" si="20"/>
        <v>-41507.620271825894</v>
      </c>
      <c r="F40" s="329">
        <f t="shared" si="20"/>
        <v>-41274.284395884992</v>
      </c>
      <c r="G40" s="329">
        <f t="shared" ca="1" si="20"/>
        <v>-46728.412208873982</v>
      </c>
      <c r="H40" s="329">
        <f t="shared" ca="1" si="20"/>
        <v>-48574.471329118867</v>
      </c>
      <c r="I40" s="329">
        <f t="shared" ca="1" si="20"/>
        <v>-59684.766496453703</v>
      </c>
      <c r="J40" s="329">
        <f t="shared" ca="1" si="20"/>
        <v>-88757.429903010867</v>
      </c>
      <c r="K40" s="329">
        <f t="shared" ca="1" si="20"/>
        <v>-108159.22019930545</v>
      </c>
      <c r="L40" s="329">
        <f t="shared" ca="1" si="20"/>
        <v>-125456.79826655719</v>
      </c>
      <c r="M40" s="329">
        <f t="shared" ca="1" si="20"/>
        <v>-145435.72604889667</v>
      </c>
      <c r="N40" s="329">
        <f t="shared" ca="1" si="20"/>
        <v>-168443.03478532057</v>
      </c>
      <c r="O40" s="329">
        <f t="shared" ref="O40:Q40" ca="1" si="21">O36+O38</f>
        <v>-195207.00695911323</v>
      </c>
      <c r="P40" s="329">
        <f t="shared" ca="1" si="21"/>
        <v>-226711.58367915309</v>
      </c>
      <c r="Q40" s="329">
        <f t="shared" ca="1" si="21"/>
        <v>-261460.79840139233</v>
      </c>
    </row>
    <row r="41" spans="1:17" s="305" customFormat="1" x14ac:dyDescent="0.25"/>
    <row r="43" spans="1:17" x14ac:dyDescent="0.25">
      <c r="A43" t="s">
        <v>452</v>
      </c>
      <c r="C43" s="345">
        <f>C17*C3+C40</f>
        <v>34344184.490767486</v>
      </c>
      <c r="D43" s="345">
        <f t="shared" ref="D43:N43" si="22">D17*D3+D40</f>
        <v>2724141.019338137</v>
      </c>
      <c r="E43" s="345">
        <f t="shared" si="22"/>
        <v>29480942.28518042</v>
      </c>
      <c r="F43" s="345">
        <f t="shared" si="22"/>
        <v>27199115.369147424</v>
      </c>
      <c r="G43" s="345">
        <f t="shared" ca="1" si="22"/>
        <v>42954551.587791122</v>
      </c>
      <c r="H43" s="345">
        <f t="shared" ca="1" si="22"/>
        <v>51420232.766670868</v>
      </c>
      <c r="I43" s="345">
        <f t="shared" ca="1" si="22"/>
        <v>66837387.916403554</v>
      </c>
      <c r="J43" s="345">
        <f t="shared" ca="1" si="22"/>
        <v>103382732.40619399</v>
      </c>
      <c r="K43" s="345">
        <f t="shared" ca="1" si="22"/>
        <v>118009669.93025063</v>
      </c>
      <c r="L43" s="345">
        <f t="shared" ca="1" si="22"/>
        <v>135535845.22929582</v>
      </c>
      <c r="M43" s="345">
        <f t="shared" ca="1" si="22"/>
        <v>155441337.29024512</v>
      </c>
      <c r="N43" s="345">
        <f t="shared" ca="1" si="22"/>
        <v>178065280.74003544</v>
      </c>
      <c r="O43" s="345">
        <f t="shared" ref="O43:Q43" ca="1" si="23">O17*O3+O40</f>
        <v>221792157.61956063</v>
      </c>
      <c r="P43" s="345">
        <f t="shared" ca="1" si="23"/>
        <v>252786199.22925445</v>
      </c>
      <c r="Q43" s="345">
        <f t="shared" ca="1" si="23"/>
        <v>286537477.61588323</v>
      </c>
    </row>
    <row r="45" spans="1:17" x14ac:dyDescent="0.25">
      <c r="A45" t="s">
        <v>349</v>
      </c>
      <c r="C45" s="1">
        <v>-6332.3146440047431</v>
      </c>
      <c r="D45" s="1">
        <v>-818.95363022700803</v>
      </c>
      <c r="E45" s="1">
        <v>4782.1604834810823</v>
      </c>
      <c r="F45" s="1">
        <v>1445.7152694542929</v>
      </c>
      <c r="G45" s="1">
        <v>5056.1331155155676</v>
      </c>
      <c r="H45" s="1">
        <v>5387.6210919100486</v>
      </c>
      <c r="I45" s="1">
        <v>12796.554704162179</v>
      </c>
      <c r="J45" s="1">
        <v>6242.0838864318757</v>
      </c>
      <c r="K45" s="1">
        <v>10987.040670513561</v>
      </c>
      <c r="L45" s="1">
        <v>21293.122420087147</v>
      </c>
      <c r="M45" s="1">
        <v>28622.129597600775</v>
      </c>
      <c r="N45" s="1">
        <v>34997.237877928594</v>
      </c>
      <c r="O45" s="1">
        <v>34998.237877928601</v>
      </c>
      <c r="P45" s="1">
        <v>34999.237877928601</v>
      </c>
      <c r="Q45" s="1">
        <v>35000.237877928601</v>
      </c>
    </row>
    <row r="47" spans="1:17" x14ac:dyDescent="0.25">
      <c r="A47" t="s">
        <v>453</v>
      </c>
      <c r="C47" s="345">
        <f>C43-C45</f>
        <v>34350516.805411488</v>
      </c>
      <c r="D47" s="345">
        <f t="shared" ref="D47:N47" si="24">D43-D45</f>
        <v>2724959.9729683641</v>
      </c>
      <c r="E47" s="345">
        <f t="shared" si="24"/>
        <v>29476160.12469694</v>
      </c>
      <c r="F47" s="345">
        <f t="shared" si="24"/>
        <v>27197669.65387797</v>
      </c>
      <c r="G47" s="345">
        <f t="shared" ca="1" si="24"/>
        <v>42949495.454675607</v>
      </c>
      <c r="H47" s="345">
        <f t="shared" ca="1" si="24"/>
        <v>51414845.145578958</v>
      </c>
      <c r="I47" s="345">
        <f t="shared" ca="1" si="24"/>
        <v>66824591.361699395</v>
      </c>
      <c r="J47" s="345">
        <f t="shared" ca="1" si="24"/>
        <v>103376490.32230756</v>
      </c>
      <c r="K47" s="345">
        <f t="shared" ca="1" si="24"/>
        <v>117998682.88958012</v>
      </c>
      <c r="L47" s="345">
        <f t="shared" ca="1" si="24"/>
        <v>135514552.10687575</v>
      </c>
      <c r="M47" s="345">
        <f t="shared" ca="1" si="24"/>
        <v>155412715.16064751</v>
      </c>
      <c r="N47" s="345">
        <f t="shared" ca="1" si="24"/>
        <v>178030283.50215751</v>
      </c>
      <c r="O47" s="345">
        <f t="shared" ref="O47:Q47" ca="1" si="25">O43-O45</f>
        <v>221757159.38168269</v>
      </c>
      <c r="P47" s="345">
        <f t="shared" ca="1" si="25"/>
        <v>252751199.99137652</v>
      </c>
      <c r="Q47" s="345">
        <f t="shared" ca="1" si="25"/>
        <v>286502477.37800533</v>
      </c>
    </row>
    <row r="49" spans="1:17" s="348" customFormat="1" x14ac:dyDescent="0.25">
      <c r="A49" s="346" t="s">
        <v>454</v>
      </c>
      <c r="B49" s="347"/>
      <c r="C49" s="349">
        <f t="shared" ref="C49:N49" si="26">C27+C6*C3</f>
        <v>33093336.577527981</v>
      </c>
      <c r="D49" s="349">
        <f t="shared" si="26"/>
        <v>6871113.6193724433</v>
      </c>
      <c r="E49" s="349">
        <f t="shared" si="26"/>
        <v>36801989.005357698</v>
      </c>
      <c r="F49" s="349">
        <f t="shared" si="26"/>
        <v>33112105.800000004</v>
      </c>
      <c r="G49" s="349">
        <f t="shared" ca="1" si="26"/>
        <v>44073016.84970817</v>
      </c>
      <c r="H49" s="349">
        <f t="shared" ca="1" si="26"/>
        <v>55238525.205466457</v>
      </c>
      <c r="I49" s="349">
        <f t="shared" ca="1" si="26"/>
        <v>85101119.474365771</v>
      </c>
      <c r="J49" s="349">
        <f t="shared" ca="1" si="26"/>
        <v>120862325.92365454</v>
      </c>
      <c r="K49" s="349">
        <f t="shared" ca="1" si="26"/>
        <v>136887330.75396097</v>
      </c>
      <c r="L49" s="349">
        <f t="shared" ca="1" si="26"/>
        <v>155123618.52767348</v>
      </c>
      <c r="M49" s="349">
        <f t="shared" ca="1" si="26"/>
        <v>175713268.17191088</v>
      </c>
      <c r="N49" s="349">
        <f t="shared" ca="1" si="26"/>
        <v>198983229.03407684</v>
      </c>
      <c r="O49" s="349">
        <f t="shared" ref="O49:Q49" ca="1" si="27">O27+O6*O3</f>
        <v>225523415.14077044</v>
      </c>
      <c r="P49" s="349">
        <f t="shared" ca="1" si="27"/>
        <v>255535610.73932374</v>
      </c>
      <c r="Q49" s="349">
        <f t="shared" ca="1" si="27"/>
        <v>289393729.09525812</v>
      </c>
    </row>
    <row r="50" spans="1:17" x14ac:dyDescent="0.25">
      <c r="A50" t="s">
        <v>457</v>
      </c>
      <c r="C50" s="1">
        <f>PL!C6</f>
        <v>122720</v>
      </c>
      <c r="D50" s="1">
        <f>PL!D6</f>
        <v>74235</v>
      </c>
      <c r="E50" s="1">
        <f>PL!E6</f>
        <v>175240</v>
      </c>
      <c r="F50" s="1">
        <f>PL!F6</f>
        <v>165793</v>
      </c>
      <c r="G50" s="1">
        <f ca="1">PL!G6</f>
        <v>184112.34970816696</v>
      </c>
      <c r="H50" s="1">
        <f ca="1">PL!H6</f>
        <v>214935.45988046331</v>
      </c>
      <c r="I50" s="1">
        <f ca="1">PL!I6</f>
        <v>286720.0965422705</v>
      </c>
      <c r="J50" s="1">
        <f ca="1">PL!J6</f>
        <v>365762.0691850282</v>
      </c>
      <c r="K50" s="1">
        <f ca="1">PL!K6</f>
        <v>414283.97964417131</v>
      </c>
      <c r="L50" s="1">
        <f ca="1">PL!L6</f>
        <v>469632.46360265452</v>
      </c>
      <c r="M50" s="1">
        <f ca="1">PL!M6</f>
        <v>532478.08200490766</v>
      </c>
      <c r="N50" s="1">
        <f ca="1">PL!N6</f>
        <v>603928.38007726171</v>
      </c>
      <c r="O50" s="1">
        <f ca="1">PL!O6</f>
        <v>685345.09736836527</v>
      </c>
      <c r="P50" s="1">
        <f ca="1">PL!P6</f>
        <v>777712.83720306773</v>
      </c>
      <c r="Q50" s="1">
        <f ca="1">PL!Q6</f>
        <v>883589.61938773829</v>
      </c>
    </row>
    <row r="51" spans="1:17" x14ac:dyDescent="0.25">
      <c r="A51" t="s">
        <v>458</v>
      </c>
      <c r="C51" s="344">
        <f>C49-C50</f>
        <v>32970616.577527981</v>
      </c>
      <c r="D51" s="344">
        <f t="shared" ref="D51:N51" si="28">D49-D50</f>
        <v>6796878.6193724433</v>
      </c>
      <c r="E51" s="344">
        <f t="shared" si="28"/>
        <v>36626749.005357698</v>
      </c>
      <c r="F51" s="344">
        <f t="shared" si="28"/>
        <v>32946312.800000004</v>
      </c>
      <c r="G51" s="344">
        <f t="shared" ca="1" si="28"/>
        <v>43888904.5</v>
      </c>
      <c r="H51" s="344">
        <f t="shared" ca="1" si="28"/>
        <v>55023589.745585993</v>
      </c>
      <c r="I51" s="344">
        <f t="shared" ca="1" si="28"/>
        <v>84814399.377823502</v>
      </c>
      <c r="J51" s="344">
        <f t="shared" ca="1" si="28"/>
        <v>120496563.85446951</v>
      </c>
      <c r="K51" s="344">
        <f t="shared" ca="1" si="28"/>
        <v>136473046.77431679</v>
      </c>
      <c r="L51" s="344">
        <f t="shared" ca="1" si="28"/>
        <v>154653986.06407082</v>
      </c>
      <c r="M51" s="344">
        <f t="shared" ca="1" si="28"/>
        <v>175180790.08990598</v>
      </c>
      <c r="N51" s="344">
        <f t="shared" ca="1" si="28"/>
        <v>198379300.65399957</v>
      </c>
      <c r="O51" s="344">
        <f t="shared" ref="O51:Q51" ca="1" si="29">O49-O50</f>
        <v>224838070.04340208</v>
      </c>
      <c r="P51" s="344">
        <f t="shared" ca="1" si="29"/>
        <v>254757897.90212068</v>
      </c>
      <c r="Q51" s="344">
        <f t="shared" ca="1" si="29"/>
        <v>288510139.47587037</v>
      </c>
    </row>
    <row r="53" spans="1:17" x14ac:dyDescent="0.25">
      <c r="A53" t="s">
        <v>459</v>
      </c>
      <c r="C53" s="344">
        <f>C17+C40/C3</f>
        <v>26026.208313706797</v>
      </c>
      <c r="D53" s="344">
        <f t="shared" ref="D53:N53" si="30">D17+D40/D3</f>
        <v>1858.7206736750391</v>
      </c>
      <c r="E53" s="344">
        <f t="shared" si="30"/>
        <v>18570.67230562546</v>
      </c>
      <c r="F53" s="344">
        <f t="shared" si="30"/>
        <v>15868.795431241204</v>
      </c>
      <c r="G53" s="344">
        <f t="shared" ca="1" si="30"/>
        <v>22727.275972376257</v>
      </c>
      <c r="H53" s="344">
        <f t="shared" ca="1" si="30"/>
        <v>24733.156693925383</v>
      </c>
      <c r="I53" s="344">
        <f t="shared" ca="1" si="30"/>
        <v>29226.196124187132</v>
      </c>
      <c r="J53" s="344">
        <f t="shared" ca="1" si="30"/>
        <v>41096.813235143236</v>
      </c>
      <c r="K53" s="344">
        <f t="shared" ca="1" si="30"/>
        <v>42646.6626590222</v>
      </c>
      <c r="L53" s="344">
        <f t="shared" ca="1" si="30"/>
        <v>44527.564201965732</v>
      </c>
      <c r="M53" s="344">
        <f t="shared" ca="1" si="30"/>
        <v>46424.646853460014</v>
      </c>
      <c r="N53" s="344">
        <f t="shared" ca="1" si="30"/>
        <v>48346.901791946599</v>
      </c>
      <c r="O53" s="344">
        <f t="shared" ref="O53:Q53" ca="1" si="31">O17+O40/O3</f>
        <v>54744.803387389125</v>
      </c>
      <c r="P53" s="344">
        <f t="shared" ca="1" si="31"/>
        <v>56722.76457701547</v>
      </c>
      <c r="Q53" s="344">
        <f t="shared" ca="1" si="31"/>
        <v>58451.111991993865</v>
      </c>
    </row>
    <row r="54" spans="1:17" x14ac:dyDescent="0.25">
      <c r="A54" t="s">
        <v>460</v>
      </c>
      <c r="C54" s="147">
        <f>'CF USD'!C73</f>
        <v>-5211.6661442897466</v>
      </c>
      <c r="D54" s="147">
        <f>'CF USD'!D73</f>
        <v>-3024.0345485160983</v>
      </c>
      <c r="E54" s="147">
        <f>'CF USD'!E73</f>
        <v>-1289.2725526161521</v>
      </c>
      <c r="F54" s="147">
        <f>'CF USD'!F73</f>
        <v>-3577.6309194194928</v>
      </c>
      <c r="G54" s="147">
        <f ca="1">'CF USD'!G73</f>
        <v>3545.7871910719678</v>
      </c>
      <c r="H54" s="147">
        <f ca="1">'CF USD'!H73</f>
        <v>1479.3140494858599</v>
      </c>
      <c r="I54" s="147">
        <f ca="1">'CF USD'!I73</f>
        <v>3488.51130528063</v>
      </c>
      <c r="J54" s="147">
        <f ca="1">'CF USD'!J73</f>
        <v>6558.5691520025648</v>
      </c>
      <c r="K54" s="147">
        <f ca="1">'CF USD'!K73</f>
        <v>4692.2023636187578</v>
      </c>
      <c r="L54" s="147">
        <f ca="1">'CF USD'!L73</f>
        <v>4746.7297828855399</v>
      </c>
      <c r="M54" s="147">
        <f ca="1">'CF USD'!M73</f>
        <v>4718.3020907142536</v>
      </c>
      <c r="N54" s="147">
        <f ca="1">'CF USD'!N73</f>
        <v>4622.2937040419893</v>
      </c>
      <c r="O54" s="147">
        <f ca="1">'CF USD'!O73</f>
        <v>8975.1017793964693</v>
      </c>
      <c r="P54" s="147">
        <f ca="1">'CF USD'!P73</f>
        <v>8814.7965498325848</v>
      </c>
      <c r="Q54" s="147">
        <f ca="1">'CF USD'!Q73</f>
        <v>8562.9654187378273</v>
      </c>
    </row>
    <row r="55" spans="1:17" x14ac:dyDescent="0.25">
      <c r="A55" t="s">
        <v>462</v>
      </c>
      <c r="C55" s="344">
        <f t="shared" ref="C55:N55" si="32">C53-C54</f>
        <v>31237.874457996542</v>
      </c>
      <c r="D55" s="344">
        <f t="shared" si="32"/>
        <v>4882.7552221911374</v>
      </c>
      <c r="E55" s="344">
        <f t="shared" si="32"/>
        <v>19859.944858241612</v>
      </c>
      <c r="F55" s="344">
        <f t="shared" si="32"/>
        <v>19446.426350660695</v>
      </c>
      <c r="G55" s="344">
        <f t="shared" ca="1" si="32"/>
        <v>19181.488781304288</v>
      </c>
      <c r="H55" s="344">
        <f t="shared" ca="1" si="32"/>
        <v>23253.842644439523</v>
      </c>
      <c r="I55" s="344">
        <f t="shared" ca="1" si="32"/>
        <v>25737.684818906502</v>
      </c>
      <c r="J55" s="344">
        <f t="shared" ca="1" si="32"/>
        <v>34538.244083140671</v>
      </c>
      <c r="K55" s="344">
        <f t="shared" ca="1" si="32"/>
        <v>37954.460295403442</v>
      </c>
      <c r="L55" s="344">
        <f t="shared" ca="1" si="32"/>
        <v>39780.834419080194</v>
      </c>
      <c r="M55" s="344">
        <f t="shared" ca="1" si="32"/>
        <v>41706.344762745757</v>
      </c>
      <c r="N55" s="344">
        <f t="shared" ca="1" si="32"/>
        <v>43724.608087904606</v>
      </c>
      <c r="O55" s="344">
        <f t="shared" ref="O55:Q55" ca="1" si="33">O53-O54</f>
        <v>45769.701607992654</v>
      </c>
      <c r="P55" s="344">
        <f t="shared" ca="1" si="33"/>
        <v>47907.968027182884</v>
      </c>
      <c r="Q55" s="344">
        <f t="shared" ca="1" si="33"/>
        <v>49888.146573256039</v>
      </c>
    </row>
    <row r="56" spans="1:17" x14ac:dyDescent="0.25">
      <c r="A56" t="s">
        <v>461</v>
      </c>
      <c r="C56" s="345">
        <f>C55*C3</f>
        <v>41221499.134772234</v>
      </c>
      <c r="D56" s="345">
        <f t="shared" ref="D56:N56" si="34">D55*D3</f>
        <v>7156166.0536433309</v>
      </c>
      <c r="E56" s="345">
        <f t="shared" si="34"/>
        <v>31527662.462458558</v>
      </c>
      <c r="F56" s="345">
        <f t="shared" si="34"/>
        <v>33331174.765032429</v>
      </c>
      <c r="G56" s="345">
        <f t="shared" ca="1" si="34"/>
        <v>36253013.796665102</v>
      </c>
      <c r="H56" s="345">
        <f t="shared" ca="1" si="34"/>
        <v>48344738.85778977</v>
      </c>
      <c r="I56" s="345">
        <f t="shared" ca="1" si="34"/>
        <v>58859511.412357286</v>
      </c>
      <c r="J56" s="345">
        <f t="shared" ca="1" si="34"/>
        <v>86884061.433107853</v>
      </c>
      <c r="K56" s="345">
        <f t="shared" ca="1" si="34"/>
        <v>105025646.85196535</v>
      </c>
      <c r="L56" s="345">
        <f t="shared" ca="1" si="34"/>
        <v>121087445.8001157</v>
      </c>
      <c r="M56" s="345">
        <f t="shared" ca="1" si="34"/>
        <v>139643280.94670349</v>
      </c>
      <c r="N56" s="345">
        <f t="shared" ca="1" si="34"/>
        <v>161041024.8815093</v>
      </c>
      <c r="O56" s="345">
        <f t="shared" ref="O56:Q56" ca="1" si="35">O55*O3</f>
        <v>185430584.18543169</v>
      </c>
      <c r="P56" s="345">
        <f t="shared" ca="1" si="35"/>
        <v>213502872.09547377</v>
      </c>
      <c r="Q56" s="345">
        <f t="shared" ca="1" si="35"/>
        <v>244560337.60299104</v>
      </c>
    </row>
    <row r="58" spans="1:17" x14ac:dyDescent="0.25">
      <c r="A58" t="s">
        <v>463</v>
      </c>
      <c r="C58" s="147">
        <f>('USD-DSCR'!C6+'USD-DSCR'!C14)/'USD-DSCR'!C3+'USD-DSCR'!C32+C34</f>
        <v>-41573.592298525429</v>
      </c>
    </row>
    <row r="59" spans="1:17" x14ac:dyDescent="0.25">
      <c r="A59" t="s">
        <v>464</v>
      </c>
      <c r="C59" s="1">
        <f>CF!C14</f>
        <v>-8446.8334611053579</v>
      </c>
    </row>
  </sheetData>
  <phoneticPr fontId="73" type="noConversion"/>
  <printOptions horizontalCentered="1" headings="1"/>
  <pageMargins left="0.5" right="0.5" top="0.4" bottom="0.4" header="0.3" footer="0.3"/>
  <pageSetup scale="6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30"/>
  <sheetViews>
    <sheetView tabSelected="1" workbookViewId="0">
      <selection activeCell="I29" sqref="I29:I30"/>
    </sheetView>
  </sheetViews>
  <sheetFormatPr defaultRowHeight="15.75" x14ac:dyDescent="0.25"/>
  <cols>
    <col min="1" max="1" width="20.875" bestFit="1" customWidth="1"/>
  </cols>
  <sheetData>
    <row r="1" spans="1:17" ht="18.75" x14ac:dyDescent="0.3">
      <c r="A1" s="126" t="s">
        <v>116</v>
      </c>
    </row>
    <row r="2" spans="1:17" s="5" customFormat="1" x14ac:dyDescent="0.25">
      <c r="A2" s="5" t="s">
        <v>508</v>
      </c>
      <c r="B2" s="5">
        <v>2007</v>
      </c>
      <c r="C2" s="5">
        <f t="shared" ref="C2:N2" si="0">1+B2</f>
        <v>2008</v>
      </c>
      <c r="D2" s="5">
        <f t="shared" si="0"/>
        <v>2009</v>
      </c>
      <c r="E2" s="5">
        <f t="shared" si="0"/>
        <v>2010</v>
      </c>
      <c r="F2" s="5">
        <f t="shared" si="0"/>
        <v>2011</v>
      </c>
      <c r="G2" s="5">
        <f t="shared" si="0"/>
        <v>2012</v>
      </c>
      <c r="H2" s="5">
        <f t="shared" si="0"/>
        <v>2013</v>
      </c>
      <c r="I2" s="5">
        <f t="shared" si="0"/>
        <v>2014</v>
      </c>
      <c r="J2" s="5">
        <f t="shared" si="0"/>
        <v>2015</v>
      </c>
      <c r="K2" s="5">
        <f t="shared" si="0"/>
        <v>2016</v>
      </c>
      <c r="L2" s="5">
        <f t="shared" si="0"/>
        <v>2017</v>
      </c>
      <c r="M2" s="5">
        <f t="shared" si="0"/>
        <v>2018</v>
      </c>
      <c r="N2" s="5">
        <f t="shared" si="0"/>
        <v>2019</v>
      </c>
      <c r="O2" s="5">
        <f t="shared" ref="O2" si="1">1+N2</f>
        <v>2020</v>
      </c>
      <c r="P2" s="5">
        <f t="shared" ref="P2" si="2">1+O2</f>
        <v>2021</v>
      </c>
      <c r="Q2" s="5">
        <f t="shared" ref="Q2" si="3">1+P2</f>
        <v>2022</v>
      </c>
    </row>
    <row r="3" spans="1:17" x14ac:dyDescent="0.25">
      <c r="A3" s="5" t="s">
        <v>196</v>
      </c>
    </row>
    <row r="4" spans="1:17" x14ac:dyDescent="0.25">
      <c r="A4" s="26" t="s">
        <v>197</v>
      </c>
      <c r="C4" s="1"/>
      <c r="D4" s="1">
        <f t="shared" ref="D4:N4" si="4">+C6</f>
        <v>0</v>
      </c>
      <c r="E4" s="1">
        <f t="shared" si="4"/>
        <v>0</v>
      </c>
      <c r="F4" s="1">
        <f t="shared" si="4"/>
        <v>0</v>
      </c>
      <c r="G4" s="1">
        <f t="shared" si="4"/>
        <v>0</v>
      </c>
      <c r="H4" s="1">
        <f t="shared" si="4"/>
        <v>0</v>
      </c>
      <c r="I4" s="1">
        <f t="shared" si="4"/>
        <v>0</v>
      </c>
      <c r="J4" s="1">
        <f t="shared" si="4"/>
        <v>0</v>
      </c>
      <c r="K4" s="1">
        <f t="shared" si="4"/>
        <v>0</v>
      </c>
      <c r="L4" s="1">
        <f t="shared" si="4"/>
        <v>0</v>
      </c>
      <c r="M4" s="1">
        <f t="shared" si="4"/>
        <v>0</v>
      </c>
      <c r="N4" s="1">
        <f t="shared" si="4"/>
        <v>0</v>
      </c>
      <c r="O4" s="1">
        <f t="shared" ref="O4" si="5">+N6</f>
        <v>0</v>
      </c>
      <c r="P4" s="1">
        <f t="shared" ref="P4" si="6">+O6</f>
        <v>0</v>
      </c>
      <c r="Q4" s="1">
        <f t="shared" ref="Q4" si="7">+P6</f>
        <v>0</v>
      </c>
    </row>
    <row r="5" spans="1:17" x14ac:dyDescent="0.25">
      <c r="A5" s="26" t="s">
        <v>198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26" t="s">
        <v>199</v>
      </c>
      <c r="C6" s="1">
        <f t="shared" ref="C6:H6" si="8">+C5+C4</f>
        <v>0</v>
      </c>
      <c r="D6" s="1">
        <f t="shared" si="8"/>
        <v>0</v>
      </c>
      <c r="E6" s="1">
        <f t="shared" si="8"/>
        <v>0</v>
      </c>
      <c r="F6" s="1">
        <f t="shared" si="8"/>
        <v>0</v>
      </c>
      <c r="G6" s="1">
        <f t="shared" si="8"/>
        <v>0</v>
      </c>
      <c r="H6" s="1">
        <f t="shared" si="8"/>
        <v>0</v>
      </c>
      <c r="I6" s="1">
        <f t="shared" ref="I6:N6" si="9">+I5+I4</f>
        <v>0</v>
      </c>
      <c r="J6" s="1">
        <f t="shared" si="9"/>
        <v>0</v>
      </c>
      <c r="K6" s="1">
        <f t="shared" si="9"/>
        <v>0</v>
      </c>
      <c r="L6" s="1">
        <f t="shared" si="9"/>
        <v>0</v>
      </c>
      <c r="M6" s="1">
        <f t="shared" si="9"/>
        <v>0</v>
      </c>
      <c r="N6" s="1">
        <f t="shared" si="9"/>
        <v>0</v>
      </c>
      <c r="O6" s="1">
        <f t="shared" ref="O6:Q6" si="10">+O5+O4</f>
        <v>0</v>
      </c>
      <c r="P6" s="1">
        <f t="shared" si="10"/>
        <v>0</v>
      </c>
      <c r="Q6" s="1">
        <f t="shared" si="10"/>
        <v>0</v>
      </c>
    </row>
    <row r="7" spans="1:17" x14ac:dyDescent="0.25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s="26" t="s">
        <v>200</v>
      </c>
      <c r="C8" s="1">
        <v>0</v>
      </c>
      <c r="D8" s="1">
        <f t="shared" ref="D8:N8" si="11">+C10</f>
        <v>0</v>
      </c>
      <c r="E8" s="1">
        <f t="shared" si="11"/>
        <v>0</v>
      </c>
      <c r="F8" s="1">
        <f t="shared" si="11"/>
        <v>0</v>
      </c>
      <c r="G8" s="1">
        <f t="shared" si="11"/>
        <v>0</v>
      </c>
      <c r="H8" s="1">
        <f t="shared" si="11"/>
        <v>0</v>
      </c>
      <c r="I8" s="1">
        <f t="shared" si="11"/>
        <v>0</v>
      </c>
      <c r="J8" s="1">
        <f t="shared" si="11"/>
        <v>0</v>
      </c>
      <c r="K8" s="1">
        <f t="shared" si="11"/>
        <v>0</v>
      </c>
      <c r="L8" s="1">
        <f t="shared" si="11"/>
        <v>0</v>
      </c>
      <c r="M8" s="1">
        <f t="shared" si="11"/>
        <v>0</v>
      </c>
      <c r="N8" s="1">
        <f t="shared" si="11"/>
        <v>0</v>
      </c>
      <c r="O8" s="1">
        <f t="shared" ref="O8" si="12">+N10</f>
        <v>0</v>
      </c>
      <c r="P8" s="1">
        <f t="shared" ref="P8" si="13">+O10</f>
        <v>0</v>
      </c>
      <c r="Q8" s="1">
        <f t="shared" ref="Q8" si="14">+P10</f>
        <v>0</v>
      </c>
    </row>
    <row r="9" spans="1:17" x14ac:dyDescent="0.25">
      <c r="A9" s="26" t="s">
        <v>12</v>
      </c>
      <c r="C9" s="1"/>
      <c r="D9" s="1">
        <f t="shared" ref="D9:N9" si="15">+C9</f>
        <v>0</v>
      </c>
      <c r="E9" s="1">
        <f t="shared" si="15"/>
        <v>0</v>
      </c>
      <c r="F9" s="1">
        <f t="shared" si="15"/>
        <v>0</v>
      </c>
      <c r="G9" s="1">
        <f t="shared" si="15"/>
        <v>0</v>
      </c>
      <c r="H9" s="1">
        <f t="shared" si="15"/>
        <v>0</v>
      </c>
      <c r="I9" s="1">
        <f t="shared" si="15"/>
        <v>0</v>
      </c>
      <c r="J9" s="1">
        <f t="shared" si="15"/>
        <v>0</v>
      </c>
      <c r="K9" s="1">
        <f t="shared" si="15"/>
        <v>0</v>
      </c>
      <c r="L9" s="1">
        <f t="shared" si="15"/>
        <v>0</v>
      </c>
      <c r="M9" s="1">
        <f t="shared" si="15"/>
        <v>0</v>
      </c>
      <c r="N9" s="1">
        <f t="shared" si="15"/>
        <v>0</v>
      </c>
      <c r="O9" s="1">
        <f t="shared" ref="O9" si="16">+N9</f>
        <v>0</v>
      </c>
      <c r="P9" s="1">
        <f t="shared" ref="P9" si="17">+O9</f>
        <v>0</v>
      </c>
      <c r="Q9" s="1">
        <f t="shared" ref="Q9" si="18">+P9</f>
        <v>0</v>
      </c>
    </row>
    <row r="10" spans="1:17" x14ac:dyDescent="0.25">
      <c r="A10" s="26" t="s">
        <v>201</v>
      </c>
      <c r="C10" s="1">
        <f t="shared" ref="C10:H10" si="19">+C9+C8</f>
        <v>0</v>
      </c>
      <c r="D10" s="1">
        <f t="shared" si="19"/>
        <v>0</v>
      </c>
      <c r="E10" s="1">
        <f t="shared" si="19"/>
        <v>0</v>
      </c>
      <c r="F10" s="1">
        <f t="shared" si="19"/>
        <v>0</v>
      </c>
      <c r="G10" s="1">
        <f t="shared" si="19"/>
        <v>0</v>
      </c>
      <c r="H10" s="1">
        <f t="shared" si="19"/>
        <v>0</v>
      </c>
      <c r="I10" s="1">
        <f t="shared" ref="I10:N10" si="20">+I9+I8</f>
        <v>0</v>
      </c>
      <c r="J10" s="1">
        <f t="shared" si="20"/>
        <v>0</v>
      </c>
      <c r="K10" s="1">
        <f t="shared" si="20"/>
        <v>0</v>
      </c>
      <c r="L10" s="1">
        <f t="shared" si="20"/>
        <v>0</v>
      </c>
      <c r="M10" s="1">
        <f t="shared" si="20"/>
        <v>0</v>
      </c>
      <c r="N10" s="1">
        <f t="shared" si="20"/>
        <v>0</v>
      </c>
      <c r="O10" s="1">
        <f t="shared" ref="O10:Q10" si="21">+O9+O8</f>
        <v>0</v>
      </c>
      <c r="P10" s="1">
        <f t="shared" si="21"/>
        <v>0</v>
      </c>
      <c r="Q10" s="1">
        <f t="shared" si="21"/>
        <v>0</v>
      </c>
    </row>
    <row r="11" spans="1:17" x14ac:dyDescent="0.25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 s="26" t="s">
        <v>202</v>
      </c>
      <c r="C12" s="1">
        <f t="shared" ref="C12:H12" si="22">+C4+C8</f>
        <v>0</v>
      </c>
      <c r="D12" s="1">
        <f t="shared" si="22"/>
        <v>0</v>
      </c>
      <c r="E12" s="1">
        <f t="shared" si="22"/>
        <v>0</v>
      </c>
      <c r="F12" s="1">
        <f t="shared" si="22"/>
        <v>0</v>
      </c>
      <c r="G12" s="1">
        <f t="shared" si="22"/>
        <v>0</v>
      </c>
      <c r="H12" s="1">
        <f t="shared" si="22"/>
        <v>0</v>
      </c>
      <c r="I12" s="1">
        <f t="shared" ref="I12:N12" si="23">+I4+I8</f>
        <v>0</v>
      </c>
      <c r="J12" s="1">
        <f t="shared" si="23"/>
        <v>0</v>
      </c>
      <c r="K12" s="1">
        <f t="shared" si="23"/>
        <v>0</v>
      </c>
      <c r="L12" s="1">
        <f t="shared" si="23"/>
        <v>0</v>
      </c>
      <c r="M12" s="1">
        <f t="shared" si="23"/>
        <v>0</v>
      </c>
      <c r="N12" s="1">
        <f t="shared" si="23"/>
        <v>0</v>
      </c>
      <c r="O12" s="1">
        <f t="shared" ref="O12:Q12" si="24">+O4+O8</f>
        <v>0</v>
      </c>
      <c r="P12" s="1">
        <f t="shared" si="24"/>
        <v>0</v>
      </c>
      <c r="Q12" s="1">
        <f t="shared" si="24"/>
        <v>0</v>
      </c>
    </row>
    <row r="13" spans="1:17" x14ac:dyDescent="0.25">
      <c r="A13" s="26" t="s">
        <v>203</v>
      </c>
      <c r="C13" s="1">
        <f t="shared" ref="C13:H13" si="25">+C10+C6</f>
        <v>0</v>
      </c>
      <c r="D13" s="1">
        <f t="shared" si="25"/>
        <v>0</v>
      </c>
      <c r="E13" s="1">
        <f t="shared" si="25"/>
        <v>0</v>
      </c>
      <c r="F13" s="1">
        <f t="shared" si="25"/>
        <v>0</v>
      </c>
      <c r="G13" s="1">
        <f t="shared" si="25"/>
        <v>0</v>
      </c>
      <c r="H13" s="1">
        <f t="shared" si="25"/>
        <v>0</v>
      </c>
      <c r="I13" s="1">
        <f t="shared" ref="I13:N13" si="26">+I10+I6</f>
        <v>0</v>
      </c>
      <c r="J13" s="1">
        <f t="shared" si="26"/>
        <v>0</v>
      </c>
      <c r="K13" s="1">
        <f t="shared" si="26"/>
        <v>0</v>
      </c>
      <c r="L13" s="1">
        <f t="shared" si="26"/>
        <v>0</v>
      </c>
      <c r="M13" s="1">
        <f t="shared" si="26"/>
        <v>0</v>
      </c>
      <c r="N13" s="1">
        <f t="shared" si="26"/>
        <v>0</v>
      </c>
      <c r="O13" s="1">
        <f t="shared" ref="O13:Q13" si="27">+O10+O6</f>
        <v>0</v>
      </c>
      <c r="P13" s="1">
        <f t="shared" si="27"/>
        <v>0</v>
      </c>
      <c r="Q13" s="1">
        <f t="shared" si="27"/>
        <v>0</v>
      </c>
    </row>
    <row r="14" spans="1:17" x14ac:dyDescent="0.25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5">
      <c r="A15" s="5" t="s">
        <v>15</v>
      </c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5">
      <c r="A16" t="str">
        <f>+A4</f>
        <v>opening balance</v>
      </c>
      <c r="C16" s="1">
        <f>+BS!B6</f>
        <v>7761</v>
      </c>
      <c r="D16" s="1" t="e">
        <f t="shared" ref="D16:N16" si="28">+C18</f>
        <v>#N/A</v>
      </c>
      <c r="E16" s="1" t="e">
        <f t="shared" si="28"/>
        <v>#N/A</v>
      </c>
      <c r="F16" s="1" t="e">
        <f>+E18</f>
        <v>#N/A</v>
      </c>
      <c r="G16" s="523">
        <f>33366+5150+3507</f>
        <v>42023</v>
      </c>
      <c r="H16" s="1">
        <f t="shared" si="28"/>
        <v>44224.85</v>
      </c>
      <c r="I16" s="1">
        <f t="shared" si="28"/>
        <v>93451.41399999999</v>
      </c>
      <c r="J16" s="1">
        <f t="shared" si="28"/>
        <v>110757.63569999998</v>
      </c>
      <c r="K16" s="1">
        <f t="shared" si="28"/>
        <v>112757.63569999998</v>
      </c>
      <c r="L16" s="1">
        <f t="shared" si="28"/>
        <v>114757.63569999998</v>
      </c>
      <c r="M16" s="1">
        <f t="shared" si="28"/>
        <v>116757.63569999998</v>
      </c>
      <c r="N16" s="1">
        <f t="shared" si="28"/>
        <v>118757.63569999998</v>
      </c>
      <c r="O16" s="1">
        <f t="shared" ref="O16" si="29">+N18</f>
        <v>120757.63569999998</v>
      </c>
      <c r="P16" s="1">
        <f t="shared" ref="P16" si="30">+O18</f>
        <v>122757.63569999998</v>
      </c>
      <c r="Q16" s="1">
        <f t="shared" ref="Q16" si="31">+P18</f>
        <v>124757.63569999998</v>
      </c>
    </row>
    <row r="17" spans="1:17" x14ac:dyDescent="0.25">
      <c r="A17" t="str">
        <f>+A5</f>
        <v>purchase</v>
      </c>
      <c r="C17" s="1" t="e">
        <f>NA()</f>
        <v>#N/A</v>
      </c>
      <c r="D17" s="1">
        <f>+'Detail Invest'!D54</f>
        <v>0</v>
      </c>
      <c r="E17" s="1">
        <f>+'Detail Invest'!E54</f>
        <v>0</v>
      </c>
      <c r="F17" s="1">
        <f>+'Detail Invest'!F54</f>
        <v>0</v>
      </c>
      <c r="G17" s="1">
        <f>+'Detail Invest'!G54</f>
        <v>2201.85</v>
      </c>
      <c r="H17" s="1">
        <f>+'Detail Invest'!H54</f>
        <v>49226.563999999998</v>
      </c>
      <c r="I17" s="1">
        <f>+'Detail Invest'!I54</f>
        <v>17306.221700000002</v>
      </c>
      <c r="J17" s="1">
        <f>+'Detail Invest'!J54</f>
        <v>2000</v>
      </c>
      <c r="K17" s="1">
        <f>+'Detail Invest'!K54</f>
        <v>2000</v>
      </c>
      <c r="L17" s="1">
        <f>+'Detail Invest'!L54</f>
        <v>2000</v>
      </c>
      <c r="M17" s="1">
        <f>+'Detail Invest'!M54</f>
        <v>2000</v>
      </c>
      <c r="N17" s="1">
        <f>+'Detail Invest'!N54</f>
        <v>2000</v>
      </c>
      <c r="O17" s="1">
        <f>+'Detail Invest'!O54</f>
        <v>2000</v>
      </c>
      <c r="P17" s="1">
        <f>+'Detail Invest'!P54</f>
        <v>2000</v>
      </c>
      <c r="Q17" s="1">
        <f>+'Detail Invest'!Q54</f>
        <v>2000</v>
      </c>
    </row>
    <row r="18" spans="1:17" x14ac:dyDescent="0.25">
      <c r="A18" t="str">
        <f>+A6</f>
        <v>closing balance</v>
      </c>
      <c r="C18" s="1" t="e">
        <f t="shared" ref="C18:H18" si="32">+C17+C16</f>
        <v>#N/A</v>
      </c>
      <c r="D18" s="1" t="e">
        <f t="shared" si="32"/>
        <v>#N/A</v>
      </c>
      <c r="E18" s="1" t="e">
        <f t="shared" si="32"/>
        <v>#N/A</v>
      </c>
      <c r="F18" s="1" t="e">
        <f t="shared" si="32"/>
        <v>#N/A</v>
      </c>
      <c r="G18" s="1">
        <f t="shared" si="32"/>
        <v>44224.85</v>
      </c>
      <c r="H18" s="1">
        <f t="shared" si="32"/>
        <v>93451.41399999999</v>
      </c>
      <c r="I18" s="1">
        <f t="shared" ref="I18:N18" si="33">+I17+I16</f>
        <v>110757.63569999998</v>
      </c>
      <c r="J18" s="1">
        <f t="shared" si="33"/>
        <v>112757.63569999998</v>
      </c>
      <c r="K18" s="1">
        <f t="shared" si="33"/>
        <v>114757.63569999998</v>
      </c>
      <c r="L18" s="1">
        <f t="shared" si="33"/>
        <v>116757.63569999998</v>
      </c>
      <c r="M18" s="1">
        <f t="shared" si="33"/>
        <v>118757.63569999998</v>
      </c>
      <c r="N18" s="1">
        <f t="shared" si="33"/>
        <v>120757.63569999998</v>
      </c>
      <c r="O18" s="1">
        <f t="shared" ref="O18:Q18" si="34">+O17+O16</f>
        <v>122757.63569999998</v>
      </c>
      <c r="P18" s="1">
        <f t="shared" si="34"/>
        <v>124757.63569999998</v>
      </c>
      <c r="Q18" s="1">
        <f t="shared" si="34"/>
        <v>126757.63569999998</v>
      </c>
    </row>
    <row r="19" spans="1:17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t="str">
        <f>+A8</f>
        <v>accum.depre open.bal</v>
      </c>
      <c r="C20" s="1">
        <v>0</v>
      </c>
      <c r="D20" s="1" t="e">
        <f t="shared" ref="D20:N20" si="35">+C25</f>
        <v>#N/A</v>
      </c>
      <c r="E20" s="1" t="e">
        <f t="shared" si="35"/>
        <v>#N/A</v>
      </c>
      <c r="F20" s="1" t="e">
        <f>+E25</f>
        <v>#N/A</v>
      </c>
      <c r="G20" s="523">
        <v>-21512</v>
      </c>
      <c r="H20" s="1">
        <f t="shared" si="35"/>
        <v>-23911</v>
      </c>
      <c r="I20" s="1">
        <f t="shared" si="35"/>
        <v>-26530.185000000001</v>
      </c>
      <c r="J20" s="1">
        <f t="shared" si="35"/>
        <v>-34072.026400000002</v>
      </c>
      <c r="K20" s="1">
        <f t="shared" si="35"/>
        <v>-43344.489970000002</v>
      </c>
      <c r="L20" s="1">
        <f t="shared" si="35"/>
        <v>-52762.953540000002</v>
      </c>
      <c r="M20" s="1">
        <f t="shared" si="35"/>
        <v>-62381.417110000002</v>
      </c>
      <c r="N20" s="1">
        <f t="shared" si="35"/>
        <v>-72199.880680000002</v>
      </c>
      <c r="O20" s="1">
        <f t="shared" ref="O20" si="36">+N25</f>
        <v>-82218.344249999995</v>
      </c>
      <c r="P20" s="1">
        <f t="shared" ref="P20" si="37">+O25</f>
        <v>-91626.807819999987</v>
      </c>
      <c r="Q20" s="1">
        <f t="shared" ref="Q20" si="38">+P25</f>
        <v>-99500.271389999994</v>
      </c>
    </row>
    <row r="21" spans="1:17" x14ac:dyDescent="0.25">
      <c r="A21" t="s">
        <v>221</v>
      </c>
      <c r="C21" s="1"/>
      <c r="D21" s="1">
        <f>-1493-D22</f>
        <v>-1439</v>
      </c>
      <c r="E21" s="1">
        <f>+D21+103-295</f>
        <v>-1631</v>
      </c>
      <c r="F21" s="1">
        <f>+E21+747-519</f>
        <v>-1403</v>
      </c>
      <c r="G21" s="1">
        <f>+F21-610-332</f>
        <v>-2345</v>
      </c>
      <c r="H21" s="1">
        <f t="shared" ref="F21:N22" si="39">+G21</f>
        <v>-2345</v>
      </c>
      <c r="I21" s="1">
        <f t="shared" si="39"/>
        <v>-2345</v>
      </c>
      <c r="J21" s="1">
        <f t="shared" si="39"/>
        <v>-2345</v>
      </c>
      <c r="K21" s="1">
        <f t="shared" ref="K21" si="40">+J21</f>
        <v>-2345</v>
      </c>
      <c r="L21" s="1">
        <f t="shared" ref="L21" si="41">+K21</f>
        <v>-2345</v>
      </c>
      <c r="M21" s="1">
        <f t="shared" ref="M21" si="42">+L21</f>
        <v>-2345</v>
      </c>
      <c r="N21" s="1">
        <f t="shared" ref="N21" si="43">+M21</f>
        <v>-2345</v>
      </c>
      <c r="O21" s="1">
        <f>+N21+600-6+54*4</f>
        <v>-1535</v>
      </c>
      <c r="P21" s="1"/>
      <c r="Q21" s="1"/>
    </row>
    <row r="22" spans="1:17" x14ac:dyDescent="0.25">
      <c r="A22" t="s">
        <v>222</v>
      </c>
      <c r="C22" s="1"/>
      <c r="D22" s="1">
        <v>-54</v>
      </c>
      <c r="E22" s="1">
        <f>+D22</f>
        <v>-54</v>
      </c>
      <c r="F22" s="1">
        <f t="shared" si="39"/>
        <v>-54</v>
      </c>
      <c r="G22" s="1">
        <f t="shared" si="39"/>
        <v>-54</v>
      </c>
      <c r="H22" s="1">
        <f t="shared" si="39"/>
        <v>-54</v>
      </c>
      <c r="I22" s="1">
        <f t="shared" si="39"/>
        <v>-54</v>
      </c>
      <c r="J22" s="1">
        <f t="shared" si="39"/>
        <v>-54</v>
      </c>
      <c r="K22" s="1">
        <f>+J22*0</f>
        <v>0</v>
      </c>
      <c r="L22" s="1">
        <f t="shared" si="39"/>
        <v>0</v>
      </c>
      <c r="M22" s="1">
        <f t="shared" si="39"/>
        <v>0</v>
      </c>
      <c r="N22" s="1">
        <f t="shared" si="39"/>
        <v>0</v>
      </c>
      <c r="O22" s="1">
        <f t="shared" ref="O22" si="44">+N22</f>
        <v>0</v>
      </c>
      <c r="P22" s="1">
        <f t="shared" ref="P22" si="45">+O22</f>
        <v>0</v>
      </c>
      <c r="Q22" s="1">
        <f t="shared" ref="Q22" si="46">+P22</f>
        <v>0</v>
      </c>
    </row>
    <row r="23" spans="1:17" x14ac:dyDescent="0.25">
      <c r="A23" t="s">
        <v>223</v>
      </c>
      <c r="C23" s="1"/>
      <c r="D23" s="1">
        <f>-'Detail Invest'!AX54</f>
        <v>0</v>
      </c>
      <c r="E23" s="1">
        <f>-'Detail Invest'!AY54</f>
        <v>0</v>
      </c>
      <c r="F23" s="1">
        <f>-'Detail Invest'!AZ54</f>
        <v>0</v>
      </c>
      <c r="G23" s="1">
        <f>-'Detail Invest'!BA54</f>
        <v>0</v>
      </c>
      <c r="H23" s="1">
        <f>-'Detail Invest'!BB54</f>
        <v>-220.185</v>
      </c>
      <c r="I23" s="1">
        <f>-'Detail Invest'!BC54</f>
        <v>-5142.8414000000002</v>
      </c>
      <c r="J23" s="1">
        <f>-'Detail Invest'!BD54</f>
        <v>-6873.4635699999999</v>
      </c>
      <c r="K23" s="1">
        <f>-'Detail Invest'!BE54</f>
        <v>-7073.4635700000008</v>
      </c>
      <c r="L23" s="1">
        <f>-'Detail Invest'!BF54</f>
        <v>-7273.4635699999999</v>
      </c>
      <c r="M23" s="1">
        <f>-'Detail Invest'!BG54</f>
        <v>-7473.4635699999999</v>
      </c>
      <c r="N23" s="1">
        <f>-'Detail Invest'!BH54</f>
        <v>-7673.463569999999</v>
      </c>
      <c r="O23" s="1">
        <f>-'Detail Invest'!BI54</f>
        <v>-7873.4635699999999</v>
      </c>
      <c r="P23" s="1">
        <f>-'Detail Invest'!BJ54</f>
        <v>-7873.4635700000017</v>
      </c>
      <c r="Q23" s="1">
        <f>-'Detail Invest'!BK54</f>
        <v>-7873.4635700000044</v>
      </c>
    </row>
    <row r="24" spans="1:17" x14ac:dyDescent="0.25">
      <c r="A24" t="str">
        <f>+A9</f>
        <v>depreciation</v>
      </c>
      <c r="C24" s="113" t="e">
        <f>279.000000000001+NA()</f>
        <v>#N/A</v>
      </c>
      <c r="D24" s="1">
        <f>SUM(D21:D23)</f>
        <v>-1493</v>
      </c>
      <c r="E24" s="1">
        <f t="shared" ref="E24:N24" si="47">SUM(E21:E23)</f>
        <v>-1685</v>
      </c>
      <c r="F24" s="1">
        <f t="shared" si="47"/>
        <v>-1457</v>
      </c>
      <c r="G24" s="1">
        <f t="shared" si="47"/>
        <v>-2399</v>
      </c>
      <c r="H24" s="1">
        <f t="shared" si="47"/>
        <v>-2619.1849999999999</v>
      </c>
      <c r="I24" s="1">
        <f t="shared" si="47"/>
        <v>-7541.8414000000002</v>
      </c>
      <c r="J24" s="1">
        <f t="shared" si="47"/>
        <v>-9272.4635699999999</v>
      </c>
      <c r="K24" s="1">
        <f t="shared" si="47"/>
        <v>-9418.4635699999999</v>
      </c>
      <c r="L24" s="1">
        <f t="shared" si="47"/>
        <v>-9618.4635699999999</v>
      </c>
      <c r="M24" s="1">
        <f t="shared" si="47"/>
        <v>-9818.4635699999999</v>
      </c>
      <c r="N24" s="1">
        <f t="shared" si="47"/>
        <v>-10018.46357</v>
      </c>
      <c r="O24" s="1">
        <f t="shared" ref="O24:Q24" si="48">SUM(O21:O23)</f>
        <v>-9408.4635699999999</v>
      </c>
      <c r="P24" s="1">
        <f t="shared" si="48"/>
        <v>-7873.4635700000017</v>
      </c>
      <c r="Q24" s="1">
        <f t="shared" si="48"/>
        <v>-7873.4635700000044</v>
      </c>
    </row>
    <row r="25" spans="1:17" x14ac:dyDescent="0.25">
      <c r="A25" t="str">
        <f>+A10</f>
        <v>accum.depre closing bal</v>
      </c>
      <c r="C25" s="1" t="e">
        <f t="shared" ref="C25:H25" si="49">+C24+C20</f>
        <v>#N/A</v>
      </c>
      <c r="D25" s="1" t="e">
        <f t="shared" si="49"/>
        <v>#N/A</v>
      </c>
      <c r="E25" s="1" t="e">
        <f t="shared" si="49"/>
        <v>#N/A</v>
      </c>
      <c r="F25" s="1" t="e">
        <f t="shared" si="49"/>
        <v>#N/A</v>
      </c>
      <c r="G25" s="1">
        <f t="shared" si="49"/>
        <v>-23911</v>
      </c>
      <c r="H25" s="1">
        <f t="shared" si="49"/>
        <v>-26530.185000000001</v>
      </c>
      <c r="I25" s="1">
        <f t="shared" ref="I25:N25" si="50">+I24+I20</f>
        <v>-34072.026400000002</v>
      </c>
      <c r="J25" s="1">
        <f t="shared" si="50"/>
        <v>-43344.489970000002</v>
      </c>
      <c r="K25" s="1">
        <f t="shared" si="50"/>
        <v>-52762.953540000002</v>
      </c>
      <c r="L25" s="1">
        <f t="shared" si="50"/>
        <v>-62381.417110000002</v>
      </c>
      <c r="M25" s="1">
        <f t="shared" si="50"/>
        <v>-72199.880680000002</v>
      </c>
      <c r="N25" s="1">
        <f t="shared" si="50"/>
        <v>-82218.344249999995</v>
      </c>
      <c r="O25" s="1">
        <f t="shared" ref="O25:Q25" si="51">+O24+O20</f>
        <v>-91626.807819999987</v>
      </c>
      <c r="P25" s="1">
        <f t="shared" si="51"/>
        <v>-99500.271389999994</v>
      </c>
      <c r="Q25" s="1">
        <f t="shared" si="51"/>
        <v>-107373.73496</v>
      </c>
    </row>
    <row r="26" spans="1:17" x14ac:dyDescent="0.25">
      <c r="C26" s="655">
        <v>7761</v>
      </c>
      <c r="D26" s="655">
        <v>8377</v>
      </c>
      <c r="E26" s="655">
        <v>9850</v>
      </c>
      <c r="F26" s="655">
        <v>16696</v>
      </c>
      <c r="G26" s="655">
        <v>20511</v>
      </c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A27" t="str">
        <f>+A12</f>
        <v>net, opening balance</v>
      </c>
      <c r="C27" s="1">
        <f t="shared" ref="C27:N27" si="52">+C16+C20</f>
        <v>7761</v>
      </c>
      <c r="D27" s="1" t="e">
        <f t="shared" si="52"/>
        <v>#N/A</v>
      </c>
      <c r="E27" s="1" t="e">
        <f t="shared" si="52"/>
        <v>#N/A</v>
      </c>
      <c r="F27" s="1" t="e">
        <f t="shared" si="52"/>
        <v>#N/A</v>
      </c>
      <c r="G27" s="1">
        <f t="shared" si="52"/>
        <v>20511</v>
      </c>
      <c r="H27" s="1">
        <f t="shared" si="52"/>
        <v>20313.849999999999</v>
      </c>
      <c r="I27" s="1">
        <f t="shared" si="52"/>
        <v>66921.228999999992</v>
      </c>
      <c r="J27" s="1">
        <f t="shared" si="52"/>
        <v>76685.609299999982</v>
      </c>
      <c r="K27" s="1">
        <f t="shared" si="52"/>
        <v>69413.145729999989</v>
      </c>
      <c r="L27" s="1">
        <f t="shared" si="52"/>
        <v>61994.682159999982</v>
      </c>
      <c r="M27" s="1">
        <f t="shared" si="52"/>
        <v>54376.218589999982</v>
      </c>
      <c r="N27" s="1">
        <f t="shared" si="52"/>
        <v>46557.755019999982</v>
      </c>
      <c r="O27" s="1">
        <f t="shared" ref="O27:Q27" si="53">+O16+O20</f>
        <v>38539.29144999999</v>
      </c>
      <c r="P27" s="1">
        <f t="shared" si="53"/>
        <v>31130.827879999997</v>
      </c>
      <c r="Q27" s="1">
        <f t="shared" si="53"/>
        <v>25257.36430999999</v>
      </c>
    </row>
    <row r="28" spans="1:17" x14ac:dyDescent="0.25">
      <c r="A28" t="str">
        <f>+A13</f>
        <v>net, closing balance</v>
      </c>
      <c r="C28" s="1" t="e">
        <f t="shared" ref="C28:N28" si="54">+C25+C18</f>
        <v>#N/A</v>
      </c>
      <c r="D28" s="1" t="e">
        <f t="shared" si="54"/>
        <v>#N/A</v>
      </c>
      <c r="E28" s="1" t="e">
        <f t="shared" si="54"/>
        <v>#N/A</v>
      </c>
      <c r="F28" s="1" t="e">
        <f t="shared" si="54"/>
        <v>#N/A</v>
      </c>
      <c r="G28" s="1">
        <f t="shared" si="54"/>
        <v>20313.849999999999</v>
      </c>
      <c r="H28" s="1">
        <f t="shared" si="54"/>
        <v>66921.228999999992</v>
      </c>
      <c r="I28" s="1">
        <f t="shared" si="54"/>
        <v>76685.609299999982</v>
      </c>
      <c r="J28" s="1">
        <f t="shared" si="54"/>
        <v>69413.145729999989</v>
      </c>
      <c r="K28" s="1">
        <f t="shared" si="54"/>
        <v>61994.682159999982</v>
      </c>
      <c r="L28" s="1">
        <f t="shared" si="54"/>
        <v>54376.218589999982</v>
      </c>
      <c r="M28" s="1">
        <f t="shared" si="54"/>
        <v>46557.755019999982</v>
      </c>
      <c r="N28" s="1">
        <f t="shared" si="54"/>
        <v>38539.29144999999</v>
      </c>
      <c r="O28" s="1">
        <f t="shared" ref="O28:Q28" si="55">+O25+O18</f>
        <v>31130.827879999997</v>
      </c>
      <c r="P28" s="1">
        <f t="shared" si="55"/>
        <v>25257.36430999999</v>
      </c>
      <c r="Q28" s="1">
        <f t="shared" si="55"/>
        <v>19383.900739999983</v>
      </c>
    </row>
    <row r="30" spans="1:17" x14ac:dyDescent="0.25">
      <c r="A30" s="26" t="s">
        <v>264</v>
      </c>
      <c r="D30" s="1">
        <f>+D23+D21</f>
        <v>-1439</v>
      </c>
      <c r="E30" s="1">
        <f t="shared" ref="E30:N30" si="56">+E23+E21</f>
        <v>-1631</v>
      </c>
      <c r="F30" s="1">
        <f t="shared" si="56"/>
        <v>-1403</v>
      </c>
      <c r="G30" s="1">
        <f t="shared" si="56"/>
        <v>-2345</v>
      </c>
      <c r="H30" s="1">
        <f t="shared" si="56"/>
        <v>-2565.1849999999999</v>
      </c>
      <c r="I30" s="1">
        <f t="shared" si="56"/>
        <v>-7487.8414000000002</v>
      </c>
      <c r="J30" s="1">
        <f t="shared" si="56"/>
        <v>-9218.4635699999999</v>
      </c>
      <c r="K30" s="1">
        <f t="shared" si="56"/>
        <v>-9418.4635699999999</v>
      </c>
      <c r="L30" s="1">
        <f t="shared" si="56"/>
        <v>-9618.4635699999999</v>
      </c>
      <c r="M30" s="1">
        <f t="shared" si="56"/>
        <v>-9818.4635699999999</v>
      </c>
      <c r="N30" s="1">
        <f t="shared" si="56"/>
        <v>-10018.46357</v>
      </c>
      <c r="O30" s="1">
        <f t="shared" ref="O30:Q30" si="57">+O23+O21</f>
        <v>-9408.4635699999999</v>
      </c>
      <c r="P30" s="1">
        <f t="shared" si="57"/>
        <v>-7873.4635700000017</v>
      </c>
      <c r="Q30" s="1">
        <f t="shared" si="57"/>
        <v>-7873.4635700000044</v>
      </c>
    </row>
  </sheetData>
  <phoneticPr fontId="2" type="noConversion"/>
  <printOptions headings="1"/>
  <pageMargins left="0.59055118110236204" right="0.59055118110236204" top="0.59055118110236204" bottom="0.59055118110236204" header="0.511811023622047" footer="0.31496062992126"/>
  <pageSetup scale="82" orientation="landscape" r:id="rId1"/>
  <headerFooter alignWithMargins="0">
    <oddFooter>&amp;L&amp;F -&amp;A&amp;C&amp;P/&amp;N&amp;R&amp;D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326"/>
  <sheetViews>
    <sheetView workbookViewId="0"/>
  </sheetViews>
  <sheetFormatPr defaultRowHeight="15.75" x14ac:dyDescent="0.25"/>
  <cols>
    <col min="1" max="1" width="12.125" bestFit="1" customWidth="1"/>
    <col min="2" max="2" width="20.75" customWidth="1"/>
    <col min="4" max="8" width="9.375" bestFit="1" customWidth="1"/>
    <col min="19" max="19" width="4.25" bestFit="1" customWidth="1"/>
  </cols>
  <sheetData>
    <row r="1" spans="1:18" x14ac:dyDescent="0.25"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20.25" x14ac:dyDescent="0.3">
      <c r="B2" s="751" t="s">
        <v>287</v>
      </c>
      <c r="C2" s="752"/>
      <c r="D2" s="752"/>
      <c r="E2" s="752"/>
      <c r="F2" s="752"/>
      <c r="G2" s="752"/>
      <c r="H2" s="752"/>
      <c r="I2" s="752"/>
      <c r="J2" s="752"/>
      <c r="K2" s="752"/>
      <c r="L2" s="752"/>
      <c r="M2" s="752"/>
      <c r="N2" s="753"/>
      <c r="O2" s="693"/>
      <c r="P2" s="693"/>
      <c r="Q2" s="693"/>
      <c r="R2" s="693"/>
    </row>
    <row r="3" spans="1:18" x14ac:dyDescent="0.25">
      <c r="A3" s="166"/>
      <c r="B3" s="156"/>
      <c r="C3" s="151">
        <f>+PL!C$2</f>
        <v>2008</v>
      </c>
      <c r="D3" s="151">
        <f>+PL!D$2</f>
        <v>2009</v>
      </c>
      <c r="E3" s="151">
        <f>+PL!E$2</f>
        <v>2010</v>
      </c>
      <c r="F3" s="151">
        <f>+PL!F$2</f>
        <v>2011</v>
      </c>
      <c r="G3" s="151">
        <f>+PL!G$2</f>
        <v>2012</v>
      </c>
      <c r="H3" s="151">
        <f>+PL!H$2</f>
        <v>2013</v>
      </c>
      <c r="I3" s="151">
        <f>+PL!I$2</f>
        <v>2014</v>
      </c>
      <c r="J3" s="151">
        <f>+PL!J$2</f>
        <v>2015</v>
      </c>
      <c r="K3" s="151">
        <f>+PL!K$2</f>
        <v>2016</v>
      </c>
      <c r="L3" s="151">
        <f>+PL!L$2</f>
        <v>2017</v>
      </c>
      <c r="M3" s="151">
        <f>+PL!M$2</f>
        <v>2018</v>
      </c>
      <c r="N3" s="151">
        <f>+PL!N$2</f>
        <v>2019</v>
      </c>
      <c r="O3" s="151">
        <f>+PL!O$2</f>
        <v>2020</v>
      </c>
      <c r="P3" s="151">
        <f>+PL!P$2</f>
        <v>2021</v>
      </c>
      <c r="Q3" s="151">
        <f>+PL!Q$2</f>
        <v>2022</v>
      </c>
      <c r="R3" s="151"/>
    </row>
    <row r="4" spans="1:18" x14ac:dyDescent="0.25">
      <c r="A4" s="39">
        <f>SUM(D4:Q4)</f>
        <v>24000</v>
      </c>
      <c r="B4" s="168" t="s">
        <v>177</v>
      </c>
      <c r="C4" s="166">
        <f t="shared" ref="C4:N4" si="0">+C25+C45</f>
        <v>0</v>
      </c>
      <c r="D4" s="169">
        <f t="shared" si="0"/>
        <v>0</v>
      </c>
      <c r="E4" s="169">
        <f t="shared" si="0"/>
        <v>0</v>
      </c>
      <c r="F4" s="169">
        <f t="shared" si="0"/>
        <v>0</v>
      </c>
      <c r="G4" s="169">
        <f t="shared" si="0"/>
        <v>0</v>
      </c>
      <c r="H4" s="169">
        <f t="shared" si="0"/>
        <v>22716</v>
      </c>
      <c r="I4" s="39">
        <f t="shared" si="0"/>
        <v>1284</v>
      </c>
      <c r="J4" s="39">
        <f t="shared" si="0"/>
        <v>0</v>
      </c>
      <c r="K4" s="39">
        <f t="shared" si="0"/>
        <v>0</v>
      </c>
      <c r="L4" s="39">
        <f t="shared" si="0"/>
        <v>0</v>
      </c>
      <c r="M4" s="39">
        <f t="shared" si="0"/>
        <v>0</v>
      </c>
      <c r="N4" s="39">
        <f t="shared" si="0"/>
        <v>0</v>
      </c>
      <c r="O4" s="39">
        <f t="shared" ref="O4:Q4" si="1">+O25+O45</f>
        <v>0</v>
      </c>
      <c r="P4" s="39">
        <f t="shared" si="1"/>
        <v>0</v>
      </c>
      <c r="Q4" s="39">
        <f t="shared" si="1"/>
        <v>0</v>
      </c>
      <c r="R4" s="39"/>
    </row>
    <row r="5" spans="1:18" x14ac:dyDescent="0.25">
      <c r="A5" s="39">
        <f>SUM(D5:Q5)</f>
        <v>50162.943599999999</v>
      </c>
      <c r="B5" s="168" t="s">
        <v>178</v>
      </c>
      <c r="C5" s="166">
        <f t="shared" ref="C5:N5" si="2">+C26+C46</f>
        <v>0</v>
      </c>
      <c r="D5" s="169">
        <f t="shared" si="2"/>
        <v>0</v>
      </c>
      <c r="E5" s="169">
        <f t="shared" si="2"/>
        <v>0</v>
      </c>
      <c r="F5" s="169">
        <f t="shared" si="2"/>
        <v>0</v>
      </c>
      <c r="G5" s="169">
        <f t="shared" si="2"/>
        <v>0</v>
      </c>
      <c r="H5" s="169">
        <f t="shared" si="2"/>
        <v>47226.563999999998</v>
      </c>
      <c r="I5" s="169">
        <f t="shared" si="2"/>
        <v>2936.3796000000002</v>
      </c>
      <c r="J5" s="169">
        <f t="shared" si="2"/>
        <v>0</v>
      </c>
      <c r="K5" s="169">
        <f t="shared" si="2"/>
        <v>0</v>
      </c>
      <c r="L5" s="169">
        <f t="shared" si="2"/>
        <v>0</v>
      </c>
      <c r="M5" s="169">
        <f t="shared" si="2"/>
        <v>0</v>
      </c>
      <c r="N5" s="169">
        <f t="shared" si="2"/>
        <v>0</v>
      </c>
      <c r="O5" s="169">
        <f t="shared" ref="O5:Q5" si="3">+O26+O46</f>
        <v>0</v>
      </c>
      <c r="P5" s="169">
        <f t="shared" si="3"/>
        <v>0</v>
      </c>
      <c r="Q5" s="169">
        <f t="shared" si="3"/>
        <v>0</v>
      </c>
      <c r="R5" s="169"/>
    </row>
    <row r="6" spans="1:18" x14ac:dyDescent="0.25">
      <c r="A6" s="166">
        <f>+A5/A4</f>
        <v>2.0901226500000001</v>
      </c>
      <c r="B6" s="168"/>
      <c r="C6" s="166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</row>
    <row r="7" spans="1:18" x14ac:dyDescent="0.25">
      <c r="A7" s="39">
        <f>-SUM(D7:Q7)</f>
        <v>24000</v>
      </c>
      <c r="B7" s="168" t="s">
        <v>179</v>
      </c>
      <c r="C7" s="166">
        <f t="shared" ref="C7:N7" si="4">+C28+C48</f>
        <v>0</v>
      </c>
      <c r="D7" s="39">
        <f t="shared" si="4"/>
        <v>0</v>
      </c>
      <c r="E7" s="39">
        <f t="shared" si="4"/>
        <v>0</v>
      </c>
      <c r="F7" s="39">
        <f t="shared" si="4"/>
        <v>0</v>
      </c>
      <c r="G7" s="39">
        <f t="shared" si="4"/>
        <v>0</v>
      </c>
      <c r="H7" s="39">
        <f t="shared" si="4"/>
        <v>0</v>
      </c>
      <c r="I7" s="39">
        <f t="shared" si="4"/>
        <v>0</v>
      </c>
      <c r="J7" s="39">
        <f t="shared" si="4"/>
        <v>-4543.2</v>
      </c>
      <c r="K7" s="39">
        <f t="shared" si="4"/>
        <v>-4800</v>
      </c>
      <c r="L7" s="39">
        <f t="shared" si="4"/>
        <v>-4800</v>
      </c>
      <c r="M7" s="39">
        <f t="shared" si="4"/>
        <v>-4800</v>
      </c>
      <c r="N7" s="39">
        <f t="shared" si="4"/>
        <v>-4800</v>
      </c>
      <c r="O7" s="39">
        <f t="shared" ref="O7:Q7" si="5">+O28+O48</f>
        <v>-256.8</v>
      </c>
      <c r="P7" s="39">
        <f t="shared" si="5"/>
        <v>0</v>
      </c>
      <c r="Q7" s="39">
        <f t="shared" si="5"/>
        <v>0</v>
      </c>
      <c r="R7" s="39"/>
    </row>
    <row r="8" spans="1:18" x14ac:dyDescent="0.25">
      <c r="A8" s="166"/>
      <c r="B8" s="168" t="s">
        <v>180</v>
      </c>
      <c r="C8" s="166">
        <f t="shared" ref="C8:N8" si="6">+C29+C49</f>
        <v>0</v>
      </c>
      <c r="D8" s="39">
        <f t="shared" si="6"/>
        <v>0</v>
      </c>
      <c r="E8" s="39">
        <f t="shared" si="6"/>
        <v>0</v>
      </c>
      <c r="F8" s="39">
        <f t="shared" si="6"/>
        <v>0</v>
      </c>
      <c r="G8" s="39">
        <f t="shared" si="6"/>
        <v>0</v>
      </c>
      <c r="H8" s="39">
        <f t="shared" si="6"/>
        <v>0</v>
      </c>
      <c r="I8" s="39">
        <f t="shared" si="6"/>
        <v>0</v>
      </c>
      <c r="J8" s="39">
        <f t="shared" si="6"/>
        <v>0</v>
      </c>
      <c r="K8" s="39">
        <f t="shared" si="6"/>
        <v>0</v>
      </c>
      <c r="L8" s="39">
        <f t="shared" si="6"/>
        <v>0</v>
      </c>
      <c r="M8" s="39">
        <f t="shared" si="6"/>
        <v>0</v>
      </c>
      <c r="N8" s="39">
        <f t="shared" si="6"/>
        <v>0</v>
      </c>
      <c r="O8" s="39">
        <f t="shared" ref="O8:Q8" si="7">+O29+O49</f>
        <v>0</v>
      </c>
      <c r="P8" s="39">
        <f t="shared" si="7"/>
        <v>0</v>
      </c>
      <c r="Q8" s="39">
        <f t="shared" si="7"/>
        <v>0</v>
      </c>
      <c r="R8" s="39"/>
    </row>
    <row r="9" spans="1:18" x14ac:dyDescent="0.25">
      <c r="A9" s="39">
        <f>SUM(D9:Q9)</f>
        <v>-74112.448447311137</v>
      </c>
      <c r="B9" s="168" t="s">
        <v>246</v>
      </c>
      <c r="C9" s="166">
        <f t="shared" ref="C9:N9" si="8">+C30+C50</f>
        <v>0</v>
      </c>
      <c r="D9" s="39">
        <f t="shared" si="8"/>
        <v>0</v>
      </c>
      <c r="E9" s="39">
        <f t="shared" si="8"/>
        <v>0</v>
      </c>
      <c r="F9" s="39">
        <f t="shared" si="8"/>
        <v>0</v>
      </c>
      <c r="G9" s="39">
        <f t="shared" si="8"/>
        <v>0</v>
      </c>
      <c r="H9" s="39">
        <f t="shared" si="8"/>
        <v>0</v>
      </c>
      <c r="I9" s="39">
        <f t="shared" si="8"/>
        <v>0</v>
      </c>
      <c r="J9" s="39">
        <f t="shared" si="8"/>
        <v>-11428.828487999999</v>
      </c>
      <c r="K9" s="39">
        <f t="shared" si="8"/>
        <v>-13282.315200000003</v>
      </c>
      <c r="L9" s="39">
        <f t="shared" si="8"/>
        <v>-14610.546720000002</v>
      </c>
      <c r="M9" s="39">
        <f t="shared" si="8"/>
        <v>-16071.601392000004</v>
      </c>
      <c r="N9" s="39">
        <f t="shared" si="8"/>
        <v>-17678.761531200005</v>
      </c>
      <c r="O9" s="39">
        <f t="shared" ref="O9:Q9" si="9">+O30+O50</f>
        <v>-1040.3951161111204</v>
      </c>
      <c r="P9" s="39">
        <f t="shared" si="9"/>
        <v>0</v>
      </c>
      <c r="Q9" s="39">
        <f t="shared" si="9"/>
        <v>0</v>
      </c>
      <c r="R9" s="39"/>
    </row>
    <row r="10" spans="1:18" x14ac:dyDescent="0.25">
      <c r="A10" s="39">
        <f>SUM(D10:Q10)</f>
        <v>-49896</v>
      </c>
      <c r="B10" s="168" t="s">
        <v>286</v>
      </c>
      <c r="C10" s="166">
        <f t="shared" ref="C10:N10" si="10">+C31+C51</f>
        <v>0</v>
      </c>
      <c r="D10" s="39">
        <f t="shared" si="10"/>
        <v>0</v>
      </c>
      <c r="E10" s="39">
        <f t="shared" si="10"/>
        <v>0</v>
      </c>
      <c r="F10" s="39">
        <f t="shared" si="10"/>
        <v>0</v>
      </c>
      <c r="G10" s="39">
        <f t="shared" si="10"/>
        <v>0</v>
      </c>
      <c r="H10" s="39">
        <f t="shared" si="10"/>
        <v>0</v>
      </c>
      <c r="I10" s="39">
        <f t="shared" si="10"/>
        <v>0</v>
      </c>
      <c r="J10" s="39">
        <f t="shared" si="10"/>
        <v>-9445.3127999999997</v>
      </c>
      <c r="K10" s="39">
        <f t="shared" si="10"/>
        <v>-9979.2000000000007</v>
      </c>
      <c r="L10" s="39">
        <f t="shared" si="10"/>
        <v>-9979.2000000000007</v>
      </c>
      <c r="M10" s="39">
        <f t="shared" si="10"/>
        <v>-9979.2000000000007</v>
      </c>
      <c r="N10" s="39">
        <f t="shared" si="10"/>
        <v>-9979.2000000000007</v>
      </c>
      <c r="O10" s="39">
        <f t="shared" ref="O10:Q10" si="11">+O31+O51</f>
        <v>-533.88720000000012</v>
      </c>
      <c r="P10" s="39">
        <f t="shared" si="11"/>
        <v>0</v>
      </c>
      <c r="Q10" s="39">
        <f t="shared" si="11"/>
        <v>0</v>
      </c>
      <c r="R10" s="39"/>
    </row>
    <row r="11" spans="1:18" x14ac:dyDescent="0.25">
      <c r="A11" s="1">
        <f>+A9-A10</f>
        <v>-24216.448447311137</v>
      </c>
      <c r="B11" s="168"/>
      <c r="C11" s="166">
        <f t="shared" ref="C11:N11" si="12">+C32+C52</f>
        <v>0</v>
      </c>
      <c r="D11" s="39">
        <f t="shared" si="12"/>
        <v>0</v>
      </c>
      <c r="E11" s="39">
        <f t="shared" si="12"/>
        <v>0</v>
      </c>
      <c r="F11" s="39">
        <f t="shared" si="12"/>
        <v>0</v>
      </c>
      <c r="G11" s="39">
        <f t="shared" si="12"/>
        <v>0</v>
      </c>
      <c r="H11" s="39">
        <f t="shared" si="12"/>
        <v>0</v>
      </c>
      <c r="I11" s="39">
        <f t="shared" si="12"/>
        <v>0</v>
      </c>
      <c r="J11" s="39">
        <f t="shared" si="12"/>
        <v>0</v>
      </c>
      <c r="K11" s="39">
        <f t="shared" si="12"/>
        <v>0</v>
      </c>
      <c r="L11" s="39">
        <f t="shared" si="12"/>
        <v>0</v>
      </c>
      <c r="M11" s="39">
        <f t="shared" si="12"/>
        <v>0</v>
      </c>
      <c r="N11" s="39">
        <f t="shared" si="12"/>
        <v>0</v>
      </c>
      <c r="O11" s="39">
        <f t="shared" ref="O11:Q11" si="13">+O32+O52</f>
        <v>0</v>
      </c>
      <c r="P11" s="39">
        <f t="shared" si="13"/>
        <v>0</v>
      </c>
      <c r="Q11" s="39">
        <f t="shared" si="13"/>
        <v>0</v>
      </c>
      <c r="R11" s="39"/>
    </row>
    <row r="12" spans="1:18" x14ac:dyDescent="0.25">
      <c r="A12" s="39">
        <f>SUM(D12:Q12)</f>
        <v>-7.3896444519050419E-13</v>
      </c>
      <c r="B12" s="168" t="s">
        <v>280</v>
      </c>
      <c r="C12" s="166">
        <f t="shared" ref="C12:N12" si="14">+C33+C53</f>
        <v>0</v>
      </c>
      <c r="D12" s="39">
        <f t="shared" si="14"/>
        <v>0</v>
      </c>
      <c r="E12" s="39">
        <f t="shared" si="14"/>
        <v>0</v>
      </c>
      <c r="F12" s="39">
        <f t="shared" si="14"/>
        <v>0</v>
      </c>
      <c r="G12" s="39">
        <f t="shared" si="14"/>
        <v>0</v>
      </c>
      <c r="H12" s="39">
        <f t="shared" si="14"/>
        <v>22716</v>
      </c>
      <c r="I12" s="39">
        <f t="shared" si="14"/>
        <v>1284</v>
      </c>
      <c r="J12" s="39">
        <f t="shared" si="14"/>
        <v>-4543.2</v>
      </c>
      <c r="K12" s="39">
        <f t="shared" si="14"/>
        <v>-4800</v>
      </c>
      <c r="L12" s="39">
        <f t="shared" si="14"/>
        <v>-4800</v>
      </c>
      <c r="M12" s="39">
        <f t="shared" si="14"/>
        <v>-4800</v>
      </c>
      <c r="N12" s="39">
        <f t="shared" si="14"/>
        <v>-4800</v>
      </c>
      <c r="O12" s="39">
        <f t="shared" ref="O12:Q12" si="15">+O33+O53</f>
        <v>-256.8</v>
      </c>
      <c r="P12" s="39">
        <f t="shared" si="15"/>
        <v>0</v>
      </c>
      <c r="Q12" s="39">
        <f t="shared" si="15"/>
        <v>0</v>
      </c>
      <c r="R12" s="39"/>
    </row>
    <row r="13" spans="1:18" x14ac:dyDescent="0.25">
      <c r="A13" s="39">
        <f>SUM(D13:Q13)</f>
        <v>-23949.504847311138</v>
      </c>
      <c r="B13" s="168" t="s">
        <v>281</v>
      </c>
      <c r="C13" s="166">
        <f t="shared" ref="C13:N13" si="16">+C34+C54</f>
        <v>0</v>
      </c>
      <c r="D13" s="39">
        <f t="shared" si="16"/>
        <v>0</v>
      </c>
      <c r="E13" s="39">
        <f t="shared" si="16"/>
        <v>0</v>
      </c>
      <c r="F13" s="39">
        <f t="shared" si="16"/>
        <v>0</v>
      </c>
      <c r="G13" s="39">
        <f t="shared" si="16"/>
        <v>0</v>
      </c>
      <c r="H13" s="39">
        <f t="shared" si="16"/>
        <v>47226.563999999998</v>
      </c>
      <c r="I13" s="39">
        <f t="shared" si="16"/>
        <v>2936.3796000000002</v>
      </c>
      <c r="J13" s="39">
        <f t="shared" si="16"/>
        <v>-11428.828487999999</v>
      </c>
      <c r="K13" s="39">
        <f t="shared" si="16"/>
        <v>-13282.315200000003</v>
      </c>
      <c r="L13" s="39">
        <f t="shared" si="16"/>
        <v>-14610.546720000002</v>
      </c>
      <c r="M13" s="39">
        <f t="shared" si="16"/>
        <v>-16071.601392000004</v>
      </c>
      <c r="N13" s="39">
        <f t="shared" si="16"/>
        <v>-17678.761531200005</v>
      </c>
      <c r="O13" s="39">
        <f t="shared" ref="O13:Q13" si="17">+O34+O54</f>
        <v>-1040.3951161111204</v>
      </c>
      <c r="P13" s="39">
        <f t="shared" si="17"/>
        <v>0</v>
      </c>
      <c r="Q13" s="39">
        <f t="shared" si="17"/>
        <v>0</v>
      </c>
      <c r="R13" s="39"/>
    </row>
    <row r="14" spans="1:18" x14ac:dyDescent="0.25">
      <c r="A14" s="166"/>
      <c r="B14" s="168" t="s">
        <v>181</v>
      </c>
      <c r="C14" s="166">
        <f t="shared" ref="C14:N14" si="18">+C35+C55</f>
        <v>0</v>
      </c>
      <c r="D14" s="39">
        <f t="shared" si="18"/>
        <v>0</v>
      </c>
      <c r="E14" s="39">
        <f t="shared" si="18"/>
        <v>0</v>
      </c>
      <c r="F14" s="39">
        <f t="shared" si="18"/>
        <v>0</v>
      </c>
      <c r="G14" s="39">
        <f t="shared" si="18"/>
        <v>0</v>
      </c>
      <c r="H14" s="39">
        <f t="shared" si="18"/>
        <v>22716</v>
      </c>
      <c r="I14" s="39">
        <f t="shared" si="18"/>
        <v>24000</v>
      </c>
      <c r="J14" s="39">
        <f t="shared" si="18"/>
        <v>24000</v>
      </c>
      <c r="K14" s="39">
        <f t="shared" si="18"/>
        <v>24000</v>
      </c>
      <c r="L14" s="39">
        <f t="shared" si="18"/>
        <v>24000</v>
      </c>
      <c r="M14" s="39">
        <f t="shared" si="18"/>
        <v>24000</v>
      </c>
      <c r="N14" s="39">
        <f t="shared" si="18"/>
        <v>24000</v>
      </c>
      <c r="O14" s="39">
        <f t="shared" ref="O14:Q14" si="19">+O35+O55</f>
        <v>24000</v>
      </c>
      <c r="P14" s="39">
        <f t="shared" si="19"/>
        <v>24000</v>
      </c>
      <c r="Q14" s="39">
        <f t="shared" si="19"/>
        <v>24000</v>
      </c>
      <c r="R14" s="39"/>
    </row>
    <row r="15" spans="1:18" x14ac:dyDescent="0.25">
      <c r="A15" s="166"/>
      <c r="B15" s="168" t="s">
        <v>182</v>
      </c>
      <c r="C15" s="166">
        <f t="shared" ref="C15:N15" si="20">+C36+C56</f>
        <v>0</v>
      </c>
      <c r="D15" s="39">
        <f t="shared" si="20"/>
        <v>0</v>
      </c>
      <c r="E15" s="39">
        <f t="shared" si="20"/>
        <v>0</v>
      </c>
      <c r="F15" s="39">
        <f t="shared" si="20"/>
        <v>0</v>
      </c>
      <c r="G15" s="39">
        <f t="shared" si="20"/>
        <v>0</v>
      </c>
      <c r="H15" s="39">
        <f t="shared" si="20"/>
        <v>0</v>
      </c>
      <c r="I15" s="39">
        <f t="shared" si="20"/>
        <v>0</v>
      </c>
      <c r="J15" s="39">
        <f t="shared" si="20"/>
        <v>-4543.2</v>
      </c>
      <c r="K15" s="39">
        <f t="shared" si="20"/>
        <v>-9343.2000000000007</v>
      </c>
      <c r="L15" s="39">
        <f t="shared" si="20"/>
        <v>-14143.2</v>
      </c>
      <c r="M15" s="39">
        <f t="shared" si="20"/>
        <v>-18943.2</v>
      </c>
      <c r="N15" s="39">
        <f t="shared" si="20"/>
        <v>-23743.200000000001</v>
      </c>
      <c r="O15" s="39">
        <f t="shared" ref="O15:Q15" si="21">+O36+O56</f>
        <v>-24000</v>
      </c>
      <c r="P15" s="39">
        <f t="shared" si="21"/>
        <v>-24000</v>
      </c>
      <c r="Q15" s="39">
        <f t="shared" si="21"/>
        <v>-24000</v>
      </c>
      <c r="R15" s="39"/>
    </row>
    <row r="16" spans="1:18" x14ac:dyDescent="0.25">
      <c r="A16" s="166"/>
      <c r="B16" s="156" t="s">
        <v>285</v>
      </c>
      <c r="C16" s="151">
        <f t="shared" ref="C16:N16" si="22">+C37+C57</f>
        <v>0</v>
      </c>
      <c r="D16" s="158">
        <f t="shared" si="22"/>
        <v>0</v>
      </c>
      <c r="E16" s="158">
        <f t="shared" si="22"/>
        <v>0</v>
      </c>
      <c r="F16" s="158">
        <f t="shared" si="22"/>
        <v>0</v>
      </c>
      <c r="G16" s="158">
        <f t="shared" si="22"/>
        <v>0</v>
      </c>
      <c r="H16" s="158">
        <f t="shared" si="22"/>
        <v>22716</v>
      </c>
      <c r="I16" s="158">
        <f t="shared" si="22"/>
        <v>24000</v>
      </c>
      <c r="J16" s="158">
        <f t="shared" si="22"/>
        <v>19456.8</v>
      </c>
      <c r="K16" s="158">
        <f t="shared" si="22"/>
        <v>14656.8</v>
      </c>
      <c r="L16" s="158">
        <f t="shared" si="22"/>
        <v>9856.7999999999993</v>
      </c>
      <c r="M16" s="158">
        <f t="shared" si="22"/>
        <v>5056.7999999999993</v>
      </c>
      <c r="N16" s="158">
        <f t="shared" si="22"/>
        <v>256.79999999999927</v>
      </c>
      <c r="O16" s="158">
        <f t="shared" ref="O16:Q16" si="23">+O37+O57</f>
        <v>0</v>
      </c>
      <c r="P16" s="158">
        <f t="shared" si="23"/>
        <v>0</v>
      </c>
      <c r="Q16" s="158">
        <f t="shared" si="23"/>
        <v>0</v>
      </c>
      <c r="R16" s="158"/>
    </row>
    <row r="17" spans="1:19" ht="16.5" thickBot="1" x14ac:dyDescent="0.3">
      <c r="A17" s="166"/>
      <c r="B17" s="156" t="s">
        <v>244</v>
      </c>
      <c r="C17" s="151">
        <f t="shared" ref="C17:N17" si="24">+C38+C58</f>
        <v>0</v>
      </c>
      <c r="D17" s="158">
        <f t="shared" si="24"/>
        <v>0</v>
      </c>
      <c r="E17" s="158">
        <f t="shared" si="24"/>
        <v>0</v>
      </c>
      <c r="F17" s="158">
        <f t="shared" si="24"/>
        <v>0</v>
      </c>
      <c r="G17" s="158">
        <f t="shared" si="24"/>
        <v>0</v>
      </c>
      <c r="H17" s="158">
        <f t="shared" si="24"/>
        <v>47226.563999999998</v>
      </c>
      <c r="I17" s="158">
        <f t="shared" si="24"/>
        <v>54885.600000000006</v>
      </c>
      <c r="J17" s="158">
        <f t="shared" si="24"/>
        <v>48945.331511999997</v>
      </c>
      <c r="K17" s="158">
        <f t="shared" si="24"/>
        <v>40557.549463200005</v>
      </c>
      <c r="L17" s="158">
        <f t="shared" si="24"/>
        <v>30002.757689520007</v>
      </c>
      <c r="M17" s="158">
        <f t="shared" si="24"/>
        <v>16931.432066472003</v>
      </c>
      <c r="N17" s="158">
        <f t="shared" si="24"/>
        <v>945.81374191920008</v>
      </c>
      <c r="O17" s="158">
        <f t="shared" ref="O17:Q17" si="25">+O38+O58</f>
        <v>0</v>
      </c>
      <c r="P17" s="158">
        <f t="shared" si="25"/>
        <v>0</v>
      </c>
      <c r="Q17" s="158">
        <f t="shared" si="25"/>
        <v>0</v>
      </c>
      <c r="R17" s="158"/>
    </row>
    <row r="18" spans="1:19" s="287" customFormat="1" ht="16.5" thickBot="1" x14ac:dyDescent="0.3">
      <c r="A18" s="290">
        <f>SUM(D18:Q18)</f>
        <v>-24216.448447311137</v>
      </c>
      <c r="B18" s="291" t="s">
        <v>213</v>
      </c>
      <c r="C18" s="292">
        <f t="shared" ref="C18:N18" si="26">+C39+C59</f>
        <v>0</v>
      </c>
      <c r="D18" s="293">
        <f t="shared" si="26"/>
        <v>0</v>
      </c>
      <c r="E18" s="293">
        <f t="shared" si="26"/>
        <v>0</v>
      </c>
      <c r="F18" s="293">
        <f t="shared" si="26"/>
        <v>0</v>
      </c>
      <c r="G18" s="293">
        <f t="shared" si="26"/>
        <v>0</v>
      </c>
      <c r="H18" s="293">
        <f t="shared" si="26"/>
        <v>0</v>
      </c>
      <c r="I18" s="293">
        <f t="shared" si="26"/>
        <v>0</v>
      </c>
      <c r="J18" s="293">
        <f t="shared" si="26"/>
        <v>-1983.5156879999995</v>
      </c>
      <c r="K18" s="293">
        <f t="shared" si="26"/>
        <v>-3303.1152000000016</v>
      </c>
      <c r="L18" s="293">
        <f t="shared" si="26"/>
        <v>-4631.3467200000032</v>
      </c>
      <c r="M18" s="293">
        <f t="shared" si="26"/>
        <v>-6092.4013920000043</v>
      </c>
      <c r="N18" s="293">
        <f t="shared" si="26"/>
        <v>-7699.5615312000064</v>
      </c>
      <c r="O18" s="293">
        <f t="shared" ref="O18:Q18" si="27">+O39+O59</f>
        <v>-506.50791611112027</v>
      </c>
      <c r="P18" s="293">
        <f t="shared" si="27"/>
        <v>0</v>
      </c>
      <c r="Q18" s="293">
        <f t="shared" si="27"/>
        <v>0</v>
      </c>
      <c r="R18" s="694"/>
    </row>
    <row r="19" spans="1:19" x14ac:dyDescent="0.25">
      <c r="A19" s="39">
        <f>SUM(D19:Q19)</f>
        <v>-17212.009533919205</v>
      </c>
      <c r="B19" s="168" t="s">
        <v>282</v>
      </c>
      <c r="C19" s="166">
        <f t="shared" ref="C19:N19" si="28">+C40+C60</f>
        <v>0</v>
      </c>
      <c r="D19" s="166">
        <f t="shared" si="28"/>
        <v>0</v>
      </c>
      <c r="E19" s="166">
        <f t="shared" si="28"/>
        <v>0</v>
      </c>
      <c r="F19" s="166">
        <f t="shared" si="28"/>
        <v>0</v>
      </c>
      <c r="G19" s="166">
        <f t="shared" si="28"/>
        <v>0</v>
      </c>
      <c r="H19" s="166">
        <f t="shared" si="28"/>
        <v>0</v>
      </c>
      <c r="I19" s="166">
        <f t="shared" si="28"/>
        <v>-4722.6563999999998</v>
      </c>
      <c r="J19" s="166">
        <f t="shared" si="28"/>
        <v>-4449.5755919999974</v>
      </c>
      <c r="K19" s="166">
        <f t="shared" si="28"/>
        <v>-3687.0499512000047</v>
      </c>
      <c r="L19" s="166">
        <f t="shared" si="28"/>
        <v>-2727.5234263200036</v>
      </c>
      <c r="M19" s="166">
        <f t="shared" si="28"/>
        <v>-1539.2210969520015</v>
      </c>
      <c r="N19" s="166">
        <f t="shared" si="28"/>
        <v>-85.983067447200014</v>
      </c>
      <c r="O19" s="166">
        <f t="shared" ref="O19:Q19" si="29">+O40+O60</f>
        <v>0</v>
      </c>
      <c r="P19" s="166">
        <f t="shared" si="29"/>
        <v>0</v>
      </c>
      <c r="Q19" s="166">
        <f t="shared" si="29"/>
        <v>0</v>
      </c>
      <c r="R19" s="166"/>
    </row>
    <row r="20" spans="1:19" x14ac:dyDescent="0.25">
      <c r="A20" s="39">
        <f>SUM(D20:Q20)</f>
        <v>-6737.4953133919253</v>
      </c>
      <c r="B20" s="168" t="s">
        <v>283</v>
      </c>
      <c r="C20" s="166">
        <f t="shared" ref="C20:N20" si="30">+C41+C61</f>
        <v>0</v>
      </c>
      <c r="D20" s="166">
        <f t="shared" si="30"/>
        <v>0</v>
      </c>
      <c r="E20" s="166">
        <f t="shared" si="30"/>
        <v>0</v>
      </c>
      <c r="F20" s="166">
        <f t="shared" si="30"/>
        <v>0</v>
      </c>
      <c r="G20" s="166">
        <f t="shared" si="30"/>
        <v>0</v>
      </c>
      <c r="H20" s="166">
        <f t="shared" si="30"/>
        <v>0</v>
      </c>
      <c r="I20" s="166">
        <f t="shared" si="30"/>
        <v>0</v>
      </c>
      <c r="J20" s="166">
        <f t="shared" si="30"/>
        <v>-1038.9844079999993</v>
      </c>
      <c r="K20" s="166">
        <f t="shared" si="30"/>
        <v>-1207.4832000000013</v>
      </c>
      <c r="L20" s="166">
        <f t="shared" si="30"/>
        <v>-1328.2315200000021</v>
      </c>
      <c r="M20" s="166">
        <f t="shared" si="30"/>
        <v>-1461.0546720000018</v>
      </c>
      <c r="N20" s="166">
        <f t="shared" si="30"/>
        <v>-1607.1601392000007</v>
      </c>
      <c r="O20" s="166">
        <f t="shared" ref="O20:Q20" si="31">+O41+O61</f>
        <v>-94.581374191920062</v>
      </c>
      <c r="P20" s="166">
        <f t="shared" si="31"/>
        <v>0</v>
      </c>
      <c r="Q20" s="166">
        <f t="shared" si="31"/>
        <v>0</v>
      </c>
      <c r="R20" s="166"/>
    </row>
    <row r="21" spans="1:19" x14ac:dyDescent="0.25">
      <c r="A21" s="39">
        <f>SUM(D21:Q21)</f>
        <v>-23949.504847311131</v>
      </c>
      <c r="B21" s="170" t="s">
        <v>284</v>
      </c>
      <c r="C21" s="171">
        <f t="shared" ref="C21:N21" si="32">+C42+C62</f>
        <v>0</v>
      </c>
      <c r="D21" s="171">
        <f t="shared" si="32"/>
        <v>0</v>
      </c>
      <c r="E21" s="171">
        <f t="shared" si="32"/>
        <v>0</v>
      </c>
      <c r="F21" s="171">
        <f t="shared" si="32"/>
        <v>0</v>
      </c>
      <c r="G21" s="171">
        <f t="shared" si="32"/>
        <v>0</v>
      </c>
      <c r="H21" s="171">
        <f t="shared" si="32"/>
        <v>0</v>
      </c>
      <c r="I21" s="171">
        <f t="shared" si="32"/>
        <v>-4722.6563999999998</v>
      </c>
      <c r="J21" s="171">
        <f t="shared" si="32"/>
        <v>-5488.5599999999968</v>
      </c>
      <c r="K21" s="171">
        <f t="shared" si="32"/>
        <v>-4894.5331512000057</v>
      </c>
      <c r="L21" s="171">
        <f t="shared" si="32"/>
        <v>-4055.7549463200057</v>
      </c>
      <c r="M21" s="171">
        <f t="shared" si="32"/>
        <v>-3000.2757689520031</v>
      </c>
      <c r="N21" s="171">
        <f t="shared" si="32"/>
        <v>-1693.1432066472007</v>
      </c>
      <c r="O21" s="171">
        <f t="shared" ref="O21:Q21" si="33">+O42+O62</f>
        <v>-94.581374191920062</v>
      </c>
      <c r="P21" s="171">
        <f t="shared" si="33"/>
        <v>0</v>
      </c>
      <c r="Q21" s="171">
        <f t="shared" si="33"/>
        <v>0</v>
      </c>
      <c r="R21" s="166"/>
    </row>
    <row r="23" spans="1:19" ht="20.25" x14ac:dyDescent="0.3">
      <c r="B23" s="751"/>
      <c r="C23" s="752"/>
      <c r="D23" s="752"/>
      <c r="E23" s="752"/>
      <c r="F23" s="752"/>
      <c r="G23" s="752"/>
      <c r="H23" s="752"/>
      <c r="I23" s="752"/>
      <c r="J23" s="752"/>
      <c r="K23" s="752"/>
      <c r="L23" s="752"/>
      <c r="M23" s="752"/>
      <c r="N23" s="753"/>
      <c r="O23" s="693"/>
      <c r="P23" s="693"/>
      <c r="Q23" s="693"/>
      <c r="R23" s="693"/>
    </row>
    <row r="24" spans="1:19" x14ac:dyDescent="0.25">
      <c r="B24" s="156"/>
      <c r="C24" s="151">
        <f>+PL!C$2</f>
        <v>2008</v>
      </c>
      <c r="D24" s="151">
        <f>+PL!D$2</f>
        <v>2009</v>
      </c>
      <c r="E24" s="151">
        <f>+PL!E$2</f>
        <v>2010</v>
      </c>
      <c r="F24" s="151">
        <f>+PL!F$2</f>
        <v>2011</v>
      </c>
      <c r="G24" s="151">
        <f>+PL!G$2</f>
        <v>2012</v>
      </c>
      <c r="H24" s="151">
        <f>+PL!H$2</f>
        <v>2013</v>
      </c>
      <c r="I24" s="151">
        <f>+PL!I$2</f>
        <v>2014</v>
      </c>
      <c r="J24" s="151">
        <f>+PL!J$2</f>
        <v>2015</v>
      </c>
      <c r="K24" s="151">
        <f>+PL!K$2</f>
        <v>2016</v>
      </c>
      <c r="L24" s="151">
        <f>+PL!L$2</f>
        <v>2017</v>
      </c>
      <c r="M24" s="151">
        <f>+PL!M$2</f>
        <v>2018</v>
      </c>
      <c r="N24" s="151">
        <f>+PL!N$2</f>
        <v>2019</v>
      </c>
      <c r="O24" s="151">
        <f>+PL!O$2</f>
        <v>2020</v>
      </c>
      <c r="P24" s="151">
        <f>+PL!P$2</f>
        <v>2021</v>
      </c>
      <c r="Q24" s="151">
        <f>+PL!Q$2</f>
        <v>2022</v>
      </c>
      <c r="R24" s="151"/>
    </row>
    <row r="25" spans="1:19" x14ac:dyDescent="0.25">
      <c r="A25" s="39">
        <f>SUM(D25:Q25)</f>
        <v>0</v>
      </c>
      <c r="B25" s="168" t="s">
        <v>177</v>
      </c>
      <c r="C25" s="166">
        <f t="shared" ref="C25:Q26" si="34">SUMIF($S$65:$S$326,$S25,C$65:C$326)</f>
        <v>0</v>
      </c>
      <c r="D25" s="169">
        <f t="shared" si="34"/>
        <v>0</v>
      </c>
      <c r="E25" s="169">
        <f t="shared" si="34"/>
        <v>0</v>
      </c>
      <c r="F25" s="169">
        <f t="shared" si="34"/>
        <v>0</v>
      </c>
      <c r="G25" s="169">
        <f t="shared" si="34"/>
        <v>0</v>
      </c>
      <c r="H25" s="169">
        <f t="shared" si="34"/>
        <v>0</v>
      </c>
      <c r="I25" s="39">
        <f t="shared" si="34"/>
        <v>0</v>
      </c>
      <c r="J25" s="39">
        <f t="shared" si="34"/>
        <v>0</v>
      </c>
      <c r="K25" s="39">
        <f t="shared" si="34"/>
        <v>0</v>
      </c>
      <c r="L25" s="39">
        <f t="shared" si="34"/>
        <v>0</v>
      </c>
      <c r="M25" s="39">
        <f t="shared" si="34"/>
        <v>0</v>
      </c>
      <c r="N25" s="39">
        <f t="shared" si="34"/>
        <v>0</v>
      </c>
      <c r="O25" s="39">
        <f t="shared" si="34"/>
        <v>0</v>
      </c>
      <c r="P25" s="39">
        <f t="shared" si="34"/>
        <v>0</v>
      </c>
      <c r="Q25" s="39">
        <f t="shared" si="34"/>
        <v>0</v>
      </c>
      <c r="R25" s="39"/>
      <c r="S25" s="166" t="s">
        <v>289</v>
      </c>
    </row>
    <row r="26" spans="1:19" x14ac:dyDescent="0.25">
      <c r="A26" s="39">
        <f>SUM(D26:Q26)</f>
        <v>0</v>
      </c>
      <c r="B26" s="168" t="s">
        <v>178</v>
      </c>
      <c r="C26" s="166">
        <f t="shared" si="34"/>
        <v>0</v>
      </c>
      <c r="D26" s="169">
        <f t="shared" si="34"/>
        <v>0</v>
      </c>
      <c r="E26" s="169">
        <f t="shared" si="34"/>
        <v>0</v>
      </c>
      <c r="F26" s="169">
        <f t="shared" si="34"/>
        <v>0</v>
      </c>
      <c r="G26" s="169">
        <f t="shared" si="34"/>
        <v>0</v>
      </c>
      <c r="H26" s="169">
        <f t="shared" si="34"/>
        <v>0</v>
      </c>
      <c r="I26" s="169">
        <f t="shared" si="34"/>
        <v>0</v>
      </c>
      <c r="J26" s="169">
        <f t="shared" si="34"/>
        <v>0</v>
      </c>
      <c r="K26" s="169">
        <f t="shared" si="34"/>
        <v>0</v>
      </c>
      <c r="L26" s="169">
        <f t="shared" si="34"/>
        <v>0</v>
      </c>
      <c r="M26" s="169">
        <f t="shared" si="34"/>
        <v>0</v>
      </c>
      <c r="N26" s="169">
        <f t="shared" si="34"/>
        <v>0</v>
      </c>
      <c r="O26" s="169">
        <f t="shared" si="34"/>
        <v>0</v>
      </c>
      <c r="P26" s="169">
        <f t="shared" si="34"/>
        <v>0</v>
      </c>
      <c r="Q26" s="169">
        <f t="shared" si="34"/>
        <v>0</v>
      </c>
      <c r="R26" s="169"/>
      <c r="S26" s="166" t="s">
        <v>290</v>
      </c>
    </row>
    <row r="27" spans="1:19" x14ac:dyDescent="0.25">
      <c r="A27" s="166" t="e">
        <f>+A26/A25</f>
        <v>#DIV/0!</v>
      </c>
      <c r="B27" s="168"/>
      <c r="C27" s="166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</row>
    <row r="28" spans="1:19" x14ac:dyDescent="0.25">
      <c r="A28" s="39">
        <f>-SUM(D28:Q28)</f>
        <v>0</v>
      </c>
      <c r="B28" s="168" t="s">
        <v>179</v>
      </c>
      <c r="C28" s="166">
        <f t="shared" ref="C28:Q31" si="35">SUMIF($S$65:$S$326,$S28,C$65:C$326)</f>
        <v>0</v>
      </c>
      <c r="D28" s="39">
        <f t="shared" si="35"/>
        <v>0</v>
      </c>
      <c r="E28" s="39">
        <f t="shared" si="35"/>
        <v>0</v>
      </c>
      <c r="F28" s="39">
        <f t="shared" si="35"/>
        <v>0</v>
      </c>
      <c r="G28" s="39">
        <f t="shared" si="35"/>
        <v>0</v>
      </c>
      <c r="H28" s="39">
        <f t="shared" si="35"/>
        <v>0</v>
      </c>
      <c r="I28" s="39">
        <f t="shared" si="35"/>
        <v>0</v>
      </c>
      <c r="J28" s="39">
        <f t="shared" si="35"/>
        <v>0</v>
      </c>
      <c r="K28" s="39">
        <f t="shared" si="35"/>
        <v>0</v>
      </c>
      <c r="L28" s="39">
        <f t="shared" si="35"/>
        <v>0</v>
      </c>
      <c r="M28" s="39">
        <f t="shared" si="35"/>
        <v>0</v>
      </c>
      <c r="N28" s="39">
        <f t="shared" si="35"/>
        <v>0</v>
      </c>
      <c r="O28" s="39">
        <f t="shared" si="35"/>
        <v>0</v>
      </c>
      <c r="P28" s="39">
        <f t="shared" si="35"/>
        <v>0</v>
      </c>
      <c r="Q28" s="39">
        <f t="shared" si="35"/>
        <v>0</v>
      </c>
      <c r="R28" s="39"/>
      <c r="S28" s="166" t="s">
        <v>291</v>
      </c>
    </row>
    <row r="29" spans="1:19" x14ac:dyDescent="0.25">
      <c r="A29" s="166"/>
      <c r="B29" s="168" t="s">
        <v>180</v>
      </c>
      <c r="C29" s="166">
        <f t="shared" si="35"/>
        <v>0</v>
      </c>
      <c r="D29" s="39">
        <f t="shared" si="35"/>
        <v>0</v>
      </c>
      <c r="E29" s="39">
        <f t="shared" si="35"/>
        <v>0</v>
      </c>
      <c r="F29" s="39">
        <f t="shared" si="35"/>
        <v>0</v>
      </c>
      <c r="G29" s="39">
        <f t="shared" si="35"/>
        <v>0</v>
      </c>
      <c r="H29" s="39">
        <f t="shared" si="35"/>
        <v>0</v>
      </c>
      <c r="I29" s="39">
        <f t="shared" si="35"/>
        <v>0</v>
      </c>
      <c r="J29" s="39">
        <f t="shared" si="35"/>
        <v>0</v>
      </c>
      <c r="K29" s="39">
        <f t="shared" si="35"/>
        <v>0</v>
      </c>
      <c r="L29" s="39">
        <f t="shared" si="35"/>
        <v>0</v>
      </c>
      <c r="M29" s="39">
        <f t="shared" si="35"/>
        <v>0</v>
      </c>
      <c r="N29" s="39">
        <f t="shared" si="35"/>
        <v>0</v>
      </c>
      <c r="O29" s="39">
        <f t="shared" si="35"/>
        <v>0</v>
      </c>
      <c r="P29" s="39">
        <f t="shared" si="35"/>
        <v>0</v>
      </c>
      <c r="Q29" s="39">
        <f t="shared" si="35"/>
        <v>0</v>
      </c>
      <c r="R29" s="39"/>
      <c r="S29" s="166" t="s">
        <v>292</v>
      </c>
    </row>
    <row r="30" spans="1:19" x14ac:dyDescent="0.25">
      <c r="A30" s="39">
        <f>SUM(D30:Q30)</f>
        <v>0</v>
      </c>
      <c r="B30" s="168" t="s">
        <v>246</v>
      </c>
      <c r="C30" s="166">
        <f t="shared" si="35"/>
        <v>0</v>
      </c>
      <c r="D30" s="39">
        <f t="shared" si="35"/>
        <v>0</v>
      </c>
      <c r="E30" s="39">
        <f t="shared" si="35"/>
        <v>0</v>
      </c>
      <c r="F30" s="39">
        <f t="shared" si="35"/>
        <v>0</v>
      </c>
      <c r="G30" s="39">
        <f t="shared" si="35"/>
        <v>0</v>
      </c>
      <c r="H30" s="39">
        <f t="shared" si="35"/>
        <v>0</v>
      </c>
      <c r="I30" s="39">
        <f t="shared" si="35"/>
        <v>0</v>
      </c>
      <c r="J30" s="39">
        <f t="shared" si="35"/>
        <v>0</v>
      </c>
      <c r="K30" s="39">
        <f t="shared" si="35"/>
        <v>0</v>
      </c>
      <c r="L30" s="39">
        <f t="shared" si="35"/>
        <v>0</v>
      </c>
      <c r="M30" s="39">
        <f t="shared" si="35"/>
        <v>0</v>
      </c>
      <c r="N30" s="39">
        <f t="shared" si="35"/>
        <v>0</v>
      </c>
      <c r="O30" s="39">
        <f t="shared" si="35"/>
        <v>0</v>
      </c>
      <c r="P30" s="39">
        <f t="shared" si="35"/>
        <v>0</v>
      </c>
      <c r="Q30" s="39">
        <f t="shared" si="35"/>
        <v>0</v>
      </c>
      <c r="R30" s="39"/>
      <c r="S30" s="166" t="s">
        <v>293</v>
      </c>
    </row>
    <row r="31" spans="1:19" x14ac:dyDescent="0.25">
      <c r="A31" s="39">
        <f>SUM(D31:Q31)</f>
        <v>0</v>
      </c>
      <c r="B31" s="168" t="s">
        <v>286</v>
      </c>
      <c r="C31" s="166">
        <f t="shared" si="35"/>
        <v>0</v>
      </c>
      <c r="D31" s="39">
        <f t="shared" si="35"/>
        <v>0</v>
      </c>
      <c r="E31" s="39">
        <f t="shared" si="35"/>
        <v>0</v>
      </c>
      <c r="F31" s="39">
        <f t="shared" si="35"/>
        <v>0</v>
      </c>
      <c r="G31" s="39">
        <f t="shared" si="35"/>
        <v>0</v>
      </c>
      <c r="H31" s="39">
        <f t="shared" si="35"/>
        <v>0</v>
      </c>
      <c r="I31" s="39">
        <f t="shared" si="35"/>
        <v>0</v>
      </c>
      <c r="J31" s="39">
        <f t="shared" si="35"/>
        <v>0</v>
      </c>
      <c r="K31" s="39">
        <f t="shared" si="35"/>
        <v>0</v>
      </c>
      <c r="L31" s="39">
        <f t="shared" si="35"/>
        <v>0</v>
      </c>
      <c r="M31" s="39">
        <f t="shared" si="35"/>
        <v>0</v>
      </c>
      <c r="N31" s="39">
        <f t="shared" si="35"/>
        <v>0</v>
      </c>
      <c r="O31" s="39">
        <f t="shared" si="35"/>
        <v>0</v>
      </c>
      <c r="P31" s="39">
        <f t="shared" si="35"/>
        <v>0</v>
      </c>
      <c r="Q31" s="39">
        <f t="shared" si="35"/>
        <v>0</v>
      </c>
      <c r="R31" s="39"/>
      <c r="S31" s="166" t="s">
        <v>294</v>
      </c>
    </row>
    <row r="32" spans="1:19" x14ac:dyDescent="0.25">
      <c r="A32" s="1">
        <f>+A30-A31</f>
        <v>0</v>
      </c>
      <c r="B32" s="168"/>
      <c r="C32" s="166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</row>
    <row r="33" spans="1:19" x14ac:dyDescent="0.25">
      <c r="A33" s="39">
        <f>SUM(D33:Q33)</f>
        <v>0</v>
      </c>
      <c r="B33" s="168" t="s">
        <v>280</v>
      </c>
      <c r="C33" s="166"/>
      <c r="D33" s="39"/>
      <c r="E33" s="39">
        <f>+E25+E28</f>
        <v>0</v>
      </c>
      <c r="F33" s="39">
        <f t="shared" ref="F33:N33" si="36">+F25+F28</f>
        <v>0</v>
      </c>
      <c r="G33" s="39">
        <f t="shared" si="36"/>
        <v>0</v>
      </c>
      <c r="H33" s="39">
        <f t="shared" si="36"/>
        <v>0</v>
      </c>
      <c r="I33" s="39">
        <f t="shared" si="36"/>
        <v>0</v>
      </c>
      <c r="J33" s="39">
        <f t="shared" si="36"/>
        <v>0</v>
      </c>
      <c r="K33" s="39">
        <f t="shared" si="36"/>
        <v>0</v>
      </c>
      <c r="L33" s="39">
        <f t="shared" si="36"/>
        <v>0</v>
      </c>
      <c r="M33" s="39">
        <f t="shared" si="36"/>
        <v>0</v>
      </c>
      <c r="N33" s="39">
        <f t="shared" si="36"/>
        <v>0</v>
      </c>
      <c r="O33" s="39">
        <f t="shared" ref="O33:Q33" si="37">+O25+O28</f>
        <v>0</v>
      </c>
      <c r="P33" s="39">
        <f t="shared" si="37"/>
        <v>0</v>
      </c>
      <c r="Q33" s="39">
        <f t="shared" si="37"/>
        <v>0</v>
      </c>
      <c r="R33" s="39"/>
    </row>
    <row r="34" spans="1:19" x14ac:dyDescent="0.25">
      <c r="A34" s="39">
        <f>SUM(D34:Q34)</f>
        <v>0</v>
      </c>
      <c r="B34" s="168" t="s">
        <v>281</v>
      </c>
      <c r="C34" s="166"/>
      <c r="D34" s="39"/>
      <c r="E34" s="39">
        <f>+E26+E29</f>
        <v>0</v>
      </c>
      <c r="F34" s="39">
        <f>+F26+F30</f>
        <v>0</v>
      </c>
      <c r="G34" s="39">
        <f t="shared" ref="G34:N34" si="38">+G26+G30</f>
        <v>0</v>
      </c>
      <c r="H34" s="39">
        <f t="shared" si="38"/>
        <v>0</v>
      </c>
      <c r="I34" s="39">
        <f t="shared" si="38"/>
        <v>0</v>
      </c>
      <c r="J34" s="39">
        <f t="shared" si="38"/>
        <v>0</v>
      </c>
      <c r="K34" s="39">
        <f t="shared" si="38"/>
        <v>0</v>
      </c>
      <c r="L34" s="39">
        <f t="shared" si="38"/>
        <v>0</v>
      </c>
      <c r="M34" s="39">
        <f t="shared" si="38"/>
        <v>0</v>
      </c>
      <c r="N34" s="39">
        <f t="shared" si="38"/>
        <v>0</v>
      </c>
      <c r="O34" s="39">
        <f t="shared" ref="O34:Q34" si="39">+O26+O30</f>
        <v>0</v>
      </c>
      <c r="P34" s="39">
        <f t="shared" si="39"/>
        <v>0</v>
      </c>
      <c r="Q34" s="39">
        <f t="shared" si="39"/>
        <v>0</v>
      </c>
      <c r="R34" s="39"/>
    </row>
    <row r="35" spans="1:19" x14ac:dyDescent="0.25">
      <c r="A35" s="166"/>
      <c r="B35" s="168" t="s">
        <v>181</v>
      </c>
      <c r="C35" s="166"/>
      <c r="D35" s="39">
        <f t="shared" ref="D35:N35" si="40">+D25+C35</f>
        <v>0</v>
      </c>
      <c r="E35" s="39">
        <f t="shared" si="40"/>
        <v>0</v>
      </c>
      <c r="F35" s="39">
        <f t="shared" si="40"/>
        <v>0</v>
      </c>
      <c r="G35" s="39">
        <f t="shared" si="40"/>
        <v>0</v>
      </c>
      <c r="H35" s="39">
        <f t="shared" si="40"/>
        <v>0</v>
      </c>
      <c r="I35" s="39">
        <f t="shared" si="40"/>
        <v>0</v>
      </c>
      <c r="J35" s="39">
        <f t="shared" si="40"/>
        <v>0</v>
      </c>
      <c r="K35" s="39">
        <f t="shared" si="40"/>
        <v>0</v>
      </c>
      <c r="L35" s="39">
        <f t="shared" si="40"/>
        <v>0</v>
      </c>
      <c r="M35" s="39">
        <f t="shared" si="40"/>
        <v>0</v>
      </c>
      <c r="N35" s="39">
        <f t="shared" si="40"/>
        <v>0</v>
      </c>
      <c r="O35" s="39">
        <f t="shared" ref="O35" si="41">+O25+N35</f>
        <v>0</v>
      </c>
      <c r="P35" s="39">
        <f t="shared" ref="P35" si="42">+P25+O35</f>
        <v>0</v>
      </c>
      <c r="Q35" s="39">
        <f t="shared" ref="Q35" si="43">+Q25+P35</f>
        <v>0</v>
      </c>
      <c r="R35" s="39"/>
    </row>
    <row r="36" spans="1:19" x14ac:dyDescent="0.25">
      <c r="A36" s="166"/>
      <c r="B36" s="168" t="s">
        <v>182</v>
      </c>
      <c r="C36" s="166"/>
      <c r="D36" s="39">
        <f t="shared" ref="D36:N36" si="44">+D28+C36</f>
        <v>0</v>
      </c>
      <c r="E36" s="39">
        <f t="shared" si="44"/>
        <v>0</v>
      </c>
      <c r="F36" s="39">
        <f t="shared" si="44"/>
        <v>0</v>
      </c>
      <c r="G36" s="39">
        <f t="shared" si="44"/>
        <v>0</v>
      </c>
      <c r="H36" s="39">
        <f t="shared" si="44"/>
        <v>0</v>
      </c>
      <c r="I36" s="39">
        <f t="shared" si="44"/>
        <v>0</v>
      </c>
      <c r="J36" s="39">
        <f t="shared" si="44"/>
        <v>0</v>
      </c>
      <c r="K36" s="39">
        <f t="shared" si="44"/>
        <v>0</v>
      </c>
      <c r="L36" s="39">
        <f t="shared" si="44"/>
        <v>0</v>
      </c>
      <c r="M36" s="39">
        <f t="shared" si="44"/>
        <v>0</v>
      </c>
      <c r="N36" s="39">
        <f t="shared" si="44"/>
        <v>0</v>
      </c>
      <c r="O36" s="39">
        <f t="shared" ref="O36" si="45">+O28+N36</f>
        <v>0</v>
      </c>
      <c r="P36" s="39">
        <f t="shared" ref="P36" si="46">+P28+O36</f>
        <v>0</v>
      </c>
      <c r="Q36" s="39">
        <f t="shared" ref="Q36" si="47">+Q28+P36</f>
        <v>0</v>
      </c>
      <c r="R36" s="39"/>
    </row>
    <row r="37" spans="1:19" x14ac:dyDescent="0.25">
      <c r="A37" s="166"/>
      <c r="B37" s="156" t="s">
        <v>285</v>
      </c>
      <c r="C37" s="151"/>
      <c r="D37" s="158">
        <f>+D36+D35</f>
        <v>0</v>
      </c>
      <c r="E37" s="158">
        <f t="shared" ref="E37:N37" si="48">+E36+E35</f>
        <v>0</v>
      </c>
      <c r="F37" s="158">
        <f t="shared" si="48"/>
        <v>0</v>
      </c>
      <c r="G37" s="158">
        <f t="shared" si="48"/>
        <v>0</v>
      </c>
      <c r="H37" s="158">
        <f t="shared" si="48"/>
        <v>0</v>
      </c>
      <c r="I37" s="158">
        <f t="shared" si="48"/>
        <v>0</v>
      </c>
      <c r="J37" s="158">
        <f t="shared" si="48"/>
        <v>0</v>
      </c>
      <c r="K37" s="158">
        <f t="shared" si="48"/>
        <v>0</v>
      </c>
      <c r="L37" s="158">
        <f t="shared" si="48"/>
        <v>0</v>
      </c>
      <c r="M37" s="158">
        <f t="shared" si="48"/>
        <v>0</v>
      </c>
      <c r="N37" s="158">
        <f t="shared" si="48"/>
        <v>0</v>
      </c>
      <c r="O37" s="158">
        <f t="shared" ref="O37:Q37" si="49">+O36+O35</f>
        <v>0</v>
      </c>
      <c r="P37" s="158">
        <f t="shared" si="49"/>
        <v>0</v>
      </c>
      <c r="Q37" s="158">
        <f t="shared" si="49"/>
        <v>0</v>
      </c>
      <c r="R37" s="158"/>
    </row>
    <row r="38" spans="1:19" ht="16.5" thickBot="1" x14ac:dyDescent="0.3">
      <c r="A38" s="166"/>
      <c r="B38" s="156" t="s">
        <v>244</v>
      </c>
      <c r="C38" s="151">
        <f t="shared" ref="C38:Q41" si="50">SUMIF($S$65:$S$326,$S38,C$65:C$326)</f>
        <v>0</v>
      </c>
      <c r="D38" s="158">
        <f t="shared" si="50"/>
        <v>0</v>
      </c>
      <c r="E38" s="158">
        <f t="shared" si="50"/>
        <v>0</v>
      </c>
      <c r="F38" s="158">
        <f t="shared" si="50"/>
        <v>0</v>
      </c>
      <c r="G38" s="158">
        <f t="shared" si="50"/>
        <v>0</v>
      </c>
      <c r="H38" s="158">
        <f t="shared" si="50"/>
        <v>0</v>
      </c>
      <c r="I38" s="158">
        <f t="shared" si="50"/>
        <v>0</v>
      </c>
      <c r="J38" s="158">
        <f t="shared" si="50"/>
        <v>0</v>
      </c>
      <c r="K38" s="158">
        <f t="shared" si="50"/>
        <v>0</v>
      </c>
      <c r="L38" s="158">
        <f t="shared" si="50"/>
        <v>0</v>
      </c>
      <c r="M38" s="158">
        <f t="shared" si="50"/>
        <v>0</v>
      </c>
      <c r="N38" s="158">
        <f t="shared" si="50"/>
        <v>0</v>
      </c>
      <c r="O38" s="158">
        <f t="shared" si="50"/>
        <v>0</v>
      </c>
      <c r="P38" s="158">
        <f t="shared" si="50"/>
        <v>0</v>
      </c>
      <c r="Q38" s="158">
        <f t="shared" si="50"/>
        <v>0</v>
      </c>
      <c r="R38" s="158"/>
      <c r="S38" s="166" t="s">
        <v>295</v>
      </c>
    </row>
    <row r="39" spans="1:19" s="287" customFormat="1" ht="16.5" thickBot="1" x14ac:dyDescent="0.3">
      <c r="A39" s="290">
        <f>SUM(D39:Q39)</f>
        <v>0</v>
      </c>
      <c r="B39" s="291" t="s">
        <v>213</v>
      </c>
      <c r="C39" s="292">
        <f t="shared" si="50"/>
        <v>0</v>
      </c>
      <c r="D39" s="293">
        <f t="shared" si="50"/>
        <v>0</v>
      </c>
      <c r="E39" s="293">
        <f t="shared" si="50"/>
        <v>0</v>
      </c>
      <c r="F39" s="293">
        <f t="shared" si="50"/>
        <v>0</v>
      </c>
      <c r="G39" s="293">
        <f t="shared" si="50"/>
        <v>0</v>
      </c>
      <c r="H39" s="293">
        <f t="shared" si="50"/>
        <v>0</v>
      </c>
      <c r="I39" s="293">
        <f t="shared" si="50"/>
        <v>0</v>
      </c>
      <c r="J39" s="293">
        <f t="shared" si="50"/>
        <v>0</v>
      </c>
      <c r="K39" s="293">
        <f t="shared" si="50"/>
        <v>0</v>
      </c>
      <c r="L39" s="293">
        <f t="shared" si="50"/>
        <v>0</v>
      </c>
      <c r="M39" s="293">
        <f t="shared" si="50"/>
        <v>0</v>
      </c>
      <c r="N39" s="293">
        <f t="shared" si="50"/>
        <v>0</v>
      </c>
      <c r="O39" s="293">
        <f t="shared" si="50"/>
        <v>0</v>
      </c>
      <c r="P39" s="293">
        <f t="shared" si="50"/>
        <v>0</v>
      </c>
      <c r="Q39" s="293">
        <f t="shared" si="50"/>
        <v>0</v>
      </c>
      <c r="R39" s="694"/>
      <c r="S39" s="289" t="s">
        <v>296</v>
      </c>
    </row>
    <row r="40" spans="1:19" x14ac:dyDescent="0.25">
      <c r="A40" s="39">
        <f>SUM(D40:Q40)</f>
        <v>0</v>
      </c>
      <c r="B40" s="168" t="s">
        <v>282</v>
      </c>
      <c r="C40" s="166">
        <f t="shared" si="50"/>
        <v>0</v>
      </c>
      <c r="D40" s="166">
        <f t="shared" si="50"/>
        <v>0</v>
      </c>
      <c r="E40" s="166">
        <f t="shared" si="50"/>
        <v>0</v>
      </c>
      <c r="F40" s="166">
        <f t="shared" si="50"/>
        <v>0</v>
      </c>
      <c r="G40" s="166">
        <f t="shared" si="50"/>
        <v>0</v>
      </c>
      <c r="H40" s="166">
        <f t="shared" si="50"/>
        <v>0</v>
      </c>
      <c r="I40" s="166">
        <f t="shared" si="50"/>
        <v>0</v>
      </c>
      <c r="J40" s="166">
        <f t="shared" si="50"/>
        <v>0</v>
      </c>
      <c r="K40" s="166">
        <f t="shared" si="50"/>
        <v>0</v>
      </c>
      <c r="L40" s="166">
        <f t="shared" si="50"/>
        <v>0</v>
      </c>
      <c r="M40" s="166">
        <f t="shared" si="50"/>
        <v>0</v>
      </c>
      <c r="N40" s="166">
        <f t="shared" si="50"/>
        <v>0</v>
      </c>
      <c r="O40" s="166">
        <f t="shared" si="50"/>
        <v>0</v>
      </c>
      <c r="P40" s="166">
        <f t="shared" si="50"/>
        <v>0</v>
      </c>
      <c r="Q40" s="166">
        <f t="shared" si="50"/>
        <v>0</v>
      </c>
      <c r="R40" s="166"/>
      <c r="S40" s="166" t="s">
        <v>297</v>
      </c>
    </row>
    <row r="41" spans="1:19" x14ac:dyDescent="0.25">
      <c r="A41" s="39">
        <f>SUM(D41:Q41)</f>
        <v>0</v>
      </c>
      <c r="B41" s="168" t="s">
        <v>283</v>
      </c>
      <c r="C41" s="166">
        <f t="shared" si="50"/>
        <v>0</v>
      </c>
      <c r="D41" s="166">
        <f t="shared" si="50"/>
        <v>0</v>
      </c>
      <c r="E41" s="166">
        <f t="shared" si="50"/>
        <v>0</v>
      </c>
      <c r="F41" s="166">
        <f t="shared" si="50"/>
        <v>0</v>
      </c>
      <c r="G41" s="166">
        <f t="shared" si="50"/>
        <v>0</v>
      </c>
      <c r="H41" s="166">
        <f t="shared" si="50"/>
        <v>0</v>
      </c>
      <c r="I41" s="166">
        <f t="shared" si="50"/>
        <v>0</v>
      </c>
      <c r="J41" s="166">
        <f t="shared" si="50"/>
        <v>0</v>
      </c>
      <c r="K41" s="166">
        <f t="shared" si="50"/>
        <v>0</v>
      </c>
      <c r="L41" s="166">
        <f t="shared" si="50"/>
        <v>0</v>
      </c>
      <c r="M41" s="166">
        <f t="shared" si="50"/>
        <v>0</v>
      </c>
      <c r="N41" s="166">
        <f t="shared" si="50"/>
        <v>0</v>
      </c>
      <c r="O41" s="166">
        <f t="shared" si="50"/>
        <v>0</v>
      </c>
      <c r="P41" s="166">
        <f t="shared" si="50"/>
        <v>0</v>
      </c>
      <c r="Q41" s="166">
        <f t="shared" si="50"/>
        <v>0</v>
      </c>
      <c r="R41" s="166"/>
      <c r="S41" s="166" t="s">
        <v>298</v>
      </c>
    </row>
    <row r="42" spans="1:19" x14ac:dyDescent="0.25">
      <c r="A42" s="39">
        <f>SUM(D42:Q42)</f>
        <v>0</v>
      </c>
      <c r="B42" s="170" t="s">
        <v>284</v>
      </c>
      <c r="C42" s="171"/>
      <c r="D42" s="171"/>
      <c r="E42" s="171"/>
      <c r="F42" s="171">
        <f>+F41+F40</f>
        <v>0</v>
      </c>
      <c r="G42" s="171">
        <f t="shared" ref="G42:N42" si="51">+G41+G40</f>
        <v>0</v>
      </c>
      <c r="H42" s="171">
        <f t="shared" si="51"/>
        <v>0</v>
      </c>
      <c r="I42" s="171">
        <f t="shared" si="51"/>
        <v>0</v>
      </c>
      <c r="J42" s="171">
        <f t="shared" si="51"/>
        <v>0</v>
      </c>
      <c r="K42" s="171">
        <f t="shared" si="51"/>
        <v>0</v>
      </c>
      <c r="L42" s="171">
        <f t="shared" si="51"/>
        <v>0</v>
      </c>
      <c r="M42" s="171">
        <f t="shared" si="51"/>
        <v>0</v>
      </c>
      <c r="N42" s="171">
        <f t="shared" si="51"/>
        <v>0</v>
      </c>
      <c r="O42" s="171">
        <f t="shared" ref="O42:Q42" si="52">+O41+O40</f>
        <v>0</v>
      </c>
      <c r="P42" s="171">
        <f t="shared" si="52"/>
        <v>0</v>
      </c>
      <c r="Q42" s="171">
        <f t="shared" si="52"/>
        <v>0</v>
      </c>
      <c r="R42" s="166"/>
    </row>
    <row r="43" spans="1:19" x14ac:dyDescent="0.25">
      <c r="B43" s="152" t="s">
        <v>288</v>
      </c>
      <c r="C43" s="77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1"/>
    </row>
    <row r="44" spans="1:19" x14ac:dyDescent="0.25">
      <c r="B44" s="156"/>
      <c r="C44" s="151">
        <f>+PL!C$2</f>
        <v>2008</v>
      </c>
      <c r="D44" s="151">
        <f>+PL!D$2</f>
        <v>2009</v>
      </c>
      <c r="E44" s="151">
        <f>+PL!E$2</f>
        <v>2010</v>
      </c>
      <c r="F44" s="151">
        <f>+PL!F$2</f>
        <v>2011</v>
      </c>
      <c r="G44" s="151">
        <f>+PL!G$2</f>
        <v>2012</v>
      </c>
      <c r="H44" s="151">
        <f>+PL!H$2</f>
        <v>2013</v>
      </c>
      <c r="I44" s="151">
        <f>+PL!I$2</f>
        <v>2014</v>
      </c>
      <c r="J44" s="151">
        <f>+PL!J$2</f>
        <v>2015</v>
      </c>
      <c r="K44" s="151">
        <f>+PL!K$2</f>
        <v>2016</v>
      </c>
      <c r="L44" s="151">
        <f>+PL!L$2</f>
        <v>2017</v>
      </c>
      <c r="M44" s="151">
        <f>+PL!M$2</f>
        <v>2018</v>
      </c>
      <c r="N44" s="151">
        <f>+PL!N$2</f>
        <v>2019</v>
      </c>
      <c r="O44" s="151">
        <f>+PL!O$2</f>
        <v>2020</v>
      </c>
      <c r="P44" s="151">
        <f>+PL!P$2</f>
        <v>2021</v>
      </c>
      <c r="Q44" s="151">
        <f>+PL!Q$2</f>
        <v>2022</v>
      </c>
      <c r="R44" s="151"/>
    </row>
    <row r="45" spans="1:19" x14ac:dyDescent="0.25">
      <c r="A45" s="39">
        <f>SUM(D45:Q45)</f>
        <v>24000</v>
      </c>
      <c r="B45" s="168" t="s">
        <v>177</v>
      </c>
      <c r="C45" s="166">
        <f t="shared" ref="C45:Q46" si="53">SUMIF($S$65:$S$326,$S45,C$65:C$326)</f>
        <v>0</v>
      </c>
      <c r="D45" s="169">
        <f t="shared" si="53"/>
        <v>0</v>
      </c>
      <c r="E45" s="169">
        <f t="shared" si="53"/>
        <v>0</v>
      </c>
      <c r="F45" s="169">
        <f t="shared" si="53"/>
        <v>0</v>
      </c>
      <c r="G45" s="169">
        <f t="shared" si="53"/>
        <v>0</v>
      </c>
      <c r="H45" s="169">
        <f t="shared" si="53"/>
        <v>22716</v>
      </c>
      <c r="I45" s="39">
        <f t="shared" si="53"/>
        <v>1284</v>
      </c>
      <c r="J45" s="39">
        <f t="shared" si="53"/>
        <v>0</v>
      </c>
      <c r="K45" s="39">
        <f t="shared" si="53"/>
        <v>0</v>
      </c>
      <c r="L45" s="39">
        <f t="shared" si="53"/>
        <v>0</v>
      </c>
      <c r="M45" s="39">
        <f t="shared" si="53"/>
        <v>0</v>
      </c>
      <c r="N45" s="39">
        <f t="shared" si="53"/>
        <v>0</v>
      </c>
      <c r="O45" s="39">
        <f t="shared" si="53"/>
        <v>0</v>
      </c>
      <c r="P45" s="39">
        <f t="shared" si="53"/>
        <v>0</v>
      </c>
      <c r="Q45" s="39">
        <f t="shared" si="53"/>
        <v>0</v>
      </c>
      <c r="R45" s="39"/>
      <c r="S45">
        <v>1</v>
      </c>
    </row>
    <row r="46" spans="1:19" x14ac:dyDescent="0.25">
      <c r="A46" s="39">
        <f>SUM(D46:Q46)</f>
        <v>50162.943599999999</v>
      </c>
      <c r="B46" s="168" t="s">
        <v>178</v>
      </c>
      <c r="C46" s="166">
        <f t="shared" si="53"/>
        <v>0</v>
      </c>
      <c r="D46" s="169">
        <f t="shared" si="53"/>
        <v>0</v>
      </c>
      <c r="E46" s="169">
        <f t="shared" si="53"/>
        <v>0</v>
      </c>
      <c r="F46" s="169">
        <f t="shared" si="53"/>
        <v>0</v>
      </c>
      <c r="G46" s="169">
        <f t="shared" si="53"/>
        <v>0</v>
      </c>
      <c r="H46" s="169">
        <f t="shared" si="53"/>
        <v>47226.563999999998</v>
      </c>
      <c r="I46" s="169">
        <f t="shared" si="53"/>
        <v>2936.3796000000002</v>
      </c>
      <c r="J46" s="169">
        <f t="shared" si="53"/>
        <v>0</v>
      </c>
      <c r="K46" s="169">
        <f t="shared" si="53"/>
        <v>0</v>
      </c>
      <c r="L46" s="169">
        <f t="shared" si="53"/>
        <v>0</v>
      </c>
      <c r="M46" s="169">
        <f t="shared" si="53"/>
        <v>0</v>
      </c>
      <c r="N46" s="169">
        <f t="shared" si="53"/>
        <v>0</v>
      </c>
      <c r="O46" s="169">
        <f t="shared" si="53"/>
        <v>0</v>
      </c>
      <c r="P46" s="169">
        <f t="shared" si="53"/>
        <v>0</v>
      </c>
      <c r="Q46" s="169">
        <f t="shared" si="53"/>
        <v>0</v>
      </c>
      <c r="R46" s="169"/>
      <c r="S46">
        <v>2</v>
      </c>
    </row>
    <row r="47" spans="1:19" x14ac:dyDescent="0.25">
      <c r="A47" s="166">
        <f>+A46/A45</f>
        <v>2.0901226500000001</v>
      </c>
      <c r="B47" s="168"/>
      <c r="C47" s="166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</row>
    <row r="48" spans="1:19" x14ac:dyDescent="0.25">
      <c r="A48" s="39">
        <f>-SUM(D48:Q48)</f>
        <v>24000</v>
      </c>
      <c r="B48" s="168" t="s">
        <v>179</v>
      </c>
      <c r="C48" s="166">
        <f t="shared" ref="C48:Q51" si="54">SUMIF($S$65:$S$326,$S48,C$65:C$326)</f>
        <v>0</v>
      </c>
      <c r="D48" s="39">
        <f t="shared" si="54"/>
        <v>0</v>
      </c>
      <c r="E48" s="39">
        <f t="shared" si="54"/>
        <v>0</v>
      </c>
      <c r="F48" s="39">
        <f t="shared" si="54"/>
        <v>0</v>
      </c>
      <c r="G48" s="39">
        <f t="shared" si="54"/>
        <v>0</v>
      </c>
      <c r="H48" s="39">
        <f t="shared" si="54"/>
        <v>0</v>
      </c>
      <c r="I48" s="39">
        <f t="shared" si="54"/>
        <v>0</v>
      </c>
      <c r="J48" s="39">
        <f t="shared" si="54"/>
        <v>-4543.2</v>
      </c>
      <c r="K48" s="39">
        <f t="shared" si="54"/>
        <v>-4800</v>
      </c>
      <c r="L48" s="39">
        <f t="shared" si="54"/>
        <v>-4800</v>
      </c>
      <c r="M48" s="39">
        <f t="shared" si="54"/>
        <v>-4800</v>
      </c>
      <c r="N48" s="39">
        <f t="shared" si="54"/>
        <v>-4800</v>
      </c>
      <c r="O48" s="39">
        <f t="shared" si="54"/>
        <v>-256.8</v>
      </c>
      <c r="P48" s="39">
        <f t="shared" si="54"/>
        <v>0</v>
      </c>
      <c r="Q48" s="39">
        <f t="shared" si="54"/>
        <v>0</v>
      </c>
      <c r="R48" s="39"/>
      <c r="S48">
        <v>3</v>
      </c>
    </row>
    <row r="49" spans="1:19" x14ac:dyDescent="0.25">
      <c r="A49" s="166"/>
      <c r="B49" s="168" t="s">
        <v>180</v>
      </c>
      <c r="C49" s="166">
        <f t="shared" si="54"/>
        <v>0</v>
      </c>
      <c r="D49" s="39">
        <f t="shared" si="54"/>
        <v>0</v>
      </c>
      <c r="E49" s="39">
        <f t="shared" si="54"/>
        <v>0</v>
      </c>
      <c r="F49" s="39">
        <f t="shared" si="54"/>
        <v>0</v>
      </c>
      <c r="G49" s="39">
        <f t="shared" si="54"/>
        <v>0</v>
      </c>
      <c r="H49" s="39">
        <f t="shared" si="54"/>
        <v>0</v>
      </c>
      <c r="I49" s="39">
        <f t="shared" si="54"/>
        <v>0</v>
      </c>
      <c r="J49" s="39">
        <f t="shared" si="54"/>
        <v>0</v>
      </c>
      <c r="K49" s="39">
        <f t="shared" si="54"/>
        <v>0</v>
      </c>
      <c r="L49" s="39">
        <f t="shared" si="54"/>
        <v>0</v>
      </c>
      <c r="M49" s="39">
        <f t="shared" si="54"/>
        <v>0</v>
      </c>
      <c r="N49" s="39">
        <f t="shared" si="54"/>
        <v>0</v>
      </c>
      <c r="O49" s="39">
        <f t="shared" si="54"/>
        <v>0</v>
      </c>
      <c r="P49" s="39">
        <f t="shared" si="54"/>
        <v>0</v>
      </c>
      <c r="Q49" s="39">
        <f t="shared" si="54"/>
        <v>0</v>
      </c>
      <c r="R49" s="39"/>
      <c r="S49">
        <v>4</v>
      </c>
    </row>
    <row r="50" spans="1:19" x14ac:dyDescent="0.25">
      <c r="A50" s="39">
        <f>SUM(D50:Q50)</f>
        <v>-74112.448447311137</v>
      </c>
      <c r="B50" s="168" t="s">
        <v>246</v>
      </c>
      <c r="C50" s="166">
        <f t="shared" si="54"/>
        <v>0</v>
      </c>
      <c r="D50" s="39">
        <f t="shared" si="54"/>
        <v>0</v>
      </c>
      <c r="E50" s="39">
        <f t="shared" si="54"/>
        <v>0</v>
      </c>
      <c r="F50" s="39">
        <f t="shared" si="54"/>
        <v>0</v>
      </c>
      <c r="G50" s="39">
        <f t="shared" si="54"/>
        <v>0</v>
      </c>
      <c r="H50" s="39">
        <f t="shared" si="54"/>
        <v>0</v>
      </c>
      <c r="I50" s="39">
        <f t="shared" si="54"/>
        <v>0</v>
      </c>
      <c r="J50" s="39">
        <f t="shared" si="54"/>
        <v>-11428.828487999999</v>
      </c>
      <c r="K50" s="39">
        <f t="shared" si="54"/>
        <v>-13282.315200000003</v>
      </c>
      <c r="L50" s="39">
        <f t="shared" si="54"/>
        <v>-14610.546720000002</v>
      </c>
      <c r="M50" s="39">
        <f t="shared" si="54"/>
        <v>-16071.601392000004</v>
      </c>
      <c r="N50" s="39">
        <f t="shared" si="54"/>
        <v>-17678.761531200005</v>
      </c>
      <c r="O50" s="39">
        <f t="shared" si="54"/>
        <v>-1040.3951161111204</v>
      </c>
      <c r="P50" s="39">
        <f t="shared" si="54"/>
        <v>0</v>
      </c>
      <c r="Q50" s="39">
        <f t="shared" si="54"/>
        <v>0</v>
      </c>
      <c r="R50" s="39"/>
      <c r="S50">
        <v>5</v>
      </c>
    </row>
    <row r="51" spans="1:19" x14ac:dyDescent="0.25">
      <c r="A51" s="39">
        <f>SUM(D51:Q51)</f>
        <v>-49896</v>
      </c>
      <c r="B51" s="168" t="s">
        <v>286</v>
      </c>
      <c r="C51" s="166">
        <f t="shared" si="54"/>
        <v>0</v>
      </c>
      <c r="D51" s="39">
        <f t="shared" si="54"/>
        <v>0</v>
      </c>
      <c r="E51" s="39">
        <f t="shared" si="54"/>
        <v>0</v>
      </c>
      <c r="F51" s="39">
        <f t="shared" si="54"/>
        <v>0</v>
      </c>
      <c r="G51" s="39">
        <f t="shared" si="54"/>
        <v>0</v>
      </c>
      <c r="H51" s="39">
        <f t="shared" si="54"/>
        <v>0</v>
      </c>
      <c r="I51" s="39">
        <f t="shared" si="54"/>
        <v>0</v>
      </c>
      <c r="J51" s="39">
        <f t="shared" si="54"/>
        <v>-9445.3127999999997</v>
      </c>
      <c r="K51" s="39">
        <f t="shared" si="54"/>
        <v>-9979.2000000000007</v>
      </c>
      <c r="L51" s="39">
        <f t="shared" si="54"/>
        <v>-9979.2000000000007</v>
      </c>
      <c r="M51" s="39">
        <f t="shared" si="54"/>
        <v>-9979.2000000000007</v>
      </c>
      <c r="N51" s="39">
        <f t="shared" si="54"/>
        <v>-9979.2000000000007</v>
      </c>
      <c r="O51" s="39">
        <f t="shared" si="54"/>
        <v>-533.88720000000012</v>
      </c>
      <c r="P51" s="39">
        <f t="shared" si="54"/>
        <v>0</v>
      </c>
      <c r="Q51" s="39">
        <f t="shared" si="54"/>
        <v>0</v>
      </c>
      <c r="R51" s="39"/>
      <c r="S51">
        <v>6</v>
      </c>
    </row>
    <row r="52" spans="1:19" x14ac:dyDescent="0.25">
      <c r="A52" s="1">
        <f>+A50-A51</f>
        <v>-24216.448447311137</v>
      </c>
      <c r="B52" s="168"/>
      <c r="C52" s="166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</row>
    <row r="53" spans="1:19" x14ac:dyDescent="0.25">
      <c r="A53" s="39">
        <f>SUM(D53:Q53)</f>
        <v>-7.3896444519050419E-13</v>
      </c>
      <c r="B53" s="168" t="s">
        <v>280</v>
      </c>
      <c r="C53" s="166"/>
      <c r="D53" s="39"/>
      <c r="E53" s="39">
        <f>+E45+E48</f>
        <v>0</v>
      </c>
      <c r="F53" s="39">
        <f t="shared" ref="F53:N53" si="55">+F45+F48</f>
        <v>0</v>
      </c>
      <c r="G53" s="39">
        <f t="shared" si="55"/>
        <v>0</v>
      </c>
      <c r="H53" s="39">
        <f t="shared" si="55"/>
        <v>22716</v>
      </c>
      <c r="I53" s="39">
        <f t="shared" si="55"/>
        <v>1284</v>
      </c>
      <c r="J53" s="39">
        <f t="shared" si="55"/>
        <v>-4543.2</v>
      </c>
      <c r="K53" s="39">
        <f t="shared" si="55"/>
        <v>-4800</v>
      </c>
      <c r="L53" s="39">
        <f t="shared" si="55"/>
        <v>-4800</v>
      </c>
      <c r="M53" s="39">
        <f t="shared" si="55"/>
        <v>-4800</v>
      </c>
      <c r="N53" s="39">
        <f t="shared" si="55"/>
        <v>-4800</v>
      </c>
      <c r="O53" s="39">
        <f t="shared" ref="O53:Q53" si="56">+O45+O48</f>
        <v>-256.8</v>
      </c>
      <c r="P53" s="39">
        <f t="shared" si="56"/>
        <v>0</v>
      </c>
      <c r="Q53" s="39">
        <f t="shared" si="56"/>
        <v>0</v>
      </c>
      <c r="R53" s="39"/>
    </row>
    <row r="54" spans="1:19" x14ac:dyDescent="0.25">
      <c r="A54" s="39">
        <f>SUM(D54:Q54)</f>
        <v>-23949.504847311138</v>
      </c>
      <c r="B54" s="168" t="s">
        <v>281</v>
      </c>
      <c r="C54" s="166"/>
      <c r="D54" s="39"/>
      <c r="E54" s="39">
        <f>+E46+E49</f>
        <v>0</v>
      </c>
      <c r="F54" s="39">
        <f>+F46+F50</f>
        <v>0</v>
      </c>
      <c r="G54" s="39">
        <f t="shared" ref="G54:N54" si="57">+G46+G50</f>
        <v>0</v>
      </c>
      <c r="H54" s="39">
        <f t="shared" si="57"/>
        <v>47226.563999999998</v>
      </c>
      <c r="I54" s="39">
        <f t="shared" si="57"/>
        <v>2936.3796000000002</v>
      </c>
      <c r="J54" s="39">
        <f t="shared" si="57"/>
        <v>-11428.828487999999</v>
      </c>
      <c r="K54" s="39">
        <f t="shared" si="57"/>
        <v>-13282.315200000003</v>
      </c>
      <c r="L54" s="39">
        <f t="shared" si="57"/>
        <v>-14610.546720000002</v>
      </c>
      <c r="M54" s="39">
        <f t="shared" si="57"/>
        <v>-16071.601392000004</v>
      </c>
      <c r="N54" s="39">
        <f t="shared" si="57"/>
        <v>-17678.761531200005</v>
      </c>
      <c r="O54" s="39">
        <f t="shared" ref="O54:Q54" si="58">+O46+O50</f>
        <v>-1040.3951161111204</v>
      </c>
      <c r="P54" s="39">
        <f t="shared" si="58"/>
        <v>0</v>
      </c>
      <c r="Q54" s="39">
        <f t="shared" si="58"/>
        <v>0</v>
      </c>
      <c r="R54" s="39"/>
    </row>
    <row r="55" spans="1:19" x14ac:dyDescent="0.25">
      <c r="A55" s="166"/>
      <c r="B55" s="168" t="s">
        <v>181</v>
      </c>
      <c r="C55" s="166"/>
      <c r="D55" s="39">
        <f t="shared" ref="D55:N55" si="59">+D45+C55</f>
        <v>0</v>
      </c>
      <c r="E55" s="39">
        <f t="shared" si="59"/>
        <v>0</v>
      </c>
      <c r="F55" s="39">
        <f t="shared" si="59"/>
        <v>0</v>
      </c>
      <c r="G55" s="39">
        <f t="shared" si="59"/>
        <v>0</v>
      </c>
      <c r="H55" s="39">
        <f t="shared" si="59"/>
        <v>22716</v>
      </c>
      <c r="I55" s="39">
        <f t="shared" si="59"/>
        <v>24000</v>
      </c>
      <c r="J55" s="39">
        <f t="shared" si="59"/>
        <v>24000</v>
      </c>
      <c r="K55" s="39">
        <f t="shared" si="59"/>
        <v>24000</v>
      </c>
      <c r="L55" s="39">
        <f t="shared" si="59"/>
        <v>24000</v>
      </c>
      <c r="M55" s="39">
        <f t="shared" si="59"/>
        <v>24000</v>
      </c>
      <c r="N55" s="39">
        <f t="shared" si="59"/>
        <v>24000</v>
      </c>
      <c r="O55" s="39">
        <f t="shared" ref="O55" si="60">+O45+N55</f>
        <v>24000</v>
      </c>
      <c r="P55" s="39">
        <f t="shared" ref="P55" si="61">+P45+O55</f>
        <v>24000</v>
      </c>
      <c r="Q55" s="39">
        <f t="shared" ref="Q55" si="62">+Q45+P55</f>
        <v>24000</v>
      </c>
      <c r="R55" s="39"/>
    </row>
    <row r="56" spans="1:19" x14ac:dyDescent="0.25">
      <c r="A56" s="166"/>
      <c r="B56" s="168" t="s">
        <v>182</v>
      </c>
      <c r="C56" s="166"/>
      <c r="D56" s="39">
        <f t="shared" ref="D56:N56" si="63">+D48+C56</f>
        <v>0</v>
      </c>
      <c r="E56" s="39">
        <f t="shared" si="63"/>
        <v>0</v>
      </c>
      <c r="F56" s="39">
        <f t="shared" si="63"/>
        <v>0</v>
      </c>
      <c r="G56" s="39">
        <f t="shared" si="63"/>
        <v>0</v>
      </c>
      <c r="H56" s="39">
        <f t="shared" si="63"/>
        <v>0</v>
      </c>
      <c r="I56" s="39">
        <f t="shared" si="63"/>
        <v>0</v>
      </c>
      <c r="J56" s="39">
        <f t="shared" si="63"/>
        <v>-4543.2</v>
      </c>
      <c r="K56" s="39">
        <f t="shared" si="63"/>
        <v>-9343.2000000000007</v>
      </c>
      <c r="L56" s="39">
        <f t="shared" si="63"/>
        <v>-14143.2</v>
      </c>
      <c r="M56" s="39">
        <f t="shared" si="63"/>
        <v>-18943.2</v>
      </c>
      <c r="N56" s="39">
        <f t="shared" si="63"/>
        <v>-23743.200000000001</v>
      </c>
      <c r="O56" s="39">
        <f t="shared" ref="O56" si="64">+O48+N56</f>
        <v>-24000</v>
      </c>
      <c r="P56" s="39">
        <f t="shared" ref="P56" si="65">+P48+O56</f>
        <v>-24000</v>
      </c>
      <c r="Q56" s="39">
        <f t="shared" ref="Q56" si="66">+Q48+P56</f>
        <v>-24000</v>
      </c>
      <c r="R56" s="39"/>
    </row>
    <row r="57" spans="1:19" x14ac:dyDescent="0.25">
      <c r="A57" s="166"/>
      <c r="B57" s="156" t="s">
        <v>285</v>
      </c>
      <c r="C57" s="151"/>
      <c r="D57" s="158">
        <f>+D56+D55</f>
        <v>0</v>
      </c>
      <c r="E57" s="158">
        <f t="shared" ref="E57:N57" si="67">+E56+E55</f>
        <v>0</v>
      </c>
      <c r="F57" s="158">
        <f t="shared" si="67"/>
        <v>0</v>
      </c>
      <c r="G57" s="158">
        <f t="shared" si="67"/>
        <v>0</v>
      </c>
      <c r="H57" s="158">
        <f t="shared" si="67"/>
        <v>22716</v>
      </c>
      <c r="I57" s="158">
        <f t="shared" si="67"/>
        <v>24000</v>
      </c>
      <c r="J57" s="158">
        <f t="shared" si="67"/>
        <v>19456.8</v>
      </c>
      <c r="K57" s="158">
        <f t="shared" si="67"/>
        <v>14656.8</v>
      </c>
      <c r="L57" s="158">
        <f t="shared" si="67"/>
        <v>9856.7999999999993</v>
      </c>
      <c r="M57" s="158">
        <f t="shared" si="67"/>
        <v>5056.7999999999993</v>
      </c>
      <c r="N57" s="158">
        <f t="shared" si="67"/>
        <v>256.79999999999927</v>
      </c>
      <c r="O57" s="158">
        <f t="shared" ref="O57:Q57" si="68">+O56+O55</f>
        <v>0</v>
      </c>
      <c r="P57" s="158">
        <f t="shared" si="68"/>
        <v>0</v>
      </c>
      <c r="Q57" s="158">
        <f t="shared" si="68"/>
        <v>0</v>
      </c>
      <c r="R57" s="158"/>
    </row>
    <row r="58" spans="1:19" ht="16.5" thickBot="1" x14ac:dyDescent="0.3">
      <c r="A58" s="166"/>
      <c r="B58" s="156" t="s">
        <v>244</v>
      </c>
      <c r="C58" s="151">
        <f t="shared" ref="C58:Q61" si="69">SUMIF($S$65:$S$326,$S58,C$65:C$326)</f>
        <v>0</v>
      </c>
      <c r="D58" s="158">
        <f t="shared" si="69"/>
        <v>0</v>
      </c>
      <c r="E58" s="158">
        <f t="shared" si="69"/>
        <v>0</v>
      </c>
      <c r="F58" s="158">
        <f t="shared" si="69"/>
        <v>0</v>
      </c>
      <c r="G58" s="158">
        <f t="shared" si="69"/>
        <v>0</v>
      </c>
      <c r="H58" s="158">
        <f t="shared" si="69"/>
        <v>47226.563999999998</v>
      </c>
      <c r="I58" s="158">
        <f t="shared" si="69"/>
        <v>54885.600000000006</v>
      </c>
      <c r="J58" s="158">
        <f t="shared" si="69"/>
        <v>48945.331511999997</v>
      </c>
      <c r="K58" s="158">
        <f t="shared" si="69"/>
        <v>40557.549463200005</v>
      </c>
      <c r="L58" s="158">
        <f t="shared" si="69"/>
        <v>30002.757689520007</v>
      </c>
      <c r="M58" s="158">
        <f t="shared" si="69"/>
        <v>16931.432066472003</v>
      </c>
      <c r="N58" s="158">
        <f t="shared" si="69"/>
        <v>945.81374191920008</v>
      </c>
      <c r="O58" s="158">
        <f t="shared" si="69"/>
        <v>0</v>
      </c>
      <c r="P58" s="158">
        <f t="shared" si="69"/>
        <v>0</v>
      </c>
      <c r="Q58" s="158">
        <f t="shared" si="69"/>
        <v>0</v>
      </c>
      <c r="R58" s="158"/>
      <c r="S58">
        <v>7</v>
      </c>
    </row>
    <row r="59" spans="1:19" s="287" customFormat="1" ht="16.5" thickBot="1" x14ac:dyDescent="0.3">
      <c r="A59" s="290">
        <f>SUM(D59:Q59)</f>
        <v>-24216.448447311137</v>
      </c>
      <c r="B59" s="291" t="s">
        <v>213</v>
      </c>
      <c r="C59" s="292">
        <f t="shared" si="69"/>
        <v>0</v>
      </c>
      <c r="D59" s="293">
        <f t="shared" si="69"/>
        <v>0</v>
      </c>
      <c r="E59" s="293">
        <f t="shared" si="69"/>
        <v>0</v>
      </c>
      <c r="F59" s="293">
        <f t="shared" si="69"/>
        <v>0</v>
      </c>
      <c r="G59" s="293">
        <f t="shared" si="69"/>
        <v>0</v>
      </c>
      <c r="H59" s="293">
        <f t="shared" si="69"/>
        <v>0</v>
      </c>
      <c r="I59" s="293">
        <f t="shared" si="69"/>
        <v>0</v>
      </c>
      <c r="J59" s="293">
        <f t="shared" si="69"/>
        <v>-1983.5156879999995</v>
      </c>
      <c r="K59" s="293">
        <f t="shared" si="69"/>
        <v>-3303.1152000000016</v>
      </c>
      <c r="L59" s="293">
        <f t="shared" si="69"/>
        <v>-4631.3467200000032</v>
      </c>
      <c r="M59" s="293">
        <f t="shared" si="69"/>
        <v>-6092.4013920000043</v>
      </c>
      <c r="N59" s="293">
        <f t="shared" si="69"/>
        <v>-7699.5615312000064</v>
      </c>
      <c r="O59" s="293">
        <f t="shared" si="69"/>
        <v>-506.50791611112027</v>
      </c>
      <c r="P59" s="293">
        <f t="shared" si="69"/>
        <v>0</v>
      </c>
      <c r="Q59" s="293">
        <f t="shared" si="69"/>
        <v>0</v>
      </c>
      <c r="R59" s="694"/>
      <c r="S59" s="287">
        <v>8</v>
      </c>
    </row>
    <row r="60" spans="1:19" x14ac:dyDescent="0.25">
      <c r="A60" s="39">
        <f>SUM(D60:Q60)</f>
        <v>-17212.009533919205</v>
      </c>
      <c r="B60" s="168" t="s">
        <v>282</v>
      </c>
      <c r="C60" s="166">
        <f t="shared" si="69"/>
        <v>0</v>
      </c>
      <c r="D60" s="166">
        <f t="shared" si="69"/>
        <v>0</v>
      </c>
      <c r="E60" s="166">
        <f t="shared" si="69"/>
        <v>0</v>
      </c>
      <c r="F60" s="166">
        <f t="shared" si="69"/>
        <v>0</v>
      </c>
      <c r="G60" s="166">
        <f t="shared" si="69"/>
        <v>0</v>
      </c>
      <c r="H60" s="166">
        <f t="shared" si="69"/>
        <v>0</v>
      </c>
      <c r="I60" s="166">
        <f t="shared" si="69"/>
        <v>-4722.6563999999998</v>
      </c>
      <c r="J60" s="166">
        <f t="shared" si="69"/>
        <v>-4449.5755919999974</v>
      </c>
      <c r="K60" s="166">
        <f t="shared" si="69"/>
        <v>-3687.0499512000047</v>
      </c>
      <c r="L60" s="166">
        <f t="shared" si="69"/>
        <v>-2727.5234263200036</v>
      </c>
      <c r="M60" s="166">
        <f t="shared" si="69"/>
        <v>-1539.2210969520015</v>
      </c>
      <c r="N60" s="166">
        <f t="shared" si="69"/>
        <v>-85.983067447200014</v>
      </c>
      <c r="O60" s="166">
        <f t="shared" si="69"/>
        <v>0</v>
      </c>
      <c r="P60" s="166">
        <f t="shared" si="69"/>
        <v>0</v>
      </c>
      <c r="Q60" s="166">
        <f t="shared" si="69"/>
        <v>0</v>
      </c>
      <c r="R60" s="166"/>
      <c r="S60">
        <v>9</v>
      </c>
    </row>
    <row r="61" spans="1:19" x14ac:dyDescent="0.25">
      <c r="A61" s="39">
        <f>SUM(D61:Q61)</f>
        <v>-6737.4953133919253</v>
      </c>
      <c r="B61" s="168" t="s">
        <v>283</v>
      </c>
      <c r="C61" s="166">
        <f t="shared" si="69"/>
        <v>0</v>
      </c>
      <c r="D61" s="166">
        <f t="shared" si="69"/>
        <v>0</v>
      </c>
      <c r="E61" s="166">
        <f t="shared" si="69"/>
        <v>0</v>
      </c>
      <c r="F61" s="166">
        <f t="shared" si="69"/>
        <v>0</v>
      </c>
      <c r="G61" s="166">
        <f t="shared" si="69"/>
        <v>0</v>
      </c>
      <c r="H61" s="166">
        <f t="shared" si="69"/>
        <v>0</v>
      </c>
      <c r="I61" s="166">
        <f t="shared" si="69"/>
        <v>0</v>
      </c>
      <c r="J61" s="166">
        <f t="shared" si="69"/>
        <v>-1038.9844079999993</v>
      </c>
      <c r="K61" s="166">
        <f t="shared" si="69"/>
        <v>-1207.4832000000013</v>
      </c>
      <c r="L61" s="166">
        <f t="shared" si="69"/>
        <v>-1328.2315200000021</v>
      </c>
      <c r="M61" s="166">
        <f t="shared" si="69"/>
        <v>-1461.0546720000018</v>
      </c>
      <c r="N61" s="166">
        <f t="shared" si="69"/>
        <v>-1607.1601392000007</v>
      </c>
      <c r="O61" s="166">
        <f t="shared" si="69"/>
        <v>-94.581374191920062</v>
      </c>
      <c r="P61" s="166">
        <f t="shared" si="69"/>
        <v>0</v>
      </c>
      <c r="Q61" s="166">
        <f t="shared" si="69"/>
        <v>0</v>
      </c>
      <c r="R61" s="166"/>
      <c r="S61">
        <v>10</v>
      </c>
    </row>
    <row r="62" spans="1:19" x14ac:dyDescent="0.25">
      <c r="A62" s="39">
        <f>SUM(D62:Q62)</f>
        <v>-23949.504847311131</v>
      </c>
      <c r="B62" s="170" t="s">
        <v>284</v>
      </c>
      <c r="C62" s="171"/>
      <c r="D62" s="171"/>
      <c r="E62" s="171"/>
      <c r="F62" s="171">
        <f>+F61+F60</f>
        <v>0</v>
      </c>
      <c r="G62" s="171">
        <f t="shared" ref="G62:N62" si="70">+G61+G60</f>
        <v>0</v>
      </c>
      <c r="H62" s="171">
        <f t="shared" si="70"/>
        <v>0</v>
      </c>
      <c r="I62" s="171">
        <f t="shared" si="70"/>
        <v>-4722.6563999999998</v>
      </c>
      <c r="J62" s="171">
        <f t="shared" si="70"/>
        <v>-5488.5599999999968</v>
      </c>
      <c r="K62" s="171">
        <f t="shared" si="70"/>
        <v>-4894.5331512000057</v>
      </c>
      <c r="L62" s="171">
        <f t="shared" si="70"/>
        <v>-4055.7549463200057</v>
      </c>
      <c r="M62" s="171">
        <f t="shared" si="70"/>
        <v>-3000.2757689520031</v>
      </c>
      <c r="N62" s="171">
        <f t="shared" si="70"/>
        <v>-1693.1432066472007</v>
      </c>
      <c r="O62" s="171">
        <f t="shared" ref="O62:Q62" si="71">+O61+O60</f>
        <v>-94.581374191920062</v>
      </c>
      <c r="P62" s="171">
        <f t="shared" si="71"/>
        <v>0</v>
      </c>
      <c r="Q62" s="171">
        <f t="shared" si="71"/>
        <v>0</v>
      </c>
      <c r="R62" s="166"/>
    </row>
    <row r="63" spans="1:19" x14ac:dyDescent="0.25">
      <c r="B63" s="172"/>
      <c r="C63" s="172"/>
      <c r="D63" s="172"/>
      <c r="E63" s="172"/>
      <c r="F63" s="172"/>
      <c r="G63" s="172"/>
      <c r="H63" s="172"/>
      <c r="I63" s="172"/>
      <c r="J63" s="172"/>
      <c r="K63" s="172"/>
      <c r="L63" s="172"/>
      <c r="M63" s="172"/>
      <c r="N63" s="172"/>
      <c r="O63" s="172"/>
      <c r="P63" s="172"/>
      <c r="Q63" s="172"/>
      <c r="R63" s="166"/>
    </row>
    <row r="64" spans="1:19" ht="16.5" thickBot="1" x14ac:dyDescent="0.3">
      <c r="B64" s="166"/>
      <c r="C64" s="166"/>
      <c r="D64" s="166"/>
      <c r="E64" s="166"/>
      <c r="F64" s="166"/>
      <c r="G64" s="166"/>
      <c r="H64" s="166"/>
      <c r="I64" s="166"/>
      <c r="J64" s="166"/>
      <c r="K64" s="166"/>
      <c r="L64" s="166"/>
      <c r="M64" s="166"/>
      <c r="N64" s="166"/>
      <c r="O64" s="166"/>
      <c r="P64" s="166"/>
      <c r="Q64" s="166"/>
      <c r="R64" s="166"/>
    </row>
    <row r="65" spans="1:19" ht="20.25" x14ac:dyDescent="0.3">
      <c r="B65" s="249" t="s">
        <v>395</v>
      </c>
      <c r="C65" s="250">
        <f>+PL!C$2</f>
        <v>2008</v>
      </c>
      <c r="D65" s="250">
        <f>+PL!D$2</f>
        <v>2009</v>
      </c>
      <c r="E65" s="250">
        <f>+PL!E$2</f>
        <v>2010</v>
      </c>
      <c r="F65" s="250">
        <f>+PL!F$2</f>
        <v>2011</v>
      </c>
      <c r="G65" s="250">
        <f>+PL!G$2</f>
        <v>2012</v>
      </c>
      <c r="H65" s="250">
        <f>+PL!H$2</f>
        <v>2013</v>
      </c>
      <c r="I65" s="250">
        <f>+PL!I$2</f>
        <v>2014</v>
      </c>
      <c r="J65" s="250">
        <f>+PL!J$2</f>
        <v>2015</v>
      </c>
      <c r="K65" s="250">
        <f>+PL!K$2</f>
        <v>2016</v>
      </c>
      <c r="L65" s="250">
        <f>+PL!L$2</f>
        <v>2017</v>
      </c>
      <c r="M65" s="250">
        <f>+PL!M$2</f>
        <v>2018</v>
      </c>
      <c r="N65" s="250">
        <f>+PL!N$2</f>
        <v>2019</v>
      </c>
      <c r="O65" s="250">
        <f>+PL!O$2</f>
        <v>2020</v>
      </c>
      <c r="P65" s="250">
        <f>+PL!P$2</f>
        <v>2021</v>
      </c>
      <c r="Q65" s="250">
        <f>+PL!Q$2</f>
        <v>2022</v>
      </c>
      <c r="R65" s="695"/>
    </row>
    <row r="66" spans="1:19" x14ac:dyDescent="0.25">
      <c r="A66" s="166"/>
      <c r="B66" s="679" t="s">
        <v>212</v>
      </c>
      <c r="C66" s="680"/>
      <c r="D66" s="681">
        <f>+turnover!D$122</f>
        <v>1.4656</v>
      </c>
      <c r="E66" s="681">
        <f>+turnover!E$122</f>
        <v>1.5874999999999999</v>
      </c>
      <c r="F66" s="681">
        <f>+turnover!F$122</f>
        <v>1.714</v>
      </c>
      <c r="G66" s="681">
        <f>+turnover!G$122</f>
        <v>1.89</v>
      </c>
      <c r="H66" s="681">
        <f>+turnover!H$122</f>
        <v>2.0790000000000002</v>
      </c>
      <c r="I66" s="681">
        <f>+turnover!I$122</f>
        <v>2.2869000000000002</v>
      </c>
      <c r="J66" s="681">
        <f>+turnover!J$122</f>
        <v>2.51559</v>
      </c>
      <c r="K66" s="681">
        <f>+turnover!K$122</f>
        <v>2.7671490000000003</v>
      </c>
      <c r="L66" s="681">
        <f>+turnover!L$122</f>
        <v>3.0438639000000007</v>
      </c>
      <c r="M66" s="681">
        <f>+turnover!M$122</f>
        <v>3.3482502900000011</v>
      </c>
      <c r="N66" s="681">
        <f>+turnover!N$122</f>
        <v>3.6830753190000012</v>
      </c>
      <c r="O66" s="681">
        <f>+turnover!O$122</f>
        <v>4.0513828509000014</v>
      </c>
      <c r="P66" s="681">
        <f>+turnover!P$122</f>
        <v>4.4565211359900019</v>
      </c>
      <c r="Q66" s="681">
        <f>+turnover!Q$122</f>
        <v>4.9021732495890031</v>
      </c>
      <c r="R66" s="681"/>
    </row>
    <row r="67" spans="1:19" x14ac:dyDescent="0.25">
      <c r="A67" s="39">
        <f>SUM(D67:Q67)</f>
        <v>16000</v>
      </c>
      <c r="B67" s="251" t="s">
        <v>177</v>
      </c>
      <c r="C67" s="166"/>
      <c r="D67" s="169"/>
      <c r="E67" s="169">
        <v>0</v>
      </c>
      <c r="F67" s="169"/>
      <c r="G67" s="169"/>
      <c r="H67" s="678">
        <v>16000</v>
      </c>
      <c r="I67" s="678"/>
      <c r="J67" s="39"/>
      <c r="K67" s="39"/>
      <c r="L67" s="39"/>
      <c r="M67" s="39"/>
      <c r="N67" s="39"/>
      <c r="O67" s="39"/>
      <c r="P67" s="39"/>
      <c r="Q67" s="39"/>
      <c r="R67" s="39"/>
      <c r="S67">
        <f>IF($B$65="ADB","A1",1)</f>
        <v>1</v>
      </c>
    </row>
    <row r="68" spans="1:19" s="165" customFormat="1" x14ac:dyDescent="0.25">
      <c r="A68" s="39">
        <f>SUM(D68:Q68)</f>
        <v>33264</v>
      </c>
      <c r="B68" s="251" t="s">
        <v>178</v>
      </c>
      <c r="C68" s="166"/>
      <c r="D68" s="169">
        <f t="shared" ref="D68:N68" si="72">+D67*D66</f>
        <v>0</v>
      </c>
      <c r="E68" s="169">
        <f t="shared" si="72"/>
        <v>0</v>
      </c>
      <c r="F68" s="169">
        <f t="shared" si="72"/>
        <v>0</v>
      </c>
      <c r="G68" s="169">
        <f t="shared" si="72"/>
        <v>0</v>
      </c>
      <c r="H68" s="169">
        <f t="shared" si="72"/>
        <v>33264</v>
      </c>
      <c r="I68" s="169">
        <f t="shared" si="72"/>
        <v>0</v>
      </c>
      <c r="J68" s="169">
        <f t="shared" si="72"/>
        <v>0</v>
      </c>
      <c r="K68" s="169">
        <f t="shared" si="72"/>
        <v>0</v>
      </c>
      <c r="L68" s="169">
        <f t="shared" si="72"/>
        <v>0</v>
      </c>
      <c r="M68" s="169">
        <f t="shared" si="72"/>
        <v>0</v>
      </c>
      <c r="N68" s="169">
        <f t="shared" si="72"/>
        <v>0</v>
      </c>
      <c r="O68" s="169">
        <f t="shared" ref="O68:Q68" si="73">+O67*O66</f>
        <v>0</v>
      </c>
      <c r="P68" s="169">
        <f t="shared" si="73"/>
        <v>0</v>
      </c>
      <c r="Q68" s="169">
        <f t="shared" si="73"/>
        <v>0</v>
      </c>
      <c r="R68" s="169"/>
      <c r="S68">
        <f>IF($B$65="ADB","A2",2)</f>
        <v>2</v>
      </c>
    </row>
    <row r="69" spans="1:19" x14ac:dyDescent="0.25">
      <c r="A69" s="166">
        <f>+A68/A67</f>
        <v>2.0790000000000002</v>
      </c>
      <c r="B69" s="251"/>
      <c r="C69" s="166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</row>
    <row r="70" spans="1:19" x14ac:dyDescent="0.25">
      <c r="A70" s="39">
        <f>-SUM(D70:Q70)</f>
        <v>16000</v>
      </c>
      <c r="B70" s="251" t="s">
        <v>179</v>
      </c>
      <c r="C70" s="166"/>
      <c r="D70" s="39"/>
      <c r="E70" s="39"/>
      <c r="F70" s="39"/>
      <c r="G70" s="39"/>
      <c r="H70" s="39"/>
      <c r="I70" s="39"/>
      <c r="J70" s="39">
        <f>+K70</f>
        <v>-3200</v>
      </c>
      <c r="K70" s="39">
        <f t="shared" ref="K70:N70" si="74">-$A67/5</f>
        <v>-3200</v>
      </c>
      <c r="L70" s="39">
        <f t="shared" si="74"/>
        <v>-3200</v>
      </c>
      <c r="M70" s="39">
        <f t="shared" si="74"/>
        <v>-3200</v>
      </c>
      <c r="N70" s="39">
        <f t="shared" si="74"/>
        <v>-3200</v>
      </c>
      <c r="O70" s="39"/>
      <c r="P70" s="39">
        <f t="shared" ref="P70:Q70" si="75">-L67</f>
        <v>0</v>
      </c>
      <c r="Q70" s="39">
        <f t="shared" si="75"/>
        <v>0</v>
      </c>
      <c r="R70" s="39"/>
      <c r="S70">
        <f>IF($B$65="ADB","A3",3)</f>
        <v>3</v>
      </c>
    </row>
    <row r="71" spans="1:19" x14ac:dyDescent="0.25">
      <c r="A71" s="166"/>
      <c r="B71" s="251" t="s">
        <v>180</v>
      </c>
      <c r="C71" s="166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>
        <f>IF($B$65="ADB","A4",4)</f>
        <v>4</v>
      </c>
    </row>
    <row r="72" spans="1:19" s="165" customFormat="1" x14ac:dyDescent="0.25">
      <c r="A72" s="39">
        <f>SUM(D72:Q72)</f>
        <v>-49145.37122880001</v>
      </c>
      <c r="B72" s="251" t="s">
        <v>246</v>
      </c>
      <c r="C72" s="166"/>
      <c r="D72" s="39"/>
      <c r="E72" s="39"/>
      <c r="F72" s="39"/>
      <c r="G72" s="39">
        <f t="shared" ref="G72:N72" si="76">+G70*G66</f>
        <v>0</v>
      </c>
      <c r="H72" s="39">
        <f t="shared" si="76"/>
        <v>0</v>
      </c>
      <c r="I72" s="39">
        <f t="shared" si="76"/>
        <v>0</v>
      </c>
      <c r="J72" s="39">
        <f t="shared" si="76"/>
        <v>-8049.8879999999999</v>
      </c>
      <c r="K72" s="39">
        <f t="shared" si="76"/>
        <v>-8854.8768000000018</v>
      </c>
      <c r="L72" s="39">
        <f t="shared" si="76"/>
        <v>-9740.364480000002</v>
      </c>
      <c r="M72" s="39">
        <f t="shared" si="76"/>
        <v>-10714.400928000003</v>
      </c>
      <c r="N72" s="39">
        <f t="shared" si="76"/>
        <v>-11785.841020800004</v>
      </c>
      <c r="O72" s="39">
        <f t="shared" ref="O72:Q72" si="77">+O70*O66</f>
        <v>0</v>
      </c>
      <c r="P72" s="39">
        <f t="shared" si="77"/>
        <v>0</v>
      </c>
      <c r="Q72" s="39">
        <f t="shared" si="77"/>
        <v>0</v>
      </c>
      <c r="R72" s="39"/>
      <c r="S72">
        <f>IF($B$65="ADB","A5",5)</f>
        <v>5</v>
      </c>
    </row>
    <row r="73" spans="1:19" x14ac:dyDescent="0.25">
      <c r="A73" s="39">
        <f>SUM(D73:Q73)</f>
        <v>-33264</v>
      </c>
      <c r="B73" s="251" t="s">
        <v>286</v>
      </c>
      <c r="C73" s="166"/>
      <c r="D73" s="39"/>
      <c r="E73" s="39"/>
      <c r="F73" s="39"/>
      <c r="G73" s="39">
        <f>+G70*$A$69</f>
        <v>0</v>
      </c>
      <c r="H73" s="39">
        <f t="shared" ref="H73:N73" si="78">+H70*$A$69</f>
        <v>0</v>
      </c>
      <c r="I73" s="39">
        <f t="shared" si="78"/>
        <v>0</v>
      </c>
      <c r="J73" s="39">
        <f t="shared" si="78"/>
        <v>-6652.8</v>
      </c>
      <c r="K73" s="39">
        <f t="shared" si="78"/>
        <v>-6652.8</v>
      </c>
      <c r="L73" s="39">
        <f t="shared" si="78"/>
        <v>-6652.8</v>
      </c>
      <c r="M73" s="39">
        <f t="shared" si="78"/>
        <v>-6652.8</v>
      </c>
      <c r="N73" s="39">
        <f t="shared" si="78"/>
        <v>-6652.8</v>
      </c>
      <c r="O73" s="39">
        <f t="shared" ref="O73:Q73" si="79">+O70*$A$69</f>
        <v>0</v>
      </c>
      <c r="P73" s="39">
        <f t="shared" si="79"/>
        <v>0</v>
      </c>
      <c r="Q73" s="39">
        <f t="shared" si="79"/>
        <v>0</v>
      </c>
      <c r="R73" s="39"/>
      <c r="S73">
        <f>IF($B$65="ADB","A6",6)</f>
        <v>6</v>
      </c>
    </row>
    <row r="74" spans="1:19" x14ac:dyDescent="0.25">
      <c r="A74" s="1">
        <f>+A72-A73</f>
        <v>-15881.37122880001</v>
      </c>
      <c r="B74" s="251"/>
      <c r="C74" s="166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</row>
    <row r="75" spans="1:19" x14ac:dyDescent="0.25">
      <c r="A75" s="39">
        <f>SUM(D75:Q75)</f>
        <v>0</v>
      </c>
      <c r="B75" s="251" t="s">
        <v>280</v>
      </c>
      <c r="C75" s="166"/>
      <c r="D75" s="39"/>
      <c r="E75" s="39">
        <f>+E67+E70</f>
        <v>0</v>
      </c>
      <c r="F75" s="39">
        <f t="shared" ref="F75:N75" si="80">+F67+F70</f>
        <v>0</v>
      </c>
      <c r="G75" s="39">
        <f t="shared" si="80"/>
        <v>0</v>
      </c>
      <c r="H75" s="39">
        <f t="shared" si="80"/>
        <v>16000</v>
      </c>
      <c r="I75" s="39">
        <f t="shared" si="80"/>
        <v>0</v>
      </c>
      <c r="J75" s="39">
        <f t="shared" si="80"/>
        <v>-3200</v>
      </c>
      <c r="K75" s="39">
        <f t="shared" si="80"/>
        <v>-3200</v>
      </c>
      <c r="L75" s="39">
        <f t="shared" si="80"/>
        <v>-3200</v>
      </c>
      <c r="M75" s="39">
        <f t="shared" si="80"/>
        <v>-3200</v>
      </c>
      <c r="N75" s="39">
        <f t="shared" si="80"/>
        <v>-3200</v>
      </c>
      <c r="O75" s="39">
        <f t="shared" ref="O75:Q75" si="81">+O67+O70</f>
        <v>0</v>
      </c>
      <c r="P75" s="39">
        <f t="shared" si="81"/>
        <v>0</v>
      </c>
      <c r="Q75" s="39">
        <f t="shared" si="81"/>
        <v>0</v>
      </c>
      <c r="R75" s="39"/>
    </row>
    <row r="76" spans="1:19" x14ac:dyDescent="0.25">
      <c r="A76" s="39">
        <f>SUM(D76:Q76)</f>
        <v>-15881.37122880001</v>
      </c>
      <c r="B76" s="251" t="s">
        <v>281</v>
      </c>
      <c r="C76" s="166"/>
      <c r="D76" s="39"/>
      <c r="E76" s="39">
        <f>+E68+E71</f>
        <v>0</v>
      </c>
      <c r="F76" s="39">
        <f>+F68+F72</f>
        <v>0</v>
      </c>
      <c r="G76" s="39">
        <f t="shared" ref="G76:N76" si="82">+G68+G72</f>
        <v>0</v>
      </c>
      <c r="H76" s="39">
        <f t="shared" si="82"/>
        <v>33264</v>
      </c>
      <c r="I76" s="39">
        <f t="shared" si="82"/>
        <v>0</v>
      </c>
      <c r="J76" s="39">
        <f t="shared" si="82"/>
        <v>-8049.8879999999999</v>
      </c>
      <c r="K76" s="39">
        <f t="shared" si="82"/>
        <v>-8854.8768000000018</v>
      </c>
      <c r="L76" s="39">
        <f t="shared" si="82"/>
        <v>-9740.364480000002</v>
      </c>
      <c r="M76" s="39">
        <f t="shared" si="82"/>
        <v>-10714.400928000003</v>
      </c>
      <c r="N76" s="39">
        <f t="shared" si="82"/>
        <v>-11785.841020800004</v>
      </c>
      <c r="O76" s="39">
        <f t="shared" ref="O76:Q76" si="83">+O68+O72</f>
        <v>0</v>
      </c>
      <c r="P76" s="39">
        <f t="shared" si="83"/>
        <v>0</v>
      </c>
      <c r="Q76" s="39">
        <f t="shared" si="83"/>
        <v>0</v>
      </c>
      <c r="R76" s="39"/>
    </row>
    <row r="77" spans="1:19" x14ac:dyDescent="0.25">
      <c r="A77" s="166"/>
      <c r="B77" s="251" t="s">
        <v>181</v>
      </c>
      <c r="C77" s="166"/>
      <c r="D77" s="39">
        <f t="shared" ref="D77:N77" si="84">+D67+C77</f>
        <v>0</v>
      </c>
      <c r="E77" s="39">
        <f t="shared" si="84"/>
        <v>0</v>
      </c>
      <c r="F77" s="39">
        <f t="shared" si="84"/>
        <v>0</v>
      </c>
      <c r="G77" s="39">
        <f t="shared" si="84"/>
        <v>0</v>
      </c>
      <c r="H77" s="39">
        <f t="shared" si="84"/>
        <v>16000</v>
      </c>
      <c r="I77" s="39">
        <f t="shared" si="84"/>
        <v>16000</v>
      </c>
      <c r="J77" s="39">
        <f t="shared" si="84"/>
        <v>16000</v>
      </c>
      <c r="K77" s="39">
        <f t="shared" si="84"/>
        <v>16000</v>
      </c>
      <c r="L77" s="39">
        <f t="shared" si="84"/>
        <v>16000</v>
      </c>
      <c r="M77" s="39">
        <f t="shared" si="84"/>
        <v>16000</v>
      </c>
      <c r="N77" s="39">
        <f t="shared" si="84"/>
        <v>16000</v>
      </c>
      <c r="O77" s="39">
        <f t="shared" ref="O77" si="85">+O67+N77</f>
        <v>16000</v>
      </c>
      <c r="P77" s="39">
        <f t="shared" ref="P77" si="86">+P67+O77</f>
        <v>16000</v>
      </c>
      <c r="Q77" s="39">
        <f t="shared" ref="Q77" si="87">+Q67+P77</f>
        <v>16000</v>
      </c>
      <c r="R77" s="39"/>
    </row>
    <row r="78" spans="1:19" x14ac:dyDescent="0.25">
      <c r="A78" s="166"/>
      <c r="B78" s="251" t="s">
        <v>182</v>
      </c>
      <c r="C78" s="166"/>
      <c r="D78" s="39">
        <f t="shared" ref="D78:N78" si="88">+D70+C78</f>
        <v>0</v>
      </c>
      <c r="E78" s="39">
        <f t="shared" si="88"/>
        <v>0</v>
      </c>
      <c r="F78" s="39">
        <f t="shared" si="88"/>
        <v>0</v>
      </c>
      <c r="G78" s="39">
        <f t="shared" si="88"/>
        <v>0</v>
      </c>
      <c r="H78" s="39">
        <f t="shared" si="88"/>
        <v>0</v>
      </c>
      <c r="I78" s="39">
        <f t="shared" si="88"/>
        <v>0</v>
      </c>
      <c r="J78" s="39">
        <f t="shared" si="88"/>
        <v>-3200</v>
      </c>
      <c r="K78" s="39">
        <f t="shared" si="88"/>
        <v>-6400</v>
      </c>
      <c r="L78" s="39">
        <f t="shared" si="88"/>
        <v>-9600</v>
      </c>
      <c r="M78" s="39">
        <f t="shared" si="88"/>
        <v>-12800</v>
      </c>
      <c r="N78" s="39">
        <f t="shared" si="88"/>
        <v>-16000</v>
      </c>
      <c r="O78" s="39">
        <f t="shared" ref="O78" si="89">+O70+N78</f>
        <v>-16000</v>
      </c>
      <c r="P78" s="39">
        <f t="shared" ref="P78" si="90">+P70+O78</f>
        <v>-16000</v>
      </c>
      <c r="Q78" s="39">
        <f t="shared" ref="Q78" si="91">+Q70+P78</f>
        <v>-16000</v>
      </c>
      <c r="R78" s="39"/>
    </row>
    <row r="79" spans="1:19" x14ac:dyDescent="0.25">
      <c r="A79" s="166"/>
      <c r="B79" s="252" t="s">
        <v>285</v>
      </c>
      <c r="C79" s="151"/>
      <c r="D79" s="158">
        <f>+D78+D77</f>
        <v>0</v>
      </c>
      <c r="E79" s="158">
        <f t="shared" ref="E79:N79" si="92">+E78+E77</f>
        <v>0</v>
      </c>
      <c r="F79" s="158">
        <f t="shared" si="92"/>
        <v>0</v>
      </c>
      <c r="G79" s="158">
        <f t="shared" si="92"/>
        <v>0</v>
      </c>
      <c r="H79" s="158">
        <f t="shared" si="92"/>
        <v>16000</v>
      </c>
      <c r="I79" s="158">
        <f t="shared" si="92"/>
        <v>16000</v>
      </c>
      <c r="J79" s="158">
        <f t="shared" si="92"/>
        <v>12800</v>
      </c>
      <c r="K79" s="158">
        <f t="shared" si="92"/>
        <v>9600</v>
      </c>
      <c r="L79" s="158">
        <f t="shared" si="92"/>
        <v>6400</v>
      </c>
      <c r="M79" s="158">
        <f t="shared" si="92"/>
        <v>3200</v>
      </c>
      <c r="N79" s="158">
        <f t="shared" si="92"/>
        <v>0</v>
      </c>
      <c r="O79" s="158">
        <f t="shared" ref="O79:Q79" si="93">+O78+O77</f>
        <v>0</v>
      </c>
      <c r="P79" s="158">
        <f t="shared" si="93"/>
        <v>0</v>
      </c>
      <c r="Q79" s="158">
        <f t="shared" si="93"/>
        <v>0</v>
      </c>
      <c r="R79" s="158"/>
    </row>
    <row r="80" spans="1:19" s="165" customFormat="1" ht="16.5" thickBot="1" x14ac:dyDescent="0.3">
      <c r="A80" s="166"/>
      <c r="B80" s="252" t="s">
        <v>244</v>
      </c>
      <c r="C80" s="151"/>
      <c r="D80" s="158">
        <f t="shared" ref="D80:N80" si="94">+D66*D79</f>
        <v>0</v>
      </c>
      <c r="E80" s="158">
        <f t="shared" si="94"/>
        <v>0</v>
      </c>
      <c r="F80" s="158">
        <f t="shared" si="94"/>
        <v>0</v>
      </c>
      <c r="G80" s="158">
        <f t="shared" si="94"/>
        <v>0</v>
      </c>
      <c r="H80" s="158">
        <f t="shared" si="94"/>
        <v>33264</v>
      </c>
      <c r="I80" s="158">
        <f t="shared" si="94"/>
        <v>36590.400000000001</v>
      </c>
      <c r="J80" s="158">
        <f t="shared" si="94"/>
        <v>32199.552</v>
      </c>
      <c r="K80" s="158">
        <f t="shared" si="94"/>
        <v>26564.630400000002</v>
      </c>
      <c r="L80" s="158">
        <f t="shared" si="94"/>
        <v>19480.728960000004</v>
      </c>
      <c r="M80" s="158">
        <f t="shared" si="94"/>
        <v>10714.400928000003</v>
      </c>
      <c r="N80" s="158">
        <f t="shared" si="94"/>
        <v>0</v>
      </c>
      <c r="O80" s="158">
        <f t="shared" ref="O80:Q80" si="95">+O66*O79</f>
        <v>0</v>
      </c>
      <c r="P80" s="158">
        <f t="shared" si="95"/>
        <v>0</v>
      </c>
      <c r="Q80" s="158">
        <f t="shared" si="95"/>
        <v>0</v>
      </c>
      <c r="R80" s="158"/>
      <c r="S80">
        <f>IF($B$65="ADB","A7",7)</f>
        <v>7</v>
      </c>
    </row>
    <row r="81" spans="1:19" s="174" customFormat="1" ht="16.5" thickBot="1" x14ac:dyDescent="0.3">
      <c r="A81" s="290">
        <f>SUM(D81:Q81)</f>
        <v>-15881.37122880001</v>
      </c>
      <c r="B81" s="291" t="s">
        <v>213</v>
      </c>
      <c r="C81" s="292"/>
      <c r="D81" s="293">
        <f>D72-D73</f>
        <v>0</v>
      </c>
      <c r="E81" s="293">
        <f>E72-E73</f>
        <v>0</v>
      </c>
      <c r="F81" s="293">
        <f>F72-F73</f>
        <v>0</v>
      </c>
      <c r="G81" s="293">
        <f t="shared" ref="G81:N81" si="96">G72-G73</f>
        <v>0</v>
      </c>
      <c r="H81" s="293">
        <f t="shared" si="96"/>
        <v>0</v>
      </c>
      <c r="I81" s="293">
        <f t="shared" si="96"/>
        <v>0</v>
      </c>
      <c r="J81" s="293">
        <f t="shared" si="96"/>
        <v>-1397.0879999999997</v>
      </c>
      <c r="K81" s="293">
        <f t="shared" si="96"/>
        <v>-2202.0768000000016</v>
      </c>
      <c r="L81" s="293">
        <f t="shared" si="96"/>
        <v>-3087.5644800000018</v>
      </c>
      <c r="M81" s="293">
        <f t="shared" si="96"/>
        <v>-4061.6009280000026</v>
      </c>
      <c r="N81" s="293">
        <f t="shared" si="96"/>
        <v>-5133.0410208000039</v>
      </c>
      <c r="O81" s="293">
        <f t="shared" ref="O81:Q81" si="97">O72-O73</f>
        <v>0</v>
      </c>
      <c r="P81" s="293">
        <f t="shared" si="97"/>
        <v>0</v>
      </c>
      <c r="Q81" s="293">
        <f t="shared" si="97"/>
        <v>0</v>
      </c>
      <c r="R81" s="694"/>
      <c r="S81" s="287">
        <f>IF($B$86="ADB","A8",8)</f>
        <v>8</v>
      </c>
    </row>
    <row r="82" spans="1:19" x14ac:dyDescent="0.25">
      <c r="A82" s="39">
        <f>SUM(D82:Q82)</f>
        <v>-11413.610208000004</v>
      </c>
      <c r="B82" s="251" t="s">
        <v>282</v>
      </c>
      <c r="C82" s="166"/>
      <c r="D82" s="166"/>
      <c r="E82" s="166"/>
      <c r="F82" s="166">
        <f>+F79*(E66-F66)</f>
        <v>0</v>
      </c>
      <c r="G82" s="166">
        <f>IF(G67=0,+G79*(F66-G66),0)</f>
        <v>0</v>
      </c>
      <c r="H82" s="166">
        <f t="shared" ref="H82:M82" si="98">IF(H67=0,+H79*(G66-H66),0)</f>
        <v>0</v>
      </c>
      <c r="I82" s="166">
        <f t="shared" si="98"/>
        <v>-3326.3999999999996</v>
      </c>
      <c r="J82" s="166">
        <f t="shared" si="98"/>
        <v>-2927.2319999999982</v>
      </c>
      <c r="K82" s="166">
        <f t="shared" si="98"/>
        <v>-2414.966400000003</v>
      </c>
      <c r="L82" s="166">
        <f t="shared" si="98"/>
        <v>-1770.9753600000026</v>
      </c>
      <c r="M82" s="166">
        <f t="shared" si="98"/>
        <v>-974.03644800000109</v>
      </c>
      <c r="N82" s="166">
        <f>+N79*(M66-N66)</f>
        <v>0</v>
      </c>
      <c r="O82" s="166">
        <f t="shared" ref="O82:Q82" si="99">+O79*(N66-O66)</f>
        <v>0</v>
      </c>
      <c r="P82" s="166">
        <f t="shared" si="99"/>
        <v>0</v>
      </c>
      <c r="Q82" s="166">
        <f t="shared" si="99"/>
        <v>0</v>
      </c>
      <c r="R82" s="166"/>
      <c r="S82">
        <f>IF($B$65="ADB","A9",9)</f>
        <v>9</v>
      </c>
    </row>
    <row r="83" spans="1:19" x14ac:dyDescent="0.25">
      <c r="A83" s="39">
        <f>SUM(D83:Q83)</f>
        <v>-4467.7610208000042</v>
      </c>
      <c r="B83" s="251" t="s">
        <v>283</v>
      </c>
      <c r="C83" s="166"/>
      <c r="D83" s="166"/>
      <c r="E83" s="166"/>
      <c r="F83" s="166">
        <f t="shared" ref="F83:N83" si="100">+F70*(F66-E66)</f>
        <v>0</v>
      </c>
      <c r="G83" s="166">
        <f t="shared" si="100"/>
        <v>0</v>
      </c>
      <c r="H83" s="166">
        <f t="shared" si="100"/>
        <v>0</v>
      </c>
      <c r="I83" s="166">
        <f t="shared" si="100"/>
        <v>0</v>
      </c>
      <c r="J83" s="166">
        <f t="shared" si="100"/>
        <v>-731.80799999999954</v>
      </c>
      <c r="K83" s="166">
        <f t="shared" si="100"/>
        <v>-804.98880000000099</v>
      </c>
      <c r="L83" s="166">
        <f t="shared" si="100"/>
        <v>-885.48768000000132</v>
      </c>
      <c r="M83" s="166">
        <f t="shared" si="100"/>
        <v>-974.03644800000109</v>
      </c>
      <c r="N83" s="166">
        <f t="shared" si="100"/>
        <v>-1071.4400928000005</v>
      </c>
      <c r="O83" s="166">
        <f t="shared" ref="O83" si="101">+O70*(O66-N66)</f>
        <v>0</v>
      </c>
      <c r="P83" s="166">
        <f t="shared" ref="P83" si="102">+P70*(P66-O66)</f>
        <v>0</v>
      </c>
      <c r="Q83" s="166">
        <f t="shared" ref="Q83" si="103">+Q70*(Q66-P66)</f>
        <v>0</v>
      </c>
      <c r="R83" s="166"/>
      <c r="S83">
        <f>IF($B$65="ADB","A10",10)</f>
        <v>10</v>
      </c>
    </row>
    <row r="84" spans="1:19" ht="16.5" thickBot="1" x14ac:dyDescent="0.3">
      <c r="A84" s="39">
        <f>SUM(D84:Q84)</f>
        <v>-15881.371228800006</v>
      </c>
      <c r="B84" s="253" t="s">
        <v>284</v>
      </c>
      <c r="C84" s="254"/>
      <c r="D84" s="254"/>
      <c r="E84" s="254"/>
      <c r="F84" s="254">
        <f>+F83+F82</f>
        <v>0</v>
      </c>
      <c r="G84" s="254">
        <f t="shared" ref="G84:N84" si="104">+G83+G82</f>
        <v>0</v>
      </c>
      <c r="H84" s="254">
        <f t="shared" si="104"/>
        <v>0</v>
      </c>
      <c r="I84" s="254">
        <f t="shared" si="104"/>
        <v>-3326.3999999999996</v>
      </c>
      <c r="J84" s="254">
        <f t="shared" si="104"/>
        <v>-3659.0399999999977</v>
      </c>
      <c r="K84" s="254">
        <f t="shared" si="104"/>
        <v>-3219.955200000004</v>
      </c>
      <c r="L84" s="254">
        <f t="shared" si="104"/>
        <v>-2656.4630400000042</v>
      </c>
      <c r="M84" s="254">
        <f t="shared" si="104"/>
        <v>-1948.0728960000022</v>
      </c>
      <c r="N84" s="254">
        <f t="shared" si="104"/>
        <v>-1071.4400928000005</v>
      </c>
      <c r="O84" s="254">
        <f t="shared" ref="O84:Q84" si="105">+O83+O82</f>
        <v>0</v>
      </c>
      <c r="P84" s="254">
        <f t="shared" si="105"/>
        <v>0</v>
      </c>
      <c r="Q84" s="254">
        <f t="shared" si="105"/>
        <v>0</v>
      </c>
      <c r="R84" s="166"/>
    </row>
    <row r="86" spans="1:19" ht="16.5" thickBot="1" x14ac:dyDescent="0.3">
      <c r="B86" s="255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9" ht="16.5" hidden="1" thickBot="1" x14ac:dyDescent="0.3">
      <c r="A87" s="166"/>
      <c r="B87" s="166" t="s">
        <v>212</v>
      </c>
      <c r="C87" s="166"/>
      <c r="D87" s="114">
        <f>+turnover!D$122</f>
        <v>1.4656</v>
      </c>
      <c r="E87" s="114">
        <f>+turnover!E$122</f>
        <v>1.5874999999999999</v>
      </c>
      <c r="F87" s="114">
        <f>+turnover!F$122</f>
        <v>1.714</v>
      </c>
      <c r="G87" s="114">
        <f>+turnover!G$122</f>
        <v>1.89</v>
      </c>
      <c r="H87" s="114">
        <f>+turnover!H$122</f>
        <v>2.0790000000000002</v>
      </c>
      <c r="I87" s="114">
        <f>+turnover!I$122</f>
        <v>2.2869000000000002</v>
      </c>
      <c r="J87" s="114">
        <f>+turnover!J$122</f>
        <v>2.51559</v>
      </c>
      <c r="K87" s="114">
        <f>+turnover!K$122</f>
        <v>2.7671490000000003</v>
      </c>
      <c r="L87" s="114">
        <f>+turnover!L$122</f>
        <v>3.0438639000000007</v>
      </c>
      <c r="M87" s="114">
        <f>+turnover!M$122</f>
        <v>3.3482502900000011</v>
      </c>
      <c r="N87" s="114">
        <f>+turnover!N$122</f>
        <v>3.6830753190000012</v>
      </c>
      <c r="O87" s="114">
        <f>+turnover!O$122</f>
        <v>4.0513828509000014</v>
      </c>
      <c r="P87" s="114">
        <f>+turnover!P$122</f>
        <v>4.4565211359900019</v>
      </c>
      <c r="Q87" s="114">
        <f>+turnover!Q$122</f>
        <v>4.9021732495890031</v>
      </c>
      <c r="R87" s="114"/>
    </row>
    <row r="88" spans="1:19" ht="20.25" x14ac:dyDescent="0.3">
      <c r="A88" s="166"/>
      <c r="B88" s="249" t="s">
        <v>660</v>
      </c>
      <c r="C88" s="250">
        <f>+PL!C$2</f>
        <v>2008</v>
      </c>
      <c r="D88" s="250">
        <f>+PL!D$2</f>
        <v>2009</v>
      </c>
      <c r="E88" s="250">
        <f>+PL!E$2</f>
        <v>2010</v>
      </c>
      <c r="F88" s="250">
        <f>+PL!F$2</f>
        <v>2011</v>
      </c>
      <c r="G88" s="250">
        <f>+PL!G$2</f>
        <v>2012</v>
      </c>
      <c r="H88" s="250">
        <f>+PL!H$2</f>
        <v>2013</v>
      </c>
      <c r="I88" s="250">
        <f>+PL!I$2</f>
        <v>2014</v>
      </c>
      <c r="J88" s="250">
        <f>+PL!J$2</f>
        <v>2015</v>
      </c>
      <c r="K88" s="250">
        <f>+PL!K$2</f>
        <v>2016</v>
      </c>
      <c r="L88" s="250">
        <f>+PL!L$2</f>
        <v>2017</v>
      </c>
      <c r="M88" s="250">
        <f>+PL!M$2</f>
        <v>2018</v>
      </c>
      <c r="N88" s="250">
        <f>+PL!N$2</f>
        <v>2019</v>
      </c>
      <c r="O88" s="250">
        <f>+PL!O$2</f>
        <v>2020</v>
      </c>
      <c r="P88" s="250">
        <f>+PL!P$2</f>
        <v>2021</v>
      </c>
      <c r="Q88" s="250">
        <f>+PL!Q$2</f>
        <v>2022</v>
      </c>
      <c r="R88" s="695"/>
    </row>
    <row r="89" spans="1:19" x14ac:dyDescent="0.25">
      <c r="A89" s="39">
        <f>SUM(D89:Q89)</f>
        <v>6716</v>
      </c>
      <c r="B89" s="168" t="s">
        <v>177</v>
      </c>
      <c r="C89" s="166"/>
      <c r="D89" s="169"/>
      <c r="E89" s="169"/>
      <c r="F89" s="169">
        <v>0</v>
      </c>
      <c r="G89" s="169"/>
      <c r="H89" s="678">
        <f>6716</f>
        <v>6716</v>
      </c>
      <c r="I89" s="678"/>
      <c r="J89" s="39"/>
      <c r="K89" s="39"/>
      <c r="L89" s="39"/>
      <c r="M89" s="39"/>
      <c r="N89" s="39"/>
      <c r="O89" s="39"/>
      <c r="P89" s="39"/>
      <c r="Q89" s="39"/>
      <c r="R89" s="39"/>
      <c r="S89">
        <f>IF($B$86="ADB","A1",1)</f>
        <v>1</v>
      </c>
    </row>
    <row r="90" spans="1:19" x14ac:dyDescent="0.25">
      <c r="A90" s="39">
        <f>SUM(D90:Q90)</f>
        <v>13962.564000000002</v>
      </c>
      <c r="B90" s="168" t="s">
        <v>178</v>
      </c>
      <c r="C90" s="166"/>
      <c r="D90" s="169">
        <f t="shared" ref="D90:N90" si="106">+D89*D87</f>
        <v>0</v>
      </c>
      <c r="E90" s="169">
        <f t="shared" si="106"/>
        <v>0</v>
      </c>
      <c r="F90" s="169">
        <f t="shared" si="106"/>
        <v>0</v>
      </c>
      <c r="G90" s="169">
        <f t="shared" si="106"/>
        <v>0</v>
      </c>
      <c r="H90" s="169">
        <f t="shared" si="106"/>
        <v>13962.564000000002</v>
      </c>
      <c r="I90" s="169">
        <f t="shared" si="106"/>
        <v>0</v>
      </c>
      <c r="J90" s="169">
        <f t="shared" si="106"/>
        <v>0</v>
      </c>
      <c r="K90" s="169">
        <f t="shared" si="106"/>
        <v>0</v>
      </c>
      <c r="L90" s="169">
        <f t="shared" si="106"/>
        <v>0</v>
      </c>
      <c r="M90" s="169">
        <f t="shared" si="106"/>
        <v>0</v>
      </c>
      <c r="N90" s="169">
        <f t="shared" si="106"/>
        <v>0</v>
      </c>
      <c r="O90" s="169">
        <f t="shared" ref="O90:Q90" si="107">+O89*O87</f>
        <v>0</v>
      </c>
      <c r="P90" s="169">
        <f t="shared" si="107"/>
        <v>0</v>
      </c>
      <c r="Q90" s="169">
        <f t="shared" si="107"/>
        <v>0</v>
      </c>
      <c r="R90" s="169"/>
      <c r="S90">
        <f>IF($B$86="ADB","A2",2)</f>
        <v>2</v>
      </c>
    </row>
    <row r="91" spans="1:19" x14ac:dyDescent="0.25">
      <c r="A91" s="166">
        <f>+A90/A89</f>
        <v>2.0790000000000002</v>
      </c>
      <c r="B91" s="168"/>
      <c r="C91" s="166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</row>
    <row r="92" spans="1:19" x14ac:dyDescent="0.25">
      <c r="A92" s="39">
        <f>-SUM(D92:Q92)</f>
        <v>6716</v>
      </c>
      <c r="B92" s="168" t="s">
        <v>179</v>
      </c>
      <c r="C92" s="166"/>
      <c r="D92" s="39"/>
      <c r="E92" s="39"/>
      <c r="F92" s="39"/>
      <c r="G92" s="39"/>
      <c r="H92" s="39">
        <f>+G92</f>
        <v>0</v>
      </c>
      <c r="I92" s="39"/>
      <c r="J92" s="39">
        <f>-H89/5</f>
        <v>-1343.2</v>
      </c>
      <c r="K92" s="39">
        <f>+J92</f>
        <v>-1343.2</v>
      </c>
      <c r="L92" s="39">
        <f>+K92</f>
        <v>-1343.2</v>
      </c>
      <c r="M92" s="39">
        <f>+L92</f>
        <v>-1343.2</v>
      </c>
      <c r="N92" s="39">
        <f>+M92</f>
        <v>-1343.2</v>
      </c>
      <c r="O92" s="39">
        <v>0</v>
      </c>
      <c r="P92" s="39">
        <f t="shared" ref="P92:Q92" si="108">-L89</f>
        <v>0</v>
      </c>
      <c r="Q92" s="39">
        <f t="shared" si="108"/>
        <v>0</v>
      </c>
      <c r="R92" s="39"/>
      <c r="S92">
        <f>IF($B$86="ADB","A3",3)</f>
        <v>3</v>
      </c>
    </row>
    <row r="93" spans="1:19" x14ac:dyDescent="0.25">
      <c r="A93" s="166"/>
      <c r="B93" s="168" t="s">
        <v>180</v>
      </c>
      <c r="C93" s="166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>
        <f>IF($B$86="ADB","A4",4)</f>
        <v>4</v>
      </c>
    </row>
    <row r="94" spans="1:19" x14ac:dyDescent="0.25">
      <c r="A94" s="39">
        <f>SUM(D94:Q94)</f>
        <v>-20628.769573288806</v>
      </c>
      <c r="B94" s="168" t="s">
        <v>246</v>
      </c>
      <c r="C94" s="166"/>
      <c r="D94" s="39"/>
      <c r="E94" s="39"/>
      <c r="F94" s="39"/>
      <c r="G94" s="39">
        <f t="shared" ref="G94:N94" si="109">+G92*G87</f>
        <v>0</v>
      </c>
      <c r="H94" s="39">
        <f t="shared" si="109"/>
        <v>0</v>
      </c>
      <c r="I94" s="39">
        <f t="shared" si="109"/>
        <v>0</v>
      </c>
      <c r="J94" s="39">
        <f t="shared" si="109"/>
        <v>-3378.9404880000002</v>
      </c>
      <c r="K94" s="39">
        <f t="shared" si="109"/>
        <v>-3716.8345368000005</v>
      </c>
      <c r="L94" s="39">
        <f t="shared" si="109"/>
        <v>-4088.5179904800011</v>
      </c>
      <c r="M94" s="39">
        <f t="shared" si="109"/>
        <v>-4497.369789528002</v>
      </c>
      <c r="N94" s="39">
        <f t="shared" si="109"/>
        <v>-4947.1067684808022</v>
      </c>
      <c r="O94" s="39">
        <f t="shared" ref="O94:Q94" si="110">+O92*O87</f>
        <v>0</v>
      </c>
      <c r="P94" s="39">
        <f t="shared" si="110"/>
        <v>0</v>
      </c>
      <c r="Q94" s="39">
        <f t="shared" si="110"/>
        <v>0</v>
      </c>
      <c r="R94" s="39"/>
      <c r="S94">
        <f>IF($B$86="ADB","A5",5)</f>
        <v>5</v>
      </c>
    </row>
    <row r="95" spans="1:19" x14ac:dyDescent="0.25">
      <c r="A95" s="39">
        <f>SUM(D95:Q95)</f>
        <v>-13962.564000000002</v>
      </c>
      <c r="B95" s="168" t="s">
        <v>286</v>
      </c>
      <c r="C95" s="166"/>
      <c r="D95" s="39"/>
      <c r="E95" s="39"/>
      <c r="F95" s="39"/>
      <c r="G95" s="39">
        <f t="shared" ref="G95:N95" si="111">+G92*$A$91</f>
        <v>0</v>
      </c>
      <c r="H95" s="39">
        <f t="shared" si="111"/>
        <v>0</v>
      </c>
      <c r="I95" s="39">
        <f t="shared" si="111"/>
        <v>0</v>
      </c>
      <c r="J95" s="39">
        <f t="shared" si="111"/>
        <v>-2792.5128000000004</v>
      </c>
      <c r="K95" s="39">
        <f t="shared" si="111"/>
        <v>-2792.5128000000004</v>
      </c>
      <c r="L95" s="39">
        <f t="shared" si="111"/>
        <v>-2792.5128000000004</v>
      </c>
      <c r="M95" s="39">
        <f t="shared" si="111"/>
        <v>-2792.5128000000004</v>
      </c>
      <c r="N95" s="39">
        <f t="shared" si="111"/>
        <v>-2792.5128000000004</v>
      </c>
      <c r="O95" s="39">
        <f t="shared" ref="O95:Q95" si="112">+O92*$A$91</f>
        <v>0</v>
      </c>
      <c r="P95" s="39">
        <f t="shared" si="112"/>
        <v>0</v>
      </c>
      <c r="Q95" s="39">
        <f t="shared" si="112"/>
        <v>0</v>
      </c>
      <c r="R95" s="39"/>
      <c r="S95">
        <f>IF($B$86="ADB","A6",6)</f>
        <v>6</v>
      </c>
    </row>
    <row r="96" spans="1:19" x14ac:dyDescent="0.25">
      <c r="A96" s="1">
        <f>+A94-A95</f>
        <v>-6666.2055732888039</v>
      </c>
      <c r="B96" s="168"/>
      <c r="C96" s="166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</row>
    <row r="97" spans="1:19" x14ac:dyDescent="0.25">
      <c r="A97" s="39">
        <f>SUM(D97:Q97)</f>
        <v>4.5474735088646412E-13</v>
      </c>
      <c r="B97" s="168" t="s">
        <v>280</v>
      </c>
      <c r="C97" s="166"/>
      <c r="D97" s="39"/>
      <c r="E97" s="39">
        <f>+E89+E92</f>
        <v>0</v>
      </c>
      <c r="F97" s="39">
        <f t="shared" ref="F97:N97" si="113">+F89+F92</f>
        <v>0</v>
      </c>
      <c r="G97" s="39">
        <f t="shared" si="113"/>
        <v>0</v>
      </c>
      <c r="H97" s="39">
        <f t="shared" si="113"/>
        <v>6716</v>
      </c>
      <c r="I97" s="39">
        <f t="shared" si="113"/>
        <v>0</v>
      </c>
      <c r="J97" s="39">
        <f t="shared" si="113"/>
        <v>-1343.2</v>
      </c>
      <c r="K97" s="39">
        <f t="shared" si="113"/>
        <v>-1343.2</v>
      </c>
      <c r="L97" s="39">
        <f t="shared" si="113"/>
        <v>-1343.2</v>
      </c>
      <c r="M97" s="39">
        <f t="shared" si="113"/>
        <v>-1343.2</v>
      </c>
      <c r="N97" s="39">
        <f t="shared" si="113"/>
        <v>-1343.2</v>
      </c>
      <c r="O97" s="39">
        <f t="shared" ref="O97:Q97" si="114">+O89+O92</f>
        <v>0</v>
      </c>
      <c r="P97" s="39">
        <f t="shared" si="114"/>
        <v>0</v>
      </c>
      <c r="Q97" s="39">
        <f t="shared" si="114"/>
        <v>0</v>
      </c>
      <c r="R97" s="39"/>
    </row>
    <row r="98" spans="1:19" x14ac:dyDescent="0.25">
      <c r="A98" s="39">
        <f>SUM(D98:Q98)</f>
        <v>-6666.2055732888039</v>
      </c>
      <c r="B98" s="168" t="s">
        <v>281</v>
      </c>
      <c r="C98" s="166"/>
      <c r="D98" s="39"/>
      <c r="E98" s="39">
        <f>+E90+E93</f>
        <v>0</v>
      </c>
      <c r="F98" s="39">
        <f>+F90+F94</f>
        <v>0</v>
      </c>
      <c r="G98" s="39">
        <f t="shared" ref="G98:N98" si="115">+G90+G94</f>
        <v>0</v>
      </c>
      <c r="H98" s="39">
        <f t="shared" si="115"/>
        <v>13962.564000000002</v>
      </c>
      <c r="I98" s="39">
        <f t="shared" si="115"/>
        <v>0</v>
      </c>
      <c r="J98" s="39">
        <f t="shared" si="115"/>
        <v>-3378.9404880000002</v>
      </c>
      <c r="K98" s="39">
        <f t="shared" si="115"/>
        <v>-3716.8345368000005</v>
      </c>
      <c r="L98" s="39">
        <f t="shared" si="115"/>
        <v>-4088.5179904800011</v>
      </c>
      <c r="M98" s="39">
        <f t="shared" si="115"/>
        <v>-4497.369789528002</v>
      </c>
      <c r="N98" s="39">
        <f t="shared" si="115"/>
        <v>-4947.1067684808022</v>
      </c>
      <c r="O98" s="39">
        <f t="shared" ref="O98:Q98" si="116">+O90+O94</f>
        <v>0</v>
      </c>
      <c r="P98" s="39">
        <f t="shared" si="116"/>
        <v>0</v>
      </c>
      <c r="Q98" s="39">
        <f t="shared" si="116"/>
        <v>0</v>
      </c>
      <c r="R98" s="39"/>
    </row>
    <row r="99" spans="1:19" x14ac:dyDescent="0.25">
      <c r="A99" s="166"/>
      <c r="B99" s="168" t="s">
        <v>181</v>
      </c>
      <c r="C99" s="166"/>
      <c r="D99" s="39">
        <f t="shared" ref="D99:N99" si="117">+D89+C99</f>
        <v>0</v>
      </c>
      <c r="E99" s="39">
        <f t="shared" si="117"/>
        <v>0</v>
      </c>
      <c r="F99" s="39">
        <f t="shared" si="117"/>
        <v>0</v>
      </c>
      <c r="G99" s="39">
        <f t="shared" si="117"/>
        <v>0</v>
      </c>
      <c r="H99" s="39">
        <f t="shared" si="117"/>
        <v>6716</v>
      </c>
      <c r="I99" s="39">
        <f t="shared" si="117"/>
        <v>6716</v>
      </c>
      <c r="J99" s="39">
        <f t="shared" si="117"/>
        <v>6716</v>
      </c>
      <c r="K99" s="39">
        <f t="shared" si="117"/>
        <v>6716</v>
      </c>
      <c r="L99" s="39">
        <f t="shared" si="117"/>
        <v>6716</v>
      </c>
      <c r="M99" s="39">
        <f t="shared" si="117"/>
        <v>6716</v>
      </c>
      <c r="N99" s="39">
        <f t="shared" si="117"/>
        <v>6716</v>
      </c>
      <c r="O99" s="39">
        <f t="shared" ref="O99" si="118">+O89+N99</f>
        <v>6716</v>
      </c>
      <c r="P99" s="39">
        <f t="shared" ref="P99" si="119">+P89+O99</f>
        <v>6716</v>
      </c>
      <c r="Q99" s="39">
        <f t="shared" ref="Q99" si="120">+Q89+P99</f>
        <v>6716</v>
      </c>
      <c r="R99" s="39"/>
    </row>
    <row r="100" spans="1:19" x14ac:dyDescent="0.25">
      <c r="A100" s="166"/>
      <c r="B100" s="168" t="s">
        <v>182</v>
      </c>
      <c r="C100" s="166"/>
      <c r="D100" s="39">
        <f t="shared" ref="D100:N100" si="121">+D92+C100</f>
        <v>0</v>
      </c>
      <c r="E100" s="39">
        <f t="shared" si="121"/>
        <v>0</v>
      </c>
      <c r="F100" s="39">
        <f t="shared" si="121"/>
        <v>0</v>
      </c>
      <c r="G100" s="39">
        <f t="shared" si="121"/>
        <v>0</v>
      </c>
      <c r="H100" s="39">
        <f t="shared" si="121"/>
        <v>0</v>
      </c>
      <c r="I100" s="39">
        <f t="shared" si="121"/>
        <v>0</v>
      </c>
      <c r="J100" s="39">
        <f t="shared" si="121"/>
        <v>-1343.2</v>
      </c>
      <c r="K100" s="39">
        <f t="shared" si="121"/>
        <v>-2686.4</v>
      </c>
      <c r="L100" s="39">
        <f t="shared" si="121"/>
        <v>-4029.6000000000004</v>
      </c>
      <c r="M100" s="39">
        <f t="shared" si="121"/>
        <v>-5372.8</v>
      </c>
      <c r="N100" s="39">
        <f t="shared" si="121"/>
        <v>-6716</v>
      </c>
      <c r="O100" s="39">
        <f t="shared" ref="O100" si="122">+O92+N100</f>
        <v>-6716</v>
      </c>
      <c r="P100" s="39">
        <f t="shared" ref="P100" si="123">+P92+O100</f>
        <v>-6716</v>
      </c>
      <c r="Q100" s="39">
        <f t="shared" ref="Q100" si="124">+Q92+P100</f>
        <v>-6716</v>
      </c>
      <c r="R100" s="39"/>
    </row>
    <row r="101" spans="1:19" x14ac:dyDescent="0.25">
      <c r="A101" s="166"/>
      <c r="B101" s="156" t="s">
        <v>285</v>
      </c>
      <c r="C101" s="151"/>
      <c r="D101" s="158">
        <f>+D100+D99</f>
        <v>0</v>
      </c>
      <c r="E101" s="158">
        <f t="shared" ref="E101:N101" si="125">+E100+E99</f>
        <v>0</v>
      </c>
      <c r="F101" s="158">
        <f t="shared" si="125"/>
        <v>0</v>
      </c>
      <c r="G101" s="158">
        <f t="shared" si="125"/>
        <v>0</v>
      </c>
      <c r="H101" s="158">
        <f t="shared" si="125"/>
        <v>6716</v>
      </c>
      <c r="I101" s="158">
        <f t="shared" si="125"/>
        <v>6716</v>
      </c>
      <c r="J101" s="158">
        <f t="shared" si="125"/>
        <v>5372.8</v>
      </c>
      <c r="K101" s="158">
        <f t="shared" si="125"/>
        <v>4029.6</v>
      </c>
      <c r="L101" s="158">
        <f t="shared" si="125"/>
        <v>2686.3999999999996</v>
      </c>
      <c r="M101" s="158">
        <f t="shared" si="125"/>
        <v>1343.1999999999998</v>
      </c>
      <c r="N101" s="158">
        <f t="shared" si="125"/>
        <v>0</v>
      </c>
      <c r="O101" s="158">
        <f t="shared" ref="O101:Q101" si="126">+O100+O99</f>
        <v>0</v>
      </c>
      <c r="P101" s="158">
        <f t="shared" si="126"/>
        <v>0</v>
      </c>
      <c r="Q101" s="158">
        <f t="shared" si="126"/>
        <v>0</v>
      </c>
      <c r="R101" s="158"/>
    </row>
    <row r="102" spans="1:19" ht="16.5" thickBot="1" x14ac:dyDescent="0.3">
      <c r="A102" s="166"/>
      <c r="B102" s="156" t="s">
        <v>244</v>
      </c>
      <c r="C102" s="151"/>
      <c r="D102" s="158">
        <f t="shared" ref="D102:N102" si="127">+D87*D101</f>
        <v>0</v>
      </c>
      <c r="E102" s="158">
        <f t="shared" si="127"/>
        <v>0</v>
      </c>
      <c r="F102" s="158">
        <f t="shared" si="127"/>
        <v>0</v>
      </c>
      <c r="G102" s="158">
        <f t="shared" si="127"/>
        <v>0</v>
      </c>
      <c r="H102" s="158">
        <f t="shared" si="127"/>
        <v>13962.564000000002</v>
      </c>
      <c r="I102" s="158">
        <f t="shared" si="127"/>
        <v>15358.820400000001</v>
      </c>
      <c r="J102" s="158">
        <f t="shared" si="127"/>
        <v>13515.761952000001</v>
      </c>
      <c r="K102" s="158">
        <f t="shared" si="127"/>
        <v>11150.503610400001</v>
      </c>
      <c r="L102" s="158">
        <f t="shared" si="127"/>
        <v>8177.0359809600004</v>
      </c>
      <c r="M102" s="158">
        <f t="shared" si="127"/>
        <v>4497.3697895280011</v>
      </c>
      <c r="N102" s="158">
        <f t="shared" si="127"/>
        <v>0</v>
      </c>
      <c r="O102" s="158">
        <f t="shared" ref="O102:Q102" si="128">+O87*O101</f>
        <v>0</v>
      </c>
      <c r="P102" s="158">
        <f t="shared" si="128"/>
        <v>0</v>
      </c>
      <c r="Q102" s="158">
        <f t="shared" si="128"/>
        <v>0</v>
      </c>
      <c r="R102" s="158"/>
      <c r="S102">
        <f>IF($B$86="ADB","A7",7)</f>
        <v>7</v>
      </c>
    </row>
    <row r="103" spans="1:19" s="174" customFormat="1" ht="16.5" thickBot="1" x14ac:dyDescent="0.3">
      <c r="A103" s="290">
        <f>SUM(D103:Q103)</f>
        <v>-6666.2055732888039</v>
      </c>
      <c r="B103" s="291" t="s">
        <v>213</v>
      </c>
      <c r="C103" s="292"/>
      <c r="D103" s="293">
        <f>D94-D95</f>
        <v>0</v>
      </c>
      <c r="E103" s="293">
        <f>E94-E95</f>
        <v>0</v>
      </c>
      <c r="F103" s="293">
        <f>F94-F95</f>
        <v>0</v>
      </c>
      <c r="G103" s="293">
        <f t="shared" ref="G103:N103" si="129">G94-G95</f>
        <v>0</v>
      </c>
      <c r="H103" s="293">
        <f t="shared" si="129"/>
        <v>0</v>
      </c>
      <c r="I103" s="293">
        <f t="shared" si="129"/>
        <v>0</v>
      </c>
      <c r="J103" s="293">
        <f t="shared" si="129"/>
        <v>-586.42768799999976</v>
      </c>
      <c r="K103" s="293">
        <f t="shared" si="129"/>
        <v>-924.32173680000005</v>
      </c>
      <c r="L103" s="293">
        <f t="shared" si="129"/>
        <v>-1296.0051904800007</v>
      </c>
      <c r="M103" s="293">
        <f t="shared" si="129"/>
        <v>-1704.8569895280016</v>
      </c>
      <c r="N103" s="293">
        <f t="shared" si="129"/>
        <v>-2154.5939684808018</v>
      </c>
      <c r="O103" s="293">
        <f t="shared" ref="O103:Q103" si="130">O94-O95</f>
        <v>0</v>
      </c>
      <c r="P103" s="293">
        <f t="shared" si="130"/>
        <v>0</v>
      </c>
      <c r="Q103" s="293">
        <f t="shared" si="130"/>
        <v>0</v>
      </c>
      <c r="R103" s="694"/>
      <c r="S103" s="174">
        <f>IF($B$86="ADB","A8",8)</f>
        <v>8</v>
      </c>
    </row>
    <row r="104" spans="1:19" x14ac:dyDescent="0.25">
      <c r="A104" s="39">
        <f>SUM(D104:Q104)</f>
        <v>-4790.8628848080016</v>
      </c>
      <c r="B104" s="168" t="s">
        <v>282</v>
      </c>
      <c r="C104" s="166"/>
      <c r="D104" s="166"/>
      <c r="E104" s="166"/>
      <c r="F104" s="166">
        <f>IF(F101&lt;E101,+F101*(E87-F87),0)</f>
        <v>0</v>
      </c>
      <c r="G104" s="166">
        <f>IF(G101&lt;F101,+G101*(F87-G87),0)</f>
        <v>0</v>
      </c>
      <c r="H104" s="166">
        <f t="shared" ref="H104:M104" si="131">IF(H101&lt;G101,+H101*(G87-H87),0)</f>
        <v>0</v>
      </c>
      <c r="I104" s="166">
        <f>IF(I89=0,+I101*(H87-I87),0)</f>
        <v>-1396.2563999999998</v>
      </c>
      <c r="J104" s="166">
        <f t="shared" si="131"/>
        <v>-1228.7056319999992</v>
      </c>
      <c r="K104" s="166">
        <f t="shared" si="131"/>
        <v>-1013.6821464000012</v>
      </c>
      <c r="L104" s="166">
        <f t="shared" si="131"/>
        <v>-743.36690736000105</v>
      </c>
      <c r="M104" s="166">
        <f t="shared" si="131"/>
        <v>-408.85179904800037</v>
      </c>
      <c r="N104" s="166">
        <f>+N101*(M87-N87)</f>
        <v>0</v>
      </c>
      <c r="O104" s="166">
        <f t="shared" ref="O104:Q104" si="132">+O101*(N87-O87)</f>
        <v>0</v>
      </c>
      <c r="P104" s="166">
        <f t="shared" si="132"/>
        <v>0</v>
      </c>
      <c r="Q104" s="166">
        <f t="shared" si="132"/>
        <v>0</v>
      </c>
      <c r="R104" s="166"/>
      <c r="S104">
        <f>IF($B$86="ADB","A9",9)</f>
        <v>9</v>
      </c>
    </row>
    <row r="105" spans="1:19" x14ac:dyDescent="0.25">
      <c r="A105" s="39">
        <f>SUM(D105:Q105)</f>
        <v>-1875.3426884808014</v>
      </c>
      <c r="B105" s="168" t="s">
        <v>283</v>
      </c>
      <c r="C105" s="166"/>
      <c r="D105" s="166"/>
      <c r="E105" s="166"/>
      <c r="F105" s="166">
        <f t="shared" ref="F105:N105" si="133">+F92*(F87-E87)</f>
        <v>0</v>
      </c>
      <c r="G105" s="166">
        <f t="shared" si="133"/>
        <v>0</v>
      </c>
      <c r="H105" s="166">
        <f t="shared" si="133"/>
        <v>0</v>
      </c>
      <c r="I105" s="166">
        <f t="shared" si="133"/>
        <v>0</v>
      </c>
      <c r="J105" s="166">
        <f t="shared" si="133"/>
        <v>-307.17640799999981</v>
      </c>
      <c r="K105" s="166">
        <f t="shared" si="133"/>
        <v>-337.89404880000041</v>
      </c>
      <c r="L105" s="166">
        <f t="shared" si="133"/>
        <v>-371.68345368000058</v>
      </c>
      <c r="M105" s="166">
        <f t="shared" si="133"/>
        <v>-408.85179904800049</v>
      </c>
      <c r="N105" s="166">
        <f t="shared" si="133"/>
        <v>-449.73697895280014</v>
      </c>
      <c r="O105" s="166">
        <f t="shared" ref="O105" si="134">+O92*(O87-N87)</f>
        <v>0</v>
      </c>
      <c r="P105" s="166">
        <f t="shared" ref="P105" si="135">+P92*(P87-O87)</f>
        <v>0</v>
      </c>
      <c r="Q105" s="166">
        <f t="shared" ref="Q105" si="136">+Q92*(Q87-P87)</f>
        <v>0</v>
      </c>
      <c r="R105" s="166"/>
      <c r="S105">
        <f>IF($B$86="ADB","A10",10)</f>
        <v>10</v>
      </c>
    </row>
    <row r="106" spans="1:19" x14ac:dyDescent="0.25">
      <c r="A106" s="39">
        <f>SUM(D106:Q106)</f>
        <v>-6666.205573288803</v>
      </c>
      <c r="B106" s="170" t="s">
        <v>284</v>
      </c>
      <c r="C106" s="171"/>
      <c r="D106" s="171"/>
      <c r="E106" s="171"/>
      <c r="F106" s="171">
        <f>+F105+F104</f>
        <v>0</v>
      </c>
      <c r="G106" s="171">
        <f t="shared" ref="G106:N106" si="137">+G105+G104</f>
        <v>0</v>
      </c>
      <c r="H106" s="171">
        <f t="shared" si="137"/>
        <v>0</v>
      </c>
      <c r="I106" s="171">
        <f t="shared" ref="I106:J106" si="138">+I105+I104</f>
        <v>-1396.2563999999998</v>
      </c>
      <c r="J106" s="171">
        <f t="shared" si="138"/>
        <v>-1535.8820399999991</v>
      </c>
      <c r="K106" s="171">
        <f t="shared" si="137"/>
        <v>-1351.5761952000016</v>
      </c>
      <c r="L106" s="171">
        <f t="shared" si="137"/>
        <v>-1115.0503610400017</v>
      </c>
      <c r="M106" s="171">
        <f t="shared" si="137"/>
        <v>-817.70359809600086</v>
      </c>
      <c r="N106" s="171">
        <f t="shared" si="137"/>
        <v>-449.73697895280014</v>
      </c>
      <c r="O106" s="171">
        <f t="shared" ref="O106:Q106" si="139">+O105+O104</f>
        <v>0</v>
      </c>
      <c r="P106" s="171">
        <f t="shared" si="139"/>
        <v>0</v>
      </c>
      <c r="Q106" s="171">
        <f t="shared" si="139"/>
        <v>0</v>
      </c>
      <c r="R106" s="166"/>
    </row>
    <row r="108" spans="1:19" ht="16.5" thickBot="1" x14ac:dyDescent="0.3">
      <c r="B108" s="173" t="s">
        <v>614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9" ht="16.5" hidden="1" thickBot="1" x14ac:dyDescent="0.3">
      <c r="A109" s="166"/>
      <c r="B109" s="166" t="s">
        <v>212</v>
      </c>
      <c r="C109" s="166"/>
      <c r="D109" s="114">
        <f>+turnover!D$122</f>
        <v>1.4656</v>
      </c>
      <c r="E109" s="114">
        <f>+turnover!E$122</f>
        <v>1.5874999999999999</v>
      </c>
      <c r="F109" s="114">
        <f>+turnover!F$122</f>
        <v>1.714</v>
      </c>
      <c r="G109" s="114">
        <f>+turnover!G$122</f>
        <v>1.89</v>
      </c>
      <c r="H109" s="114">
        <f>+turnover!H$122</f>
        <v>2.0790000000000002</v>
      </c>
      <c r="I109" s="114">
        <f>+turnover!I$122</f>
        <v>2.2869000000000002</v>
      </c>
      <c r="J109" s="114">
        <f>+turnover!J$122</f>
        <v>2.51559</v>
      </c>
      <c r="K109" s="114">
        <f>+turnover!K$122</f>
        <v>2.7671490000000003</v>
      </c>
      <c r="L109" s="114">
        <f>+turnover!L$122</f>
        <v>3.0438639000000007</v>
      </c>
      <c r="M109" s="114">
        <f>+turnover!M$122</f>
        <v>3.3482502900000011</v>
      </c>
      <c r="N109" s="114">
        <f>+turnover!N$122</f>
        <v>3.6830753190000012</v>
      </c>
      <c r="O109" s="114">
        <f>+turnover!O$122</f>
        <v>4.0513828509000014</v>
      </c>
      <c r="P109" s="114">
        <f>+turnover!P$122</f>
        <v>4.4565211359900019</v>
      </c>
      <c r="Q109" s="114">
        <f>+turnover!Q$122</f>
        <v>4.9021732495890031</v>
      </c>
      <c r="R109" s="114"/>
    </row>
    <row r="110" spans="1:19" ht="20.25" x14ac:dyDescent="0.3">
      <c r="A110" s="166"/>
      <c r="B110" s="249" t="s">
        <v>661</v>
      </c>
      <c r="C110" s="250">
        <f>+PL!C$2</f>
        <v>2008</v>
      </c>
      <c r="D110" s="250">
        <f>+PL!D$2</f>
        <v>2009</v>
      </c>
      <c r="E110" s="250">
        <f>+PL!E$2</f>
        <v>2010</v>
      </c>
      <c r="F110" s="250">
        <f>+PL!F$2</f>
        <v>2011</v>
      </c>
      <c r="G110" s="250">
        <f>+PL!G$2</f>
        <v>2012</v>
      </c>
      <c r="H110" s="250">
        <f>+PL!H$2</f>
        <v>2013</v>
      </c>
      <c r="I110" s="250">
        <f>+PL!I$2</f>
        <v>2014</v>
      </c>
      <c r="J110" s="250">
        <f>+PL!J$2</f>
        <v>2015</v>
      </c>
      <c r="K110" s="250">
        <f>+PL!K$2</f>
        <v>2016</v>
      </c>
      <c r="L110" s="250">
        <f>+PL!L$2</f>
        <v>2017</v>
      </c>
      <c r="M110" s="250">
        <f>+PL!M$2</f>
        <v>2018</v>
      </c>
      <c r="N110" s="250">
        <f>+PL!N$2</f>
        <v>2019</v>
      </c>
      <c r="O110" s="250">
        <f>+PL!O$2</f>
        <v>2020</v>
      </c>
      <c r="P110" s="250">
        <f>+PL!P$2</f>
        <v>2021</v>
      </c>
      <c r="Q110" s="250">
        <f>+PL!Q$2</f>
        <v>2022</v>
      </c>
      <c r="R110" s="695"/>
    </row>
    <row r="111" spans="1:19" x14ac:dyDescent="0.25">
      <c r="A111" s="39">
        <f>SUM(D111:Q111)</f>
        <v>1284</v>
      </c>
      <c r="B111" s="168" t="s">
        <v>177</v>
      </c>
      <c r="C111" s="166"/>
      <c r="D111" s="169"/>
      <c r="E111" s="169"/>
      <c r="F111" s="169"/>
      <c r="G111" s="169">
        <v>0</v>
      </c>
      <c r="H111" s="169"/>
      <c r="I111" s="678">
        <f>(24000-H89-16000)</f>
        <v>1284</v>
      </c>
      <c r="J111" s="678"/>
      <c r="K111" s="39"/>
      <c r="L111" s="39"/>
      <c r="M111" s="39"/>
      <c r="N111" s="39"/>
      <c r="O111" s="39"/>
      <c r="P111" s="39"/>
      <c r="Q111" s="39"/>
      <c r="R111" s="39"/>
      <c r="S111">
        <f>IF($B$108="ADB","A1",1)</f>
        <v>1</v>
      </c>
    </row>
    <row r="112" spans="1:19" x14ac:dyDescent="0.25">
      <c r="A112" s="39">
        <f>SUM(D112:Q112)</f>
        <v>2936.3796000000002</v>
      </c>
      <c r="B112" s="168" t="s">
        <v>178</v>
      </c>
      <c r="C112" s="166"/>
      <c r="D112" s="169">
        <f t="shared" ref="D112:N112" si="140">+D111*D109</f>
        <v>0</v>
      </c>
      <c r="E112" s="169">
        <f t="shared" si="140"/>
        <v>0</v>
      </c>
      <c r="F112" s="169">
        <f t="shared" si="140"/>
        <v>0</v>
      </c>
      <c r="G112" s="169">
        <f t="shared" si="140"/>
        <v>0</v>
      </c>
      <c r="H112" s="169">
        <f t="shared" si="140"/>
        <v>0</v>
      </c>
      <c r="I112" s="169">
        <f t="shared" si="140"/>
        <v>2936.3796000000002</v>
      </c>
      <c r="J112" s="169">
        <f t="shared" si="140"/>
        <v>0</v>
      </c>
      <c r="K112" s="169">
        <f t="shared" si="140"/>
        <v>0</v>
      </c>
      <c r="L112" s="169">
        <f t="shared" si="140"/>
        <v>0</v>
      </c>
      <c r="M112" s="169">
        <f t="shared" si="140"/>
        <v>0</v>
      </c>
      <c r="N112" s="169">
        <f t="shared" si="140"/>
        <v>0</v>
      </c>
      <c r="O112" s="169">
        <f t="shared" ref="O112:Q112" si="141">+O111*O109</f>
        <v>0</v>
      </c>
      <c r="P112" s="169">
        <f t="shared" si="141"/>
        <v>0</v>
      </c>
      <c r="Q112" s="169">
        <f t="shared" si="141"/>
        <v>0</v>
      </c>
      <c r="R112" s="169"/>
      <c r="S112">
        <f>IF($B$108="ADB","A2",2)</f>
        <v>2</v>
      </c>
    </row>
    <row r="113" spans="1:19" x14ac:dyDescent="0.25">
      <c r="A113" s="166">
        <f>+A112/A111</f>
        <v>2.2869000000000002</v>
      </c>
      <c r="B113" s="168"/>
      <c r="C113" s="166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</row>
    <row r="114" spans="1:19" x14ac:dyDescent="0.25">
      <c r="A114" s="39">
        <f>-SUM(D114:Q114)</f>
        <v>1284</v>
      </c>
      <c r="B114" s="168" t="s">
        <v>179</v>
      </c>
      <c r="C114" s="166"/>
      <c r="D114" s="39"/>
      <c r="E114" s="39"/>
      <c r="F114" s="39"/>
      <c r="G114" s="39"/>
      <c r="H114" s="39"/>
      <c r="I114" s="39"/>
      <c r="J114" s="39"/>
      <c r="K114" s="39">
        <f>-I111/5</f>
        <v>-256.8</v>
      </c>
      <c r="L114" s="39">
        <f>+K114</f>
        <v>-256.8</v>
      </c>
      <c r="M114" s="39">
        <f>+L114</f>
        <v>-256.8</v>
      </c>
      <c r="N114" s="39">
        <f>+M114</f>
        <v>-256.8</v>
      </c>
      <c r="O114" s="39">
        <f>+N114</f>
        <v>-256.8</v>
      </c>
      <c r="P114" s="39"/>
      <c r="Q114" s="39"/>
      <c r="R114" s="39"/>
      <c r="S114">
        <f>IF($B$108="ADB","A3",3)</f>
        <v>3</v>
      </c>
    </row>
    <row r="115" spans="1:19" x14ac:dyDescent="0.25">
      <c r="A115" s="166"/>
      <c r="B115" s="168" t="s">
        <v>180</v>
      </c>
      <c r="C115" s="166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>
        <f>IF($B$108="ADB","A4",4)</f>
        <v>4</v>
      </c>
    </row>
    <row r="116" spans="1:19" x14ac:dyDescent="0.25">
      <c r="A116" s="39">
        <f>SUM(D116:Q116)</f>
        <v>-4338.3076452223213</v>
      </c>
      <c r="B116" s="168" t="s">
        <v>246</v>
      </c>
      <c r="C116" s="166"/>
      <c r="D116" s="39"/>
      <c r="E116" s="39"/>
      <c r="F116" s="39"/>
      <c r="G116" s="39">
        <f t="shared" ref="G116:N116" si="142">+G114*G109</f>
        <v>0</v>
      </c>
      <c r="H116" s="39">
        <f t="shared" si="142"/>
        <v>0</v>
      </c>
      <c r="I116" s="39">
        <f t="shared" si="142"/>
        <v>0</v>
      </c>
      <c r="J116" s="39">
        <f t="shared" si="142"/>
        <v>0</v>
      </c>
      <c r="K116" s="39">
        <f t="shared" si="142"/>
        <v>-710.60386320000009</v>
      </c>
      <c r="L116" s="39">
        <f t="shared" si="142"/>
        <v>-781.66424952000023</v>
      </c>
      <c r="M116" s="39">
        <f t="shared" si="142"/>
        <v>-859.83067447200028</v>
      </c>
      <c r="N116" s="39">
        <f t="shared" si="142"/>
        <v>-945.81374191920031</v>
      </c>
      <c r="O116" s="39">
        <f t="shared" ref="O116:Q116" si="143">+O114*O109</f>
        <v>-1040.3951161111204</v>
      </c>
      <c r="P116" s="39">
        <f t="shared" si="143"/>
        <v>0</v>
      </c>
      <c r="Q116" s="39">
        <f t="shared" si="143"/>
        <v>0</v>
      </c>
      <c r="R116" s="39"/>
      <c r="S116">
        <f>IF($B$108="ADB","A5",5)</f>
        <v>5</v>
      </c>
    </row>
    <row r="117" spans="1:19" x14ac:dyDescent="0.25">
      <c r="A117" s="39">
        <f>SUM(D117:Q117)</f>
        <v>-2669.4360000000006</v>
      </c>
      <c r="B117" s="168" t="s">
        <v>286</v>
      </c>
      <c r="C117" s="166"/>
      <c r="D117" s="39"/>
      <c r="E117" s="39"/>
      <c r="F117" s="39"/>
      <c r="G117" s="39">
        <f>+G114*$A$69</f>
        <v>0</v>
      </c>
      <c r="H117" s="39">
        <f t="shared" ref="H117:N117" si="144">+H114*$A$69</f>
        <v>0</v>
      </c>
      <c r="I117" s="39">
        <f t="shared" si="144"/>
        <v>0</v>
      </c>
      <c r="J117" s="39">
        <f t="shared" si="144"/>
        <v>0</v>
      </c>
      <c r="K117" s="39">
        <f t="shared" si="144"/>
        <v>-533.88720000000012</v>
      </c>
      <c r="L117" s="39">
        <f t="shared" si="144"/>
        <v>-533.88720000000012</v>
      </c>
      <c r="M117" s="39">
        <f t="shared" si="144"/>
        <v>-533.88720000000012</v>
      </c>
      <c r="N117" s="39">
        <f t="shared" si="144"/>
        <v>-533.88720000000012</v>
      </c>
      <c r="O117" s="39">
        <f t="shared" ref="O117:Q117" si="145">+O114*$A$69</f>
        <v>-533.88720000000012</v>
      </c>
      <c r="P117" s="39">
        <f t="shared" si="145"/>
        <v>0</v>
      </c>
      <c r="Q117" s="39">
        <f t="shared" si="145"/>
        <v>0</v>
      </c>
      <c r="R117" s="39"/>
      <c r="S117">
        <f>IF($B$108="ADB","A6",6)</f>
        <v>6</v>
      </c>
    </row>
    <row r="118" spans="1:19" x14ac:dyDescent="0.25">
      <c r="A118" s="1">
        <f>+A116-A117</f>
        <v>-1668.8716452223207</v>
      </c>
      <c r="B118" s="168"/>
      <c r="C118" s="166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</row>
    <row r="119" spans="1:19" x14ac:dyDescent="0.25">
      <c r="A119" s="39">
        <f>SUM(D119:Q119)</f>
        <v>1.1368683772161603E-13</v>
      </c>
      <c r="B119" s="168" t="s">
        <v>280</v>
      </c>
      <c r="C119" s="166"/>
      <c r="D119" s="39"/>
      <c r="E119" s="39">
        <f>+E111+E114</f>
        <v>0</v>
      </c>
      <c r="F119" s="39">
        <f t="shared" ref="F119:N119" si="146">+F111+F114</f>
        <v>0</v>
      </c>
      <c r="G119" s="39">
        <f t="shared" si="146"/>
        <v>0</v>
      </c>
      <c r="H119" s="39">
        <f t="shared" si="146"/>
        <v>0</v>
      </c>
      <c r="I119" s="39">
        <f t="shared" si="146"/>
        <v>1284</v>
      </c>
      <c r="J119" s="39">
        <f t="shared" si="146"/>
        <v>0</v>
      </c>
      <c r="K119" s="39">
        <f t="shared" si="146"/>
        <v>-256.8</v>
      </c>
      <c r="L119" s="39">
        <f t="shared" si="146"/>
        <v>-256.8</v>
      </c>
      <c r="M119" s="39">
        <f t="shared" si="146"/>
        <v>-256.8</v>
      </c>
      <c r="N119" s="39">
        <f t="shared" si="146"/>
        <v>-256.8</v>
      </c>
      <c r="O119" s="39">
        <f t="shared" ref="O119:Q119" si="147">+O111+O114</f>
        <v>-256.8</v>
      </c>
      <c r="P119" s="39">
        <f t="shared" si="147"/>
        <v>0</v>
      </c>
      <c r="Q119" s="39">
        <f t="shared" si="147"/>
        <v>0</v>
      </c>
      <c r="R119" s="39"/>
    </row>
    <row r="120" spans="1:19" x14ac:dyDescent="0.25">
      <c r="A120" s="39">
        <f>SUM(D120:Q120)</f>
        <v>-1401.9280452223211</v>
      </c>
      <c r="B120" s="168" t="s">
        <v>281</v>
      </c>
      <c r="C120" s="166"/>
      <c r="D120" s="39"/>
      <c r="E120" s="39">
        <f>+E112+E115</f>
        <v>0</v>
      </c>
      <c r="F120" s="39">
        <f>+F112+F116</f>
        <v>0</v>
      </c>
      <c r="G120" s="39">
        <f t="shared" ref="G120:N120" si="148">+G112+G116</f>
        <v>0</v>
      </c>
      <c r="H120" s="39">
        <f t="shared" si="148"/>
        <v>0</v>
      </c>
      <c r="I120" s="39">
        <f t="shared" si="148"/>
        <v>2936.3796000000002</v>
      </c>
      <c r="J120" s="39">
        <f t="shared" si="148"/>
        <v>0</v>
      </c>
      <c r="K120" s="39">
        <f t="shared" si="148"/>
        <v>-710.60386320000009</v>
      </c>
      <c r="L120" s="39">
        <f t="shared" si="148"/>
        <v>-781.66424952000023</v>
      </c>
      <c r="M120" s="39">
        <f t="shared" si="148"/>
        <v>-859.83067447200028</v>
      </c>
      <c r="N120" s="39">
        <f t="shared" si="148"/>
        <v>-945.81374191920031</v>
      </c>
      <c r="O120" s="39">
        <f t="shared" ref="O120:Q120" si="149">+O112+O116</f>
        <v>-1040.3951161111204</v>
      </c>
      <c r="P120" s="39">
        <f t="shared" si="149"/>
        <v>0</v>
      </c>
      <c r="Q120" s="39">
        <f t="shared" si="149"/>
        <v>0</v>
      </c>
      <c r="R120" s="39"/>
    </row>
    <row r="121" spans="1:19" x14ac:dyDescent="0.25">
      <c r="A121" s="166"/>
      <c r="B121" s="168" t="s">
        <v>181</v>
      </c>
      <c r="C121" s="166"/>
      <c r="D121" s="39">
        <f t="shared" ref="D121:N121" si="150">+D111+C121</f>
        <v>0</v>
      </c>
      <c r="E121" s="39">
        <f t="shared" si="150"/>
        <v>0</v>
      </c>
      <c r="F121" s="39">
        <f t="shared" si="150"/>
        <v>0</v>
      </c>
      <c r="G121" s="39">
        <f t="shared" si="150"/>
        <v>0</v>
      </c>
      <c r="H121" s="39">
        <f t="shared" si="150"/>
        <v>0</v>
      </c>
      <c r="I121" s="39">
        <f t="shared" si="150"/>
        <v>1284</v>
      </c>
      <c r="J121" s="39">
        <f t="shared" si="150"/>
        <v>1284</v>
      </c>
      <c r="K121" s="39">
        <f t="shared" si="150"/>
        <v>1284</v>
      </c>
      <c r="L121" s="39">
        <f t="shared" si="150"/>
        <v>1284</v>
      </c>
      <c r="M121" s="39">
        <f t="shared" si="150"/>
        <v>1284</v>
      </c>
      <c r="N121" s="39">
        <f t="shared" si="150"/>
        <v>1284</v>
      </c>
      <c r="O121" s="39">
        <f t="shared" ref="O121" si="151">+O111+N121</f>
        <v>1284</v>
      </c>
      <c r="P121" s="39">
        <f t="shared" ref="P121" si="152">+P111+O121</f>
        <v>1284</v>
      </c>
      <c r="Q121" s="39">
        <f t="shared" ref="Q121" si="153">+Q111+P121</f>
        <v>1284</v>
      </c>
      <c r="R121" s="39"/>
    </row>
    <row r="122" spans="1:19" x14ac:dyDescent="0.25">
      <c r="A122" s="166"/>
      <c r="B122" s="168" t="s">
        <v>182</v>
      </c>
      <c r="C122" s="166"/>
      <c r="D122" s="39">
        <f t="shared" ref="D122:N122" si="154">+D114+C122</f>
        <v>0</v>
      </c>
      <c r="E122" s="39">
        <f t="shared" si="154"/>
        <v>0</v>
      </c>
      <c r="F122" s="39">
        <f t="shared" si="154"/>
        <v>0</v>
      </c>
      <c r="G122" s="39">
        <f t="shared" si="154"/>
        <v>0</v>
      </c>
      <c r="H122" s="39">
        <f t="shared" si="154"/>
        <v>0</v>
      </c>
      <c r="I122" s="39">
        <f t="shared" si="154"/>
        <v>0</v>
      </c>
      <c r="J122" s="39">
        <f t="shared" si="154"/>
        <v>0</v>
      </c>
      <c r="K122" s="39">
        <f t="shared" si="154"/>
        <v>-256.8</v>
      </c>
      <c r="L122" s="39">
        <f t="shared" si="154"/>
        <v>-513.6</v>
      </c>
      <c r="M122" s="39">
        <f t="shared" si="154"/>
        <v>-770.40000000000009</v>
      </c>
      <c r="N122" s="39">
        <f t="shared" si="154"/>
        <v>-1027.2</v>
      </c>
      <c r="O122" s="39">
        <f t="shared" ref="O122" si="155">+O114+N122</f>
        <v>-1284</v>
      </c>
      <c r="P122" s="39">
        <f t="shared" ref="P122" si="156">+P114+O122</f>
        <v>-1284</v>
      </c>
      <c r="Q122" s="39">
        <f t="shared" ref="Q122" si="157">+Q114+P122</f>
        <v>-1284</v>
      </c>
      <c r="R122" s="39"/>
    </row>
    <row r="123" spans="1:19" x14ac:dyDescent="0.25">
      <c r="A123" s="166"/>
      <c r="B123" s="156" t="s">
        <v>285</v>
      </c>
      <c r="C123" s="151"/>
      <c r="D123" s="158">
        <f>+D122+D121</f>
        <v>0</v>
      </c>
      <c r="E123" s="158">
        <f t="shared" ref="E123:N123" si="158">+E122+E121</f>
        <v>0</v>
      </c>
      <c r="F123" s="158">
        <f t="shared" si="158"/>
        <v>0</v>
      </c>
      <c r="G123" s="158">
        <f t="shared" si="158"/>
        <v>0</v>
      </c>
      <c r="H123" s="158">
        <f t="shared" si="158"/>
        <v>0</v>
      </c>
      <c r="I123" s="158">
        <f t="shared" si="158"/>
        <v>1284</v>
      </c>
      <c r="J123" s="158">
        <f t="shared" si="158"/>
        <v>1284</v>
      </c>
      <c r="K123" s="158">
        <f t="shared" si="158"/>
        <v>1027.2</v>
      </c>
      <c r="L123" s="158">
        <f t="shared" si="158"/>
        <v>770.4</v>
      </c>
      <c r="M123" s="158">
        <f t="shared" si="158"/>
        <v>513.59999999999991</v>
      </c>
      <c r="N123" s="158">
        <f t="shared" si="158"/>
        <v>256.79999999999995</v>
      </c>
      <c r="O123" s="158">
        <f t="shared" ref="O123:Q123" si="159">+O122+O121</f>
        <v>0</v>
      </c>
      <c r="P123" s="158">
        <f t="shared" si="159"/>
        <v>0</v>
      </c>
      <c r="Q123" s="158">
        <f t="shared" si="159"/>
        <v>0</v>
      </c>
      <c r="R123" s="158"/>
    </row>
    <row r="124" spans="1:19" ht="16.5" thickBot="1" x14ac:dyDescent="0.3">
      <c r="A124" s="166"/>
      <c r="B124" s="156" t="s">
        <v>244</v>
      </c>
      <c r="C124" s="151"/>
      <c r="D124" s="158">
        <f t="shared" ref="D124:N124" si="160">+D109*D123</f>
        <v>0</v>
      </c>
      <c r="E124" s="158">
        <f t="shared" si="160"/>
        <v>0</v>
      </c>
      <c r="F124" s="158">
        <f t="shared" si="160"/>
        <v>0</v>
      </c>
      <c r="G124" s="158">
        <f t="shared" si="160"/>
        <v>0</v>
      </c>
      <c r="H124" s="158">
        <f t="shared" si="160"/>
        <v>0</v>
      </c>
      <c r="I124" s="158">
        <f t="shared" si="160"/>
        <v>2936.3796000000002</v>
      </c>
      <c r="J124" s="158">
        <f t="shared" si="160"/>
        <v>3230.0175599999998</v>
      </c>
      <c r="K124" s="158">
        <f t="shared" si="160"/>
        <v>2842.4154528000004</v>
      </c>
      <c r="L124" s="158">
        <f t="shared" si="160"/>
        <v>2344.9927485600006</v>
      </c>
      <c r="M124" s="158">
        <f t="shared" si="160"/>
        <v>1719.6613489440003</v>
      </c>
      <c r="N124" s="158">
        <f t="shared" si="160"/>
        <v>945.81374191920008</v>
      </c>
      <c r="O124" s="158">
        <f t="shared" ref="O124:Q124" si="161">+O109*O123</f>
        <v>0</v>
      </c>
      <c r="P124" s="158">
        <f t="shared" si="161"/>
        <v>0</v>
      </c>
      <c r="Q124" s="158">
        <f t="shared" si="161"/>
        <v>0</v>
      </c>
      <c r="R124" s="158"/>
      <c r="S124">
        <f>IF($B$108="ADB","A7",7)</f>
        <v>7</v>
      </c>
    </row>
    <row r="125" spans="1:19" s="174" customFormat="1" ht="16.5" thickBot="1" x14ac:dyDescent="0.3">
      <c r="A125" s="290">
        <f>SUM(D125:Q125)</f>
        <v>-1668.8716452223207</v>
      </c>
      <c r="B125" s="291" t="s">
        <v>213</v>
      </c>
      <c r="C125" s="292"/>
      <c r="D125" s="293">
        <f>D116-D117</f>
        <v>0</v>
      </c>
      <c r="E125" s="293">
        <f>E116-E117</f>
        <v>0</v>
      </c>
      <c r="F125" s="293">
        <f>F116-F117</f>
        <v>0</v>
      </c>
      <c r="G125" s="293">
        <f t="shared" ref="G125:N125" si="162">G116-G117</f>
        <v>0</v>
      </c>
      <c r="H125" s="293">
        <f t="shared" si="162"/>
        <v>0</v>
      </c>
      <c r="I125" s="293">
        <f t="shared" si="162"/>
        <v>0</v>
      </c>
      <c r="J125" s="293">
        <f t="shared" si="162"/>
        <v>0</v>
      </c>
      <c r="K125" s="293">
        <f t="shared" si="162"/>
        <v>-176.71666319999997</v>
      </c>
      <c r="L125" s="293">
        <f t="shared" si="162"/>
        <v>-247.77704952000011</v>
      </c>
      <c r="M125" s="293">
        <f t="shared" si="162"/>
        <v>-325.94347447200016</v>
      </c>
      <c r="N125" s="293">
        <f t="shared" si="162"/>
        <v>-411.92654191920019</v>
      </c>
      <c r="O125" s="293">
        <f t="shared" ref="O125:Q125" si="163">O116-O117</f>
        <v>-506.50791611112027</v>
      </c>
      <c r="P125" s="293">
        <f t="shared" si="163"/>
        <v>0</v>
      </c>
      <c r="Q125" s="293">
        <f t="shared" si="163"/>
        <v>0</v>
      </c>
      <c r="R125" s="694"/>
      <c r="S125" s="174">
        <f>IF($B$86="ADB","A8",8)</f>
        <v>8</v>
      </c>
    </row>
    <row r="126" spans="1:19" x14ac:dyDescent="0.25">
      <c r="A126" s="39">
        <f>SUM(D126:Q126)</f>
        <v>-1007.5364411112006</v>
      </c>
      <c r="B126" s="168" t="s">
        <v>282</v>
      </c>
      <c r="C126" s="166"/>
      <c r="D126" s="166"/>
      <c r="E126" s="166"/>
      <c r="F126" s="166">
        <f>IF(F123&lt;E123,+F123*(E109-F109),0)</f>
        <v>0</v>
      </c>
      <c r="G126" s="166">
        <f>IF(G123&lt;F123,+G123*(F109-G109),0)</f>
        <v>0</v>
      </c>
      <c r="H126" s="166">
        <f t="shared" ref="H126:M126" si="164">IF(H123&lt;G123,+H123*(G109-H109),0)</f>
        <v>0</v>
      </c>
      <c r="I126" s="166">
        <f t="shared" si="164"/>
        <v>0</v>
      </c>
      <c r="J126" s="166">
        <f>IF(J111=0,+J123*(I109-J109),0)</f>
        <v>-293.63795999999979</v>
      </c>
      <c r="K126" s="166">
        <f t="shared" si="164"/>
        <v>-258.40140480000031</v>
      </c>
      <c r="L126" s="166">
        <f t="shared" si="164"/>
        <v>-213.18115896000032</v>
      </c>
      <c r="M126" s="166">
        <f t="shared" si="164"/>
        <v>-156.33284990400014</v>
      </c>
      <c r="N126" s="166">
        <f>+N123*(M109-N109)</f>
        <v>-85.983067447200014</v>
      </c>
      <c r="O126" s="166">
        <f t="shared" ref="O126:Q126" si="165">+O123*(N109-O109)</f>
        <v>0</v>
      </c>
      <c r="P126" s="166">
        <f t="shared" si="165"/>
        <v>0</v>
      </c>
      <c r="Q126" s="166">
        <f t="shared" si="165"/>
        <v>0</v>
      </c>
      <c r="R126" s="166"/>
      <c r="S126">
        <f>IF($B$108="ADB","A9",9)</f>
        <v>9</v>
      </c>
    </row>
    <row r="127" spans="1:19" x14ac:dyDescent="0.25">
      <c r="A127" s="39">
        <f>SUM(D127:Q127)</f>
        <v>-394.39160411112039</v>
      </c>
      <c r="B127" s="168" t="s">
        <v>283</v>
      </c>
      <c r="C127" s="166"/>
      <c r="D127" s="166"/>
      <c r="E127" s="166"/>
      <c r="F127" s="166">
        <f t="shared" ref="F127:N127" si="166">+F114*(F109-E109)</f>
        <v>0</v>
      </c>
      <c r="G127" s="166">
        <f t="shared" si="166"/>
        <v>0</v>
      </c>
      <c r="H127" s="166">
        <f t="shared" si="166"/>
        <v>0</v>
      </c>
      <c r="I127" s="166">
        <f t="shared" si="166"/>
        <v>0</v>
      </c>
      <c r="J127" s="166">
        <f t="shared" si="166"/>
        <v>0</v>
      </c>
      <c r="K127" s="166">
        <f t="shared" si="166"/>
        <v>-64.600351200000077</v>
      </c>
      <c r="L127" s="166">
        <f t="shared" si="166"/>
        <v>-71.06038632000012</v>
      </c>
      <c r="M127" s="166">
        <f t="shared" si="166"/>
        <v>-78.166424952000085</v>
      </c>
      <c r="N127" s="166">
        <f t="shared" si="166"/>
        <v>-85.983067447200028</v>
      </c>
      <c r="O127" s="166">
        <f t="shared" ref="O127" si="167">+O114*(O109-N109)</f>
        <v>-94.581374191920062</v>
      </c>
      <c r="P127" s="166">
        <f t="shared" ref="P127" si="168">+P114*(P109-O109)</f>
        <v>0</v>
      </c>
      <c r="Q127" s="166">
        <f t="shared" ref="Q127" si="169">+Q114*(Q109-P109)</f>
        <v>0</v>
      </c>
      <c r="R127" s="166"/>
      <c r="S127">
        <f>IF($B$108="ADB","A10",10)</f>
        <v>10</v>
      </c>
    </row>
    <row r="128" spans="1:19" x14ac:dyDescent="0.25">
      <c r="A128" s="39">
        <f>SUM(D128:Q128)</f>
        <v>-1401.9280452223209</v>
      </c>
      <c r="B128" s="170" t="s">
        <v>284</v>
      </c>
      <c r="C128" s="171"/>
      <c r="D128" s="171"/>
      <c r="E128" s="171"/>
      <c r="F128" s="171">
        <f>+F127+F126</f>
        <v>0</v>
      </c>
      <c r="G128" s="171">
        <f t="shared" ref="G128:N128" si="170">+G127+G126</f>
        <v>0</v>
      </c>
      <c r="H128" s="171">
        <f t="shared" si="170"/>
        <v>0</v>
      </c>
      <c r="I128" s="171">
        <f t="shared" si="170"/>
        <v>0</v>
      </c>
      <c r="J128" s="171">
        <f t="shared" ref="J128:K128" si="171">+J127+J126</f>
        <v>-293.63795999999979</v>
      </c>
      <c r="K128" s="171">
        <f t="shared" si="171"/>
        <v>-323.0017560000004</v>
      </c>
      <c r="L128" s="171">
        <f t="shared" si="170"/>
        <v>-284.24154528000042</v>
      </c>
      <c r="M128" s="171">
        <f t="shared" si="170"/>
        <v>-234.49927485600023</v>
      </c>
      <c r="N128" s="171">
        <f t="shared" si="170"/>
        <v>-171.96613489440006</v>
      </c>
      <c r="O128" s="171">
        <f t="shared" ref="O128:Q128" si="172">+O127+O126</f>
        <v>-94.581374191920062</v>
      </c>
      <c r="P128" s="171">
        <f t="shared" si="172"/>
        <v>0</v>
      </c>
      <c r="Q128" s="171">
        <f t="shared" si="172"/>
        <v>0</v>
      </c>
      <c r="R128" s="166"/>
    </row>
    <row r="130" spans="1:19" x14ac:dyDescent="0.25">
      <c r="B130" s="173" t="s">
        <v>279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9" hidden="1" x14ac:dyDescent="0.25">
      <c r="A131" s="166"/>
      <c r="B131" s="166" t="s">
        <v>212</v>
      </c>
      <c r="C131" s="166"/>
      <c r="D131" s="114">
        <f>+turnover!D$122</f>
        <v>1.4656</v>
      </c>
      <c r="E131" s="114">
        <f>+turnover!E$122</f>
        <v>1.5874999999999999</v>
      </c>
      <c r="F131" s="114">
        <f>+turnover!F$122</f>
        <v>1.714</v>
      </c>
      <c r="G131" s="114">
        <f>+turnover!G$122</f>
        <v>1.89</v>
      </c>
      <c r="H131" s="114">
        <f>+turnover!H$122</f>
        <v>2.0790000000000002</v>
      </c>
      <c r="I131" s="114">
        <f>+turnover!I$122</f>
        <v>2.2869000000000002</v>
      </c>
      <c r="J131" s="114">
        <f>+turnover!J$122</f>
        <v>2.51559</v>
      </c>
      <c r="K131" s="114">
        <f>+turnover!K$122</f>
        <v>2.7671490000000003</v>
      </c>
      <c r="L131" s="114">
        <f>+turnover!L$122</f>
        <v>3.0438639000000007</v>
      </c>
      <c r="M131" s="114">
        <f>+turnover!M$122</f>
        <v>3.3482502900000011</v>
      </c>
      <c r="N131" s="114">
        <f>+turnover!N$122</f>
        <v>3.6830753190000012</v>
      </c>
      <c r="O131" s="114">
        <f>+turnover!O$122</f>
        <v>4.0513828509000014</v>
      </c>
      <c r="P131" s="114">
        <f>+turnover!P$122</f>
        <v>4.4565211359900019</v>
      </c>
      <c r="Q131" s="114">
        <f>+turnover!Q$122</f>
        <v>4.9021732495890031</v>
      </c>
      <c r="R131" s="114"/>
    </row>
    <row r="132" spans="1:19" x14ac:dyDescent="0.25">
      <c r="A132" s="166"/>
      <c r="B132" s="167" t="s">
        <v>299</v>
      </c>
      <c r="C132" s="153">
        <f>+PL!C$2</f>
        <v>2008</v>
      </c>
      <c r="D132" s="153">
        <f>+PL!D$2</f>
        <v>2009</v>
      </c>
      <c r="E132" s="153">
        <f>+PL!E$2</f>
        <v>2010</v>
      </c>
      <c r="F132" s="153">
        <f>+PL!F$2</f>
        <v>2011</v>
      </c>
      <c r="G132" s="153">
        <f>+PL!G$2</f>
        <v>2012</v>
      </c>
      <c r="H132" s="153">
        <f>+PL!H$2</f>
        <v>2013</v>
      </c>
      <c r="I132" s="153">
        <f>+PL!I$2</f>
        <v>2014</v>
      </c>
      <c r="J132" s="153">
        <f>+PL!J$2</f>
        <v>2015</v>
      </c>
      <c r="K132" s="153">
        <f>+PL!K$2</f>
        <v>2016</v>
      </c>
      <c r="L132" s="153">
        <f>+PL!L$2</f>
        <v>2017</v>
      </c>
      <c r="M132" s="153">
        <f>+PL!M$2</f>
        <v>2018</v>
      </c>
      <c r="N132" s="153">
        <f>+PL!N$2</f>
        <v>2019</v>
      </c>
      <c r="O132" s="153">
        <f>+PL!O$2</f>
        <v>2020</v>
      </c>
      <c r="P132" s="153">
        <f>+PL!P$2</f>
        <v>2021</v>
      </c>
      <c r="Q132" s="153">
        <f>+PL!Q$2</f>
        <v>2022</v>
      </c>
      <c r="R132" s="151"/>
    </row>
    <row r="133" spans="1:19" x14ac:dyDescent="0.25">
      <c r="A133" s="39">
        <f>SUM(D133:Q133)</f>
        <v>0</v>
      </c>
      <c r="B133" s="168" t="s">
        <v>177</v>
      </c>
      <c r="C133" s="166"/>
      <c r="D133" s="169"/>
      <c r="E133" s="169"/>
      <c r="F133" s="169"/>
      <c r="G133" s="169"/>
      <c r="H133" s="169">
        <v>0</v>
      </c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>
        <f>IF($B$130="ADB","A1",1)</f>
        <v>1</v>
      </c>
    </row>
    <row r="134" spans="1:19" x14ac:dyDescent="0.25">
      <c r="A134" s="39">
        <f>SUM(D134:Q134)</f>
        <v>0</v>
      </c>
      <c r="B134" s="168" t="s">
        <v>178</v>
      </c>
      <c r="C134" s="166"/>
      <c r="D134" s="169">
        <f t="shared" ref="D134:N134" si="173">+D133*D131</f>
        <v>0</v>
      </c>
      <c r="E134" s="169">
        <f t="shared" si="173"/>
        <v>0</v>
      </c>
      <c r="F134" s="169">
        <f t="shared" si="173"/>
        <v>0</v>
      </c>
      <c r="G134" s="169">
        <f t="shared" si="173"/>
        <v>0</v>
      </c>
      <c r="H134" s="169">
        <f t="shared" si="173"/>
        <v>0</v>
      </c>
      <c r="I134" s="169">
        <f t="shared" si="173"/>
        <v>0</v>
      </c>
      <c r="J134" s="169">
        <f t="shared" si="173"/>
        <v>0</v>
      </c>
      <c r="K134" s="169">
        <f t="shared" si="173"/>
        <v>0</v>
      </c>
      <c r="L134" s="169">
        <f t="shared" si="173"/>
        <v>0</v>
      </c>
      <c r="M134" s="169">
        <f t="shared" si="173"/>
        <v>0</v>
      </c>
      <c r="N134" s="169">
        <f t="shared" si="173"/>
        <v>0</v>
      </c>
      <c r="O134" s="169">
        <f t="shared" ref="O134:Q134" si="174">+O133*O131</f>
        <v>0</v>
      </c>
      <c r="P134" s="169">
        <f t="shared" si="174"/>
        <v>0</v>
      </c>
      <c r="Q134" s="169">
        <f t="shared" si="174"/>
        <v>0</v>
      </c>
      <c r="R134" s="169"/>
      <c r="S134">
        <f>IF($B$130="ADB","A2",2)</f>
        <v>2</v>
      </c>
    </row>
    <row r="135" spans="1:19" x14ac:dyDescent="0.25">
      <c r="A135" s="166" t="e">
        <f>+A134/A133</f>
        <v>#DIV/0!</v>
      </c>
      <c r="B135" s="168"/>
      <c r="C135" s="166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</row>
    <row r="136" spans="1:19" x14ac:dyDescent="0.25">
      <c r="A136" s="39">
        <f>-SUM(D136:Q136)</f>
        <v>0</v>
      </c>
      <c r="B136" s="168" t="s">
        <v>179</v>
      </c>
      <c r="C136" s="166"/>
      <c r="D136" s="39"/>
      <c r="E136" s="39"/>
      <c r="F136" s="39"/>
      <c r="G136" s="39"/>
      <c r="H136" s="39"/>
      <c r="I136" s="39">
        <f>-+A133/5</f>
        <v>0</v>
      </c>
      <c r="J136" s="39">
        <f>+I136</f>
        <v>0</v>
      </c>
      <c r="K136" s="39">
        <f>+J136</f>
        <v>0</v>
      </c>
      <c r="L136" s="39">
        <f>+K136</f>
        <v>0</v>
      </c>
      <c r="M136" s="39">
        <f>+L136</f>
        <v>0</v>
      </c>
      <c r="N136" s="39">
        <f>-J133</f>
        <v>0</v>
      </c>
      <c r="O136" s="39">
        <f t="shared" ref="O136:Q136" si="175">-K133</f>
        <v>0</v>
      </c>
      <c r="P136" s="39">
        <f t="shared" si="175"/>
        <v>0</v>
      </c>
      <c r="Q136" s="39">
        <f t="shared" si="175"/>
        <v>0</v>
      </c>
      <c r="R136" s="39"/>
      <c r="S136">
        <f>IF($B$130="ADB","A3",3)</f>
        <v>3</v>
      </c>
    </row>
    <row r="137" spans="1:19" x14ac:dyDescent="0.25">
      <c r="A137" s="166"/>
      <c r="B137" s="168" t="s">
        <v>180</v>
      </c>
      <c r="C137" s="166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>
        <f>IF($B$130="ADB","A4",4)</f>
        <v>4</v>
      </c>
    </row>
    <row r="138" spans="1:19" x14ac:dyDescent="0.25">
      <c r="A138" s="39">
        <f>SUM(D138:Q138)</f>
        <v>0</v>
      </c>
      <c r="B138" s="168" t="s">
        <v>246</v>
      </c>
      <c r="C138" s="166"/>
      <c r="D138" s="39"/>
      <c r="E138" s="39"/>
      <c r="F138" s="39"/>
      <c r="G138" s="39">
        <f t="shared" ref="G138:N138" si="176">+G136*G131</f>
        <v>0</v>
      </c>
      <c r="H138" s="39">
        <f t="shared" si="176"/>
        <v>0</v>
      </c>
      <c r="I138" s="39">
        <f t="shared" si="176"/>
        <v>0</v>
      </c>
      <c r="J138" s="39">
        <f t="shared" si="176"/>
        <v>0</v>
      </c>
      <c r="K138" s="39">
        <f t="shared" si="176"/>
        <v>0</v>
      </c>
      <c r="L138" s="39">
        <f t="shared" si="176"/>
        <v>0</v>
      </c>
      <c r="M138" s="39">
        <f t="shared" si="176"/>
        <v>0</v>
      </c>
      <c r="N138" s="39">
        <f t="shared" si="176"/>
        <v>0</v>
      </c>
      <c r="O138" s="39">
        <f t="shared" ref="O138:Q138" si="177">+O136*O131</f>
        <v>0</v>
      </c>
      <c r="P138" s="39">
        <f t="shared" si="177"/>
        <v>0</v>
      </c>
      <c r="Q138" s="39">
        <f t="shared" si="177"/>
        <v>0</v>
      </c>
      <c r="R138" s="39"/>
      <c r="S138">
        <f>IF($B$130="ADB","A5",5)</f>
        <v>5</v>
      </c>
    </row>
    <row r="139" spans="1:19" x14ac:dyDescent="0.25">
      <c r="A139" s="39">
        <f>SUM(D139:Q139)</f>
        <v>0</v>
      </c>
      <c r="B139" s="168" t="s">
        <v>286</v>
      </c>
      <c r="C139" s="166"/>
      <c r="D139" s="39"/>
      <c r="E139" s="39"/>
      <c r="F139" s="39"/>
      <c r="G139" s="39">
        <f>+G136*$A$69</f>
        <v>0</v>
      </c>
      <c r="H139" s="39">
        <f t="shared" ref="H139:N139" si="178">+H136*$A$69</f>
        <v>0</v>
      </c>
      <c r="I139" s="39">
        <f t="shared" si="178"/>
        <v>0</v>
      </c>
      <c r="J139" s="39">
        <f t="shared" si="178"/>
        <v>0</v>
      </c>
      <c r="K139" s="39">
        <f t="shared" si="178"/>
        <v>0</v>
      </c>
      <c r="L139" s="39">
        <f t="shared" si="178"/>
        <v>0</v>
      </c>
      <c r="M139" s="39">
        <f t="shared" si="178"/>
        <v>0</v>
      </c>
      <c r="N139" s="39">
        <f t="shared" si="178"/>
        <v>0</v>
      </c>
      <c r="O139" s="39">
        <f t="shared" ref="O139:Q139" si="179">+O136*$A$69</f>
        <v>0</v>
      </c>
      <c r="P139" s="39">
        <f t="shared" si="179"/>
        <v>0</v>
      </c>
      <c r="Q139" s="39">
        <f t="shared" si="179"/>
        <v>0</v>
      </c>
      <c r="R139" s="39"/>
      <c r="S139">
        <f>IF($B$130="ADB","A6",6)</f>
        <v>6</v>
      </c>
    </row>
    <row r="140" spans="1:19" x14ac:dyDescent="0.25">
      <c r="A140" s="1">
        <f>+A138-A139</f>
        <v>0</v>
      </c>
      <c r="B140" s="168"/>
      <c r="C140" s="166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</row>
    <row r="141" spans="1:19" x14ac:dyDescent="0.25">
      <c r="A141" s="39">
        <f>SUM(D141:Q141)</f>
        <v>0</v>
      </c>
      <c r="B141" s="168" t="s">
        <v>280</v>
      </c>
      <c r="C141" s="166"/>
      <c r="D141" s="39"/>
      <c r="E141" s="39">
        <f>+E133+E136</f>
        <v>0</v>
      </c>
      <c r="F141" s="39">
        <f t="shared" ref="F141:N141" si="180">+F133+F136</f>
        <v>0</v>
      </c>
      <c r="G141" s="39">
        <f t="shared" si="180"/>
        <v>0</v>
      </c>
      <c r="H141" s="39">
        <f t="shared" si="180"/>
        <v>0</v>
      </c>
      <c r="I141" s="39">
        <f t="shared" si="180"/>
        <v>0</v>
      </c>
      <c r="J141" s="39">
        <f t="shared" si="180"/>
        <v>0</v>
      </c>
      <c r="K141" s="39">
        <f t="shared" si="180"/>
        <v>0</v>
      </c>
      <c r="L141" s="39">
        <f t="shared" si="180"/>
        <v>0</v>
      </c>
      <c r="M141" s="39">
        <f t="shared" si="180"/>
        <v>0</v>
      </c>
      <c r="N141" s="39">
        <f t="shared" si="180"/>
        <v>0</v>
      </c>
      <c r="O141" s="39">
        <f t="shared" ref="O141:Q141" si="181">+O133+O136</f>
        <v>0</v>
      </c>
      <c r="P141" s="39">
        <f t="shared" si="181"/>
        <v>0</v>
      </c>
      <c r="Q141" s="39">
        <f t="shared" si="181"/>
        <v>0</v>
      </c>
      <c r="R141" s="39"/>
    </row>
    <row r="142" spans="1:19" x14ac:dyDescent="0.25">
      <c r="A142" s="39">
        <f>SUM(D142:Q142)</f>
        <v>0</v>
      </c>
      <c r="B142" s="168" t="s">
        <v>281</v>
      </c>
      <c r="C142" s="166"/>
      <c r="D142" s="39"/>
      <c r="E142" s="39">
        <f>+E134+E137</f>
        <v>0</v>
      </c>
      <c r="F142" s="39">
        <f>+F134+F138</f>
        <v>0</v>
      </c>
      <c r="G142" s="39">
        <f t="shared" ref="G142:N142" si="182">+G134+G138</f>
        <v>0</v>
      </c>
      <c r="H142" s="39">
        <f t="shared" si="182"/>
        <v>0</v>
      </c>
      <c r="I142" s="39">
        <f t="shared" si="182"/>
        <v>0</v>
      </c>
      <c r="J142" s="39">
        <f t="shared" si="182"/>
        <v>0</v>
      </c>
      <c r="K142" s="39">
        <f t="shared" si="182"/>
        <v>0</v>
      </c>
      <c r="L142" s="39">
        <f t="shared" si="182"/>
        <v>0</v>
      </c>
      <c r="M142" s="39">
        <f t="shared" si="182"/>
        <v>0</v>
      </c>
      <c r="N142" s="39">
        <f t="shared" si="182"/>
        <v>0</v>
      </c>
      <c r="O142" s="39">
        <f t="shared" ref="O142:Q142" si="183">+O134+O138</f>
        <v>0</v>
      </c>
      <c r="P142" s="39">
        <f t="shared" si="183"/>
        <v>0</v>
      </c>
      <c r="Q142" s="39">
        <f t="shared" si="183"/>
        <v>0</v>
      </c>
      <c r="R142" s="39"/>
    </row>
    <row r="143" spans="1:19" x14ac:dyDescent="0.25">
      <c r="A143" s="166"/>
      <c r="B143" s="168" t="s">
        <v>181</v>
      </c>
      <c r="C143" s="166"/>
      <c r="D143" s="39">
        <f t="shared" ref="D143:N143" si="184">+D133+C143</f>
        <v>0</v>
      </c>
      <c r="E143" s="39">
        <f t="shared" si="184"/>
        <v>0</v>
      </c>
      <c r="F143" s="39">
        <f t="shared" si="184"/>
        <v>0</v>
      </c>
      <c r="G143" s="39">
        <f t="shared" si="184"/>
        <v>0</v>
      </c>
      <c r="H143" s="39">
        <f t="shared" si="184"/>
        <v>0</v>
      </c>
      <c r="I143" s="39">
        <f t="shared" si="184"/>
        <v>0</v>
      </c>
      <c r="J143" s="39">
        <f t="shared" si="184"/>
        <v>0</v>
      </c>
      <c r="K143" s="39">
        <f t="shared" si="184"/>
        <v>0</v>
      </c>
      <c r="L143" s="39">
        <f t="shared" si="184"/>
        <v>0</v>
      </c>
      <c r="M143" s="39">
        <f t="shared" si="184"/>
        <v>0</v>
      </c>
      <c r="N143" s="39">
        <f t="shared" si="184"/>
        <v>0</v>
      </c>
      <c r="O143" s="39">
        <f t="shared" ref="O143" si="185">+O133+N143</f>
        <v>0</v>
      </c>
      <c r="P143" s="39">
        <f t="shared" ref="P143" si="186">+P133+O143</f>
        <v>0</v>
      </c>
      <c r="Q143" s="39">
        <f t="shared" ref="Q143" si="187">+Q133+P143</f>
        <v>0</v>
      </c>
      <c r="R143" s="39"/>
    </row>
    <row r="144" spans="1:19" x14ac:dyDescent="0.25">
      <c r="A144" s="166"/>
      <c r="B144" s="168" t="s">
        <v>182</v>
      </c>
      <c r="C144" s="166"/>
      <c r="D144" s="39">
        <f t="shared" ref="D144:N144" si="188">+D136+C144</f>
        <v>0</v>
      </c>
      <c r="E144" s="39">
        <f t="shared" si="188"/>
        <v>0</v>
      </c>
      <c r="F144" s="39">
        <f t="shared" si="188"/>
        <v>0</v>
      </c>
      <c r="G144" s="39">
        <f t="shared" si="188"/>
        <v>0</v>
      </c>
      <c r="H144" s="39">
        <f t="shared" si="188"/>
        <v>0</v>
      </c>
      <c r="I144" s="39">
        <f t="shared" si="188"/>
        <v>0</v>
      </c>
      <c r="J144" s="39">
        <f t="shared" si="188"/>
        <v>0</v>
      </c>
      <c r="K144" s="39">
        <f t="shared" si="188"/>
        <v>0</v>
      </c>
      <c r="L144" s="39">
        <f t="shared" si="188"/>
        <v>0</v>
      </c>
      <c r="M144" s="39">
        <f t="shared" si="188"/>
        <v>0</v>
      </c>
      <c r="N144" s="39">
        <f t="shared" si="188"/>
        <v>0</v>
      </c>
      <c r="O144" s="39">
        <f t="shared" ref="O144" si="189">+O136+N144</f>
        <v>0</v>
      </c>
      <c r="P144" s="39">
        <f t="shared" ref="P144" si="190">+P136+O144</f>
        <v>0</v>
      </c>
      <c r="Q144" s="39">
        <f t="shared" ref="Q144" si="191">+Q136+P144</f>
        <v>0</v>
      </c>
      <c r="R144" s="39"/>
    </row>
    <row r="145" spans="1:19" x14ac:dyDescent="0.25">
      <c r="A145" s="166"/>
      <c r="B145" s="156" t="s">
        <v>285</v>
      </c>
      <c r="C145" s="151"/>
      <c r="D145" s="158">
        <f>+D144+D143</f>
        <v>0</v>
      </c>
      <c r="E145" s="158">
        <f t="shared" ref="E145:N145" si="192">+E144+E143</f>
        <v>0</v>
      </c>
      <c r="F145" s="158">
        <f t="shared" si="192"/>
        <v>0</v>
      </c>
      <c r="G145" s="158">
        <f t="shared" si="192"/>
        <v>0</v>
      </c>
      <c r="H145" s="158">
        <f t="shared" si="192"/>
        <v>0</v>
      </c>
      <c r="I145" s="158">
        <f t="shared" si="192"/>
        <v>0</v>
      </c>
      <c r="J145" s="158">
        <f t="shared" si="192"/>
        <v>0</v>
      </c>
      <c r="K145" s="158">
        <f t="shared" si="192"/>
        <v>0</v>
      </c>
      <c r="L145" s="158">
        <f t="shared" si="192"/>
        <v>0</v>
      </c>
      <c r="M145" s="158">
        <f t="shared" si="192"/>
        <v>0</v>
      </c>
      <c r="N145" s="158">
        <f t="shared" si="192"/>
        <v>0</v>
      </c>
      <c r="O145" s="158">
        <f t="shared" ref="O145:Q145" si="193">+O144+O143</f>
        <v>0</v>
      </c>
      <c r="P145" s="158">
        <f t="shared" si="193"/>
        <v>0</v>
      </c>
      <c r="Q145" s="158">
        <f t="shared" si="193"/>
        <v>0</v>
      </c>
      <c r="R145" s="158"/>
    </row>
    <row r="146" spans="1:19" ht="16.5" thickBot="1" x14ac:dyDescent="0.3">
      <c r="A146" s="166"/>
      <c r="B146" s="156" t="s">
        <v>244</v>
      </c>
      <c r="C146" s="151"/>
      <c r="D146" s="158">
        <f t="shared" ref="D146:N146" si="194">+D131*D145</f>
        <v>0</v>
      </c>
      <c r="E146" s="158">
        <f t="shared" si="194"/>
        <v>0</v>
      </c>
      <c r="F146" s="158">
        <f t="shared" si="194"/>
        <v>0</v>
      </c>
      <c r="G146" s="158">
        <f t="shared" si="194"/>
        <v>0</v>
      </c>
      <c r="H146" s="158">
        <f t="shared" si="194"/>
        <v>0</v>
      </c>
      <c r="I146" s="158">
        <f t="shared" si="194"/>
        <v>0</v>
      </c>
      <c r="J146" s="158">
        <f t="shared" si="194"/>
        <v>0</v>
      </c>
      <c r="K146" s="158">
        <f t="shared" si="194"/>
        <v>0</v>
      </c>
      <c r="L146" s="158">
        <f t="shared" si="194"/>
        <v>0</v>
      </c>
      <c r="M146" s="158">
        <f t="shared" si="194"/>
        <v>0</v>
      </c>
      <c r="N146" s="158">
        <f t="shared" si="194"/>
        <v>0</v>
      </c>
      <c r="O146" s="158">
        <f t="shared" ref="O146:Q146" si="195">+O131*O145</f>
        <v>0</v>
      </c>
      <c r="P146" s="158">
        <f t="shared" si="195"/>
        <v>0</v>
      </c>
      <c r="Q146" s="158">
        <f t="shared" si="195"/>
        <v>0</v>
      </c>
      <c r="R146" s="158"/>
      <c r="S146">
        <f>IF($B$130="ADB","A7",7)</f>
        <v>7</v>
      </c>
    </row>
    <row r="147" spans="1:19" s="174" customFormat="1" ht="16.5" thickBot="1" x14ac:dyDescent="0.3">
      <c r="A147" s="290">
        <f>SUM(D147:Q147)</f>
        <v>0</v>
      </c>
      <c r="B147" s="291" t="s">
        <v>213</v>
      </c>
      <c r="C147" s="292"/>
      <c r="D147" s="293">
        <f>D138-D139</f>
        <v>0</v>
      </c>
      <c r="E147" s="293">
        <f>E138-E139</f>
        <v>0</v>
      </c>
      <c r="F147" s="293">
        <f>F138-F139</f>
        <v>0</v>
      </c>
      <c r="G147" s="293">
        <f t="shared" ref="G147:N147" si="196">G138-G139</f>
        <v>0</v>
      </c>
      <c r="H147" s="293">
        <f t="shared" si="196"/>
        <v>0</v>
      </c>
      <c r="I147" s="293">
        <f t="shared" si="196"/>
        <v>0</v>
      </c>
      <c r="J147" s="293">
        <f t="shared" si="196"/>
        <v>0</v>
      </c>
      <c r="K147" s="293">
        <f t="shared" si="196"/>
        <v>0</v>
      </c>
      <c r="L147" s="293">
        <f t="shared" si="196"/>
        <v>0</v>
      </c>
      <c r="M147" s="293">
        <f t="shared" si="196"/>
        <v>0</v>
      </c>
      <c r="N147" s="293">
        <f t="shared" si="196"/>
        <v>0</v>
      </c>
      <c r="O147" s="293">
        <f t="shared" ref="O147:Q147" si="197">O138-O139</f>
        <v>0</v>
      </c>
      <c r="P147" s="293">
        <f t="shared" si="197"/>
        <v>0</v>
      </c>
      <c r="Q147" s="293">
        <f t="shared" si="197"/>
        <v>0</v>
      </c>
      <c r="R147" s="694"/>
      <c r="S147" s="174">
        <f>IF($B$86="ADB","A8",8)</f>
        <v>8</v>
      </c>
    </row>
    <row r="148" spans="1:19" x14ac:dyDescent="0.25">
      <c r="A148" s="39">
        <f>SUM(D148:Q148)</f>
        <v>0</v>
      </c>
      <c r="B148" s="168" t="s">
        <v>282</v>
      </c>
      <c r="C148" s="166"/>
      <c r="D148" s="166"/>
      <c r="E148" s="166"/>
      <c r="F148" s="166">
        <f>IF(F145&lt;E145,+F145*(E131-F131),0)</f>
        <v>0</v>
      </c>
      <c r="G148" s="166">
        <f>IF(G145&lt;F145,+G145*(F131-G131),0)</f>
        <v>0</v>
      </c>
      <c r="H148" s="166">
        <f t="shared" ref="H148:M148" si="198">IF(H145&lt;G145,+H145*(G131-H131),0)</f>
        <v>0</v>
      </c>
      <c r="I148" s="166">
        <f t="shared" si="198"/>
        <v>0</v>
      </c>
      <c r="J148" s="166">
        <f t="shared" si="198"/>
        <v>0</v>
      </c>
      <c r="K148" s="166">
        <f t="shared" si="198"/>
        <v>0</v>
      </c>
      <c r="L148" s="166">
        <f t="shared" si="198"/>
        <v>0</v>
      </c>
      <c r="M148" s="166">
        <f t="shared" si="198"/>
        <v>0</v>
      </c>
      <c r="N148" s="166">
        <f>+N145*(M131-N131)</f>
        <v>0</v>
      </c>
      <c r="O148" s="166">
        <f t="shared" ref="O148:Q148" si="199">+O145*(N131-O131)</f>
        <v>0</v>
      </c>
      <c r="P148" s="166">
        <f t="shared" si="199"/>
        <v>0</v>
      </c>
      <c r="Q148" s="166">
        <f t="shared" si="199"/>
        <v>0</v>
      </c>
      <c r="R148" s="166"/>
      <c r="S148">
        <f>IF($B$130="ADB","A9",9)</f>
        <v>9</v>
      </c>
    </row>
    <row r="149" spans="1:19" x14ac:dyDescent="0.25">
      <c r="A149" s="39">
        <f>SUM(D149:Q149)</f>
        <v>0</v>
      </c>
      <c r="B149" s="168" t="s">
        <v>283</v>
      </c>
      <c r="C149" s="166"/>
      <c r="D149" s="166"/>
      <c r="E149" s="166"/>
      <c r="F149" s="166">
        <f t="shared" ref="F149:N149" si="200">+F136*(F131-E131)</f>
        <v>0</v>
      </c>
      <c r="G149" s="166">
        <f t="shared" si="200"/>
        <v>0</v>
      </c>
      <c r="H149" s="166">
        <f t="shared" si="200"/>
        <v>0</v>
      </c>
      <c r="I149" s="166">
        <f t="shared" si="200"/>
        <v>0</v>
      </c>
      <c r="J149" s="166">
        <f t="shared" si="200"/>
        <v>0</v>
      </c>
      <c r="K149" s="166">
        <f t="shared" si="200"/>
        <v>0</v>
      </c>
      <c r="L149" s="166">
        <f t="shared" si="200"/>
        <v>0</v>
      </c>
      <c r="M149" s="166">
        <f t="shared" si="200"/>
        <v>0</v>
      </c>
      <c r="N149" s="166">
        <f t="shared" si="200"/>
        <v>0</v>
      </c>
      <c r="O149" s="166">
        <f t="shared" ref="O149" si="201">+O136*(O131-N131)</f>
        <v>0</v>
      </c>
      <c r="P149" s="166">
        <f t="shared" ref="P149" si="202">+P136*(P131-O131)</f>
        <v>0</v>
      </c>
      <c r="Q149" s="166">
        <f t="shared" ref="Q149" si="203">+Q136*(Q131-P131)</f>
        <v>0</v>
      </c>
      <c r="R149" s="166"/>
      <c r="S149">
        <f>IF($B$130="ADB","A10",10)</f>
        <v>10</v>
      </c>
    </row>
    <row r="150" spans="1:19" x14ac:dyDescent="0.25">
      <c r="A150" s="39">
        <f>SUM(D150:Q150)</f>
        <v>0</v>
      </c>
      <c r="B150" s="170" t="s">
        <v>284</v>
      </c>
      <c r="C150" s="171"/>
      <c r="D150" s="171"/>
      <c r="E150" s="171"/>
      <c r="F150" s="171">
        <f>+F149+F148</f>
        <v>0</v>
      </c>
      <c r="G150" s="171">
        <f t="shared" ref="G150:N150" si="204">+G149+G148</f>
        <v>0</v>
      </c>
      <c r="H150" s="171">
        <f t="shared" si="204"/>
        <v>0</v>
      </c>
      <c r="I150" s="171">
        <f t="shared" si="204"/>
        <v>0</v>
      </c>
      <c r="J150" s="171">
        <f t="shared" si="204"/>
        <v>0</v>
      </c>
      <c r="K150" s="171">
        <f t="shared" si="204"/>
        <v>0</v>
      </c>
      <c r="L150" s="171">
        <f t="shared" si="204"/>
        <v>0</v>
      </c>
      <c r="M150" s="171">
        <f t="shared" si="204"/>
        <v>0</v>
      </c>
      <c r="N150" s="171">
        <f t="shared" si="204"/>
        <v>0</v>
      </c>
      <c r="O150" s="171">
        <f t="shared" ref="O150:Q150" si="205">+O149+O148</f>
        <v>0</v>
      </c>
      <c r="P150" s="171">
        <f t="shared" si="205"/>
        <v>0</v>
      </c>
      <c r="Q150" s="171">
        <f t="shared" si="205"/>
        <v>0</v>
      </c>
      <c r="R150" s="166"/>
    </row>
    <row r="152" spans="1:19" x14ac:dyDescent="0.25">
      <c r="B152" s="174" t="s">
        <v>279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9" hidden="1" x14ac:dyDescent="0.25">
      <c r="A153" s="166"/>
      <c r="B153" s="166" t="s">
        <v>212</v>
      </c>
      <c r="C153" s="166"/>
      <c r="D153" s="114">
        <f>+turnover!D$122</f>
        <v>1.4656</v>
      </c>
      <c r="E153" s="114">
        <f>+turnover!E$122</f>
        <v>1.5874999999999999</v>
      </c>
      <c r="F153" s="114">
        <f>+turnover!F$122</f>
        <v>1.714</v>
      </c>
      <c r="G153" s="114">
        <f>+turnover!G$122</f>
        <v>1.89</v>
      </c>
      <c r="H153" s="114">
        <f>+turnover!H$122</f>
        <v>2.0790000000000002</v>
      </c>
      <c r="I153" s="114">
        <f>+turnover!I$122</f>
        <v>2.2869000000000002</v>
      </c>
      <c r="J153" s="114">
        <f>+turnover!J$122</f>
        <v>2.51559</v>
      </c>
      <c r="K153" s="114">
        <f>+turnover!K$122</f>
        <v>2.7671490000000003</v>
      </c>
      <c r="L153" s="114">
        <f>+turnover!L$122</f>
        <v>3.0438639000000007</v>
      </c>
      <c r="M153" s="114">
        <f>+turnover!M$122</f>
        <v>3.3482502900000011</v>
      </c>
      <c r="N153" s="114">
        <f>+turnover!N$122</f>
        <v>3.6830753190000012</v>
      </c>
      <c r="O153" s="114">
        <f>+turnover!O$122</f>
        <v>4.0513828509000014</v>
      </c>
      <c r="P153" s="114">
        <f>+turnover!P$122</f>
        <v>4.4565211359900019</v>
      </c>
      <c r="Q153" s="114">
        <f>+turnover!Q$122</f>
        <v>4.9021732495890031</v>
      </c>
      <c r="R153" s="114"/>
    </row>
    <row r="154" spans="1:19" x14ac:dyDescent="0.25">
      <c r="A154" s="166"/>
      <c r="B154" s="167" t="s">
        <v>300</v>
      </c>
      <c r="C154" s="153">
        <f>+PL!C$2</f>
        <v>2008</v>
      </c>
      <c r="D154" s="153">
        <f>+PL!D$2</f>
        <v>2009</v>
      </c>
      <c r="E154" s="153">
        <f>+PL!E$2</f>
        <v>2010</v>
      </c>
      <c r="F154" s="153">
        <f>+PL!F$2</f>
        <v>2011</v>
      </c>
      <c r="G154" s="153">
        <f>+PL!G$2</f>
        <v>2012</v>
      </c>
      <c r="H154" s="153">
        <f>+PL!H$2</f>
        <v>2013</v>
      </c>
      <c r="I154" s="153">
        <f>+PL!I$2</f>
        <v>2014</v>
      </c>
      <c r="J154" s="153">
        <f>+PL!J$2</f>
        <v>2015</v>
      </c>
      <c r="K154" s="153">
        <f>+PL!K$2</f>
        <v>2016</v>
      </c>
      <c r="L154" s="153">
        <f>+PL!L$2</f>
        <v>2017</v>
      </c>
      <c r="M154" s="153">
        <f>+PL!M$2</f>
        <v>2018</v>
      </c>
      <c r="N154" s="153">
        <f>+PL!N$2</f>
        <v>2019</v>
      </c>
      <c r="O154" s="153">
        <f>+PL!O$2</f>
        <v>2020</v>
      </c>
      <c r="P154" s="153">
        <f>+PL!P$2</f>
        <v>2021</v>
      </c>
      <c r="Q154" s="153">
        <f>+PL!Q$2</f>
        <v>2022</v>
      </c>
      <c r="R154" s="151"/>
    </row>
    <row r="155" spans="1:19" x14ac:dyDescent="0.25">
      <c r="A155" s="39">
        <f>SUM(D155:Q155)</f>
        <v>0</v>
      </c>
      <c r="B155" s="168" t="s">
        <v>177</v>
      </c>
      <c r="C155" s="166"/>
      <c r="D155" s="169"/>
      <c r="E155" s="169"/>
      <c r="F155" s="169"/>
      <c r="G155" s="169"/>
      <c r="H155" s="16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>
        <f>IF($B$152="ADB","A1",1)</f>
        <v>1</v>
      </c>
    </row>
    <row r="156" spans="1:19" x14ac:dyDescent="0.25">
      <c r="A156" s="39">
        <f>SUM(D156:Q156)</f>
        <v>0</v>
      </c>
      <c r="B156" s="168" t="s">
        <v>178</v>
      </c>
      <c r="C156" s="166"/>
      <c r="D156" s="169">
        <f t="shared" ref="D156:N156" si="206">+D155*D153</f>
        <v>0</v>
      </c>
      <c r="E156" s="169">
        <f t="shared" si="206"/>
        <v>0</v>
      </c>
      <c r="F156" s="169">
        <f t="shared" si="206"/>
        <v>0</v>
      </c>
      <c r="G156" s="169">
        <f t="shared" si="206"/>
        <v>0</v>
      </c>
      <c r="H156" s="169">
        <f t="shared" si="206"/>
        <v>0</v>
      </c>
      <c r="I156" s="169">
        <f t="shared" si="206"/>
        <v>0</v>
      </c>
      <c r="J156" s="169">
        <f t="shared" si="206"/>
        <v>0</v>
      </c>
      <c r="K156" s="169">
        <f t="shared" si="206"/>
        <v>0</v>
      </c>
      <c r="L156" s="169">
        <f t="shared" si="206"/>
        <v>0</v>
      </c>
      <c r="M156" s="169">
        <f t="shared" si="206"/>
        <v>0</v>
      </c>
      <c r="N156" s="169">
        <f t="shared" si="206"/>
        <v>0</v>
      </c>
      <c r="O156" s="169">
        <f t="shared" ref="O156:Q156" si="207">+O155*O153</f>
        <v>0</v>
      </c>
      <c r="P156" s="169">
        <f t="shared" si="207"/>
        <v>0</v>
      </c>
      <c r="Q156" s="169">
        <f t="shared" si="207"/>
        <v>0</v>
      </c>
      <c r="R156" s="169"/>
      <c r="S156">
        <f>IF($B$152="ADB","A2",2)</f>
        <v>2</v>
      </c>
    </row>
    <row r="157" spans="1:19" x14ac:dyDescent="0.25">
      <c r="A157" s="166" t="e">
        <f>+A156/A155</f>
        <v>#DIV/0!</v>
      </c>
      <c r="B157" s="168"/>
      <c r="C157" s="166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58" spans="1:19" x14ac:dyDescent="0.25">
      <c r="A158" s="39">
        <f>-SUM(D158:Q158)</f>
        <v>0</v>
      </c>
      <c r="B158" s="168" t="s">
        <v>179</v>
      </c>
      <c r="C158" s="166"/>
      <c r="D158" s="39"/>
      <c r="E158" s="39"/>
      <c r="F158" s="39"/>
      <c r="G158" s="39">
        <f>-A155/5</f>
        <v>0</v>
      </c>
      <c r="H158" s="39">
        <f>+G158</f>
        <v>0</v>
      </c>
      <c r="I158" s="39">
        <f>+H158</f>
        <v>0</v>
      </c>
      <c r="J158" s="39">
        <f>+I158</f>
        <v>0</v>
      </c>
      <c r="K158" s="39">
        <f>+J158</f>
        <v>0</v>
      </c>
      <c r="L158" s="39">
        <f>-H155</f>
        <v>0</v>
      </c>
      <c r="M158" s="39">
        <f>-I155</f>
        <v>0</v>
      </c>
      <c r="N158" s="39">
        <f>-J155</f>
        <v>0</v>
      </c>
      <c r="O158" s="39">
        <f t="shared" ref="O158:Q158" si="208">-K155</f>
        <v>0</v>
      </c>
      <c r="P158" s="39">
        <f t="shared" si="208"/>
        <v>0</v>
      </c>
      <c r="Q158" s="39">
        <f t="shared" si="208"/>
        <v>0</v>
      </c>
      <c r="R158" s="39"/>
      <c r="S158">
        <f>IF($B$152="ADB","A3",3)</f>
        <v>3</v>
      </c>
    </row>
    <row r="159" spans="1:19" x14ac:dyDescent="0.25">
      <c r="A159" s="166"/>
      <c r="B159" s="168" t="s">
        <v>180</v>
      </c>
      <c r="C159" s="166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>
        <f>IF($B$152="ADB","A4",4)</f>
        <v>4</v>
      </c>
    </row>
    <row r="160" spans="1:19" x14ac:dyDescent="0.25">
      <c r="A160" s="39">
        <f>SUM(D160:Q160)</f>
        <v>0</v>
      </c>
      <c r="B160" s="168" t="s">
        <v>246</v>
      </c>
      <c r="C160" s="166"/>
      <c r="D160" s="39"/>
      <c r="E160" s="39"/>
      <c r="F160" s="39"/>
      <c r="G160" s="39">
        <f t="shared" ref="G160:N160" si="209">+G158*G153</f>
        <v>0</v>
      </c>
      <c r="H160" s="39">
        <f t="shared" si="209"/>
        <v>0</v>
      </c>
      <c r="I160" s="39">
        <f t="shared" si="209"/>
        <v>0</v>
      </c>
      <c r="J160" s="39">
        <f t="shared" si="209"/>
        <v>0</v>
      </c>
      <c r="K160" s="39">
        <f t="shared" si="209"/>
        <v>0</v>
      </c>
      <c r="L160" s="39">
        <f t="shared" si="209"/>
        <v>0</v>
      </c>
      <c r="M160" s="39">
        <f t="shared" si="209"/>
        <v>0</v>
      </c>
      <c r="N160" s="39">
        <f t="shared" si="209"/>
        <v>0</v>
      </c>
      <c r="O160" s="39">
        <f t="shared" ref="O160:Q160" si="210">+O158*O153</f>
        <v>0</v>
      </c>
      <c r="P160" s="39">
        <f t="shared" si="210"/>
        <v>0</v>
      </c>
      <c r="Q160" s="39">
        <f t="shared" si="210"/>
        <v>0</v>
      </c>
      <c r="R160" s="39"/>
      <c r="S160">
        <f>IF($B$152="ADB","A5",5)</f>
        <v>5</v>
      </c>
    </row>
    <row r="161" spans="1:19" x14ac:dyDescent="0.25">
      <c r="A161" s="39">
        <f>SUM(D161:Q161)</f>
        <v>0</v>
      </c>
      <c r="B161" s="168" t="s">
        <v>286</v>
      </c>
      <c r="C161" s="166"/>
      <c r="D161" s="39"/>
      <c r="E161" s="39"/>
      <c r="F161" s="39"/>
      <c r="G161" s="39">
        <f>+G158*$A$69</f>
        <v>0</v>
      </c>
      <c r="H161" s="39">
        <f t="shared" ref="H161:N161" si="211">+H158*$A$69</f>
        <v>0</v>
      </c>
      <c r="I161" s="39">
        <f t="shared" si="211"/>
        <v>0</v>
      </c>
      <c r="J161" s="39">
        <f t="shared" si="211"/>
        <v>0</v>
      </c>
      <c r="K161" s="39">
        <f t="shared" si="211"/>
        <v>0</v>
      </c>
      <c r="L161" s="39">
        <f t="shared" si="211"/>
        <v>0</v>
      </c>
      <c r="M161" s="39">
        <f t="shared" si="211"/>
        <v>0</v>
      </c>
      <c r="N161" s="39">
        <f t="shared" si="211"/>
        <v>0</v>
      </c>
      <c r="O161" s="39">
        <f t="shared" ref="O161:Q161" si="212">+O158*$A$69</f>
        <v>0</v>
      </c>
      <c r="P161" s="39">
        <f t="shared" si="212"/>
        <v>0</v>
      </c>
      <c r="Q161" s="39">
        <f t="shared" si="212"/>
        <v>0</v>
      </c>
      <c r="R161" s="39"/>
      <c r="S161">
        <f>IF($B$152="ADB","A6",6)</f>
        <v>6</v>
      </c>
    </row>
    <row r="162" spans="1:19" x14ac:dyDescent="0.25">
      <c r="A162" s="39"/>
      <c r="B162" s="168"/>
      <c r="C162" s="166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</row>
    <row r="163" spans="1:19" x14ac:dyDescent="0.25">
      <c r="A163" s="39">
        <f>SUM(D163:Q163)</f>
        <v>0</v>
      </c>
      <c r="B163" s="168" t="s">
        <v>280</v>
      </c>
      <c r="C163" s="166"/>
      <c r="D163" s="39"/>
      <c r="E163" s="39">
        <f>+E155+E158</f>
        <v>0</v>
      </c>
      <c r="F163" s="39">
        <f t="shared" ref="F163:N163" si="213">+F155+F158</f>
        <v>0</v>
      </c>
      <c r="G163" s="39">
        <f t="shared" si="213"/>
        <v>0</v>
      </c>
      <c r="H163" s="39">
        <f t="shared" si="213"/>
        <v>0</v>
      </c>
      <c r="I163" s="39">
        <f t="shared" si="213"/>
        <v>0</v>
      </c>
      <c r="J163" s="39">
        <f t="shared" si="213"/>
        <v>0</v>
      </c>
      <c r="K163" s="39">
        <f t="shared" si="213"/>
        <v>0</v>
      </c>
      <c r="L163" s="39">
        <f t="shared" si="213"/>
        <v>0</v>
      </c>
      <c r="M163" s="39">
        <f t="shared" si="213"/>
        <v>0</v>
      </c>
      <c r="N163" s="39">
        <f t="shared" si="213"/>
        <v>0</v>
      </c>
      <c r="O163" s="39">
        <f t="shared" ref="O163:Q163" si="214">+O155+O158</f>
        <v>0</v>
      </c>
      <c r="P163" s="39">
        <f t="shared" si="214"/>
        <v>0</v>
      </c>
      <c r="Q163" s="39">
        <f t="shared" si="214"/>
        <v>0</v>
      </c>
      <c r="R163" s="39"/>
    </row>
    <row r="164" spans="1:19" x14ac:dyDescent="0.25">
      <c r="A164" s="39">
        <f>SUM(D164:Q164)</f>
        <v>0</v>
      </c>
      <c r="B164" s="168" t="s">
        <v>281</v>
      </c>
      <c r="C164" s="166"/>
      <c r="D164" s="39"/>
      <c r="E164" s="39">
        <f>+E156+E159</f>
        <v>0</v>
      </c>
      <c r="F164" s="39">
        <f>+F156+F160</f>
        <v>0</v>
      </c>
      <c r="G164" s="39">
        <f t="shared" ref="G164:N164" si="215">+G156+G160</f>
        <v>0</v>
      </c>
      <c r="H164" s="39">
        <f t="shared" si="215"/>
        <v>0</v>
      </c>
      <c r="I164" s="39">
        <f t="shared" si="215"/>
        <v>0</v>
      </c>
      <c r="J164" s="39">
        <f t="shared" si="215"/>
        <v>0</v>
      </c>
      <c r="K164" s="39">
        <f t="shared" si="215"/>
        <v>0</v>
      </c>
      <c r="L164" s="39">
        <f t="shared" si="215"/>
        <v>0</v>
      </c>
      <c r="M164" s="39">
        <f t="shared" si="215"/>
        <v>0</v>
      </c>
      <c r="N164" s="39">
        <f t="shared" si="215"/>
        <v>0</v>
      </c>
      <c r="O164" s="39">
        <f t="shared" ref="O164:Q164" si="216">+O156+O160</f>
        <v>0</v>
      </c>
      <c r="P164" s="39">
        <f t="shared" si="216"/>
        <v>0</v>
      </c>
      <c r="Q164" s="39">
        <f t="shared" si="216"/>
        <v>0</v>
      </c>
      <c r="R164" s="39"/>
    </row>
    <row r="165" spans="1:19" x14ac:dyDescent="0.25">
      <c r="A165" s="166"/>
      <c r="B165" s="168" t="s">
        <v>181</v>
      </c>
      <c r="C165" s="166"/>
      <c r="D165" s="39">
        <f t="shared" ref="D165:N165" si="217">+D155+C165</f>
        <v>0</v>
      </c>
      <c r="E165" s="39">
        <f t="shared" si="217"/>
        <v>0</v>
      </c>
      <c r="F165" s="39">
        <f t="shared" si="217"/>
        <v>0</v>
      </c>
      <c r="G165" s="39">
        <f t="shared" si="217"/>
        <v>0</v>
      </c>
      <c r="H165" s="39">
        <f t="shared" si="217"/>
        <v>0</v>
      </c>
      <c r="I165" s="39">
        <f t="shared" si="217"/>
        <v>0</v>
      </c>
      <c r="J165" s="39">
        <f t="shared" si="217"/>
        <v>0</v>
      </c>
      <c r="K165" s="39">
        <f t="shared" si="217"/>
        <v>0</v>
      </c>
      <c r="L165" s="39">
        <f t="shared" si="217"/>
        <v>0</v>
      </c>
      <c r="M165" s="39">
        <f t="shared" si="217"/>
        <v>0</v>
      </c>
      <c r="N165" s="39">
        <f t="shared" si="217"/>
        <v>0</v>
      </c>
      <c r="O165" s="39">
        <f t="shared" ref="O165" si="218">+O155+N165</f>
        <v>0</v>
      </c>
      <c r="P165" s="39">
        <f t="shared" ref="P165" si="219">+P155+O165</f>
        <v>0</v>
      </c>
      <c r="Q165" s="39">
        <f t="shared" ref="Q165" si="220">+Q155+P165</f>
        <v>0</v>
      </c>
      <c r="R165" s="39"/>
    </row>
    <row r="166" spans="1:19" x14ac:dyDescent="0.25">
      <c r="A166" s="166"/>
      <c r="B166" s="168" t="s">
        <v>182</v>
      </c>
      <c r="C166" s="166"/>
      <c r="D166" s="39">
        <f t="shared" ref="D166:N166" si="221">+D158+C166</f>
        <v>0</v>
      </c>
      <c r="E166" s="39">
        <f t="shared" si="221"/>
        <v>0</v>
      </c>
      <c r="F166" s="39">
        <f t="shared" si="221"/>
        <v>0</v>
      </c>
      <c r="G166" s="39">
        <f t="shared" si="221"/>
        <v>0</v>
      </c>
      <c r="H166" s="39">
        <f t="shared" si="221"/>
        <v>0</v>
      </c>
      <c r="I166" s="39">
        <f t="shared" si="221"/>
        <v>0</v>
      </c>
      <c r="J166" s="39">
        <f t="shared" si="221"/>
        <v>0</v>
      </c>
      <c r="K166" s="39">
        <f t="shared" si="221"/>
        <v>0</v>
      </c>
      <c r="L166" s="39">
        <f t="shared" si="221"/>
        <v>0</v>
      </c>
      <c r="M166" s="39">
        <f t="shared" si="221"/>
        <v>0</v>
      </c>
      <c r="N166" s="39">
        <f t="shared" si="221"/>
        <v>0</v>
      </c>
      <c r="O166" s="39">
        <f t="shared" ref="O166" si="222">+O158+N166</f>
        <v>0</v>
      </c>
      <c r="P166" s="39">
        <f t="shared" ref="P166" si="223">+P158+O166</f>
        <v>0</v>
      </c>
      <c r="Q166" s="39">
        <f t="shared" ref="Q166" si="224">+Q158+P166</f>
        <v>0</v>
      </c>
      <c r="R166" s="39"/>
    </row>
    <row r="167" spans="1:19" x14ac:dyDescent="0.25">
      <c r="A167" s="166"/>
      <c r="B167" s="156" t="s">
        <v>285</v>
      </c>
      <c r="C167" s="151"/>
      <c r="D167" s="158">
        <f>+D166+D165</f>
        <v>0</v>
      </c>
      <c r="E167" s="158">
        <f t="shared" ref="E167:N167" si="225">+E166+E165</f>
        <v>0</v>
      </c>
      <c r="F167" s="158">
        <f t="shared" si="225"/>
        <v>0</v>
      </c>
      <c r="G167" s="158">
        <f t="shared" si="225"/>
        <v>0</v>
      </c>
      <c r="H167" s="158">
        <f t="shared" si="225"/>
        <v>0</v>
      </c>
      <c r="I167" s="158">
        <f t="shared" si="225"/>
        <v>0</v>
      </c>
      <c r="J167" s="158">
        <f t="shared" si="225"/>
        <v>0</v>
      </c>
      <c r="K167" s="158">
        <f t="shared" si="225"/>
        <v>0</v>
      </c>
      <c r="L167" s="158">
        <f t="shared" si="225"/>
        <v>0</v>
      </c>
      <c r="M167" s="158">
        <f t="shared" si="225"/>
        <v>0</v>
      </c>
      <c r="N167" s="158">
        <f t="shared" si="225"/>
        <v>0</v>
      </c>
      <c r="O167" s="158">
        <f t="shared" ref="O167:Q167" si="226">+O166+O165</f>
        <v>0</v>
      </c>
      <c r="P167" s="158">
        <f t="shared" si="226"/>
        <v>0</v>
      </c>
      <c r="Q167" s="158">
        <f t="shared" si="226"/>
        <v>0</v>
      </c>
      <c r="R167" s="158"/>
    </row>
    <row r="168" spans="1:19" ht="16.5" thickBot="1" x14ac:dyDescent="0.3">
      <c r="A168" s="166"/>
      <c r="B168" s="156" t="s">
        <v>244</v>
      </c>
      <c r="C168" s="151"/>
      <c r="D168" s="158">
        <f t="shared" ref="D168:N168" si="227">+D153*D167</f>
        <v>0</v>
      </c>
      <c r="E168" s="158">
        <f t="shared" si="227"/>
        <v>0</v>
      </c>
      <c r="F168" s="158">
        <f t="shared" si="227"/>
        <v>0</v>
      </c>
      <c r="G168" s="158">
        <f t="shared" si="227"/>
        <v>0</v>
      </c>
      <c r="H168" s="158">
        <f t="shared" si="227"/>
        <v>0</v>
      </c>
      <c r="I168" s="158">
        <f t="shared" si="227"/>
        <v>0</v>
      </c>
      <c r="J168" s="158">
        <f t="shared" si="227"/>
        <v>0</v>
      </c>
      <c r="K168" s="158">
        <f t="shared" si="227"/>
        <v>0</v>
      </c>
      <c r="L168" s="158">
        <f t="shared" si="227"/>
        <v>0</v>
      </c>
      <c r="M168" s="158">
        <f t="shared" si="227"/>
        <v>0</v>
      </c>
      <c r="N168" s="158">
        <f t="shared" si="227"/>
        <v>0</v>
      </c>
      <c r="O168" s="158">
        <f t="shared" ref="O168:Q168" si="228">+O153*O167</f>
        <v>0</v>
      </c>
      <c r="P168" s="158">
        <f t="shared" si="228"/>
        <v>0</v>
      </c>
      <c r="Q168" s="158">
        <f t="shared" si="228"/>
        <v>0</v>
      </c>
      <c r="R168" s="158"/>
      <c r="S168">
        <f>IF($B$152="ADB","A7",7)</f>
        <v>7</v>
      </c>
    </row>
    <row r="169" spans="1:19" s="174" customFormat="1" ht="16.5" thickBot="1" x14ac:dyDescent="0.3">
      <c r="A169" s="290">
        <f>SUM(D169:Q169)</f>
        <v>0</v>
      </c>
      <c r="B169" s="291" t="s">
        <v>213</v>
      </c>
      <c r="C169" s="292"/>
      <c r="D169" s="293">
        <f>D160-D161</f>
        <v>0</v>
      </c>
      <c r="E169" s="293">
        <f>E160-E161</f>
        <v>0</v>
      </c>
      <c r="F169" s="293">
        <f>F160-F161</f>
        <v>0</v>
      </c>
      <c r="G169" s="293">
        <f t="shared" ref="G169:N169" si="229">G160-G161</f>
        <v>0</v>
      </c>
      <c r="H169" s="293">
        <f t="shared" si="229"/>
        <v>0</v>
      </c>
      <c r="I169" s="293">
        <f t="shared" si="229"/>
        <v>0</v>
      </c>
      <c r="J169" s="293">
        <f t="shared" si="229"/>
        <v>0</v>
      </c>
      <c r="K169" s="293">
        <f t="shared" si="229"/>
        <v>0</v>
      </c>
      <c r="L169" s="293">
        <f t="shared" si="229"/>
        <v>0</v>
      </c>
      <c r="M169" s="293">
        <f t="shared" si="229"/>
        <v>0</v>
      </c>
      <c r="N169" s="293">
        <f t="shared" si="229"/>
        <v>0</v>
      </c>
      <c r="O169" s="293">
        <f t="shared" ref="O169:Q169" si="230">O160-O161</f>
        <v>0</v>
      </c>
      <c r="P169" s="293">
        <f t="shared" si="230"/>
        <v>0</v>
      </c>
      <c r="Q169" s="293">
        <f t="shared" si="230"/>
        <v>0</v>
      </c>
      <c r="R169" s="694"/>
      <c r="S169" s="174">
        <f>IF($B$86="ADB","A8",8)</f>
        <v>8</v>
      </c>
    </row>
    <row r="170" spans="1:19" x14ac:dyDescent="0.25">
      <c r="A170" s="39">
        <f>SUM(D170:Q170)</f>
        <v>0</v>
      </c>
      <c r="B170" s="168" t="s">
        <v>282</v>
      </c>
      <c r="C170" s="166"/>
      <c r="D170" s="166"/>
      <c r="E170" s="166"/>
      <c r="F170" s="166">
        <f>IF(F167&lt;E167,+F167*(E153-F153),0)</f>
        <v>0</v>
      </c>
      <c r="G170" s="166">
        <f>IF(G167&lt;F167,+G167*(F153-G153),0)</f>
        <v>0</v>
      </c>
      <c r="H170" s="166">
        <f t="shared" ref="H170:M170" si="231">IF(H167&lt;G167,+H167*(G153-H153),0)</f>
        <v>0</v>
      </c>
      <c r="I170" s="166">
        <f t="shared" si="231"/>
        <v>0</v>
      </c>
      <c r="J170" s="166">
        <f t="shared" si="231"/>
        <v>0</v>
      </c>
      <c r="K170" s="166">
        <f t="shared" si="231"/>
        <v>0</v>
      </c>
      <c r="L170" s="166">
        <f t="shared" si="231"/>
        <v>0</v>
      </c>
      <c r="M170" s="166">
        <f t="shared" si="231"/>
        <v>0</v>
      </c>
      <c r="N170" s="166">
        <f>+N167*(M153-N153)</f>
        <v>0</v>
      </c>
      <c r="O170" s="166">
        <f t="shared" ref="O170:Q170" si="232">+O167*(N153-O153)</f>
        <v>0</v>
      </c>
      <c r="P170" s="166">
        <f t="shared" si="232"/>
        <v>0</v>
      </c>
      <c r="Q170" s="166">
        <f t="shared" si="232"/>
        <v>0</v>
      </c>
      <c r="R170" s="166"/>
      <c r="S170">
        <f>IF($B$152="ADB","A9",9)</f>
        <v>9</v>
      </c>
    </row>
    <row r="171" spans="1:19" x14ac:dyDescent="0.25">
      <c r="A171" s="39">
        <f>SUM(D171:Q171)</f>
        <v>0</v>
      </c>
      <c r="B171" s="168" t="s">
        <v>283</v>
      </c>
      <c r="C171" s="166"/>
      <c r="D171" s="166"/>
      <c r="E171" s="166"/>
      <c r="F171" s="166">
        <f t="shared" ref="F171:N171" si="233">+F158*(F153-E153)</f>
        <v>0</v>
      </c>
      <c r="G171" s="166">
        <f t="shared" si="233"/>
        <v>0</v>
      </c>
      <c r="H171" s="166">
        <f t="shared" si="233"/>
        <v>0</v>
      </c>
      <c r="I171" s="166">
        <f t="shared" si="233"/>
        <v>0</v>
      </c>
      <c r="J171" s="166">
        <f t="shared" si="233"/>
        <v>0</v>
      </c>
      <c r="K171" s="166">
        <f t="shared" si="233"/>
        <v>0</v>
      </c>
      <c r="L171" s="166">
        <f t="shared" si="233"/>
        <v>0</v>
      </c>
      <c r="M171" s="166">
        <f t="shared" si="233"/>
        <v>0</v>
      </c>
      <c r="N171" s="166">
        <f t="shared" si="233"/>
        <v>0</v>
      </c>
      <c r="O171" s="166">
        <f t="shared" ref="O171" si="234">+O158*(O153-N153)</f>
        <v>0</v>
      </c>
      <c r="P171" s="166">
        <f t="shared" ref="P171" si="235">+P158*(P153-O153)</f>
        <v>0</v>
      </c>
      <c r="Q171" s="166">
        <f t="shared" ref="Q171" si="236">+Q158*(Q153-P153)</f>
        <v>0</v>
      </c>
      <c r="R171" s="166"/>
      <c r="S171">
        <f>IF($B$152="ADB","A10",10)</f>
        <v>10</v>
      </c>
    </row>
    <row r="172" spans="1:19" x14ac:dyDescent="0.25">
      <c r="A172" s="39">
        <f>SUM(D172:Q172)</f>
        <v>0</v>
      </c>
      <c r="B172" s="170" t="s">
        <v>284</v>
      </c>
      <c r="C172" s="171"/>
      <c r="D172" s="171"/>
      <c r="E172" s="171"/>
      <c r="F172" s="171">
        <f>+F171+F170</f>
        <v>0</v>
      </c>
      <c r="G172" s="171">
        <f t="shared" ref="G172:N172" si="237">+G171+G170</f>
        <v>0</v>
      </c>
      <c r="H172" s="171">
        <f t="shared" si="237"/>
        <v>0</v>
      </c>
      <c r="I172" s="171">
        <f t="shared" si="237"/>
        <v>0</v>
      </c>
      <c r="J172" s="171">
        <f t="shared" si="237"/>
        <v>0</v>
      </c>
      <c r="K172" s="171">
        <f t="shared" si="237"/>
        <v>0</v>
      </c>
      <c r="L172" s="171">
        <f t="shared" si="237"/>
        <v>0</v>
      </c>
      <c r="M172" s="171">
        <f t="shared" si="237"/>
        <v>0</v>
      </c>
      <c r="N172" s="171">
        <f t="shared" si="237"/>
        <v>0</v>
      </c>
      <c r="O172" s="171">
        <f t="shared" ref="O172:Q172" si="238">+O171+O170</f>
        <v>0</v>
      </c>
      <c r="P172" s="171">
        <f t="shared" si="238"/>
        <v>0</v>
      </c>
      <c r="Q172" s="171">
        <f t="shared" si="238"/>
        <v>0</v>
      </c>
      <c r="R172" s="166"/>
    </row>
    <row r="174" spans="1:19" x14ac:dyDescent="0.25">
      <c r="B174" s="174" t="s">
        <v>279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9" hidden="1" x14ac:dyDescent="0.25">
      <c r="A175" s="166"/>
      <c r="B175" s="166" t="s">
        <v>212</v>
      </c>
      <c r="C175" s="166"/>
      <c r="D175" s="114">
        <f>+turnover!D$122</f>
        <v>1.4656</v>
      </c>
      <c r="E175" s="114">
        <f>+turnover!E$122</f>
        <v>1.5874999999999999</v>
      </c>
      <c r="F175" s="114">
        <f>+turnover!F$122</f>
        <v>1.714</v>
      </c>
      <c r="G175" s="114">
        <f>+turnover!G$122</f>
        <v>1.89</v>
      </c>
      <c r="H175" s="114">
        <f>+turnover!H$122</f>
        <v>2.0790000000000002</v>
      </c>
      <c r="I175" s="114">
        <f>+turnover!I$122</f>
        <v>2.2869000000000002</v>
      </c>
      <c r="J175" s="114">
        <f>+turnover!J$122</f>
        <v>2.51559</v>
      </c>
      <c r="K175" s="114">
        <f>+turnover!K$122</f>
        <v>2.7671490000000003</v>
      </c>
      <c r="L175" s="114">
        <f>+turnover!L$122</f>
        <v>3.0438639000000007</v>
      </c>
      <c r="M175" s="114">
        <f>+turnover!M$122</f>
        <v>3.3482502900000011</v>
      </c>
      <c r="N175" s="114">
        <f>+turnover!N$122</f>
        <v>3.6830753190000012</v>
      </c>
      <c r="O175" s="114">
        <f>+turnover!O$122</f>
        <v>4.0513828509000014</v>
      </c>
      <c r="P175" s="114">
        <f>+turnover!P$122</f>
        <v>4.4565211359900019</v>
      </c>
      <c r="Q175" s="114">
        <f>+turnover!Q$122</f>
        <v>4.9021732495890031</v>
      </c>
      <c r="R175" s="114"/>
    </row>
    <row r="176" spans="1:19" x14ac:dyDescent="0.25">
      <c r="A176" s="166"/>
      <c r="B176" s="167" t="s">
        <v>301</v>
      </c>
      <c r="C176" s="153">
        <f>+PL!C$2</f>
        <v>2008</v>
      </c>
      <c r="D176" s="153">
        <f>+PL!D$2</f>
        <v>2009</v>
      </c>
      <c r="E176" s="153">
        <f>+PL!E$2</f>
        <v>2010</v>
      </c>
      <c r="F176" s="153">
        <f>+PL!F$2</f>
        <v>2011</v>
      </c>
      <c r="G176" s="153">
        <f>+PL!G$2</f>
        <v>2012</v>
      </c>
      <c r="H176" s="153">
        <f>+PL!H$2</f>
        <v>2013</v>
      </c>
      <c r="I176" s="153">
        <f>+PL!I$2</f>
        <v>2014</v>
      </c>
      <c r="J176" s="153">
        <f>+PL!J$2</f>
        <v>2015</v>
      </c>
      <c r="K176" s="153">
        <f>+PL!K$2</f>
        <v>2016</v>
      </c>
      <c r="L176" s="153">
        <f>+PL!L$2</f>
        <v>2017</v>
      </c>
      <c r="M176" s="153">
        <f>+PL!M$2</f>
        <v>2018</v>
      </c>
      <c r="N176" s="153">
        <f>+PL!N$2</f>
        <v>2019</v>
      </c>
      <c r="O176" s="153">
        <f>+PL!O$2</f>
        <v>2020</v>
      </c>
      <c r="P176" s="153">
        <f>+PL!P$2</f>
        <v>2021</v>
      </c>
      <c r="Q176" s="153">
        <f>+PL!Q$2</f>
        <v>2022</v>
      </c>
      <c r="R176" s="151"/>
    </row>
    <row r="177" spans="1:19" x14ac:dyDescent="0.25">
      <c r="A177" s="39">
        <f>SUM(D177:Q177)</f>
        <v>0</v>
      </c>
      <c r="B177" s="168" t="s">
        <v>177</v>
      </c>
      <c r="C177" s="166"/>
      <c r="D177" s="169"/>
      <c r="E177" s="169"/>
      <c r="F177" s="169"/>
      <c r="G177" s="169"/>
      <c r="H177" s="16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>
        <f>IF($B$174="ADB","A1",1)</f>
        <v>1</v>
      </c>
    </row>
    <row r="178" spans="1:19" x14ac:dyDescent="0.25">
      <c r="A178" s="39">
        <f>SUM(D178:Q178)</f>
        <v>0</v>
      </c>
      <c r="B178" s="168" t="s">
        <v>178</v>
      </c>
      <c r="C178" s="166"/>
      <c r="D178" s="169">
        <f t="shared" ref="D178:N178" si="239">+D177*D175</f>
        <v>0</v>
      </c>
      <c r="E178" s="169">
        <f t="shared" si="239"/>
        <v>0</v>
      </c>
      <c r="F178" s="169">
        <f t="shared" si="239"/>
        <v>0</v>
      </c>
      <c r="G178" s="169">
        <f t="shared" si="239"/>
        <v>0</v>
      </c>
      <c r="H178" s="169">
        <f t="shared" si="239"/>
        <v>0</v>
      </c>
      <c r="I178" s="169">
        <f t="shared" si="239"/>
        <v>0</v>
      </c>
      <c r="J178" s="169">
        <f t="shared" si="239"/>
        <v>0</v>
      </c>
      <c r="K178" s="169">
        <f t="shared" si="239"/>
        <v>0</v>
      </c>
      <c r="L178" s="169">
        <f t="shared" si="239"/>
        <v>0</v>
      </c>
      <c r="M178" s="169">
        <f t="shared" si="239"/>
        <v>0</v>
      </c>
      <c r="N178" s="169">
        <f t="shared" si="239"/>
        <v>0</v>
      </c>
      <c r="O178" s="169">
        <f t="shared" ref="O178:Q178" si="240">+O177*O175</f>
        <v>0</v>
      </c>
      <c r="P178" s="169">
        <f t="shared" si="240"/>
        <v>0</v>
      </c>
      <c r="Q178" s="169">
        <f t="shared" si="240"/>
        <v>0</v>
      </c>
      <c r="R178" s="169"/>
      <c r="S178">
        <f>IF($B$174="ADB","A2",2)</f>
        <v>2</v>
      </c>
    </row>
    <row r="179" spans="1:19" x14ac:dyDescent="0.25">
      <c r="A179" s="166" t="e">
        <f>+A178/A177</f>
        <v>#DIV/0!</v>
      </c>
      <c r="B179" s="168"/>
      <c r="C179" s="166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</row>
    <row r="180" spans="1:19" x14ac:dyDescent="0.25">
      <c r="A180" s="39">
        <f>-SUM(D180:Q180)</f>
        <v>0</v>
      </c>
      <c r="B180" s="168" t="s">
        <v>179</v>
      </c>
      <c r="C180" s="166"/>
      <c r="D180" s="39"/>
      <c r="E180" s="39"/>
      <c r="F180" s="39"/>
      <c r="G180" s="39">
        <f>-A177/5</f>
        <v>0</v>
      </c>
      <c r="H180" s="39">
        <f>+G180</f>
        <v>0</v>
      </c>
      <c r="I180" s="39">
        <f>+H180</f>
        <v>0</v>
      </c>
      <c r="J180" s="39">
        <f>+I180</f>
        <v>0</v>
      </c>
      <c r="K180" s="39">
        <f>+J180</f>
        <v>0</v>
      </c>
      <c r="L180" s="39">
        <f>-H177</f>
        <v>0</v>
      </c>
      <c r="M180" s="39">
        <f>-I177</f>
        <v>0</v>
      </c>
      <c r="N180" s="39">
        <f>-J177</f>
        <v>0</v>
      </c>
      <c r="O180" s="39">
        <f t="shared" ref="O180:Q180" si="241">-K177</f>
        <v>0</v>
      </c>
      <c r="P180" s="39">
        <f t="shared" si="241"/>
        <v>0</v>
      </c>
      <c r="Q180" s="39">
        <f t="shared" si="241"/>
        <v>0</v>
      </c>
      <c r="R180" s="39"/>
      <c r="S180">
        <f>IF($B$174="ADB","A3",3)</f>
        <v>3</v>
      </c>
    </row>
    <row r="181" spans="1:19" x14ac:dyDescent="0.25">
      <c r="A181" s="166"/>
      <c r="B181" s="168" t="s">
        <v>180</v>
      </c>
      <c r="C181" s="16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>
        <f>IF($B$174="ADB","A4",4)</f>
        <v>4</v>
      </c>
    </row>
    <row r="182" spans="1:19" x14ac:dyDescent="0.25">
      <c r="A182" s="39">
        <f>SUM(D182:Q182)</f>
        <v>0</v>
      </c>
      <c r="B182" s="168" t="s">
        <v>246</v>
      </c>
      <c r="C182" s="166"/>
      <c r="D182" s="39"/>
      <c r="E182" s="39"/>
      <c r="F182" s="39"/>
      <c r="G182" s="39">
        <f t="shared" ref="G182:N182" si="242">+G180*G175</f>
        <v>0</v>
      </c>
      <c r="H182" s="39">
        <f t="shared" si="242"/>
        <v>0</v>
      </c>
      <c r="I182" s="39">
        <f t="shared" si="242"/>
        <v>0</v>
      </c>
      <c r="J182" s="39">
        <f t="shared" si="242"/>
        <v>0</v>
      </c>
      <c r="K182" s="39">
        <f t="shared" si="242"/>
        <v>0</v>
      </c>
      <c r="L182" s="39">
        <f t="shared" si="242"/>
        <v>0</v>
      </c>
      <c r="M182" s="39">
        <f t="shared" si="242"/>
        <v>0</v>
      </c>
      <c r="N182" s="39">
        <f t="shared" si="242"/>
        <v>0</v>
      </c>
      <c r="O182" s="39">
        <f t="shared" ref="O182:Q182" si="243">+O180*O175</f>
        <v>0</v>
      </c>
      <c r="P182" s="39">
        <f t="shared" si="243"/>
        <v>0</v>
      </c>
      <c r="Q182" s="39">
        <f t="shared" si="243"/>
        <v>0</v>
      </c>
      <c r="R182" s="39"/>
      <c r="S182">
        <f>IF($B$174="ADB","A5",5)</f>
        <v>5</v>
      </c>
    </row>
    <row r="183" spans="1:19" x14ac:dyDescent="0.25">
      <c r="A183" s="39">
        <f>SUM(D183:Q183)</f>
        <v>0</v>
      </c>
      <c r="B183" s="168" t="s">
        <v>286</v>
      </c>
      <c r="C183" s="166"/>
      <c r="D183" s="39"/>
      <c r="E183" s="39"/>
      <c r="F183" s="39"/>
      <c r="G183" s="39">
        <f>+G180*$A$69</f>
        <v>0</v>
      </c>
      <c r="H183" s="39">
        <f t="shared" ref="H183:N183" si="244">+H180*$A$69</f>
        <v>0</v>
      </c>
      <c r="I183" s="39">
        <f t="shared" si="244"/>
        <v>0</v>
      </c>
      <c r="J183" s="39">
        <f t="shared" si="244"/>
        <v>0</v>
      </c>
      <c r="K183" s="39">
        <f t="shared" si="244"/>
        <v>0</v>
      </c>
      <c r="L183" s="39">
        <f t="shared" si="244"/>
        <v>0</v>
      </c>
      <c r="M183" s="39">
        <f t="shared" si="244"/>
        <v>0</v>
      </c>
      <c r="N183" s="39">
        <f t="shared" si="244"/>
        <v>0</v>
      </c>
      <c r="O183" s="39">
        <f t="shared" ref="O183:Q183" si="245">+O180*$A$69</f>
        <v>0</v>
      </c>
      <c r="P183" s="39">
        <f t="shared" si="245"/>
        <v>0</v>
      </c>
      <c r="Q183" s="39">
        <f t="shared" si="245"/>
        <v>0</v>
      </c>
      <c r="R183" s="39"/>
      <c r="S183">
        <f>IF($B$174="ADB","A6",6)</f>
        <v>6</v>
      </c>
    </row>
    <row r="184" spans="1:19" x14ac:dyDescent="0.25">
      <c r="A184" s="39"/>
      <c r="B184" s="168"/>
      <c r="C184" s="166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</row>
    <row r="185" spans="1:19" x14ac:dyDescent="0.25">
      <c r="A185" s="39">
        <f>SUM(D185:Q185)</f>
        <v>0</v>
      </c>
      <c r="B185" s="168" t="s">
        <v>280</v>
      </c>
      <c r="C185" s="166"/>
      <c r="D185" s="39"/>
      <c r="E185" s="39">
        <f>+E177+E180</f>
        <v>0</v>
      </c>
      <c r="F185" s="39">
        <f t="shared" ref="F185:N185" si="246">+F177+F180</f>
        <v>0</v>
      </c>
      <c r="G185" s="39">
        <f t="shared" si="246"/>
        <v>0</v>
      </c>
      <c r="H185" s="39">
        <f t="shared" si="246"/>
        <v>0</v>
      </c>
      <c r="I185" s="39">
        <f t="shared" si="246"/>
        <v>0</v>
      </c>
      <c r="J185" s="39">
        <f t="shared" si="246"/>
        <v>0</v>
      </c>
      <c r="K185" s="39">
        <f t="shared" si="246"/>
        <v>0</v>
      </c>
      <c r="L185" s="39">
        <f t="shared" si="246"/>
        <v>0</v>
      </c>
      <c r="M185" s="39">
        <f t="shared" si="246"/>
        <v>0</v>
      </c>
      <c r="N185" s="39">
        <f t="shared" si="246"/>
        <v>0</v>
      </c>
      <c r="O185" s="39">
        <f t="shared" ref="O185:Q185" si="247">+O177+O180</f>
        <v>0</v>
      </c>
      <c r="P185" s="39">
        <f t="shared" si="247"/>
        <v>0</v>
      </c>
      <c r="Q185" s="39">
        <f t="shared" si="247"/>
        <v>0</v>
      </c>
      <c r="R185" s="39"/>
    </row>
    <row r="186" spans="1:19" x14ac:dyDescent="0.25">
      <c r="A186" s="39">
        <f>SUM(D186:Q186)</f>
        <v>0</v>
      </c>
      <c r="B186" s="168" t="s">
        <v>281</v>
      </c>
      <c r="C186" s="166"/>
      <c r="D186" s="39"/>
      <c r="E186" s="39">
        <f>+E178+E181</f>
        <v>0</v>
      </c>
      <c r="F186" s="39">
        <f>+F178+F182</f>
        <v>0</v>
      </c>
      <c r="G186" s="39">
        <f t="shared" ref="G186:N186" si="248">+G178+G182</f>
        <v>0</v>
      </c>
      <c r="H186" s="39">
        <f t="shared" si="248"/>
        <v>0</v>
      </c>
      <c r="I186" s="39">
        <f t="shared" si="248"/>
        <v>0</v>
      </c>
      <c r="J186" s="39">
        <f t="shared" si="248"/>
        <v>0</v>
      </c>
      <c r="K186" s="39">
        <f t="shared" si="248"/>
        <v>0</v>
      </c>
      <c r="L186" s="39">
        <f t="shared" si="248"/>
        <v>0</v>
      </c>
      <c r="M186" s="39">
        <f t="shared" si="248"/>
        <v>0</v>
      </c>
      <c r="N186" s="39">
        <f t="shared" si="248"/>
        <v>0</v>
      </c>
      <c r="O186" s="39">
        <f t="shared" ref="O186:Q186" si="249">+O178+O182</f>
        <v>0</v>
      </c>
      <c r="P186" s="39">
        <f t="shared" si="249"/>
        <v>0</v>
      </c>
      <c r="Q186" s="39">
        <f t="shared" si="249"/>
        <v>0</v>
      </c>
      <c r="R186" s="39"/>
    </row>
    <row r="187" spans="1:19" x14ac:dyDescent="0.25">
      <c r="A187" s="166"/>
      <c r="B187" s="168" t="s">
        <v>181</v>
      </c>
      <c r="C187" s="166"/>
      <c r="D187" s="39">
        <f t="shared" ref="D187:N187" si="250">+D177+C187</f>
        <v>0</v>
      </c>
      <c r="E187" s="39">
        <f t="shared" si="250"/>
        <v>0</v>
      </c>
      <c r="F187" s="39">
        <f t="shared" si="250"/>
        <v>0</v>
      </c>
      <c r="G187" s="39">
        <f t="shared" si="250"/>
        <v>0</v>
      </c>
      <c r="H187" s="39">
        <f t="shared" si="250"/>
        <v>0</v>
      </c>
      <c r="I187" s="39">
        <f t="shared" si="250"/>
        <v>0</v>
      </c>
      <c r="J187" s="39">
        <f t="shared" si="250"/>
        <v>0</v>
      </c>
      <c r="K187" s="39">
        <f t="shared" si="250"/>
        <v>0</v>
      </c>
      <c r="L187" s="39">
        <f t="shared" si="250"/>
        <v>0</v>
      </c>
      <c r="M187" s="39">
        <f t="shared" si="250"/>
        <v>0</v>
      </c>
      <c r="N187" s="39">
        <f t="shared" si="250"/>
        <v>0</v>
      </c>
      <c r="O187" s="39">
        <f t="shared" ref="O187" si="251">+O177+N187</f>
        <v>0</v>
      </c>
      <c r="P187" s="39">
        <f t="shared" ref="P187" si="252">+P177+O187</f>
        <v>0</v>
      </c>
      <c r="Q187" s="39">
        <f t="shared" ref="Q187" si="253">+Q177+P187</f>
        <v>0</v>
      </c>
      <c r="R187" s="39"/>
    </row>
    <row r="188" spans="1:19" x14ac:dyDescent="0.25">
      <c r="A188" s="166"/>
      <c r="B188" s="168" t="s">
        <v>182</v>
      </c>
      <c r="C188" s="166"/>
      <c r="D188" s="39">
        <f t="shared" ref="D188:N188" si="254">+D180+C188</f>
        <v>0</v>
      </c>
      <c r="E188" s="39">
        <f t="shared" si="254"/>
        <v>0</v>
      </c>
      <c r="F188" s="39">
        <f t="shared" si="254"/>
        <v>0</v>
      </c>
      <c r="G188" s="39">
        <f t="shared" si="254"/>
        <v>0</v>
      </c>
      <c r="H188" s="39">
        <f t="shared" si="254"/>
        <v>0</v>
      </c>
      <c r="I188" s="39">
        <f t="shared" si="254"/>
        <v>0</v>
      </c>
      <c r="J188" s="39">
        <f t="shared" si="254"/>
        <v>0</v>
      </c>
      <c r="K188" s="39">
        <f t="shared" si="254"/>
        <v>0</v>
      </c>
      <c r="L188" s="39">
        <f t="shared" si="254"/>
        <v>0</v>
      </c>
      <c r="M188" s="39">
        <f t="shared" si="254"/>
        <v>0</v>
      </c>
      <c r="N188" s="39">
        <f t="shared" si="254"/>
        <v>0</v>
      </c>
      <c r="O188" s="39">
        <f t="shared" ref="O188" si="255">+O180+N188</f>
        <v>0</v>
      </c>
      <c r="P188" s="39">
        <f t="shared" ref="P188" si="256">+P180+O188</f>
        <v>0</v>
      </c>
      <c r="Q188" s="39">
        <f t="shared" ref="Q188" si="257">+Q180+P188</f>
        <v>0</v>
      </c>
      <c r="R188" s="39"/>
    </row>
    <row r="189" spans="1:19" x14ac:dyDescent="0.25">
      <c r="A189" s="166"/>
      <c r="B189" s="156" t="s">
        <v>285</v>
      </c>
      <c r="C189" s="151"/>
      <c r="D189" s="158">
        <f>+D188+D187</f>
        <v>0</v>
      </c>
      <c r="E189" s="158">
        <f t="shared" ref="E189:N189" si="258">+E188+E187</f>
        <v>0</v>
      </c>
      <c r="F189" s="158">
        <f t="shared" si="258"/>
        <v>0</v>
      </c>
      <c r="G189" s="158">
        <f t="shared" si="258"/>
        <v>0</v>
      </c>
      <c r="H189" s="158">
        <f t="shared" si="258"/>
        <v>0</v>
      </c>
      <c r="I189" s="158">
        <f t="shared" si="258"/>
        <v>0</v>
      </c>
      <c r="J189" s="158">
        <f t="shared" si="258"/>
        <v>0</v>
      </c>
      <c r="K189" s="158">
        <f t="shared" si="258"/>
        <v>0</v>
      </c>
      <c r="L189" s="158">
        <f t="shared" si="258"/>
        <v>0</v>
      </c>
      <c r="M189" s="158">
        <f t="shared" si="258"/>
        <v>0</v>
      </c>
      <c r="N189" s="158">
        <f t="shared" si="258"/>
        <v>0</v>
      </c>
      <c r="O189" s="158">
        <f t="shared" ref="O189:Q189" si="259">+O188+O187</f>
        <v>0</v>
      </c>
      <c r="P189" s="158">
        <f t="shared" si="259"/>
        <v>0</v>
      </c>
      <c r="Q189" s="158">
        <f t="shared" si="259"/>
        <v>0</v>
      </c>
      <c r="R189" s="158"/>
    </row>
    <row r="190" spans="1:19" ht="16.5" thickBot="1" x14ac:dyDescent="0.3">
      <c r="A190" s="166"/>
      <c r="B190" s="156" t="s">
        <v>244</v>
      </c>
      <c r="C190" s="151"/>
      <c r="D190" s="158">
        <f t="shared" ref="D190:N190" si="260">+D175*D189</f>
        <v>0</v>
      </c>
      <c r="E190" s="158">
        <f t="shared" si="260"/>
        <v>0</v>
      </c>
      <c r="F190" s="158">
        <f t="shared" si="260"/>
        <v>0</v>
      </c>
      <c r="G190" s="158">
        <f t="shared" si="260"/>
        <v>0</v>
      </c>
      <c r="H190" s="158">
        <f t="shared" si="260"/>
        <v>0</v>
      </c>
      <c r="I190" s="158">
        <f t="shared" si="260"/>
        <v>0</v>
      </c>
      <c r="J190" s="158">
        <f t="shared" si="260"/>
        <v>0</v>
      </c>
      <c r="K190" s="158">
        <f t="shared" si="260"/>
        <v>0</v>
      </c>
      <c r="L190" s="158">
        <f t="shared" si="260"/>
        <v>0</v>
      </c>
      <c r="M190" s="158">
        <f t="shared" si="260"/>
        <v>0</v>
      </c>
      <c r="N190" s="158">
        <f t="shared" si="260"/>
        <v>0</v>
      </c>
      <c r="O190" s="158">
        <f t="shared" ref="O190:Q190" si="261">+O175*O189</f>
        <v>0</v>
      </c>
      <c r="P190" s="158">
        <f t="shared" si="261"/>
        <v>0</v>
      </c>
      <c r="Q190" s="158">
        <f t="shared" si="261"/>
        <v>0</v>
      </c>
      <c r="R190" s="158"/>
      <c r="S190">
        <f>IF($B$174="ADB","A7",7)</f>
        <v>7</v>
      </c>
    </row>
    <row r="191" spans="1:19" s="174" customFormat="1" ht="16.5" thickBot="1" x14ac:dyDescent="0.3">
      <c r="A191" s="290">
        <f>SUM(D191:Q191)</f>
        <v>0</v>
      </c>
      <c r="B191" s="291" t="s">
        <v>213</v>
      </c>
      <c r="C191" s="292"/>
      <c r="D191" s="293">
        <f>D182-D183</f>
        <v>0</v>
      </c>
      <c r="E191" s="293">
        <f>E182-E183</f>
        <v>0</v>
      </c>
      <c r="F191" s="293">
        <f>F182-F183</f>
        <v>0</v>
      </c>
      <c r="G191" s="293">
        <f t="shared" ref="G191:N191" si="262">G182-G183</f>
        <v>0</v>
      </c>
      <c r="H191" s="293">
        <f t="shared" si="262"/>
        <v>0</v>
      </c>
      <c r="I191" s="293">
        <f t="shared" si="262"/>
        <v>0</v>
      </c>
      <c r="J191" s="293">
        <f t="shared" si="262"/>
        <v>0</v>
      </c>
      <c r="K191" s="293">
        <f t="shared" si="262"/>
        <v>0</v>
      </c>
      <c r="L191" s="293">
        <f t="shared" si="262"/>
        <v>0</v>
      </c>
      <c r="M191" s="293">
        <f t="shared" si="262"/>
        <v>0</v>
      </c>
      <c r="N191" s="293">
        <f t="shared" si="262"/>
        <v>0</v>
      </c>
      <c r="O191" s="293">
        <f t="shared" ref="O191:Q191" si="263">O182-O183</f>
        <v>0</v>
      </c>
      <c r="P191" s="293">
        <f t="shared" si="263"/>
        <v>0</v>
      </c>
      <c r="Q191" s="293">
        <f t="shared" si="263"/>
        <v>0</v>
      </c>
      <c r="R191" s="694"/>
      <c r="S191" s="174">
        <f>IF($B$86="ADB","A8",8)</f>
        <v>8</v>
      </c>
    </row>
    <row r="192" spans="1:19" x14ac:dyDescent="0.25">
      <c r="A192" s="39">
        <f>SUM(D192:Q192)</f>
        <v>0</v>
      </c>
      <c r="B192" s="168" t="s">
        <v>282</v>
      </c>
      <c r="C192" s="166"/>
      <c r="D192" s="166"/>
      <c r="E192" s="166"/>
      <c r="F192" s="166">
        <f>IF(F189&lt;E189,+F189*(E175-F175),0)</f>
        <v>0</v>
      </c>
      <c r="G192" s="166">
        <f>IF(G189&lt;F189,+G189*(F175-G175),0)</f>
        <v>0</v>
      </c>
      <c r="H192" s="166">
        <f t="shared" ref="H192:M192" si="264">IF(H189&lt;G189,+H189*(G175-H175),0)</f>
        <v>0</v>
      </c>
      <c r="I192" s="166">
        <f t="shared" si="264"/>
        <v>0</v>
      </c>
      <c r="J192" s="166">
        <f t="shared" si="264"/>
        <v>0</v>
      </c>
      <c r="K192" s="166">
        <f t="shared" si="264"/>
        <v>0</v>
      </c>
      <c r="L192" s="166">
        <f t="shared" si="264"/>
        <v>0</v>
      </c>
      <c r="M192" s="166">
        <f t="shared" si="264"/>
        <v>0</v>
      </c>
      <c r="N192" s="166">
        <f>+N189*(M175-N175)</f>
        <v>0</v>
      </c>
      <c r="O192" s="166">
        <f t="shared" ref="O192:Q192" si="265">+O189*(N175-O175)</f>
        <v>0</v>
      </c>
      <c r="P192" s="166">
        <f t="shared" si="265"/>
        <v>0</v>
      </c>
      <c r="Q192" s="166">
        <f t="shared" si="265"/>
        <v>0</v>
      </c>
      <c r="R192" s="166"/>
      <c r="S192">
        <f>IF($B$174="ADB","A9",9)</f>
        <v>9</v>
      </c>
    </row>
    <row r="193" spans="1:19" x14ac:dyDescent="0.25">
      <c r="A193" s="39">
        <f>SUM(D193:Q193)</f>
        <v>0</v>
      </c>
      <c r="B193" s="168" t="s">
        <v>283</v>
      </c>
      <c r="C193" s="166"/>
      <c r="D193" s="166"/>
      <c r="E193" s="166"/>
      <c r="F193" s="166">
        <f t="shared" ref="F193:N193" si="266">+F180*(F175-E175)</f>
        <v>0</v>
      </c>
      <c r="G193" s="166">
        <f t="shared" si="266"/>
        <v>0</v>
      </c>
      <c r="H193" s="166">
        <f t="shared" si="266"/>
        <v>0</v>
      </c>
      <c r="I193" s="166">
        <f t="shared" si="266"/>
        <v>0</v>
      </c>
      <c r="J193" s="166">
        <f t="shared" si="266"/>
        <v>0</v>
      </c>
      <c r="K193" s="166">
        <f t="shared" si="266"/>
        <v>0</v>
      </c>
      <c r="L193" s="166">
        <f t="shared" si="266"/>
        <v>0</v>
      </c>
      <c r="M193" s="166">
        <f t="shared" si="266"/>
        <v>0</v>
      </c>
      <c r="N193" s="166">
        <f t="shared" si="266"/>
        <v>0</v>
      </c>
      <c r="O193" s="166">
        <f t="shared" ref="O193" si="267">+O180*(O175-N175)</f>
        <v>0</v>
      </c>
      <c r="P193" s="166">
        <f t="shared" ref="P193" si="268">+P180*(P175-O175)</f>
        <v>0</v>
      </c>
      <c r="Q193" s="166">
        <f t="shared" ref="Q193" si="269">+Q180*(Q175-P175)</f>
        <v>0</v>
      </c>
      <c r="R193" s="166"/>
      <c r="S193">
        <f>IF($B$174="ADB","A10",10)</f>
        <v>10</v>
      </c>
    </row>
    <row r="194" spans="1:19" x14ac:dyDescent="0.25">
      <c r="A194" s="39">
        <f>SUM(D194:Q194)</f>
        <v>0</v>
      </c>
      <c r="B194" s="170" t="s">
        <v>284</v>
      </c>
      <c r="C194" s="171"/>
      <c r="D194" s="171"/>
      <c r="E194" s="171"/>
      <c r="F194" s="171">
        <f>+F193+F192</f>
        <v>0</v>
      </c>
      <c r="G194" s="171">
        <f t="shared" ref="G194:N194" si="270">+G193+G192</f>
        <v>0</v>
      </c>
      <c r="H194" s="171">
        <f t="shared" si="270"/>
        <v>0</v>
      </c>
      <c r="I194" s="171">
        <f t="shared" si="270"/>
        <v>0</v>
      </c>
      <c r="J194" s="171">
        <f t="shared" si="270"/>
        <v>0</v>
      </c>
      <c r="K194" s="171">
        <f t="shared" si="270"/>
        <v>0</v>
      </c>
      <c r="L194" s="171">
        <f t="shared" si="270"/>
        <v>0</v>
      </c>
      <c r="M194" s="171">
        <f t="shared" si="270"/>
        <v>0</v>
      </c>
      <c r="N194" s="171">
        <f t="shared" si="270"/>
        <v>0</v>
      </c>
      <c r="O194" s="171">
        <f t="shared" ref="O194:Q194" si="271">+O193+O192</f>
        <v>0</v>
      </c>
      <c r="P194" s="171">
        <f t="shared" si="271"/>
        <v>0</v>
      </c>
      <c r="Q194" s="171">
        <f t="shared" si="271"/>
        <v>0</v>
      </c>
      <c r="R194" s="166"/>
    </row>
    <row r="196" spans="1:19" x14ac:dyDescent="0.25">
      <c r="B196" s="174" t="s">
        <v>279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9" hidden="1" x14ac:dyDescent="0.25">
      <c r="A197" s="166"/>
      <c r="B197" s="166" t="s">
        <v>212</v>
      </c>
      <c r="C197" s="166"/>
      <c r="D197" s="114">
        <f>+turnover!D$122</f>
        <v>1.4656</v>
      </c>
      <c r="E197" s="114">
        <f>+turnover!E$122</f>
        <v>1.5874999999999999</v>
      </c>
      <c r="F197" s="114">
        <f>+turnover!F$122</f>
        <v>1.714</v>
      </c>
      <c r="G197" s="114">
        <f>+turnover!G$122</f>
        <v>1.89</v>
      </c>
      <c r="H197" s="114">
        <f>+turnover!H$122</f>
        <v>2.0790000000000002</v>
      </c>
      <c r="I197" s="114">
        <f>+turnover!I$122</f>
        <v>2.2869000000000002</v>
      </c>
      <c r="J197" s="114">
        <f>+turnover!J$122</f>
        <v>2.51559</v>
      </c>
      <c r="K197" s="114">
        <f>+turnover!K$122</f>
        <v>2.7671490000000003</v>
      </c>
      <c r="L197" s="114">
        <f>+turnover!L$122</f>
        <v>3.0438639000000007</v>
      </c>
      <c r="M197" s="114">
        <f>+turnover!M$122</f>
        <v>3.3482502900000011</v>
      </c>
      <c r="N197" s="114">
        <f>+turnover!N$122</f>
        <v>3.6830753190000012</v>
      </c>
      <c r="O197" s="114">
        <f>+turnover!O$122</f>
        <v>4.0513828509000014</v>
      </c>
      <c r="P197" s="114">
        <f>+turnover!P$122</f>
        <v>4.4565211359900019</v>
      </c>
      <c r="Q197" s="114">
        <f>+turnover!Q$122</f>
        <v>4.9021732495890031</v>
      </c>
      <c r="R197" s="114"/>
    </row>
    <row r="198" spans="1:19" x14ac:dyDescent="0.25">
      <c r="A198" s="166"/>
      <c r="B198" s="167" t="s">
        <v>302</v>
      </c>
      <c r="C198" s="153">
        <f>+PL!C$2</f>
        <v>2008</v>
      </c>
      <c r="D198" s="153">
        <f>+PL!D$2</f>
        <v>2009</v>
      </c>
      <c r="E198" s="153">
        <f>+PL!E$2</f>
        <v>2010</v>
      </c>
      <c r="F198" s="153">
        <f>+PL!F$2</f>
        <v>2011</v>
      </c>
      <c r="G198" s="153">
        <f>+PL!G$2</f>
        <v>2012</v>
      </c>
      <c r="H198" s="153">
        <f>+PL!H$2</f>
        <v>2013</v>
      </c>
      <c r="I198" s="153">
        <f>+PL!I$2</f>
        <v>2014</v>
      </c>
      <c r="J198" s="153">
        <f>+PL!J$2</f>
        <v>2015</v>
      </c>
      <c r="K198" s="153">
        <f>+PL!K$2</f>
        <v>2016</v>
      </c>
      <c r="L198" s="153">
        <f>+PL!L$2</f>
        <v>2017</v>
      </c>
      <c r="M198" s="153">
        <f>+PL!M$2</f>
        <v>2018</v>
      </c>
      <c r="N198" s="153">
        <f>+PL!N$2</f>
        <v>2019</v>
      </c>
      <c r="O198" s="153">
        <f>+PL!O$2</f>
        <v>2020</v>
      </c>
      <c r="P198" s="153">
        <f>+PL!P$2</f>
        <v>2021</v>
      </c>
      <c r="Q198" s="153">
        <f>+PL!Q$2</f>
        <v>2022</v>
      </c>
      <c r="R198" s="151"/>
    </row>
    <row r="199" spans="1:19" x14ac:dyDescent="0.25">
      <c r="A199" s="39">
        <f>SUM(D199:Q199)</f>
        <v>0</v>
      </c>
      <c r="B199" s="168" t="s">
        <v>177</v>
      </c>
      <c r="C199" s="166"/>
      <c r="D199" s="169"/>
      <c r="E199" s="169"/>
      <c r="F199" s="169"/>
      <c r="G199" s="169"/>
      <c r="H199" s="16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>
        <f>IF($B$196="ADB","A1",1)</f>
        <v>1</v>
      </c>
    </row>
    <row r="200" spans="1:19" x14ac:dyDescent="0.25">
      <c r="A200" s="39">
        <f>SUM(D200:Q200)</f>
        <v>0</v>
      </c>
      <c r="B200" s="168" t="s">
        <v>178</v>
      </c>
      <c r="C200" s="166"/>
      <c r="D200" s="169">
        <f t="shared" ref="D200:N200" si="272">+D199*D197</f>
        <v>0</v>
      </c>
      <c r="E200" s="169">
        <f t="shared" si="272"/>
        <v>0</v>
      </c>
      <c r="F200" s="169">
        <f t="shared" si="272"/>
        <v>0</v>
      </c>
      <c r="G200" s="169">
        <f t="shared" si="272"/>
        <v>0</v>
      </c>
      <c r="H200" s="169">
        <f t="shared" si="272"/>
        <v>0</v>
      </c>
      <c r="I200" s="169">
        <f t="shared" si="272"/>
        <v>0</v>
      </c>
      <c r="J200" s="169">
        <f t="shared" si="272"/>
        <v>0</v>
      </c>
      <c r="K200" s="169">
        <f t="shared" si="272"/>
        <v>0</v>
      </c>
      <c r="L200" s="169">
        <f t="shared" si="272"/>
        <v>0</v>
      </c>
      <c r="M200" s="169">
        <f t="shared" si="272"/>
        <v>0</v>
      </c>
      <c r="N200" s="169">
        <f t="shared" si="272"/>
        <v>0</v>
      </c>
      <c r="O200" s="169">
        <f t="shared" ref="O200:Q200" si="273">+O199*O197</f>
        <v>0</v>
      </c>
      <c r="P200" s="169">
        <f t="shared" si="273"/>
        <v>0</v>
      </c>
      <c r="Q200" s="169">
        <f t="shared" si="273"/>
        <v>0</v>
      </c>
      <c r="R200" s="169"/>
      <c r="S200">
        <f>IF($B$196="ADB","A2",2)</f>
        <v>2</v>
      </c>
    </row>
    <row r="201" spans="1:19" x14ac:dyDescent="0.25">
      <c r="A201" s="166" t="e">
        <f>+A200/A199</f>
        <v>#DIV/0!</v>
      </c>
      <c r="B201" s="168"/>
      <c r="C201" s="16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1:19" x14ac:dyDescent="0.25">
      <c r="A202" s="39">
        <f>-SUM(D202:Q202)</f>
        <v>0</v>
      </c>
      <c r="B202" s="168" t="s">
        <v>179</v>
      </c>
      <c r="C202" s="166"/>
      <c r="D202" s="39"/>
      <c r="E202" s="39"/>
      <c r="F202" s="39"/>
      <c r="G202" s="39">
        <f>-A199/5</f>
        <v>0</v>
      </c>
      <c r="H202" s="39">
        <f>+G202</f>
        <v>0</v>
      </c>
      <c r="I202" s="39">
        <f>+H202</f>
        <v>0</v>
      </c>
      <c r="J202" s="39">
        <f>+I202</f>
        <v>0</v>
      </c>
      <c r="K202" s="39">
        <f>+J202</f>
        <v>0</v>
      </c>
      <c r="L202" s="39">
        <f>-H199</f>
        <v>0</v>
      </c>
      <c r="M202" s="39">
        <f>-I199</f>
        <v>0</v>
      </c>
      <c r="N202" s="39">
        <f>-J199</f>
        <v>0</v>
      </c>
      <c r="O202" s="39">
        <f t="shared" ref="O202:Q202" si="274">-K199</f>
        <v>0</v>
      </c>
      <c r="P202" s="39">
        <f t="shared" si="274"/>
        <v>0</v>
      </c>
      <c r="Q202" s="39">
        <f t="shared" si="274"/>
        <v>0</v>
      </c>
      <c r="R202" s="39"/>
      <c r="S202">
        <f>IF($B$196="ADB","A3",3)</f>
        <v>3</v>
      </c>
    </row>
    <row r="203" spans="1:19" x14ac:dyDescent="0.25">
      <c r="A203" s="166"/>
      <c r="B203" s="168" t="s">
        <v>180</v>
      </c>
      <c r="C203" s="166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>
        <f>IF($B$196="ADB","A4",4)</f>
        <v>4</v>
      </c>
    </row>
    <row r="204" spans="1:19" x14ac:dyDescent="0.25">
      <c r="A204" s="39">
        <f>SUM(D204:Q204)</f>
        <v>0</v>
      </c>
      <c r="B204" s="168" t="s">
        <v>246</v>
      </c>
      <c r="C204" s="166"/>
      <c r="D204" s="39"/>
      <c r="E204" s="39"/>
      <c r="F204" s="39"/>
      <c r="G204" s="39">
        <f t="shared" ref="G204:N204" si="275">+G202*G197</f>
        <v>0</v>
      </c>
      <c r="H204" s="39">
        <f t="shared" si="275"/>
        <v>0</v>
      </c>
      <c r="I204" s="39">
        <f t="shared" si="275"/>
        <v>0</v>
      </c>
      <c r="J204" s="39">
        <f t="shared" si="275"/>
        <v>0</v>
      </c>
      <c r="K204" s="39">
        <f t="shared" si="275"/>
        <v>0</v>
      </c>
      <c r="L204" s="39">
        <f t="shared" si="275"/>
        <v>0</v>
      </c>
      <c r="M204" s="39">
        <f t="shared" si="275"/>
        <v>0</v>
      </c>
      <c r="N204" s="39">
        <f t="shared" si="275"/>
        <v>0</v>
      </c>
      <c r="O204" s="39">
        <f t="shared" ref="O204:Q204" si="276">+O202*O197</f>
        <v>0</v>
      </c>
      <c r="P204" s="39">
        <f t="shared" si="276"/>
        <v>0</v>
      </c>
      <c r="Q204" s="39">
        <f t="shared" si="276"/>
        <v>0</v>
      </c>
      <c r="R204" s="39"/>
      <c r="S204">
        <f>IF($B$196="ADB","A5",5)</f>
        <v>5</v>
      </c>
    </row>
    <row r="205" spans="1:19" x14ac:dyDescent="0.25">
      <c r="A205" s="39">
        <f>SUM(D205:Q205)</f>
        <v>0</v>
      </c>
      <c r="B205" s="168" t="s">
        <v>286</v>
      </c>
      <c r="C205" s="166"/>
      <c r="D205" s="39"/>
      <c r="E205" s="39"/>
      <c r="F205" s="39"/>
      <c r="G205" s="39">
        <f>+G202*$A$69</f>
        <v>0</v>
      </c>
      <c r="H205" s="39">
        <f t="shared" ref="H205:N205" si="277">+H202*$A$69</f>
        <v>0</v>
      </c>
      <c r="I205" s="39">
        <f t="shared" si="277"/>
        <v>0</v>
      </c>
      <c r="J205" s="39">
        <f t="shared" si="277"/>
        <v>0</v>
      </c>
      <c r="K205" s="39">
        <f t="shared" si="277"/>
        <v>0</v>
      </c>
      <c r="L205" s="39">
        <f t="shared" si="277"/>
        <v>0</v>
      </c>
      <c r="M205" s="39">
        <f t="shared" si="277"/>
        <v>0</v>
      </c>
      <c r="N205" s="39">
        <f t="shared" si="277"/>
        <v>0</v>
      </c>
      <c r="O205" s="39">
        <f t="shared" ref="O205:Q205" si="278">+O202*$A$69</f>
        <v>0</v>
      </c>
      <c r="P205" s="39">
        <f t="shared" si="278"/>
        <v>0</v>
      </c>
      <c r="Q205" s="39">
        <f t="shared" si="278"/>
        <v>0</v>
      </c>
      <c r="R205" s="39"/>
      <c r="S205">
        <f>IF($B$196="ADB","A6",6)</f>
        <v>6</v>
      </c>
    </row>
    <row r="206" spans="1:19" x14ac:dyDescent="0.25">
      <c r="A206" s="39"/>
      <c r="B206" s="168"/>
      <c r="C206" s="166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</row>
    <row r="207" spans="1:19" x14ac:dyDescent="0.25">
      <c r="A207" s="39">
        <f>SUM(D207:Q207)</f>
        <v>0</v>
      </c>
      <c r="B207" s="168" t="s">
        <v>280</v>
      </c>
      <c r="C207" s="166"/>
      <c r="D207" s="39"/>
      <c r="E207" s="39">
        <f>+E199+E202</f>
        <v>0</v>
      </c>
      <c r="F207" s="39">
        <f t="shared" ref="F207:N207" si="279">+F199+F202</f>
        <v>0</v>
      </c>
      <c r="G207" s="39">
        <f t="shared" si="279"/>
        <v>0</v>
      </c>
      <c r="H207" s="39">
        <f t="shared" si="279"/>
        <v>0</v>
      </c>
      <c r="I207" s="39">
        <f t="shared" si="279"/>
        <v>0</v>
      </c>
      <c r="J207" s="39">
        <f t="shared" si="279"/>
        <v>0</v>
      </c>
      <c r="K207" s="39">
        <f t="shared" si="279"/>
        <v>0</v>
      </c>
      <c r="L207" s="39">
        <f t="shared" si="279"/>
        <v>0</v>
      </c>
      <c r="M207" s="39">
        <f t="shared" si="279"/>
        <v>0</v>
      </c>
      <c r="N207" s="39">
        <f t="shared" si="279"/>
        <v>0</v>
      </c>
      <c r="O207" s="39">
        <f t="shared" ref="O207:Q207" si="280">+O199+O202</f>
        <v>0</v>
      </c>
      <c r="P207" s="39">
        <f t="shared" si="280"/>
        <v>0</v>
      </c>
      <c r="Q207" s="39">
        <f t="shared" si="280"/>
        <v>0</v>
      </c>
      <c r="R207" s="39"/>
    </row>
    <row r="208" spans="1:19" x14ac:dyDescent="0.25">
      <c r="A208" s="39">
        <f>SUM(D208:Q208)</f>
        <v>0</v>
      </c>
      <c r="B208" s="168" t="s">
        <v>281</v>
      </c>
      <c r="C208" s="166"/>
      <c r="D208" s="39"/>
      <c r="E208" s="39">
        <f>+E200+E203</f>
        <v>0</v>
      </c>
      <c r="F208" s="39">
        <f>+F200+F204</f>
        <v>0</v>
      </c>
      <c r="G208" s="39">
        <f t="shared" ref="G208:N208" si="281">+G200+G204</f>
        <v>0</v>
      </c>
      <c r="H208" s="39">
        <f t="shared" si="281"/>
        <v>0</v>
      </c>
      <c r="I208" s="39">
        <f t="shared" si="281"/>
        <v>0</v>
      </c>
      <c r="J208" s="39">
        <f t="shared" si="281"/>
        <v>0</v>
      </c>
      <c r="K208" s="39">
        <f t="shared" si="281"/>
        <v>0</v>
      </c>
      <c r="L208" s="39">
        <f t="shared" si="281"/>
        <v>0</v>
      </c>
      <c r="M208" s="39">
        <f t="shared" si="281"/>
        <v>0</v>
      </c>
      <c r="N208" s="39">
        <f t="shared" si="281"/>
        <v>0</v>
      </c>
      <c r="O208" s="39">
        <f t="shared" ref="O208:Q208" si="282">+O200+O204</f>
        <v>0</v>
      </c>
      <c r="P208" s="39">
        <f t="shared" si="282"/>
        <v>0</v>
      </c>
      <c r="Q208" s="39">
        <f t="shared" si="282"/>
        <v>0</v>
      </c>
      <c r="R208" s="39"/>
    </row>
    <row r="209" spans="1:19" x14ac:dyDescent="0.25">
      <c r="A209" s="166"/>
      <c r="B209" s="168" t="s">
        <v>181</v>
      </c>
      <c r="C209" s="166"/>
      <c r="D209" s="39">
        <f t="shared" ref="D209:N209" si="283">+D199+C209</f>
        <v>0</v>
      </c>
      <c r="E209" s="39">
        <f t="shared" si="283"/>
        <v>0</v>
      </c>
      <c r="F209" s="39">
        <f t="shared" si="283"/>
        <v>0</v>
      </c>
      <c r="G209" s="39">
        <f t="shared" si="283"/>
        <v>0</v>
      </c>
      <c r="H209" s="39">
        <f t="shared" si="283"/>
        <v>0</v>
      </c>
      <c r="I209" s="39">
        <f t="shared" si="283"/>
        <v>0</v>
      </c>
      <c r="J209" s="39">
        <f t="shared" si="283"/>
        <v>0</v>
      </c>
      <c r="K209" s="39">
        <f t="shared" si="283"/>
        <v>0</v>
      </c>
      <c r="L209" s="39">
        <f t="shared" si="283"/>
        <v>0</v>
      </c>
      <c r="M209" s="39">
        <f t="shared" si="283"/>
        <v>0</v>
      </c>
      <c r="N209" s="39">
        <f t="shared" si="283"/>
        <v>0</v>
      </c>
      <c r="O209" s="39">
        <f t="shared" ref="O209" si="284">+O199+N209</f>
        <v>0</v>
      </c>
      <c r="P209" s="39">
        <f t="shared" ref="P209" si="285">+P199+O209</f>
        <v>0</v>
      </c>
      <c r="Q209" s="39">
        <f t="shared" ref="Q209" si="286">+Q199+P209</f>
        <v>0</v>
      </c>
      <c r="R209" s="39"/>
    </row>
    <row r="210" spans="1:19" x14ac:dyDescent="0.25">
      <c r="A210" s="166"/>
      <c r="B210" s="168" t="s">
        <v>182</v>
      </c>
      <c r="C210" s="166"/>
      <c r="D210" s="39">
        <f t="shared" ref="D210:N210" si="287">+D202+C210</f>
        <v>0</v>
      </c>
      <c r="E210" s="39">
        <f t="shared" si="287"/>
        <v>0</v>
      </c>
      <c r="F210" s="39">
        <f t="shared" si="287"/>
        <v>0</v>
      </c>
      <c r="G210" s="39">
        <f t="shared" si="287"/>
        <v>0</v>
      </c>
      <c r="H210" s="39">
        <f t="shared" si="287"/>
        <v>0</v>
      </c>
      <c r="I210" s="39">
        <f t="shared" si="287"/>
        <v>0</v>
      </c>
      <c r="J210" s="39">
        <f t="shared" si="287"/>
        <v>0</v>
      </c>
      <c r="K210" s="39">
        <f t="shared" si="287"/>
        <v>0</v>
      </c>
      <c r="L210" s="39">
        <f t="shared" si="287"/>
        <v>0</v>
      </c>
      <c r="M210" s="39">
        <f t="shared" si="287"/>
        <v>0</v>
      </c>
      <c r="N210" s="39">
        <f t="shared" si="287"/>
        <v>0</v>
      </c>
      <c r="O210" s="39">
        <f t="shared" ref="O210" si="288">+O202+N210</f>
        <v>0</v>
      </c>
      <c r="P210" s="39">
        <f t="shared" ref="P210" si="289">+P202+O210</f>
        <v>0</v>
      </c>
      <c r="Q210" s="39">
        <f t="shared" ref="Q210" si="290">+Q202+P210</f>
        <v>0</v>
      </c>
      <c r="R210" s="39"/>
    </row>
    <row r="211" spans="1:19" x14ac:dyDescent="0.25">
      <c r="A211" s="166"/>
      <c r="B211" s="156" t="s">
        <v>285</v>
      </c>
      <c r="C211" s="151"/>
      <c r="D211" s="158">
        <f>+D210+D209</f>
        <v>0</v>
      </c>
      <c r="E211" s="158">
        <f t="shared" ref="E211:N211" si="291">+E210+E209</f>
        <v>0</v>
      </c>
      <c r="F211" s="158">
        <f t="shared" si="291"/>
        <v>0</v>
      </c>
      <c r="G211" s="158">
        <f t="shared" si="291"/>
        <v>0</v>
      </c>
      <c r="H211" s="158">
        <f t="shared" si="291"/>
        <v>0</v>
      </c>
      <c r="I211" s="158">
        <f t="shared" si="291"/>
        <v>0</v>
      </c>
      <c r="J211" s="158">
        <f t="shared" si="291"/>
        <v>0</v>
      </c>
      <c r="K211" s="158">
        <f t="shared" si="291"/>
        <v>0</v>
      </c>
      <c r="L211" s="158">
        <f t="shared" si="291"/>
        <v>0</v>
      </c>
      <c r="M211" s="158">
        <f t="shared" si="291"/>
        <v>0</v>
      </c>
      <c r="N211" s="158">
        <f t="shared" si="291"/>
        <v>0</v>
      </c>
      <c r="O211" s="158">
        <f t="shared" ref="O211:Q211" si="292">+O210+O209</f>
        <v>0</v>
      </c>
      <c r="P211" s="158">
        <f t="shared" si="292"/>
        <v>0</v>
      </c>
      <c r="Q211" s="158">
        <f t="shared" si="292"/>
        <v>0</v>
      </c>
      <c r="R211" s="158"/>
    </row>
    <row r="212" spans="1:19" ht="16.5" thickBot="1" x14ac:dyDescent="0.3">
      <c r="A212" s="166"/>
      <c r="B212" s="156" t="s">
        <v>244</v>
      </c>
      <c r="C212" s="151"/>
      <c r="D212" s="158">
        <f t="shared" ref="D212:N212" si="293">+D197*D211</f>
        <v>0</v>
      </c>
      <c r="E212" s="158">
        <f t="shared" si="293"/>
        <v>0</v>
      </c>
      <c r="F212" s="158">
        <f t="shared" si="293"/>
        <v>0</v>
      </c>
      <c r="G212" s="158">
        <f t="shared" si="293"/>
        <v>0</v>
      </c>
      <c r="H212" s="158">
        <f t="shared" si="293"/>
        <v>0</v>
      </c>
      <c r="I212" s="158">
        <f t="shared" si="293"/>
        <v>0</v>
      </c>
      <c r="J212" s="158">
        <f t="shared" si="293"/>
        <v>0</v>
      </c>
      <c r="K212" s="158">
        <f t="shared" si="293"/>
        <v>0</v>
      </c>
      <c r="L212" s="158">
        <f t="shared" si="293"/>
        <v>0</v>
      </c>
      <c r="M212" s="158">
        <f t="shared" si="293"/>
        <v>0</v>
      </c>
      <c r="N212" s="158">
        <f t="shared" si="293"/>
        <v>0</v>
      </c>
      <c r="O212" s="158">
        <f t="shared" ref="O212:Q212" si="294">+O197*O211</f>
        <v>0</v>
      </c>
      <c r="P212" s="158">
        <f t="shared" si="294"/>
        <v>0</v>
      </c>
      <c r="Q212" s="158">
        <f t="shared" si="294"/>
        <v>0</v>
      </c>
      <c r="R212" s="158"/>
      <c r="S212">
        <f>IF($B$196="ADB","A7",7)</f>
        <v>7</v>
      </c>
    </row>
    <row r="213" spans="1:19" s="174" customFormat="1" ht="16.5" thickBot="1" x14ac:dyDescent="0.3">
      <c r="A213" s="290">
        <f>SUM(D213:Q213)</f>
        <v>0</v>
      </c>
      <c r="B213" s="291" t="s">
        <v>213</v>
      </c>
      <c r="C213" s="292"/>
      <c r="D213" s="293">
        <f>D204-D205</f>
        <v>0</v>
      </c>
      <c r="E213" s="293">
        <f>E204-E205</f>
        <v>0</v>
      </c>
      <c r="F213" s="293">
        <f>F204-F205</f>
        <v>0</v>
      </c>
      <c r="G213" s="293">
        <f t="shared" ref="G213:N213" si="295">G204-G205</f>
        <v>0</v>
      </c>
      <c r="H213" s="293">
        <f t="shared" si="295"/>
        <v>0</v>
      </c>
      <c r="I213" s="293">
        <f t="shared" si="295"/>
        <v>0</v>
      </c>
      <c r="J213" s="293">
        <f t="shared" si="295"/>
        <v>0</v>
      </c>
      <c r="K213" s="293">
        <f t="shared" si="295"/>
        <v>0</v>
      </c>
      <c r="L213" s="293">
        <f t="shared" si="295"/>
        <v>0</v>
      </c>
      <c r="M213" s="293">
        <f t="shared" si="295"/>
        <v>0</v>
      </c>
      <c r="N213" s="293">
        <f t="shared" si="295"/>
        <v>0</v>
      </c>
      <c r="O213" s="293">
        <f t="shared" ref="O213:Q213" si="296">O204-O205</f>
        <v>0</v>
      </c>
      <c r="P213" s="293">
        <f t="shared" si="296"/>
        <v>0</v>
      </c>
      <c r="Q213" s="293">
        <f t="shared" si="296"/>
        <v>0</v>
      </c>
      <c r="R213" s="694"/>
      <c r="S213" s="174">
        <f>IF($B$86="ADB","A8",8)</f>
        <v>8</v>
      </c>
    </row>
    <row r="214" spans="1:19" x14ac:dyDescent="0.25">
      <c r="A214" s="39">
        <f>SUM(D214:Q214)</f>
        <v>0</v>
      </c>
      <c r="B214" s="168" t="s">
        <v>282</v>
      </c>
      <c r="C214" s="166"/>
      <c r="D214" s="166"/>
      <c r="E214" s="166"/>
      <c r="F214" s="166">
        <f>IF(F211&lt;E211,+F211*(E197-F197),0)</f>
        <v>0</v>
      </c>
      <c r="G214" s="166">
        <f>IF(G211&lt;F211,+G211*(F197-G197),0)</f>
        <v>0</v>
      </c>
      <c r="H214" s="166">
        <f t="shared" ref="H214:M214" si="297">IF(H211&lt;G211,+H211*(G197-H197),0)</f>
        <v>0</v>
      </c>
      <c r="I214" s="166">
        <f t="shared" si="297"/>
        <v>0</v>
      </c>
      <c r="J214" s="166">
        <f t="shared" si="297"/>
        <v>0</v>
      </c>
      <c r="K214" s="166">
        <f t="shared" si="297"/>
        <v>0</v>
      </c>
      <c r="L214" s="166">
        <f t="shared" si="297"/>
        <v>0</v>
      </c>
      <c r="M214" s="166">
        <f t="shared" si="297"/>
        <v>0</v>
      </c>
      <c r="N214" s="166">
        <f>+N211*(M197-N197)</f>
        <v>0</v>
      </c>
      <c r="O214" s="166">
        <f t="shared" ref="O214:Q214" si="298">+O211*(N197-O197)</f>
        <v>0</v>
      </c>
      <c r="P214" s="166">
        <f t="shared" si="298"/>
        <v>0</v>
      </c>
      <c r="Q214" s="166">
        <f t="shared" si="298"/>
        <v>0</v>
      </c>
      <c r="R214" s="166"/>
      <c r="S214">
        <f>IF($B$196="ADB","A9",9)</f>
        <v>9</v>
      </c>
    </row>
    <row r="215" spans="1:19" x14ac:dyDescent="0.25">
      <c r="A215" s="39">
        <f>SUM(D215:Q215)</f>
        <v>0</v>
      </c>
      <c r="B215" s="168" t="s">
        <v>283</v>
      </c>
      <c r="C215" s="166"/>
      <c r="D215" s="166"/>
      <c r="E215" s="166"/>
      <c r="F215" s="166">
        <f t="shared" ref="F215:N215" si="299">+F202*(F197-E197)</f>
        <v>0</v>
      </c>
      <c r="G215" s="166">
        <f t="shared" si="299"/>
        <v>0</v>
      </c>
      <c r="H215" s="166">
        <f t="shared" si="299"/>
        <v>0</v>
      </c>
      <c r="I215" s="166">
        <f t="shared" si="299"/>
        <v>0</v>
      </c>
      <c r="J215" s="166">
        <f t="shared" si="299"/>
        <v>0</v>
      </c>
      <c r="K215" s="166">
        <f t="shared" si="299"/>
        <v>0</v>
      </c>
      <c r="L215" s="166">
        <f t="shared" si="299"/>
        <v>0</v>
      </c>
      <c r="M215" s="166">
        <f t="shared" si="299"/>
        <v>0</v>
      </c>
      <c r="N215" s="166">
        <f t="shared" si="299"/>
        <v>0</v>
      </c>
      <c r="O215" s="166">
        <f t="shared" ref="O215" si="300">+O202*(O197-N197)</f>
        <v>0</v>
      </c>
      <c r="P215" s="166">
        <f t="shared" ref="P215" si="301">+P202*(P197-O197)</f>
        <v>0</v>
      </c>
      <c r="Q215" s="166">
        <f t="shared" ref="Q215" si="302">+Q202*(Q197-P197)</f>
        <v>0</v>
      </c>
      <c r="R215" s="166"/>
      <c r="S215">
        <f>IF($B$196="ADB","A10",10)</f>
        <v>10</v>
      </c>
    </row>
    <row r="216" spans="1:19" x14ac:dyDescent="0.25">
      <c r="A216" s="39">
        <f>SUM(D216:Q216)</f>
        <v>0</v>
      </c>
      <c r="B216" s="170" t="s">
        <v>284</v>
      </c>
      <c r="C216" s="171"/>
      <c r="D216" s="171"/>
      <c r="E216" s="171"/>
      <c r="F216" s="171">
        <f>+F215+F214</f>
        <v>0</v>
      </c>
      <c r="G216" s="171">
        <f t="shared" ref="G216:N216" si="303">+G215+G214</f>
        <v>0</v>
      </c>
      <c r="H216" s="171">
        <f t="shared" si="303"/>
        <v>0</v>
      </c>
      <c r="I216" s="171">
        <f t="shared" si="303"/>
        <v>0</v>
      </c>
      <c r="J216" s="171">
        <f t="shared" si="303"/>
        <v>0</v>
      </c>
      <c r="K216" s="171">
        <f t="shared" si="303"/>
        <v>0</v>
      </c>
      <c r="L216" s="171">
        <f t="shared" si="303"/>
        <v>0</v>
      </c>
      <c r="M216" s="171">
        <f t="shared" si="303"/>
        <v>0</v>
      </c>
      <c r="N216" s="171">
        <f t="shared" si="303"/>
        <v>0</v>
      </c>
      <c r="O216" s="171">
        <f t="shared" ref="O216:Q216" si="304">+O215+O214</f>
        <v>0</v>
      </c>
      <c r="P216" s="171">
        <f t="shared" si="304"/>
        <v>0</v>
      </c>
      <c r="Q216" s="171">
        <f t="shared" si="304"/>
        <v>0</v>
      </c>
      <c r="R216" s="166"/>
    </row>
    <row r="218" spans="1:19" x14ac:dyDescent="0.25">
      <c r="B218" s="174" t="s">
        <v>279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9" hidden="1" x14ac:dyDescent="0.25">
      <c r="A219" s="166"/>
      <c r="B219" s="166" t="s">
        <v>212</v>
      </c>
      <c r="C219" s="166"/>
      <c r="D219" s="114">
        <f>+turnover!D$122</f>
        <v>1.4656</v>
      </c>
      <c r="E219" s="114">
        <f>+turnover!E$122</f>
        <v>1.5874999999999999</v>
      </c>
      <c r="F219" s="114">
        <f>+turnover!F$122</f>
        <v>1.714</v>
      </c>
      <c r="G219" s="114">
        <f>+turnover!G$122</f>
        <v>1.89</v>
      </c>
      <c r="H219" s="114">
        <f>+turnover!H$122</f>
        <v>2.0790000000000002</v>
      </c>
      <c r="I219" s="114">
        <f>+turnover!I$122</f>
        <v>2.2869000000000002</v>
      </c>
      <c r="J219" s="114">
        <f>+turnover!J$122</f>
        <v>2.51559</v>
      </c>
      <c r="K219" s="114">
        <f>+turnover!K$122</f>
        <v>2.7671490000000003</v>
      </c>
      <c r="L219" s="114">
        <f>+turnover!L$122</f>
        <v>3.0438639000000007</v>
      </c>
      <c r="M219" s="114">
        <f>+turnover!M$122</f>
        <v>3.3482502900000011</v>
      </c>
      <c r="N219" s="114">
        <f>+turnover!N$122</f>
        <v>3.6830753190000012</v>
      </c>
      <c r="O219" s="114">
        <f>+turnover!O$122</f>
        <v>4.0513828509000014</v>
      </c>
      <c r="P219" s="114">
        <f>+turnover!P$122</f>
        <v>4.4565211359900019</v>
      </c>
      <c r="Q219" s="114">
        <f>+turnover!Q$122</f>
        <v>4.9021732495890031</v>
      </c>
      <c r="R219" s="114"/>
    </row>
    <row r="220" spans="1:19" x14ac:dyDescent="0.25">
      <c r="A220" s="166"/>
      <c r="B220" s="167" t="s">
        <v>303</v>
      </c>
      <c r="C220" s="153">
        <f>+PL!C$2</f>
        <v>2008</v>
      </c>
      <c r="D220" s="153">
        <f>+PL!D$2</f>
        <v>2009</v>
      </c>
      <c r="E220" s="153">
        <f>+PL!E$2</f>
        <v>2010</v>
      </c>
      <c r="F220" s="153">
        <f>+PL!F$2</f>
        <v>2011</v>
      </c>
      <c r="G220" s="153">
        <f>+PL!G$2</f>
        <v>2012</v>
      </c>
      <c r="H220" s="153">
        <f>+PL!H$2</f>
        <v>2013</v>
      </c>
      <c r="I220" s="153">
        <f>+PL!I$2</f>
        <v>2014</v>
      </c>
      <c r="J220" s="153">
        <f>+PL!J$2</f>
        <v>2015</v>
      </c>
      <c r="K220" s="153">
        <f>+PL!K$2</f>
        <v>2016</v>
      </c>
      <c r="L220" s="153">
        <f>+PL!L$2</f>
        <v>2017</v>
      </c>
      <c r="M220" s="153">
        <f>+PL!M$2</f>
        <v>2018</v>
      </c>
      <c r="N220" s="153">
        <f>+PL!N$2</f>
        <v>2019</v>
      </c>
      <c r="O220" s="153">
        <f>+PL!O$2</f>
        <v>2020</v>
      </c>
      <c r="P220" s="153">
        <f>+PL!P$2</f>
        <v>2021</v>
      </c>
      <c r="Q220" s="153">
        <f>+PL!Q$2</f>
        <v>2022</v>
      </c>
      <c r="R220" s="151"/>
    </row>
    <row r="221" spans="1:19" x14ac:dyDescent="0.25">
      <c r="A221" s="39">
        <f>SUM(D221:Q221)</f>
        <v>0</v>
      </c>
      <c r="B221" s="168" t="s">
        <v>177</v>
      </c>
      <c r="C221" s="166"/>
      <c r="D221" s="169"/>
      <c r="E221" s="169"/>
      <c r="F221" s="169"/>
      <c r="G221" s="169"/>
      <c r="H221" s="16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>
        <f>IF($B$218="ADB","A1",1)</f>
        <v>1</v>
      </c>
    </row>
    <row r="222" spans="1:19" x14ac:dyDescent="0.25">
      <c r="A222" s="39">
        <f>SUM(D222:Q222)</f>
        <v>0</v>
      </c>
      <c r="B222" s="168" t="s">
        <v>178</v>
      </c>
      <c r="C222" s="166"/>
      <c r="D222" s="169">
        <f t="shared" ref="D222:N222" si="305">+D221*D219</f>
        <v>0</v>
      </c>
      <c r="E222" s="169">
        <f t="shared" si="305"/>
        <v>0</v>
      </c>
      <c r="F222" s="169">
        <f t="shared" si="305"/>
        <v>0</v>
      </c>
      <c r="G222" s="169">
        <f t="shared" si="305"/>
        <v>0</v>
      </c>
      <c r="H222" s="169">
        <f t="shared" si="305"/>
        <v>0</v>
      </c>
      <c r="I222" s="169">
        <f t="shared" si="305"/>
        <v>0</v>
      </c>
      <c r="J222" s="169">
        <f t="shared" si="305"/>
        <v>0</v>
      </c>
      <c r="K222" s="169">
        <f t="shared" si="305"/>
        <v>0</v>
      </c>
      <c r="L222" s="169">
        <f t="shared" si="305"/>
        <v>0</v>
      </c>
      <c r="M222" s="169">
        <f t="shared" si="305"/>
        <v>0</v>
      </c>
      <c r="N222" s="169">
        <f t="shared" si="305"/>
        <v>0</v>
      </c>
      <c r="O222" s="169">
        <f t="shared" ref="O222:Q222" si="306">+O221*O219</f>
        <v>0</v>
      </c>
      <c r="P222" s="169">
        <f t="shared" si="306"/>
        <v>0</v>
      </c>
      <c r="Q222" s="169">
        <f t="shared" si="306"/>
        <v>0</v>
      </c>
      <c r="R222" s="169"/>
      <c r="S222">
        <f>IF($B$218="ADB","A2",2)</f>
        <v>2</v>
      </c>
    </row>
    <row r="223" spans="1:19" x14ac:dyDescent="0.25">
      <c r="A223" s="166" t="e">
        <f>+A222/A221</f>
        <v>#DIV/0!</v>
      </c>
      <c r="B223" s="168"/>
      <c r="C223" s="166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</row>
    <row r="224" spans="1:19" x14ac:dyDescent="0.25">
      <c r="A224" s="39">
        <f>-SUM(D224:Q224)</f>
        <v>0</v>
      </c>
      <c r="B224" s="168" t="s">
        <v>179</v>
      </c>
      <c r="C224" s="166"/>
      <c r="D224" s="39"/>
      <c r="E224" s="39"/>
      <c r="F224" s="39"/>
      <c r="G224" s="39">
        <f>-A221/5</f>
        <v>0</v>
      </c>
      <c r="H224" s="39">
        <f>+G224</f>
        <v>0</v>
      </c>
      <c r="I224" s="39">
        <f>+H224</f>
        <v>0</v>
      </c>
      <c r="J224" s="39">
        <f>+I224</f>
        <v>0</v>
      </c>
      <c r="K224" s="39">
        <f>+J224</f>
        <v>0</v>
      </c>
      <c r="L224" s="39">
        <f>-H221</f>
        <v>0</v>
      </c>
      <c r="M224" s="39">
        <f>-I221</f>
        <v>0</v>
      </c>
      <c r="N224" s="39">
        <f>-J221</f>
        <v>0</v>
      </c>
      <c r="O224" s="39">
        <f t="shared" ref="O224:Q224" si="307">-K221</f>
        <v>0</v>
      </c>
      <c r="P224" s="39">
        <f t="shared" si="307"/>
        <v>0</v>
      </c>
      <c r="Q224" s="39">
        <f t="shared" si="307"/>
        <v>0</v>
      </c>
      <c r="R224" s="39"/>
      <c r="S224">
        <f>IF($B$218="ADB","A3",3)</f>
        <v>3</v>
      </c>
    </row>
    <row r="225" spans="1:19" x14ac:dyDescent="0.25">
      <c r="A225" s="166"/>
      <c r="B225" s="168" t="s">
        <v>180</v>
      </c>
      <c r="C225" s="16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>
        <f>IF($B$218="ADB","A4",4)</f>
        <v>4</v>
      </c>
    </row>
    <row r="226" spans="1:19" x14ac:dyDescent="0.25">
      <c r="A226" s="39">
        <f>SUM(D226:Q226)</f>
        <v>0</v>
      </c>
      <c r="B226" s="168" t="s">
        <v>246</v>
      </c>
      <c r="C226" s="166"/>
      <c r="D226" s="39"/>
      <c r="E226" s="39"/>
      <c r="F226" s="39"/>
      <c r="G226" s="39">
        <f t="shared" ref="G226:N226" si="308">+G224*G219</f>
        <v>0</v>
      </c>
      <c r="H226" s="39">
        <f t="shared" si="308"/>
        <v>0</v>
      </c>
      <c r="I226" s="39">
        <f t="shared" si="308"/>
        <v>0</v>
      </c>
      <c r="J226" s="39">
        <f t="shared" si="308"/>
        <v>0</v>
      </c>
      <c r="K226" s="39">
        <f t="shared" si="308"/>
        <v>0</v>
      </c>
      <c r="L226" s="39">
        <f t="shared" si="308"/>
        <v>0</v>
      </c>
      <c r="M226" s="39">
        <f t="shared" si="308"/>
        <v>0</v>
      </c>
      <c r="N226" s="39">
        <f t="shared" si="308"/>
        <v>0</v>
      </c>
      <c r="O226" s="39">
        <f t="shared" ref="O226:Q226" si="309">+O224*O219</f>
        <v>0</v>
      </c>
      <c r="P226" s="39">
        <f t="shared" si="309"/>
        <v>0</v>
      </c>
      <c r="Q226" s="39">
        <f t="shared" si="309"/>
        <v>0</v>
      </c>
      <c r="R226" s="39"/>
      <c r="S226">
        <f>IF($B$218="ADB","A5",5)</f>
        <v>5</v>
      </c>
    </row>
    <row r="227" spans="1:19" x14ac:dyDescent="0.25">
      <c r="A227" s="39">
        <f>SUM(D227:Q227)</f>
        <v>0</v>
      </c>
      <c r="B227" s="168" t="s">
        <v>286</v>
      </c>
      <c r="C227" s="166"/>
      <c r="D227" s="39"/>
      <c r="E227" s="39"/>
      <c r="F227" s="39"/>
      <c r="G227" s="39">
        <f>+G224*$A$69</f>
        <v>0</v>
      </c>
      <c r="H227" s="39">
        <f t="shared" ref="H227:N227" si="310">+H224*$A$69</f>
        <v>0</v>
      </c>
      <c r="I227" s="39">
        <f t="shared" si="310"/>
        <v>0</v>
      </c>
      <c r="J227" s="39">
        <f t="shared" si="310"/>
        <v>0</v>
      </c>
      <c r="K227" s="39">
        <f t="shared" si="310"/>
        <v>0</v>
      </c>
      <c r="L227" s="39">
        <f t="shared" si="310"/>
        <v>0</v>
      </c>
      <c r="M227" s="39">
        <f t="shared" si="310"/>
        <v>0</v>
      </c>
      <c r="N227" s="39">
        <f t="shared" si="310"/>
        <v>0</v>
      </c>
      <c r="O227" s="39">
        <f t="shared" ref="O227:Q227" si="311">+O224*$A$69</f>
        <v>0</v>
      </c>
      <c r="P227" s="39">
        <f t="shared" si="311"/>
        <v>0</v>
      </c>
      <c r="Q227" s="39">
        <f t="shared" si="311"/>
        <v>0</v>
      </c>
      <c r="R227" s="39"/>
      <c r="S227">
        <f>IF($B$218="ADB","A6",6)</f>
        <v>6</v>
      </c>
    </row>
    <row r="228" spans="1:19" x14ac:dyDescent="0.25">
      <c r="A228" s="39"/>
      <c r="B228" s="168"/>
      <c r="C228" s="166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</row>
    <row r="229" spans="1:19" x14ac:dyDescent="0.25">
      <c r="A229" s="39">
        <f>SUM(D229:Q229)</f>
        <v>0</v>
      </c>
      <c r="B229" s="168" t="s">
        <v>280</v>
      </c>
      <c r="C229" s="166"/>
      <c r="D229" s="39"/>
      <c r="E229" s="39">
        <f>+E221+E224</f>
        <v>0</v>
      </c>
      <c r="F229" s="39">
        <f t="shared" ref="F229:N229" si="312">+F221+F224</f>
        <v>0</v>
      </c>
      <c r="G229" s="39">
        <f t="shared" si="312"/>
        <v>0</v>
      </c>
      <c r="H229" s="39">
        <f t="shared" si="312"/>
        <v>0</v>
      </c>
      <c r="I229" s="39">
        <f t="shared" si="312"/>
        <v>0</v>
      </c>
      <c r="J229" s="39">
        <f t="shared" si="312"/>
        <v>0</v>
      </c>
      <c r="K229" s="39">
        <f t="shared" si="312"/>
        <v>0</v>
      </c>
      <c r="L229" s="39">
        <f t="shared" si="312"/>
        <v>0</v>
      </c>
      <c r="M229" s="39">
        <f t="shared" si="312"/>
        <v>0</v>
      </c>
      <c r="N229" s="39">
        <f t="shared" si="312"/>
        <v>0</v>
      </c>
      <c r="O229" s="39">
        <f t="shared" ref="O229:Q229" si="313">+O221+O224</f>
        <v>0</v>
      </c>
      <c r="P229" s="39">
        <f t="shared" si="313"/>
        <v>0</v>
      </c>
      <c r="Q229" s="39">
        <f t="shared" si="313"/>
        <v>0</v>
      </c>
      <c r="R229" s="39"/>
    </row>
    <row r="230" spans="1:19" x14ac:dyDescent="0.25">
      <c r="A230" s="39">
        <f>SUM(D230:Q230)</f>
        <v>0</v>
      </c>
      <c r="B230" s="168" t="s">
        <v>281</v>
      </c>
      <c r="C230" s="166"/>
      <c r="D230" s="39"/>
      <c r="E230" s="39">
        <f>+E222+E225</f>
        <v>0</v>
      </c>
      <c r="F230" s="39">
        <f>+F222+F226</f>
        <v>0</v>
      </c>
      <c r="G230" s="39">
        <f t="shared" ref="G230:N230" si="314">+G222+G226</f>
        <v>0</v>
      </c>
      <c r="H230" s="39">
        <f t="shared" si="314"/>
        <v>0</v>
      </c>
      <c r="I230" s="39">
        <f t="shared" si="314"/>
        <v>0</v>
      </c>
      <c r="J230" s="39">
        <f t="shared" si="314"/>
        <v>0</v>
      </c>
      <c r="K230" s="39">
        <f t="shared" si="314"/>
        <v>0</v>
      </c>
      <c r="L230" s="39">
        <f t="shared" si="314"/>
        <v>0</v>
      </c>
      <c r="M230" s="39">
        <f t="shared" si="314"/>
        <v>0</v>
      </c>
      <c r="N230" s="39">
        <f t="shared" si="314"/>
        <v>0</v>
      </c>
      <c r="O230" s="39">
        <f t="shared" ref="O230:Q230" si="315">+O222+O226</f>
        <v>0</v>
      </c>
      <c r="P230" s="39">
        <f t="shared" si="315"/>
        <v>0</v>
      </c>
      <c r="Q230" s="39">
        <f t="shared" si="315"/>
        <v>0</v>
      </c>
      <c r="R230" s="39"/>
    </row>
    <row r="231" spans="1:19" x14ac:dyDescent="0.25">
      <c r="A231" s="166"/>
      <c r="B231" s="168" t="s">
        <v>181</v>
      </c>
      <c r="C231" s="166"/>
      <c r="D231" s="39">
        <f t="shared" ref="D231:N231" si="316">+D221+C231</f>
        <v>0</v>
      </c>
      <c r="E231" s="39">
        <f t="shared" si="316"/>
        <v>0</v>
      </c>
      <c r="F231" s="39">
        <f t="shared" si="316"/>
        <v>0</v>
      </c>
      <c r="G231" s="39">
        <f t="shared" si="316"/>
        <v>0</v>
      </c>
      <c r="H231" s="39">
        <f t="shared" si="316"/>
        <v>0</v>
      </c>
      <c r="I231" s="39">
        <f t="shared" si="316"/>
        <v>0</v>
      </c>
      <c r="J231" s="39">
        <f t="shared" si="316"/>
        <v>0</v>
      </c>
      <c r="K231" s="39">
        <f t="shared" si="316"/>
        <v>0</v>
      </c>
      <c r="L231" s="39">
        <f t="shared" si="316"/>
        <v>0</v>
      </c>
      <c r="M231" s="39">
        <f t="shared" si="316"/>
        <v>0</v>
      </c>
      <c r="N231" s="39">
        <f t="shared" si="316"/>
        <v>0</v>
      </c>
      <c r="O231" s="39">
        <f t="shared" ref="O231" si="317">+O221+N231</f>
        <v>0</v>
      </c>
      <c r="P231" s="39">
        <f t="shared" ref="P231" si="318">+P221+O231</f>
        <v>0</v>
      </c>
      <c r="Q231" s="39">
        <f t="shared" ref="Q231" si="319">+Q221+P231</f>
        <v>0</v>
      </c>
      <c r="R231" s="39"/>
    </row>
    <row r="232" spans="1:19" x14ac:dyDescent="0.25">
      <c r="A232" s="166"/>
      <c r="B232" s="168" t="s">
        <v>182</v>
      </c>
      <c r="C232" s="166"/>
      <c r="D232" s="39">
        <f t="shared" ref="D232:N232" si="320">+D224+C232</f>
        <v>0</v>
      </c>
      <c r="E232" s="39">
        <f t="shared" si="320"/>
        <v>0</v>
      </c>
      <c r="F232" s="39">
        <f t="shared" si="320"/>
        <v>0</v>
      </c>
      <c r="G232" s="39">
        <f t="shared" si="320"/>
        <v>0</v>
      </c>
      <c r="H232" s="39">
        <f t="shared" si="320"/>
        <v>0</v>
      </c>
      <c r="I232" s="39">
        <f t="shared" si="320"/>
        <v>0</v>
      </c>
      <c r="J232" s="39">
        <f t="shared" si="320"/>
        <v>0</v>
      </c>
      <c r="K232" s="39">
        <f t="shared" si="320"/>
        <v>0</v>
      </c>
      <c r="L232" s="39">
        <f t="shared" si="320"/>
        <v>0</v>
      </c>
      <c r="M232" s="39">
        <f t="shared" si="320"/>
        <v>0</v>
      </c>
      <c r="N232" s="39">
        <f t="shared" si="320"/>
        <v>0</v>
      </c>
      <c r="O232" s="39">
        <f t="shared" ref="O232" si="321">+O224+N232</f>
        <v>0</v>
      </c>
      <c r="P232" s="39">
        <f t="shared" ref="P232" si="322">+P224+O232</f>
        <v>0</v>
      </c>
      <c r="Q232" s="39">
        <f t="shared" ref="Q232" si="323">+Q224+P232</f>
        <v>0</v>
      </c>
      <c r="R232" s="39"/>
    </row>
    <row r="233" spans="1:19" x14ac:dyDescent="0.25">
      <c r="A233" s="166"/>
      <c r="B233" s="156" t="s">
        <v>285</v>
      </c>
      <c r="C233" s="151"/>
      <c r="D233" s="158">
        <f>+D232+D231</f>
        <v>0</v>
      </c>
      <c r="E233" s="158">
        <f t="shared" ref="E233:N233" si="324">+E232+E231</f>
        <v>0</v>
      </c>
      <c r="F233" s="158">
        <f t="shared" si="324"/>
        <v>0</v>
      </c>
      <c r="G233" s="158">
        <f t="shared" si="324"/>
        <v>0</v>
      </c>
      <c r="H233" s="158">
        <f t="shared" si="324"/>
        <v>0</v>
      </c>
      <c r="I233" s="158">
        <f t="shared" si="324"/>
        <v>0</v>
      </c>
      <c r="J233" s="158">
        <f t="shared" si="324"/>
        <v>0</v>
      </c>
      <c r="K233" s="158">
        <f t="shared" si="324"/>
        <v>0</v>
      </c>
      <c r="L233" s="158">
        <f t="shared" si="324"/>
        <v>0</v>
      </c>
      <c r="M233" s="158">
        <f t="shared" si="324"/>
        <v>0</v>
      </c>
      <c r="N233" s="158">
        <f t="shared" si="324"/>
        <v>0</v>
      </c>
      <c r="O233" s="158">
        <f t="shared" ref="O233:Q233" si="325">+O232+O231</f>
        <v>0</v>
      </c>
      <c r="P233" s="158">
        <f t="shared" si="325"/>
        <v>0</v>
      </c>
      <c r="Q233" s="158">
        <f t="shared" si="325"/>
        <v>0</v>
      </c>
      <c r="R233" s="158"/>
    </row>
    <row r="234" spans="1:19" ht="16.5" thickBot="1" x14ac:dyDescent="0.3">
      <c r="A234" s="166"/>
      <c r="B234" s="156" t="s">
        <v>244</v>
      </c>
      <c r="C234" s="151"/>
      <c r="D234" s="158">
        <f t="shared" ref="D234:N234" si="326">+D219*D233</f>
        <v>0</v>
      </c>
      <c r="E234" s="158">
        <f t="shared" si="326"/>
        <v>0</v>
      </c>
      <c r="F234" s="158">
        <f t="shared" si="326"/>
        <v>0</v>
      </c>
      <c r="G234" s="158">
        <f t="shared" si="326"/>
        <v>0</v>
      </c>
      <c r="H234" s="158">
        <f t="shared" si="326"/>
        <v>0</v>
      </c>
      <c r="I234" s="158">
        <f t="shared" si="326"/>
        <v>0</v>
      </c>
      <c r="J234" s="158">
        <f t="shared" si="326"/>
        <v>0</v>
      </c>
      <c r="K234" s="158">
        <f t="shared" si="326"/>
        <v>0</v>
      </c>
      <c r="L234" s="158">
        <f t="shared" si="326"/>
        <v>0</v>
      </c>
      <c r="M234" s="158">
        <f t="shared" si="326"/>
        <v>0</v>
      </c>
      <c r="N234" s="158">
        <f t="shared" si="326"/>
        <v>0</v>
      </c>
      <c r="O234" s="158">
        <f t="shared" ref="O234:Q234" si="327">+O219*O233</f>
        <v>0</v>
      </c>
      <c r="P234" s="158">
        <f t="shared" si="327"/>
        <v>0</v>
      </c>
      <c r="Q234" s="158">
        <f t="shared" si="327"/>
        <v>0</v>
      </c>
      <c r="R234" s="158"/>
      <c r="S234">
        <f>IF($B$218="ADB","A7",7)</f>
        <v>7</v>
      </c>
    </row>
    <row r="235" spans="1:19" s="174" customFormat="1" ht="16.5" thickBot="1" x14ac:dyDescent="0.3">
      <c r="A235" s="290">
        <f>SUM(D235:Q235)</f>
        <v>0</v>
      </c>
      <c r="B235" s="291" t="s">
        <v>213</v>
      </c>
      <c r="C235" s="292"/>
      <c r="D235" s="293">
        <f>D226-D227</f>
        <v>0</v>
      </c>
      <c r="E235" s="293">
        <f>E226-E227</f>
        <v>0</v>
      </c>
      <c r="F235" s="293">
        <f>F226-F227</f>
        <v>0</v>
      </c>
      <c r="G235" s="293">
        <f t="shared" ref="G235:N235" si="328">G226-G227</f>
        <v>0</v>
      </c>
      <c r="H235" s="293">
        <f t="shared" si="328"/>
        <v>0</v>
      </c>
      <c r="I235" s="293">
        <f t="shared" si="328"/>
        <v>0</v>
      </c>
      <c r="J235" s="293">
        <f t="shared" si="328"/>
        <v>0</v>
      </c>
      <c r="K235" s="293">
        <f t="shared" si="328"/>
        <v>0</v>
      </c>
      <c r="L235" s="293">
        <f t="shared" si="328"/>
        <v>0</v>
      </c>
      <c r="M235" s="293">
        <f t="shared" si="328"/>
        <v>0</v>
      </c>
      <c r="N235" s="293">
        <f t="shared" si="328"/>
        <v>0</v>
      </c>
      <c r="O235" s="293">
        <f t="shared" ref="O235:Q235" si="329">O226-O227</f>
        <v>0</v>
      </c>
      <c r="P235" s="293">
        <f t="shared" si="329"/>
        <v>0</v>
      </c>
      <c r="Q235" s="293">
        <f t="shared" si="329"/>
        <v>0</v>
      </c>
      <c r="R235" s="694"/>
      <c r="S235" s="174">
        <f>IF($B$86="ADB","A8",8)</f>
        <v>8</v>
      </c>
    </row>
    <row r="236" spans="1:19" x14ac:dyDescent="0.25">
      <c r="A236" s="39">
        <f>SUM(D236:Q236)</f>
        <v>0</v>
      </c>
      <c r="B236" s="168" t="s">
        <v>282</v>
      </c>
      <c r="C236" s="166"/>
      <c r="D236" s="166"/>
      <c r="E236" s="166"/>
      <c r="F236" s="166">
        <f>IF(F233&lt;E233,+F233*(E219-F219),0)</f>
        <v>0</v>
      </c>
      <c r="G236" s="166">
        <f>IF(G233&lt;F233,+G233*(F219-G219),0)</f>
        <v>0</v>
      </c>
      <c r="H236" s="166">
        <f t="shared" ref="H236:M236" si="330">IF(H233&lt;G233,+H233*(G219-H219),0)</f>
        <v>0</v>
      </c>
      <c r="I236" s="166">
        <f t="shared" si="330"/>
        <v>0</v>
      </c>
      <c r="J236" s="166">
        <f t="shared" si="330"/>
        <v>0</v>
      </c>
      <c r="K236" s="166">
        <f t="shared" si="330"/>
        <v>0</v>
      </c>
      <c r="L236" s="166">
        <f t="shared" si="330"/>
        <v>0</v>
      </c>
      <c r="M236" s="166">
        <f t="shared" si="330"/>
        <v>0</v>
      </c>
      <c r="N236" s="166">
        <f>+N233*(M219-N219)</f>
        <v>0</v>
      </c>
      <c r="O236" s="166">
        <f t="shared" ref="O236:Q236" si="331">+O233*(N219-O219)</f>
        <v>0</v>
      </c>
      <c r="P236" s="166">
        <f t="shared" si="331"/>
        <v>0</v>
      </c>
      <c r="Q236" s="166">
        <f t="shared" si="331"/>
        <v>0</v>
      </c>
      <c r="R236" s="166"/>
      <c r="S236">
        <f>IF($B$218="ADB","A9",9)</f>
        <v>9</v>
      </c>
    </row>
    <row r="237" spans="1:19" x14ac:dyDescent="0.25">
      <c r="A237" s="39">
        <f>SUM(D237:Q237)</f>
        <v>0</v>
      </c>
      <c r="B237" s="168" t="s">
        <v>283</v>
      </c>
      <c r="C237" s="166"/>
      <c r="D237" s="166"/>
      <c r="E237" s="166"/>
      <c r="F237" s="166">
        <f t="shared" ref="F237:N237" si="332">+F224*(F219-E219)</f>
        <v>0</v>
      </c>
      <c r="G237" s="166">
        <f t="shared" si="332"/>
        <v>0</v>
      </c>
      <c r="H237" s="166">
        <f t="shared" si="332"/>
        <v>0</v>
      </c>
      <c r="I237" s="166">
        <f t="shared" si="332"/>
        <v>0</v>
      </c>
      <c r="J237" s="166">
        <f t="shared" si="332"/>
        <v>0</v>
      </c>
      <c r="K237" s="166">
        <f t="shared" si="332"/>
        <v>0</v>
      </c>
      <c r="L237" s="166">
        <f t="shared" si="332"/>
        <v>0</v>
      </c>
      <c r="M237" s="166">
        <f t="shared" si="332"/>
        <v>0</v>
      </c>
      <c r="N237" s="166">
        <f t="shared" si="332"/>
        <v>0</v>
      </c>
      <c r="O237" s="166">
        <f t="shared" ref="O237" si="333">+O224*(O219-N219)</f>
        <v>0</v>
      </c>
      <c r="P237" s="166">
        <f t="shared" ref="P237" si="334">+P224*(P219-O219)</f>
        <v>0</v>
      </c>
      <c r="Q237" s="166">
        <f t="shared" ref="Q237" si="335">+Q224*(Q219-P219)</f>
        <v>0</v>
      </c>
      <c r="R237" s="166"/>
      <c r="S237">
        <f>IF($B$218="ADB","A10",10)</f>
        <v>10</v>
      </c>
    </row>
    <row r="238" spans="1:19" x14ac:dyDescent="0.25">
      <c r="A238" s="39">
        <f>SUM(D238:Q238)</f>
        <v>0</v>
      </c>
      <c r="B238" s="170" t="s">
        <v>284</v>
      </c>
      <c r="C238" s="171"/>
      <c r="D238" s="171"/>
      <c r="E238" s="171"/>
      <c r="F238" s="171">
        <f>+F237+F236</f>
        <v>0</v>
      </c>
      <c r="G238" s="171">
        <f t="shared" ref="G238:N238" si="336">+G237+G236</f>
        <v>0</v>
      </c>
      <c r="H238" s="171">
        <f t="shared" si="336"/>
        <v>0</v>
      </c>
      <c r="I238" s="171">
        <f t="shared" si="336"/>
        <v>0</v>
      </c>
      <c r="J238" s="171">
        <f t="shared" si="336"/>
        <v>0</v>
      </c>
      <c r="K238" s="171">
        <f t="shared" si="336"/>
        <v>0</v>
      </c>
      <c r="L238" s="171">
        <f t="shared" si="336"/>
        <v>0</v>
      </c>
      <c r="M238" s="171">
        <f t="shared" si="336"/>
        <v>0</v>
      </c>
      <c r="N238" s="171">
        <f t="shared" si="336"/>
        <v>0</v>
      </c>
      <c r="O238" s="171">
        <f t="shared" ref="O238:Q238" si="337">+O237+O236</f>
        <v>0</v>
      </c>
      <c r="P238" s="171">
        <f t="shared" si="337"/>
        <v>0</v>
      </c>
      <c r="Q238" s="171">
        <f t="shared" si="337"/>
        <v>0</v>
      </c>
      <c r="R238" s="166"/>
    </row>
    <row r="240" spans="1:19" x14ac:dyDescent="0.25">
      <c r="B240" s="174" t="s">
        <v>279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9" hidden="1" x14ac:dyDescent="0.25">
      <c r="A241" s="166"/>
      <c r="B241" s="166" t="s">
        <v>212</v>
      </c>
      <c r="C241" s="166"/>
      <c r="D241" s="114">
        <f>+turnover!D$122</f>
        <v>1.4656</v>
      </c>
      <c r="E241" s="114">
        <f>+turnover!E$122</f>
        <v>1.5874999999999999</v>
      </c>
      <c r="F241" s="114">
        <f>+turnover!F$122</f>
        <v>1.714</v>
      </c>
      <c r="G241" s="114">
        <f>+turnover!G$122</f>
        <v>1.89</v>
      </c>
      <c r="H241" s="114">
        <f>+turnover!H$122</f>
        <v>2.0790000000000002</v>
      </c>
      <c r="I241" s="114">
        <f>+turnover!I$122</f>
        <v>2.2869000000000002</v>
      </c>
      <c r="J241" s="114">
        <f>+turnover!J$122</f>
        <v>2.51559</v>
      </c>
      <c r="K241" s="114">
        <f>+turnover!K$122</f>
        <v>2.7671490000000003</v>
      </c>
      <c r="L241" s="114">
        <f>+turnover!L$122</f>
        <v>3.0438639000000007</v>
      </c>
      <c r="M241" s="114">
        <f>+turnover!M$122</f>
        <v>3.3482502900000011</v>
      </c>
      <c r="N241" s="114">
        <f>+turnover!N$122</f>
        <v>3.6830753190000012</v>
      </c>
      <c r="O241" s="114">
        <f>+turnover!O$122</f>
        <v>4.0513828509000014</v>
      </c>
      <c r="P241" s="114">
        <f>+turnover!P$122</f>
        <v>4.4565211359900019</v>
      </c>
      <c r="Q241" s="114">
        <f>+turnover!Q$122</f>
        <v>4.9021732495890031</v>
      </c>
      <c r="R241" s="114"/>
    </row>
    <row r="242" spans="1:19" x14ac:dyDescent="0.25">
      <c r="A242" s="166"/>
      <c r="B242" s="167" t="s">
        <v>304</v>
      </c>
      <c r="C242" s="153">
        <f>+PL!C$2</f>
        <v>2008</v>
      </c>
      <c r="D242" s="153">
        <f>+PL!D$2</f>
        <v>2009</v>
      </c>
      <c r="E242" s="153">
        <f>+PL!E$2</f>
        <v>2010</v>
      </c>
      <c r="F242" s="153">
        <f>+PL!F$2</f>
        <v>2011</v>
      </c>
      <c r="G242" s="153">
        <f>+PL!G$2</f>
        <v>2012</v>
      </c>
      <c r="H242" s="153">
        <f>+PL!H$2</f>
        <v>2013</v>
      </c>
      <c r="I242" s="153">
        <f>+PL!I$2</f>
        <v>2014</v>
      </c>
      <c r="J242" s="153">
        <f>+PL!J$2</f>
        <v>2015</v>
      </c>
      <c r="K242" s="153">
        <f>+PL!K$2</f>
        <v>2016</v>
      </c>
      <c r="L242" s="153">
        <f>+PL!L$2</f>
        <v>2017</v>
      </c>
      <c r="M242" s="153">
        <f>+PL!M$2</f>
        <v>2018</v>
      </c>
      <c r="N242" s="153">
        <f>+PL!N$2</f>
        <v>2019</v>
      </c>
      <c r="O242" s="153">
        <f>+PL!O$2</f>
        <v>2020</v>
      </c>
      <c r="P242" s="153">
        <f>+PL!P$2</f>
        <v>2021</v>
      </c>
      <c r="Q242" s="153">
        <f>+PL!Q$2</f>
        <v>2022</v>
      </c>
      <c r="R242" s="151"/>
    </row>
    <row r="243" spans="1:19" x14ac:dyDescent="0.25">
      <c r="A243" s="39">
        <f>SUM(D243:Q243)</f>
        <v>0</v>
      </c>
      <c r="B243" s="168" t="s">
        <v>177</v>
      </c>
      <c r="C243" s="166"/>
      <c r="D243" s="169"/>
      <c r="E243" s="169"/>
      <c r="F243" s="169"/>
      <c r="G243" s="169"/>
      <c r="H243" s="16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>
        <f>IF($B$240="ADB","A1",1)</f>
        <v>1</v>
      </c>
    </row>
    <row r="244" spans="1:19" x14ac:dyDescent="0.25">
      <c r="A244" s="39">
        <f>SUM(D244:Q244)</f>
        <v>0</v>
      </c>
      <c r="B244" s="168" t="s">
        <v>178</v>
      </c>
      <c r="C244" s="166"/>
      <c r="D244" s="169">
        <f t="shared" ref="D244:N244" si="338">+D243*D241</f>
        <v>0</v>
      </c>
      <c r="E244" s="169">
        <f t="shared" si="338"/>
        <v>0</v>
      </c>
      <c r="F244" s="169">
        <f t="shared" si="338"/>
        <v>0</v>
      </c>
      <c r="G244" s="169">
        <f t="shared" si="338"/>
        <v>0</v>
      </c>
      <c r="H244" s="169">
        <f t="shared" si="338"/>
        <v>0</v>
      </c>
      <c r="I244" s="169">
        <f t="shared" si="338"/>
        <v>0</v>
      </c>
      <c r="J244" s="169">
        <f t="shared" si="338"/>
        <v>0</v>
      </c>
      <c r="K244" s="169">
        <f t="shared" si="338"/>
        <v>0</v>
      </c>
      <c r="L244" s="169">
        <f t="shared" si="338"/>
        <v>0</v>
      </c>
      <c r="M244" s="169">
        <f t="shared" si="338"/>
        <v>0</v>
      </c>
      <c r="N244" s="169">
        <f t="shared" si="338"/>
        <v>0</v>
      </c>
      <c r="O244" s="169">
        <f t="shared" ref="O244:Q244" si="339">+O243*O241</f>
        <v>0</v>
      </c>
      <c r="P244" s="169">
        <f t="shared" si="339"/>
        <v>0</v>
      </c>
      <c r="Q244" s="169">
        <f t="shared" si="339"/>
        <v>0</v>
      </c>
      <c r="R244" s="169"/>
      <c r="S244">
        <f>IF($B$240="ADB","A2",2)</f>
        <v>2</v>
      </c>
    </row>
    <row r="245" spans="1:19" x14ac:dyDescent="0.25">
      <c r="A245" s="166" t="e">
        <f>+A244/A243</f>
        <v>#DIV/0!</v>
      </c>
      <c r="B245" s="168"/>
      <c r="C245" s="16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1:19" x14ac:dyDescent="0.25">
      <c r="A246" s="39">
        <f>-SUM(D246:Q246)</f>
        <v>0</v>
      </c>
      <c r="B246" s="168" t="s">
        <v>179</v>
      </c>
      <c r="C246" s="166"/>
      <c r="D246" s="39"/>
      <c r="E246" s="39"/>
      <c r="F246" s="39"/>
      <c r="G246" s="39">
        <f>-A243/5</f>
        <v>0</v>
      </c>
      <c r="H246" s="39">
        <f>+G246</f>
        <v>0</v>
      </c>
      <c r="I246" s="39">
        <f>+H246</f>
        <v>0</v>
      </c>
      <c r="J246" s="39">
        <f>+I246</f>
        <v>0</v>
      </c>
      <c r="K246" s="39">
        <f>+J246</f>
        <v>0</v>
      </c>
      <c r="L246" s="39">
        <f>-H243</f>
        <v>0</v>
      </c>
      <c r="M246" s="39">
        <f>-I243</f>
        <v>0</v>
      </c>
      <c r="N246" s="39">
        <f>-J243</f>
        <v>0</v>
      </c>
      <c r="O246" s="39">
        <f t="shared" ref="O246:Q246" si="340">-K243</f>
        <v>0</v>
      </c>
      <c r="P246" s="39">
        <f t="shared" si="340"/>
        <v>0</v>
      </c>
      <c r="Q246" s="39">
        <f t="shared" si="340"/>
        <v>0</v>
      </c>
      <c r="R246" s="39"/>
      <c r="S246">
        <f>IF($B$240="ADB","A3",3)</f>
        <v>3</v>
      </c>
    </row>
    <row r="247" spans="1:19" x14ac:dyDescent="0.25">
      <c r="A247" s="166"/>
      <c r="B247" s="168" t="s">
        <v>180</v>
      </c>
      <c r="C247" s="166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>
        <f>IF($B$240="ADB","A4",4)</f>
        <v>4</v>
      </c>
    </row>
    <row r="248" spans="1:19" x14ac:dyDescent="0.25">
      <c r="A248" s="39">
        <f>SUM(D248:Q248)</f>
        <v>0</v>
      </c>
      <c r="B248" s="168" t="s">
        <v>246</v>
      </c>
      <c r="C248" s="166"/>
      <c r="D248" s="39"/>
      <c r="E248" s="39"/>
      <c r="F248" s="39"/>
      <c r="G248" s="39">
        <f t="shared" ref="G248:N248" si="341">+G246*G241</f>
        <v>0</v>
      </c>
      <c r="H248" s="39">
        <f t="shared" si="341"/>
        <v>0</v>
      </c>
      <c r="I248" s="39">
        <f t="shared" si="341"/>
        <v>0</v>
      </c>
      <c r="J248" s="39">
        <f t="shared" si="341"/>
        <v>0</v>
      </c>
      <c r="K248" s="39">
        <f t="shared" si="341"/>
        <v>0</v>
      </c>
      <c r="L248" s="39">
        <f t="shared" si="341"/>
        <v>0</v>
      </c>
      <c r="M248" s="39">
        <f t="shared" si="341"/>
        <v>0</v>
      </c>
      <c r="N248" s="39">
        <f t="shared" si="341"/>
        <v>0</v>
      </c>
      <c r="O248" s="39">
        <f t="shared" ref="O248:Q248" si="342">+O246*O241</f>
        <v>0</v>
      </c>
      <c r="P248" s="39">
        <f t="shared" si="342"/>
        <v>0</v>
      </c>
      <c r="Q248" s="39">
        <f t="shared" si="342"/>
        <v>0</v>
      </c>
      <c r="R248" s="39"/>
      <c r="S248">
        <f>IF($B$240="ADB","A5",5)</f>
        <v>5</v>
      </c>
    </row>
    <row r="249" spans="1:19" x14ac:dyDescent="0.25">
      <c r="A249" s="39">
        <f>SUM(D249:Q249)</f>
        <v>0</v>
      </c>
      <c r="B249" s="168" t="s">
        <v>286</v>
      </c>
      <c r="C249" s="166"/>
      <c r="D249" s="39"/>
      <c r="E249" s="39"/>
      <c r="F249" s="39"/>
      <c r="G249" s="39">
        <f>+G246*$A$69</f>
        <v>0</v>
      </c>
      <c r="H249" s="39">
        <f t="shared" ref="H249:N249" si="343">+H246*$A$69</f>
        <v>0</v>
      </c>
      <c r="I249" s="39">
        <f t="shared" si="343"/>
        <v>0</v>
      </c>
      <c r="J249" s="39">
        <f t="shared" si="343"/>
        <v>0</v>
      </c>
      <c r="K249" s="39">
        <f t="shared" si="343"/>
        <v>0</v>
      </c>
      <c r="L249" s="39">
        <f t="shared" si="343"/>
        <v>0</v>
      </c>
      <c r="M249" s="39">
        <f t="shared" si="343"/>
        <v>0</v>
      </c>
      <c r="N249" s="39">
        <f t="shared" si="343"/>
        <v>0</v>
      </c>
      <c r="O249" s="39">
        <f t="shared" ref="O249:Q249" si="344">+O246*$A$69</f>
        <v>0</v>
      </c>
      <c r="P249" s="39">
        <f t="shared" si="344"/>
        <v>0</v>
      </c>
      <c r="Q249" s="39">
        <f t="shared" si="344"/>
        <v>0</v>
      </c>
      <c r="R249" s="39"/>
      <c r="S249">
        <f>IF($B$240="ADB","A6",6)</f>
        <v>6</v>
      </c>
    </row>
    <row r="250" spans="1:19" x14ac:dyDescent="0.25">
      <c r="A250" s="39"/>
      <c r="B250" s="168"/>
      <c r="C250" s="166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</row>
    <row r="251" spans="1:19" x14ac:dyDescent="0.25">
      <c r="A251" s="39">
        <f>SUM(D251:Q251)</f>
        <v>0</v>
      </c>
      <c r="B251" s="168" t="s">
        <v>280</v>
      </c>
      <c r="C251" s="166"/>
      <c r="D251" s="39"/>
      <c r="E251" s="39">
        <f>+E243+E246</f>
        <v>0</v>
      </c>
      <c r="F251" s="39">
        <f t="shared" ref="F251:N251" si="345">+F243+F246</f>
        <v>0</v>
      </c>
      <c r="G251" s="39">
        <f t="shared" si="345"/>
        <v>0</v>
      </c>
      <c r="H251" s="39">
        <f t="shared" si="345"/>
        <v>0</v>
      </c>
      <c r="I251" s="39">
        <f t="shared" si="345"/>
        <v>0</v>
      </c>
      <c r="J251" s="39">
        <f t="shared" si="345"/>
        <v>0</v>
      </c>
      <c r="K251" s="39">
        <f t="shared" si="345"/>
        <v>0</v>
      </c>
      <c r="L251" s="39">
        <f t="shared" si="345"/>
        <v>0</v>
      </c>
      <c r="M251" s="39">
        <f t="shared" si="345"/>
        <v>0</v>
      </c>
      <c r="N251" s="39">
        <f t="shared" si="345"/>
        <v>0</v>
      </c>
      <c r="O251" s="39">
        <f t="shared" ref="O251:Q251" si="346">+O243+O246</f>
        <v>0</v>
      </c>
      <c r="P251" s="39">
        <f t="shared" si="346"/>
        <v>0</v>
      </c>
      <c r="Q251" s="39">
        <f t="shared" si="346"/>
        <v>0</v>
      </c>
      <c r="R251" s="39"/>
    </row>
    <row r="252" spans="1:19" x14ac:dyDescent="0.25">
      <c r="A252" s="39">
        <f>SUM(D252:Q252)</f>
        <v>0</v>
      </c>
      <c r="B252" s="168" t="s">
        <v>281</v>
      </c>
      <c r="C252" s="166"/>
      <c r="D252" s="39"/>
      <c r="E252" s="39">
        <f>+E244+E247</f>
        <v>0</v>
      </c>
      <c r="F252" s="39">
        <f>+F244+F248</f>
        <v>0</v>
      </c>
      <c r="G252" s="39">
        <f t="shared" ref="G252:N252" si="347">+G244+G248</f>
        <v>0</v>
      </c>
      <c r="H252" s="39">
        <f t="shared" si="347"/>
        <v>0</v>
      </c>
      <c r="I252" s="39">
        <f t="shared" si="347"/>
        <v>0</v>
      </c>
      <c r="J252" s="39">
        <f t="shared" si="347"/>
        <v>0</v>
      </c>
      <c r="K252" s="39">
        <f t="shared" si="347"/>
        <v>0</v>
      </c>
      <c r="L252" s="39">
        <f t="shared" si="347"/>
        <v>0</v>
      </c>
      <c r="M252" s="39">
        <f t="shared" si="347"/>
        <v>0</v>
      </c>
      <c r="N252" s="39">
        <f t="shared" si="347"/>
        <v>0</v>
      </c>
      <c r="O252" s="39">
        <f t="shared" ref="O252:Q252" si="348">+O244+O248</f>
        <v>0</v>
      </c>
      <c r="P252" s="39">
        <f t="shared" si="348"/>
        <v>0</v>
      </c>
      <c r="Q252" s="39">
        <f t="shared" si="348"/>
        <v>0</v>
      </c>
      <c r="R252" s="39"/>
    </row>
    <row r="253" spans="1:19" x14ac:dyDescent="0.25">
      <c r="A253" s="166"/>
      <c r="B253" s="168" t="s">
        <v>181</v>
      </c>
      <c r="C253" s="166"/>
      <c r="D253" s="39">
        <f t="shared" ref="D253:N253" si="349">+D243+C253</f>
        <v>0</v>
      </c>
      <c r="E253" s="39">
        <f t="shared" si="349"/>
        <v>0</v>
      </c>
      <c r="F253" s="39">
        <f t="shared" si="349"/>
        <v>0</v>
      </c>
      <c r="G253" s="39">
        <f t="shared" si="349"/>
        <v>0</v>
      </c>
      <c r="H253" s="39">
        <f t="shared" si="349"/>
        <v>0</v>
      </c>
      <c r="I253" s="39">
        <f t="shared" si="349"/>
        <v>0</v>
      </c>
      <c r="J253" s="39">
        <f t="shared" si="349"/>
        <v>0</v>
      </c>
      <c r="K253" s="39">
        <f t="shared" si="349"/>
        <v>0</v>
      </c>
      <c r="L253" s="39">
        <f t="shared" si="349"/>
        <v>0</v>
      </c>
      <c r="M253" s="39">
        <f t="shared" si="349"/>
        <v>0</v>
      </c>
      <c r="N253" s="39">
        <f t="shared" si="349"/>
        <v>0</v>
      </c>
      <c r="O253" s="39">
        <f t="shared" ref="O253" si="350">+O243+N253</f>
        <v>0</v>
      </c>
      <c r="P253" s="39">
        <f t="shared" ref="P253" si="351">+P243+O253</f>
        <v>0</v>
      </c>
      <c r="Q253" s="39">
        <f t="shared" ref="Q253" si="352">+Q243+P253</f>
        <v>0</v>
      </c>
      <c r="R253" s="39"/>
    </row>
    <row r="254" spans="1:19" x14ac:dyDescent="0.25">
      <c r="A254" s="166"/>
      <c r="B254" s="168" t="s">
        <v>182</v>
      </c>
      <c r="C254" s="166"/>
      <c r="D254" s="39">
        <f t="shared" ref="D254:N254" si="353">+D246+C254</f>
        <v>0</v>
      </c>
      <c r="E254" s="39">
        <f t="shared" si="353"/>
        <v>0</v>
      </c>
      <c r="F254" s="39">
        <f t="shared" si="353"/>
        <v>0</v>
      </c>
      <c r="G254" s="39">
        <f t="shared" si="353"/>
        <v>0</v>
      </c>
      <c r="H254" s="39">
        <f t="shared" si="353"/>
        <v>0</v>
      </c>
      <c r="I254" s="39">
        <f t="shared" si="353"/>
        <v>0</v>
      </c>
      <c r="J254" s="39">
        <f t="shared" si="353"/>
        <v>0</v>
      </c>
      <c r="K254" s="39">
        <f t="shared" si="353"/>
        <v>0</v>
      </c>
      <c r="L254" s="39">
        <f t="shared" si="353"/>
        <v>0</v>
      </c>
      <c r="M254" s="39">
        <f t="shared" si="353"/>
        <v>0</v>
      </c>
      <c r="N254" s="39">
        <f t="shared" si="353"/>
        <v>0</v>
      </c>
      <c r="O254" s="39">
        <f t="shared" ref="O254" si="354">+O246+N254</f>
        <v>0</v>
      </c>
      <c r="P254" s="39">
        <f t="shared" ref="P254" si="355">+P246+O254</f>
        <v>0</v>
      </c>
      <c r="Q254" s="39">
        <f t="shared" ref="Q254" si="356">+Q246+P254</f>
        <v>0</v>
      </c>
      <c r="R254" s="39"/>
    </row>
    <row r="255" spans="1:19" x14ac:dyDescent="0.25">
      <c r="A255" s="166"/>
      <c r="B255" s="156" t="s">
        <v>285</v>
      </c>
      <c r="C255" s="151"/>
      <c r="D255" s="158">
        <f>+D254+D253</f>
        <v>0</v>
      </c>
      <c r="E255" s="158">
        <f t="shared" ref="E255:N255" si="357">+E254+E253</f>
        <v>0</v>
      </c>
      <c r="F255" s="158">
        <f t="shared" si="357"/>
        <v>0</v>
      </c>
      <c r="G255" s="158">
        <f t="shared" si="357"/>
        <v>0</v>
      </c>
      <c r="H255" s="158">
        <f t="shared" si="357"/>
        <v>0</v>
      </c>
      <c r="I255" s="158">
        <f t="shared" si="357"/>
        <v>0</v>
      </c>
      <c r="J255" s="158">
        <f t="shared" si="357"/>
        <v>0</v>
      </c>
      <c r="K255" s="158">
        <f t="shared" si="357"/>
        <v>0</v>
      </c>
      <c r="L255" s="158">
        <f t="shared" si="357"/>
        <v>0</v>
      </c>
      <c r="M255" s="158">
        <f t="shared" si="357"/>
        <v>0</v>
      </c>
      <c r="N255" s="158">
        <f t="shared" si="357"/>
        <v>0</v>
      </c>
      <c r="O255" s="158">
        <f t="shared" ref="O255:Q255" si="358">+O254+O253</f>
        <v>0</v>
      </c>
      <c r="P255" s="158">
        <f t="shared" si="358"/>
        <v>0</v>
      </c>
      <c r="Q255" s="158">
        <f t="shared" si="358"/>
        <v>0</v>
      </c>
      <c r="R255" s="158"/>
    </row>
    <row r="256" spans="1:19" ht="16.5" thickBot="1" x14ac:dyDescent="0.3">
      <c r="A256" s="166"/>
      <c r="B256" s="156" t="s">
        <v>244</v>
      </c>
      <c r="C256" s="151"/>
      <c r="D256" s="158">
        <f t="shared" ref="D256:N256" si="359">+D241*D255</f>
        <v>0</v>
      </c>
      <c r="E256" s="158">
        <f t="shared" si="359"/>
        <v>0</v>
      </c>
      <c r="F256" s="158">
        <f t="shared" si="359"/>
        <v>0</v>
      </c>
      <c r="G256" s="158">
        <f t="shared" si="359"/>
        <v>0</v>
      </c>
      <c r="H256" s="158">
        <f t="shared" si="359"/>
        <v>0</v>
      </c>
      <c r="I256" s="158">
        <f t="shared" si="359"/>
        <v>0</v>
      </c>
      <c r="J256" s="158">
        <f t="shared" si="359"/>
        <v>0</v>
      </c>
      <c r="K256" s="158">
        <f t="shared" si="359"/>
        <v>0</v>
      </c>
      <c r="L256" s="158">
        <f t="shared" si="359"/>
        <v>0</v>
      </c>
      <c r="M256" s="158">
        <f t="shared" si="359"/>
        <v>0</v>
      </c>
      <c r="N256" s="158">
        <f t="shared" si="359"/>
        <v>0</v>
      </c>
      <c r="O256" s="158">
        <f t="shared" ref="O256:Q256" si="360">+O241*O255</f>
        <v>0</v>
      </c>
      <c r="P256" s="158">
        <f t="shared" si="360"/>
        <v>0</v>
      </c>
      <c r="Q256" s="158">
        <f t="shared" si="360"/>
        <v>0</v>
      </c>
      <c r="R256" s="158"/>
      <c r="S256">
        <f>IF($B$240="ADB","A7",7)</f>
        <v>7</v>
      </c>
    </row>
    <row r="257" spans="1:19" s="174" customFormat="1" ht="16.5" thickBot="1" x14ac:dyDescent="0.3">
      <c r="A257" s="290">
        <f>SUM(D257:Q257)</f>
        <v>0</v>
      </c>
      <c r="B257" s="291" t="s">
        <v>213</v>
      </c>
      <c r="C257" s="292"/>
      <c r="D257" s="293">
        <f>D248-D249</f>
        <v>0</v>
      </c>
      <c r="E257" s="293">
        <f>E248-E249</f>
        <v>0</v>
      </c>
      <c r="F257" s="293">
        <f>F248-F249</f>
        <v>0</v>
      </c>
      <c r="G257" s="293">
        <f t="shared" ref="G257:N257" si="361">G248-G249</f>
        <v>0</v>
      </c>
      <c r="H257" s="293">
        <f t="shared" si="361"/>
        <v>0</v>
      </c>
      <c r="I257" s="293">
        <f t="shared" si="361"/>
        <v>0</v>
      </c>
      <c r="J257" s="293">
        <f t="shared" si="361"/>
        <v>0</v>
      </c>
      <c r="K257" s="293">
        <f t="shared" si="361"/>
        <v>0</v>
      </c>
      <c r="L257" s="293">
        <f t="shared" si="361"/>
        <v>0</v>
      </c>
      <c r="M257" s="293">
        <f t="shared" si="361"/>
        <v>0</v>
      </c>
      <c r="N257" s="293">
        <f t="shared" si="361"/>
        <v>0</v>
      </c>
      <c r="O257" s="293">
        <f t="shared" ref="O257:Q257" si="362">O248-O249</f>
        <v>0</v>
      </c>
      <c r="P257" s="293">
        <f t="shared" si="362"/>
        <v>0</v>
      </c>
      <c r="Q257" s="293">
        <f t="shared" si="362"/>
        <v>0</v>
      </c>
      <c r="R257" s="694"/>
      <c r="S257" s="174">
        <f>IF($B$86="ADB","A8",8)</f>
        <v>8</v>
      </c>
    </row>
    <row r="258" spans="1:19" x14ac:dyDescent="0.25">
      <c r="A258" s="39">
        <f>SUM(D258:Q258)</f>
        <v>0</v>
      </c>
      <c r="B258" s="168" t="s">
        <v>282</v>
      </c>
      <c r="C258" s="166"/>
      <c r="D258" s="166"/>
      <c r="E258" s="166"/>
      <c r="F258" s="166">
        <f>IF(F255&lt;E255,+F255*(E241-F241),0)</f>
        <v>0</v>
      </c>
      <c r="G258" s="166">
        <f>IF(G255&lt;F255,+G255*(F241-G241),0)</f>
        <v>0</v>
      </c>
      <c r="H258" s="166">
        <f t="shared" ref="H258:M258" si="363">IF(H255&lt;G255,+H255*(G241-H241),0)</f>
        <v>0</v>
      </c>
      <c r="I258" s="166">
        <f t="shared" si="363"/>
        <v>0</v>
      </c>
      <c r="J258" s="166">
        <f t="shared" si="363"/>
        <v>0</v>
      </c>
      <c r="K258" s="166">
        <f t="shared" si="363"/>
        <v>0</v>
      </c>
      <c r="L258" s="166">
        <f t="shared" si="363"/>
        <v>0</v>
      </c>
      <c r="M258" s="166">
        <f t="shared" si="363"/>
        <v>0</v>
      </c>
      <c r="N258" s="166">
        <f>+N255*(M241-N241)</f>
        <v>0</v>
      </c>
      <c r="O258" s="166">
        <f t="shared" ref="O258:Q258" si="364">+O255*(N241-O241)</f>
        <v>0</v>
      </c>
      <c r="P258" s="166">
        <f t="shared" si="364"/>
        <v>0</v>
      </c>
      <c r="Q258" s="166">
        <f t="shared" si="364"/>
        <v>0</v>
      </c>
      <c r="R258" s="166"/>
      <c r="S258">
        <f>IF($B$240="ADB","A9",9)</f>
        <v>9</v>
      </c>
    </row>
    <row r="259" spans="1:19" x14ac:dyDescent="0.25">
      <c r="A259" s="39">
        <f>SUM(D259:Q259)</f>
        <v>0</v>
      </c>
      <c r="B259" s="168" t="s">
        <v>283</v>
      </c>
      <c r="C259" s="166"/>
      <c r="D259" s="166"/>
      <c r="E259" s="166"/>
      <c r="F259" s="166">
        <f t="shared" ref="F259:N259" si="365">+F246*(F241-E241)</f>
        <v>0</v>
      </c>
      <c r="G259" s="166">
        <f t="shared" si="365"/>
        <v>0</v>
      </c>
      <c r="H259" s="166">
        <f t="shared" si="365"/>
        <v>0</v>
      </c>
      <c r="I259" s="166">
        <f t="shared" si="365"/>
        <v>0</v>
      </c>
      <c r="J259" s="166">
        <f t="shared" si="365"/>
        <v>0</v>
      </c>
      <c r="K259" s="166">
        <f t="shared" si="365"/>
        <v>0</v>
      </c>
      <c r="L259" s="166">
        <f t="shared" si="365"/>
        <v>0</v>
      </c>
      <c r="M259" s="166">
        <f t="shared" si="365"/>
        <v>0</v>
      </c>
      <c r="N259" s="166">
        <f t="shared" si="365"/>
        <v>0</v>
      </c>
      <c r="O259" s="166">
        <f t="shared" ref="O259" si="366">+O246*(O241-N241)</f>
        <v>0</v>
      </c>
      <c r="P259" s="166">
        <f t="shared" ref="P259" si="367">+P246*(P241-O241)</f>
        <v>0</v>
      </c>
      <c r="Q259" s="166">
        <f t="shared" ref="Q259" si="368">+Q246*(Q241-P241)</f>
        <v>0</v>
      </c>
      <c r="R259" s="166"/>
      <c r="S259">
        <f>IF($B$240="ADB","A10",10)</f>
        <v>10</v>
      </c>
    </row>
    <row r="260" spans="1:19" x14ac:dyDescent="0.25">
      <c r="A260" s="39">
        <f>SUM(D260:Q260)</f>
        <v>0</v>
      </c>
      <c r="B260" s="170" t="s">
        <v>284</v>
      </c>
      <c r="C260" s="171"/>
      <c r="D260" s="171"/>
      <c r="E260" s="171"/>
      <c r="F260" s="171">
        <f>+F259+F258</f>
        <v>0</v>
      </c>
      <c r="G260" s="171">
        <f t="shared" ref="G260:N260" si="369">+G259+G258</f>
        <v>0</v>
      </c>
      <c r="H260" s="171">
        <f t="shared" si="369"/>
        <v>0</v>
      </c>
      <c r="I260" s="171">
        <f t="shared" si="369"/>
        <v>0</v>
      </c>
      <c r="J260" s="171">
        <f t="shared" si="369"/>
        <v>0</v>
      </c>
      <c r="K260" s="171">
        <f t="shared" si="369"/>
        <v>0</v>
      </c>
      <c r="L260" s="171">
        <f t="shared" si="369"/>
        <v>0</v>
      </c>
      <c r="M260" s="171">
        <f t="shared" si="369"/>
        <v>0</v>
      </c>
      <c r="N260" s="171">
        <f t="shared" si="369"/>
        <v>0</v>
      </c>
      <c r="O260" s="171">
        <f t="shared" ref="O260:Q260" si="370">+O259+O258</f>
        <v>0</v>
      </c>
      <c r="P260" s="171">
        <f t="shared" si="370"/>
        <v>0</v>
      </c>
      <c r="Q260" s="171">
        <f t="shared" si="370"/>
        <v>0</v>
      </c>
      <c r="R260" s="166"/>
    </row>
    <row r="262" spans="1:19" x14ac:dyDescent="0.25">
      <c r="B262" s="174" t="s">
        <v>279</v>
      </c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9" hidden="1" x14ac:dyDescent="0.25">
      <c r="A263" s="166"/>
      <c r="B263" s="166" t="s">
        <v>212</v>
      </c>
      <c r="C263" s="166"/>
      <c r="D263" s="114">
        <f>+turnover!D$122</f>
        <v>1.4656</v>
      </c>
      <c r="E263" s="114">
        <f>+turnover!E$122</f>
        <v>1.5874999999999999</v>
      </c>
      <c r="F263" s="114">
        <f>+turnover!F$122</f>
        <v>1.714</v>
      </c>
      <c r="G263" s="114">
        <f>+turnover!G$122</f>
        <v>1.89</v>
      </c>
      <c r="H263" s="114">
        <f>+turnover!H$122</f>
        <v>2.0790000000000002</v>
      </c>
      <c r="I263" s="114">
        <f>+turnover!I$122</f>
        <v>2.2869000000000002</v>
      </c>
      <c r="J263" s="114">
        <f>+turnover!J$122</f>
        <v>2.51559</v>
      </c>
      <c r="K263" s="114">
        <f>+turnover!K$122</f>
        <v>2.7671490000000003</v>
      </c>
      <c r="L263" s="114">
        <f>+turnover!L$122</f>
        <v>3.0438639000000007</v>
      </c>
      <c r="M263" s="114">
        <f>+turnover!M$122</f>
        <v>3.3482502900000011</v>
      </c>
      <c r="N263" s="114">
        <f>+turnover!N$122</f>
        <v>3.6830753190000012</v>
      </c>
      <c r="O263" s="114">
        <f>+turnover!O$122</f>
        <v>4.0513828509000014</v>
      </c>
      <c r="P263" s="114">
        <f>+turnover!P$122</f>
        <v>4.4565211359900019</v>
      </c>
      <c r="Q263" s="114">
        <f>+turnover!Q$122</f>
        <v>4.9021732495890031</v>
      </c>
      <c r="R263" s="114"/>
    </row>
    <row r="264" spans="1:19" x14ac:dyDescent="0.25">
      <c r="A264" s="166"/>
      <c r="B264" s="167" t="s">
        <v>305</v>
      </c>
      <c r="C264" s="153">
        <f>+PL!C$2</f>
        <v>2008</v>
      </c>
      <c r="D264" s="153">
        <f>+PL!D$2</f>
        <v>2009</v>
      </c>
      <c r="E264" s="153">
        <f>+PL!E$2</f>
        <v>2010</v>
      </c>
      <c r="F264" s="153">
        <f>+PL!F$2</f>
        <v>2011</v>
      </c>
      <c r="G264" s="153">
        <f>+PL!G$2</f>
        <v>2012</v>
      </c>
      <c r="H264" s="153">
        <f>+PL!H$2</f>
        <v>2013</v>
      </c>
      <c r="I264" s="153">
        <f>+PL!I$2</f>
        <v>2014</v>
      </c>
      <c r="J264" s="153">
        <f>+PL!J$2</f>
        <v>2015</v>
      </c>
      <c r="K264" s="153">
        <f>+PL!K$2</f>
        <v>2016</v>
      </c>
      <c r="L264" s="153">
        <f>+PL!L$2</f>
        <v>2017</v>
      </c>
      <c r="M264" s="153">
        <f>+PL!M$2</f>
        <v>2018</v>
      </c>
      <c r="N264" s="153">
        <f>+PL!N$2</f>
        <v>2019</v>
      </c>
      <c r="O264" s="153">
        <f>+PL!O$2</f>
        <v>2020</v>
      </c>
      <c r="P264" s="153">
        <f>+PL!P$2</f>
        <v>2021</v>
      </c>
      <c r="Q264" s="153">
        <f>+PL!Q$2</f>
        <v>2022</v>
      </c>
      <c r="R264" s="151"/>
    </row>
    <row r="265" spans="1:19" x14ac:dyDescent="0.25">
      <c r="A265" s="39">
        <f>SUM(D265:Q265)</f>
        <v>0</v>
      </c>
      <c r="B265" s="168" t="s">
        <v>177</v>
      </c>
      <c r="C265" s="166"/>
      <c r="D265" s="169"/>
      <c r="E265" s="169"/>
      <c r="F265" s="169"/>
      <c r="G265" s="169"/>
      <c r="H265" s="16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>
        <f>IF($B$262="ADB","A1",1)</f>
        <v>1</v>
      </c>
    </row>
    <row r="266" spans="1:19" x14ac:dyDescent="0.25">
      <c r="A266" s="39">
        <f>SUM(D266:Q266)</f>
        <v>0</v>
      </c>
      <c r="B266" s="168" t="s">
        <v>178</v>
      </c>
      <c r="C266" s="166"/>
      <c r="D266" s="169">
        <f t="shared" ref="D266:N266" si="371">+D265*D263</f>
        <v>0</v>
      </c>
      <c r="E266" s="169">
        <f t="shared" si="371"/>
        <v>0</v>
      </c>
      <c r="F266" s="169">
        <f t="shared" si="371"/>
        <v>0</v>
      </c>
      <c r="G266" s="169">
        <f t="shared" si="371"/>
        <v>0</v>
      </c>
      <c r="H266" s="169">
        <f t="shared" si="371"/>
        <v>0</v>
      </c>
      <c r="I266" s="169">
        <f t="shared" si="371"/>
        <v>0</v>
      </c>
      <c r="J266" s="169">
        <f t="shared" si="371"/>
        <v>0</v>
      </c>
      <c r="K266" s="169">
        <f t="shared" si="371"/>
        <v>0</v>
      </c>
      <c r="L266" s="169">
        <f t="shared" si="371"/>
        <v>0</v>
      </c>
      <c r="M266" s="169">
        <f t="shared" si="371"/>
        <v>0</v>
      </c>
      <c r="N266" s="169">
        <f t="shared" si="371"/>
        <v>0</v>
      </c>
      <c r="O266" s="169">
        <f t="shared" ref="O266:Q266" si="372">+O265*O263</f>
        <v>0</v>
      </c>
      <c r="P266" s="169">
        <f t="shared" si="372"/>
        <v>0</v>
      </c>
      <c r="Q266" s="169">
        <f t="shared" si="372"/>
        <v>0</v>
      </c>
      <c r="R266" s="169"/>
      <c r="S266">
        <f>IF($B$262="ADB","A2",2)</f>
        <v>2</v>
      </c>
    </row>
    <row r="267" spans="1:19" x14ac:dyDescent="0.25">
      <c r="A267" s="166" t="e">
        <f>+A266/A265</f>
        <v>#DIV/0!</v>
      </c>
      <c r="B267" s="168"/>
      <c r="C267" s="166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</row>
    <row r="268" spans="1:19" x14ac:dyDescent="0.25">
      <c r="A268" s="39">
        <f>-SUM(D268:Q268)</f>
        <v>0</v>
      </c>
      <c r="B268" s="168" t="s">
        <v>179</v>
      </c>
      <c r="C268" s="166"/>
      <c r="D268" s="39"/>
      <c r="E268" s="39"/>
      <c r="F268" s="39"/>
      <c r="G268" s="39">
        <f>-A265/5</f>
        <v>0</v>
      </c>
      <c r="H268" s="39">
        <f>+G268</f>
        <v>0</v>
      </c>
      <c r="I268" s="39">
        <f>+H268</f>
        <v>0</v>
      </c>
      <c r="J268" s="39">
        <f>+I268</f>
        <v>0</v>
      </c>
      <c r="K268" s="39">
        <f>+J268</f>
        <v>0</v>
      </c>
      <c r="L268" s="39">
        <f>-H265</f>
        <v>0</v>
      </c>
      <c r="M268" s="39">
        <f>-I265</f>
        <v>0</v>
      </c>
      <c r="N268" s="39">
        <f>-J265</f>
        <v>0</v>
      </c>
      <c r="O268" s="39">
        <f t="shared" ref="O268:Q268" si="373">-K265</f>
        <v>0</v>
      </c>
      <c r="P268" s="39">
        <f t="shared" si="373"/>
        <v>0</v>
      </c>
      <c r="Q268" s="39">
        <f t="shared" si="373"/>
        <v>0</v>
      </c>
      <c r="R268" s="39"/>
      <c r="S268">
        <f>IF($B$262="ADB","A3",3)</f>
        <v>3</v>
      </c>
    </row>
    <row r="269" spans="1:19" x14ac:dyDescent="0.25">
      <c r="A269" s="166"/>
      <c r="B269" s="168" t="s">
        <v>180</v>
      </c>
      <c r="C269" s="16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>
        <f>IF($B$262="ADB","A4",4)</f>
        <v>4</v>
      </c>
    </row>
    <row r="270" spans="1:19" x14ac:dyDescent="0.25">
      <c r="A270" s="39">
        <f>SUM(D270:Q270)</f>
        <v>0</v>
      </c>
      <c r="B270" s="168" t="s">
        <v>246</v>
      </c>
      <c r="C270" s="166"/>
      <c r="D270" s="39"/>
      <c r="E270" s="39"/>
      <c r="F270" s="39"/>
      <c r="G270" s="39">
        <f t="shared" ref="G270:N270" si="374">+G268*G263</f>
        <v>0</v>
      </c>
      <c r="H270" s="39">
        <f t="shared" si="374"/>
        <v>0</v>
      </c>
      <c r="I270" s="39">
        <f t="shared" si="374"/>
        <v>0</v>
      </c>
      <c r="J270" s="39">
        <f t="shared" si="374"/>
        <v>0</v>
      </c>
      <c r="K270" s="39">
        <f t="shared" si="374"/>
        <v>0</v>
      </c>
      <c r="L270" s="39">
        <f t="shared" si="374"/>
        <v>0</v>
      </c>
      <c r="M270" s="39">
        <f t="shared" si="374"/>
        <v>0</v>
      </c>
      <c r="N270" s="39">
        <f t="shared" si="374"/>
        <v>0</v>
      </c>
      <c r="O270" s="39">
        <f t="shared" ref="O270:Q270" si="375">+O268*O263</f>
        <v>0</v>
      </c>
      <c r="P270" s="39">
        <f t="shared" si="375"/>
        <v>0</v>
      </c>
      <c r="Q270" s="39">
        <f t="shared" si="375"/>
        <v>0</v>
      </c>
      <c r="R270" s="39"/>
      <c r="S270">
        <f>IF($B$262="ADB","A5",5)</f>
        <v>5</v>
      </c>
    </row>
    <row r="271" spans="1:19" x14ac:dyDescent="0.25">
      <c r="A271" s="39">
        <f>SUM(D271:Q271)</f>
        <v>0</v>
      </c>
      <c r="B271" s="168" t="s">
        <v>286</v>
      </c>
      <c r="C271" s="166"/>
      <c r="D271" s="39"/>
      <c r="E271" s="39"/>
      <c r="F271" s="39"/>
      <c r="G271" s="39">
        <f>+G268*$A$69</f>
        <v>0</v>
      </c>
      <c r="H271" s="39">
        <f t="shared" ref="H271:N271" si="376">+H268*$A$69</f>
        <v>0</v>
      </c>
      <c r="I271" s="39">
        <f t="shared" si="376"/>
        <v>0</v>
      </c>
      <c r="J271" s="39">
        <f t="shared" si="376"/>
        <v>0</v>
      </c>
      <c r="K271" s="39">
        <f t="shared" si="376"/>
        <v>0</v>
      </c>
      <c r="L271" s="39">
        <f t="shared" si="376"/>
        <v>0</v>
      </c>
      <c r="M271" s="39">
        <f t="shared" si="376"/>
        <v>0</v>
      </c>
      <c r="N271" s="39">
        <f t="shared" si="376"/>
        <v>0</v>
      </c>
      <c r="O271" s="39">
        <f t="shared" ref="O271:Q271" si="377">+O268*$A$69</f>
        <v>0</v>
      </c>
      <c r="P271" s="39">
        <f t="shared" si="377"/>
        <v>0</v>
      </c>
      <c r="Q271" s="39">
        <f t="shared" si="377"/>
        <v>0</v>
      </c>
      <c r="R271" s="39"/>
      <c r="S271">
        <f>IF($B$262="ADB","A6",6)</f>
        <v>6</v>
      </c>
    </row>
    <row r="272" spans="1:19" x14ac:dyDescent="0.25">
      <c r="A272" s="39"/>
      <c r="B272" s="168"/>
      <c r="C272" s="166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</row>
    <row r="273" spans="1:19" x14ac:dyDescent="0.25">
      <c r="A273" s="39">
        <f>SUM(D273:Q273)</f>
        <v>0</v>
      </c>
      <c r="B273" s="168" t="s">
        <v>280</v>
      </c>
      <c r="C273" s="166"/>
      <c r="D273" s="39"/>
      <c r="E273" s="39">
        <f>+E265+E268</f>
        <v>0</v>
      </c>
      <c r="F273" s="39">
        <f t="shared" ref="F273:N273" si="378">+F265+F268</f>
        <v>0</v>
      </c>
      <c r="G273" s="39">
        <f t="shared" si="378"/>
        <v>0</v>
      </c>
      <c r="H273" s="39">
        <f t="shared" si="378"/>
        <v>0</v>
      </c>
      <c r="I273" s="39">
        <f t="shared" si="378"/>
        <v>0</v>
      </c>
      <c r="J273" s="39">
        <f t="shared" si="378"/>
        <v>0</v>
      </c>
      <c r="K273" s="39">
        <f t="shared" si="378"/>
        <v>0</v>
      </c>
      <c r="L273" s="39">
        <f t="shared" si="378"/>
        <v>0</v>
      </c>
      <c r="M273" s="39">
        <f t="shared" si="378"/>
        <v>0</v>
      </c>
      <c r="N273" s="39">
        <f t="shared" si="378"/>
        <v>0</v>
      </c>
      <c r="O273" s="39">
        <f t="shared" ref="O273:Q273" si="379">+O265+O268</f>
        <v>0</v>
      </c>
      <c r="P273" s="39">
        <f t="shared" si="379"/>
        <v>0</v>
      </c>
      <c r="Q273" s="39">
        <f t="shared" si="379"/>
        <v>0</v>
      </c>
      <c r="R273" s="39"/>
    </row>
    <row r="274" spans="1:19" x14ac:dyDescent="0.25">
      <c r="A274" s="39">
        <f>SUM(D274:Q274)</f>
        <v>0</v>
      </c>
      <c r="B274" s="168" t="s">
        <v>281</v>
      </c>
      <c r="C274" s="166"/>
      <c r="D274" s="39"/>
      <c r="E274" s="39">
        <f>+E266+E269</f>
        <v>0</v>
      </c>
      <c r="F274" s="39">
        <f>+F266+F270</f>
        <v>0</v>
      </c>
      <c r="G274" s="39">
        <f t="shared" ref="G274:N274" si="380">+G266+G270</f>
        <v>0</v>
      </c>
      <c r="H274" s="39">
        <f t="shared" si="380"/>
        <v>0</v>
      </c>
      <c r="I274" s="39">
        <f t="shared" si="380"/>
        <v>0</v>
      </c>
      <c r="J274" s="39">
        <f t="shared" si="380"/>
        <v>0</v>
      </c>
      <c r="K274" s="39">
        <f t="shared" si="380"/>
        <v>0</v>
      </c>
      <c r="L274" s="39">
        <f t="shared" si="380"/>
        <v>0</v>
      </c>
      <c r="M274" s="39">
        <f t="shared" si="380"/>
        <v>0</v>
      </c>
      <c r="N274" s="39">
        <f t="shared" si="380"/>
        <v>0</v>
      </c>
      <c r="O274" s="39">
        <f t="shared" ref="O274:Q274" si="381">+O266+O270</f>
        <v>0</v>
      </c>
      <c r="P274" s="39">
        <f t="shared" si="381"/>
        <v>0</v>
      </c>
      <c r="Q274" s="39">
        <f t="shared" si="381"/>
        <v>0</v>
      </c>
      <c r="R274" s="39"/>
    </row>
    <row r="275" spans="1:19" x14ac:dyDescent="0.25">
      <c r="A275" s="166"/>
      <c r="B275" s="168" t="s">
        <v>181</v>
      </c>
      <c r="C275" s="166"/>
      <c r="D275" s="39">
        <f t="shared" ref="D275:N275" si="382">+D265+C275</f>
        <v>0</v>
      </c>
      <c r="E275" s="39">
        <f t="shared" si="382"/>
        <v>0</v>
      </c>
      <c r="F275" s="39">
        <f t="shared" si="382"/>
        <v>0</v>
      </c>
      <c r="G275" s="39">
        <f t="shared" si="382"/>
        <v>0</v>
      </c>
      <c r="H275" s="39">
        <f t="shared" si="382"/>
        <v>0</v>
      </c>
      <c r="I275" s="39">
        <f t="shared" si="382"/>
        <v>0</v>
      </c>
      <c r="J275" s="39">
        <f t="shared" si="382"/>
        <v>0</v>
      </c>
      <c r="K275" s="39">
        <f t="shared" si="382"/>
        <v>0</v>
      </c>
      <c r="L275" s="39">
        <f t="shared" si="382"/>
        <v>0</v>
      </c>
      <c r="M275" s="39">
        <f t="shared" si="382"/>
        <v>0</v>
      </c>
      <c r="N275" s="39">
        <f t="shared" si="382"/>
        <v>0</v>
      </c>
      <c r="O275" s="39">
        <f t="shared" ref="O275" si="383">+O265+N275</f>
        <v>0</v>
      </c>
      <c r="P275" s="39">
        <f t="shared" ref="P275" si="384">+P265+O275</f>
        <v>0</v>
      </c>
      <c r="Q275" s="39">
        <f t="shared" ref="Q275" si="385">+Q265+P275</f>
        <v>0</v>
      </c>
      <c r="R275" s="39"/>
    </row>
    <row r="276" spans="1:19" x14ac:dyDescent="0.25">
      <c r="A276" s="166"/>
      <c r="B276" s="168" t="s">
        <v>182</v>
      </c>
      <c r="C276" s="166"/>
      <c r="D276" s="39">
        <f t="shared" ref="D276:N276" si="386">+D268+C276</f>
        <v>0</v>
      </c>
      <c r="E276" s="39">
        <f t="shared" si="386"/>
        <v>0</v>
      </c>
      <c r="F276" s="39">
        <f t="shared" si="386"/>
        <v>0</v>
      </c>
      <c r="G276" s="39">
        <f t="shared" si="386"/>
        <v>0</v>
      </c>
      <c r="H276" s="39">
        <f t="shared" si="386"/>
        <v>0</v>
      </c>
      <c r="I276" s="39">
        <f t="shared" si="386"/>
        <v>0</v>
      </c>
      <c r="J276" s="39">
        <f t="shared" si="386"/>
        <v>0</v>
      </c>
      <c r="K276" s="39">
        <f t="shared" si="386"/>
        <v>0</v>
      </c>
      <c r="L276" s="39">
        <f t="shared" si="386"/>
        <v>0</v>
      </c>
      <c r="M276" s="39">
        <f t="shared" si="386"/>
        <v>0</v>
      </c>
      <c r="N276" s="39">
        <f t="shared" si="386"/>
        <v>0</v>
      </c>
      <c r="O276" s="39">
        <f t="shared" ref="O276" si="387">+O268+N276</f>
        <v>0</v>
      </c>
      <c r="P276" s="39">
        <f t="shared" ref="P276" si="388">+P268+O276</f>
        <v>0</v>
      </c>
      <c r="Q276" s="39">
        <f t="shared" ref="Q276" si="389">+Q268+P276</f>
        <v>0</v>
      </c>
      <c r="R276" s="39"/>
    </row>
    <row r="277" spans="1:19" x14ac:dyDescent="0.25">
      <c r="A277" s="166"/>
      <c r="B277" s="156" t="s">
        <v>285</v>
      </c>
      <c r="C277" s="151"/>
      <c r="D277" s="158">
        <f>+D276+D275</f>
        <v>0</v>
      </c>
      <c r="E277" s="158">
        <f t="shared" ref="E277:N277" si="390">+E276+E275</f>
        <v>0</v>
      </c>
      <c r="F277" s="158">
        <f t="shared" si="390"/>
        <v>0</v>
      </c>
      <c r="G277" s="158">
        <f t="shared" si="390"/>
        <v>0</v>
      </c>
      <c r="H277" s="158">
        <f t="shared" si="390"/>
        <v>0</v>
      </c>
      <c r="I277" s="158">
        <f t="shared" si="390"/>
        <v>0</v>
      </c>
      <c r="J277" s="158">
        <f t="shared" si="390"/>
        <v>0</v>
      </c>
      <c r="K277" s="158">
        <f t="shared" si="390"/>
        <v>0</v>
      </c>
      <c r="L277" s="158">
        <f t="shared" si="390"/>
        <v>0</v>
      </c>
      <c r="M277" s="158">
        <f t="shared" si="390"/>
        <v>0</v>
      </c>
      <c r="N277" s="158">
        <f t="shared" si="390"/>
        <v>0</v>
      </c>
      <c r="O277" s="158">
        <f t="shared" ref="O277:Q277" si="391">+O276+O275</f>
        <v>0</v>
      </c>
      <c r="P277" s="158">
        <f t="shared" si="391"/>
        <v>0</v>
      </c>
      <c r="Q277" s="158">
        <f t="shared" si="391"/>
        <v>0</v>
      </c>
      <c r="R277" s="158"/>
    </row>
    <row r="278" spans="1:19" ht="16.5" thickBot="1" x14ac:dyDescent="0.3">
      <c r="A278" s="166"/>
      <c r="B278" s="156" t="s">
        <v>244</v>
      </c>
      <c r="C278" s="151"/>
      <c r="D278" s="158">
        <f t="shared" ref="D278:N278" si="392">+D263*D277</f>
        <v>0</v>
      </c>
      <c r="E278" s="158">
        <f t="shared" si="392"/>
        <v>0</v>
      </c>
      <c r="F278" s="158">
        <f t="shared" si="392"/>
        <v>0</v>
      </c>
      <c r="G278" s="158">
        <f t="shared" si="392"/>
        <v>0</v>
      </c>
      <c r="H278" s="158">
        <f t="shared" si="392"/>
        <v>0</v>
      </c>
      <c r="I278" s="158">
        <f t="shared" si="392"/>
        <v>0</v>
      </c>
      <c r="J278" s="158">
        <f t="shared" si="392"/>
        <v>0</v>
      </c>
      <c r="K278" s="158">
        <f t="shared" si="392"/>
        <v>0</v>
      </c>
      <c r="L278" s="158">
        <f t="shared" si="392"/>
        <v>0</v>
      </c>
      <c r="M278" s="158">
        <f t="shared" si="392"/>
        <v>0</v>
      </c>
      <c r="N278" s="158">
        <f t="shared" si="392"/>
        <v>0</v>
      </c>
      <c r="O278" s="158">
        <f t="shared" ref="O278:Q278" si="393">+O263*O277</f>
        <v>0</v>
      </c>
      <c r="P278" s="158">
        <f t="shared" si="393"/>
        <v>0</v>
      </c>
      <c r="Q278" s="158">
        <f t="shared" si="393"/>
        <v>0</v>
      </c>
      <c r="R278" s="158"/>
      <c r="S278">
        <f>IF($B$262="ADB","A7",7)</f>
        <v>7</v>
      </c>
    </row>
    <row r="279" spans="1:19" s="174" customFormat="1" ht="16.5" thickBot="1" x14ac:dyDescent="0.3">
      <c r="A279" s="290">
        <f>SUM(D279:Q279)</f>
        <v>0</v>
      </c>
      <c r="B279" s="291" t="s">
        <v>213</v>
      </c>
      <c r="C279" s="292"/>
      <c r="D279" s="293">
        <f>D270-D271</f>
        <v>0</v>
      </c>
      <c r="E279" s="293">
        <f>E270-E271</f>
        <v>0</v>
      </c>
      <c r="F279" s="293">
        <f>F270-F271</f>
        <v>0</v>
      </c>
      <c r="G279" s="293">
        <f t="shared" ref="G279:N279" si="394">G270-G271</f>
        <v>0</v>
      </c>
      <c r="H279" s="293">
        <f t="shared" si="394"/>
        <v>0</v>
      </c>
      <c r="I279" s="293">
        <f t="shared" si="394"/>
        <v>0</v>
      </c>
      <c r="J279" s="293">
        <f t="shared" si="394"/>
        <v>0</v>
      </c>
      <c r="K279" s="293">
        <f t="shared" si="394"/>
        <v>0</v>
      </c>
      <c r="L279" s="293">
        <f t="shared" si="394"/>
        <v>0</v>
      </c>
      <c r="M279" s="293">
        <f t="shared" si="394"/>
        <v>0</v>
      </c>
      <c r="N279" s="293">
        <f t="shared" si="394"/>
        <v>0</v>
      </c>
      <c r="O279" s="293">
        <f t="shared" ref="O279:Q279" si="395">O270-O271</f>
        <v>0</v>
      </c>
      <c r="P279" s="293">
        <f t="shared" si="395"/>
        <v>0</v>
      </c>
      <c r="Q279" s="293">
        <f t="shared" si="395"/>
        <v>0</v>
      </c>
      <c r="R279" s="694"/>
      <c r="S279" s="174">
        <f>IF($B$86="ADB","A8",8)</f>
        <v>8</v>
      </c>
    </row>
    <row r="280" spans="1:19" x14ac:dyDescent="0.25">
      <c r="A280" s="39">
        <f>SUM(D280:Q280)</f>
        <v>0</v>
      </c>
      <c r="B280" s="168" t="s">
        <v>282</v>
      </c>
      <c r="C280" s="166"/>
      <c r="D280" s="166"/>
      <c r="E280" s="166"/>
      <c r="F280" s="166">
        <f>IF(F277&lt;E277,+F277*(E263-F263),0)</f>
        <v>0</v>
      </c>
      <c r="G280" s="166">
        <f>IF(G277&lt;F277,+G277*(F263-G263),0)</f>
        <v>0</v>
      </c>
      <c r="H280" s="166">
        <f t="shared" ref="H280:M280" si="396">IF(H277&lt;G277,+H277*(G263-H263),0)</f>
        <v>0</v>
      </c>
      <c r="I280" s="166">
        <f t="shared" si="396"/>
        <v>0</v>
      </c>
      <c r="J280" s="166">
        <f t="shared" si="396"/>
        <v>0</v>
      </c>
      <c r="K280" s="166">
        <f t="shared" si="396"/>
        <v>0</v>
      </c>
      <c r="L280" s="166">
        <f t="shared" si="396"/>
        <v>0</v>
      </c>
      <c r="M280" s="166">
        <f t="shared" si="396"/>
        <v>0</v>
      </c>
      <c r="N280" s="166">
        <f>+N277*(M263-N263)</f>
        <v>0</v>
      </c>
      <c r="O280" s="166">
        <f t="shared" ref="O280:Q280" si="397">+O277*(N263-O263)</f>
        <v>0</v>
      </c>
      <c r="P280" s="166">
        <f t="shared" si="397"/>
        <v>0</v>
      </c>
      <c r="Q280" s="166">
        <f t="shared" si="397"/>
        <v>0</v>
      </c>
      <c r="R280" s="166"/>
      <c r="S280">
        <f>IF($B$262="ADB","A9",9)</f>
        <v>9</v>
      </c>
    </row>
    <row r="281" spans="1:19" x14ac:dyDescent="0.25">
      <c r="A281" s="39">
        <f>SUM(D281:Q281)</f>
        <v>0</v>
      </c>
      <c r="B281" s="168" t="s">
        <v>283</v>
      </c>
      <c r="C281" s="166"/>
      <c r="D281" s="166"/>
      <c r="E281" s="166"/>
      <c r="F281" s="166">
        <f t="shared" ref="F281:N281" si="398">+F268*(F263-E263)</f>
        <v>0</v>
      </c>
      <c r="G281" s="166">
        <f t="shared" si="398"/>
        <v>0</v>
      </c>
      <c r="H281" s="166">
        <f t="shared" si="398"/>
        <v>0</v>
      </c>
      <c r="I281" s="166">
        <f t="shared" si="398"/>
        <v>0</v>
      </c>
      <c r="J281" s="166">
        <f t="shared" si="398"/>
        <v>0</v>
      </c>
      <c r="K281" s="166">
        <f t="shared" si="398"/>
        <v>0</v>
      </c>
      <c r="L281" s="166">
        <f t="shared" si="398"/>
        <v>0</v>
      </c>
      <c r="M281" s="166">
        <f t="shared" si="398"/>
        <v>0</v>
      </c>
      <c r="N281" s="166">
        <f t="shared" si="398"/>
        <v>0</v>
      </c>
      <c r="O281" s="166">
        <f t="shared" ref="O281" si="399">+O268*(O263-N263)</f>
        <v>0</v>
      </c>
      <c r="P281" s="166">
        <f t="shared" ref="P281" si="400">+P268*(P263-O263)</f>
        <v>0</v>
      </c>
      <c r="Q281" s="166">
        <f t="shared" ref="Q281" si="401">+Q268*(Q263-P263)</f>
        <v>0</v>
      </c>
      <c r="R281" s="166"/>
      <c r="S281">
        <f>IF($B$262="ADB","A10",10)</f>
        <v>10</v>
      </c>
    </row>
    <row r="282" spans="1:19" x14ac:dyDescent="0.25">
      <c r="A282" s="39">
        <f>SUM(D282:Q282)</f>
        <v>0</v>
      </c>
      <c r="B282" s="170" t="s">
        <v>284</v>
      </c>
      <c r="C282" s="171"/>
      <c r="D282" s="171"/>
      <c r="E282" s="171"/>
      <c r="F282" s="171">
        <f>+F281+F280</f>
        <v>0</v>
      </c>
      <c r="G282" s="171">
        <f t="shared" ref="G282:N282" si="402">+G281+G280</f>
        <v>0</v>
      </c>
      <c r="H282" s="171">
        <f t="shared" si="402"/>
        <v>0</v>
      </c>
      <c r="I282" s="171">
        <f t="shared" si="402"/>
        <v>0</v>
      </c>
      <c r="J282" s="171">
        <f t="shared" si="402"/>
        <v>0</v>
      </c>
      <c r="K282" s="171">
        <f t="shared" si="402"/>
        <v>0</v>
      </c>
      <c r="L282" s="171">
        <f t="shared" si="402"/>
        <v>0</v>
      </c>
      <c r="M282" s="171">
        <f t="shared" si="402"/>
        <v>0</v>
      </c>
      <c r="N282" s="171">
        <f t="shared" si="402"/>
        <v>0</v>
      </c>
      <c r="O282" s="171">
        <f t="shared" ref="O282:Q282" si="403">+O281+O280</f>
        <v>0</v>
      </c>
      <c r="P282" s="171">
        <f t="shared" si="403"/>
        <v>0</v>
      </c>
      <c r="Q282" s="171">
        <f t="shared" si="403"/>
        <v>0</v>
      </c>
      <c r="R282" s="166"/>
    </row>
    <row r="284" spans="1:19" x14ac:dyDescent="0.25">
      <c r="B284" s="174" t="s">
        <v>279</v>
      </c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9" hidden="1" x14ac:dyDescent="0.25">
      <c r="A285" s="166"/>
      <c r="B285" s="166" t="s">
        <v>212</v>
      </c>
      <c r="C285" s="166"/>
      <c r="D285" s="114">
        <f>+turnover!D$122</f>
        <v>1.4656</v>
      </c>
      <c r="E285" s="114">
        <f>+turnover!E$122</f>
        <v>1.5874999999999999</v>
      </c>
      <c r="F285" s="114">
        <f>+turnover!F$122</f>
        <v>1.714</v>
      </c>
      <c r="G285" s="114">
        <f>+turnover!G$122</f>
        <v>1.89</v>
      </c>
      <c r="H285" s="114">
        <f>+turnover!H$122</f>
        <v>2.0790000000000002</v>
      </c>
      <c r="I285" s="114">
        <f>+turnover!I$122</f>
        <v>2.2869000000000002</v>
      </c>
      <c r="J285" s="114">
        <f>+turnover!J$122</f>
        <v>2.51559</v>
      </c>
      <c r="K285" s="114">
        <f>+turnover!K$122</f>
        <v>2.7671490000000003</v>
      </c>
      <c r="L285" s="114">
        <f>+turnover!L$122</f>
        <v>3.0438639000000007</v>
      </c>
      <c r="M285" s="114">
        <f>+turnover!M$122</f>
        <v>3.3482502900000011</v>
      </c>
      <c r="N285" s="114">
        <f>+turnover!N$122</f>
        <v>3.6830753190000012</v>
      </c>
      <c r="O285" s="114">
        <f>+turnover!O$122</f>
        <v>4.0513828509000014</v>
      </c>
      <c r="P285" s="114">
        <f>+turnover!P$122</f>
        <v>4.4565211359900019</v>
      </c>
      <c r="Q285" s="114">
        <f>+turnover!Q$122</f>
        <v>4.9021732495890031</v>
      </c>
      <c r="R285" s="114"/>
    </row>
    <row r="286" spans="1:19" x14ac:dyDescent="0.25">
      <c r="A286" s="166"/>
      <c r="B286" s="167" t="s">
        <v>306</v>
      </c>
      <c r="C286" s="153">
        <f>+PL!C$2</f>
        <v>2008</v>
      </c>
      <c r="D286" s="153">
        <f>+PL!D$2</f>
        <v>2009</v>
      </c>
      <c r="E286" s="153">
        <f>+PL!E$2</f>
        <v>2010</v>
      </c>
      <c r="F286" s="153">
        <f>+PL!F$2</f>
        <v>2011</v>
      </c>
      <c r="G286" s="153">
        <f>+PL!G$2</f>
        <v>2012</v>
      </c>
      <c r="H286" s="153">
        <f>+PL!H$2</f>
        <v>2013</v>
      </c>
      <c r="I286" s="153">
        <f>+PL!I$2</f>
        <v>2014</v>
      </c>
      <c r="J286" s="153">
        <f>+PL!J$2</f>
        <v>2015</v>
      </c>
      <c r="K286" s="153">
        <f>+PL!K$2</f>
        <v>2016</v>
      </c>
      <c r="L286" s="153">
        <f>+PL!L$2</f>
        <v>2017</v>
      </c>
      <c r="M286" s="153">
        <f>+PL!M$2</f>
        <v>2018</v>
      </c>
      <c r="N286" s="153">
        <f>+PL!N$2</f>
        <v>2019</v>
      </c>
      <c r="O286" s="153">
        <f>+PL!O$2</f>
        <v>2020</v>
      </c>
      <c r="P286" s="153">
        <f>+PL!P$2</f>
        <v>2021</v>
      </c>
      <c r="Q286" s="153">
        <f>+PL!Q$2</f>
        <v>2022</v>
      </c>
      <c r="R286" s="151"/>
    </row>
    <row r="287" spans="1:19" x14ac:dyDescent="0.25">
      <c r="A287" s="39">
        <f>SUM(D287:Q287)</f>
        <v>0</v>
      </c>
      <c r="B287" s="168" t="s">
        <v>177</v>
      </c>
      <c r="C287" s="166"/>
      <c r="D287" s="169"/>
      <c r="E287" s="169"/>
      <c r="F287" s="169"/>
      <c r="G287" s="169"/>
      <c r="H287" s="16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>
        <f>IF($B$284="ADB","A1",1)</f>
        <v>1</v>
      </c>
    </row>
    <row r="288" spans="1:19" x14ac:dyDescent="0.25">
      <c r="A288" s="39">
        <f>SUM(D288:Q288)</f>
        <v>0</v>
      </c>
      <c r="B288" s="168" t="s">
        <v>178</v>
      </c>
      <c r="C288" s="166"/>
      <c r="D288" s="169">
        <f t="shared" ref="D288:N288" si="404">+D287*D285</f>
        <v>0</v>
      </c>
      <c r="E288" s="169">
        <f t="shared" si="404"/>
        <v>0</v>
      </c>
      <c r="F288" s="169">
        <f t="shared" si="404"/>
        <v>0</v>
      </c>
      <c r="G288" s="169">
        <f t="shared" si="404"/>
        <v>0</v>
      </c>
      <c r="H288" s="169">
        <f t="shared" si="404"/>
        <v>0</v>
      </c>
      <c r="I288" s="169">
        <f t="shared" si="404"/>
        <v>0</v>
      </c>
      <c r="J288" s="169">
        <f t="shared" si="404"/>
        <v>0</v>
      </c>
      <c r="K288" s="169">
        <f t="shared" si="404"/>
        <v>0</v>
      </c>
      <c r="L288" s="169">
        <f t="shared" si="404"/>
        <v>0</v>
      </c>
      <c r="M288" s="169">
        <f t="shared" si="404"/>
        <v>0</v>
      </c>
      <c r="N288" s="169">
        <f t="shared" si="404"/>
        <v>0</v>
      </c>
      <c r="O288" s="169">
        <f t="shared" ref="O288:Q288" si="405">+O287*O285</f>
        <v>0</v>
      </c>
      <c r="P288" s="169">
        <f t="shared" si="405"/>
        <v>0</v>
      </c>
      <c r="Q288" s="169">
        <f t="shared" si="405"/>
        <v>0</v>
      </c>
      <c r="R288" s="169"/>
      <c r="S288">
        <f>IF($B$284="ADB","A2",2)</f>
        <v>2</v>
      </c>
    </row>
    <row r="289" spans="1:19" x14ac:dyDescent="0.25">
      <c r="A289" s="166" t="e">
        <f>+A288/A287</f>
        <v>#DIV/0!</v>
      </c>
      <c r="B289" s="168"/>
      <c r="C289" s="16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1:19" x14ac:dyDescent="0.25">
      <c r="A290" s="39">
        <f>-SUM(D290:Q290)</f>
        <v>0</v>
      </c>
      <c r="B290" s="168" t="s">
        <v>179</v>
      </c>
      <c r="C290" s="166"/>
      <c r="D290" s="39"/>
      <c r="E290" s="39"/>
      <c r="F290" s="39"/>
      <c r="G290" s="39">
        <f>-A287/5</f>
        <v>0</v>
      </c>
      <c r="H290" s="39">
        <f>+G290</f>
        <v>0</v>
      </c>
      <c r="I290" s="39">
        <f>+H290</f>
        <v>0</v>
      </c>
      <c r="J290" s="39">
        <f>+I290</f>
        <v>0</v>
      </c>
      <c r="K290" s="39">
        <f>+J290</f>
        <v>0</v>
      </c>
      <c r="L290" s="39">
        <f>-H287</f>
        <v>0</v>
      </c>
      <c r="M290" s="39">
        <f>-I287</f>
        <v>0</v>
      </c>
      <c r="N290" s="39">
        <f>-J287</f>
        <v>0</v>
      </c>
      <c r="O290" s="39">
        <f t="shared" ref="O290:Q290" si="406">-K287</f>
        <v>0</v>
      </c>
      <c r="P290" s="39">
        <f t="shared" si="406"/>
        <v>0</v>
      </c>
      <c r="Q290" s="39">
        <f t="shared" si="406"/>
        <v>0</v>
      </c>
      <c r="R290" s="39"/>
      <c r="S290">
        <f>IF($B$284="ADB","A3",3)</f>
        <v>3</v>
      </c>
    </row>
    <row r="291" spans="1:19" x14ac:dyDescent="0.25">
      <c r="A291" s="166"/>
      <c r="B291" s="168" t="s">
        <v>180</v>
      </c>
      <c r="C291" s="166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>
        <f>IF($B$284="ADB","A4",4)</f>
        <v>4</v>
      </c>
    </row>
    <row r="292" spans="1:19" x14ac:dyDescent="0.25">
      <c r="A292" s="39">
        <f>SUM(D292:Q292)</f>
        <v>0</v>
      </c>
      <c r="B292" s="168" t="s">
        <v>246</v>
      </c>
      <c r="C292" s="166"/>
      <c r="D292" s="39"/>
      <c r="E292" s="39"/>
      <c r="F292" s="39"/>
      <c r="G292" s="39">
        <f t="shared" ref="G292:N292" si="407">+G290*G285</f>
        <v>0</v>
      </c>
      <c r="H292" s="39">
        <f t="shared" si="407"/>
        <v>0</v>
      </c>
      <c r="I292" s="39">
        <f t="shared" si="407"/>
        <v>0</v>
      </c>
      <c r="J292" s="39">
        <f t="shared" si="407"/>
        <v>0</v>
      </c>
      <c r="K292" s="39">
        <f t="shared" si="407"/>
        <v>0</v>
      </c>
      <c r="L292" s="39">
        <f t="shared" si="407"/>
        <v>0</v>
      </c>
      <c r="M292" s="39">
        <f t="shared" si="407"/>
        <v>0</v>
      </c>
      <c r="N292" s="39">
        <f t="shared" si="407"/>
        <v>0</v>
      </c>
      <c r="O292" s="39">
        <f t="shared" ref="O292:Q292" si="408">+O290*O285</f>
        <v>0</v>
      </c>
      <c r="P292" s="39">
        <f t="shared" si="408"/>
        <v>0</v>
      </c>
      <c r="Q292" s="39">
        <f t="shared" si="408"/>
        <v>0</v>
      </c>
      <c r="R292" s="39"/>
      <c r="S292">
        <f>IF($B$284="ADB","A5",5)</f>
        <v>5</v>
      </c>
    </row>
    <row r="293" spans="1:19" x14ac:dyDescent="0.25">
      <c r="A293" s="39">
        <f>SUM(D293:Q293)</f>
        <v>0</v>
      </c>
      <c r="B293" s="168" t="s">
        <v>286</v>
      </c>
      <c r="C293" s="166"/>
      <c r="D293" s="39"/>
      <c r="E293" s="39"/>
      <c r="F293" s="39"/>
      <c r="G293" s="39">
        <f>+G290*$A$69</f>
        <v>0</v>
      </c>
      <c r="H293" s="39">
        <f t="shared" ref="H293:N293" si="409">+H290*$A$69</f>
        <v>0</v>
      </c>
      <c r="I293" s="39">
        <f t="shared" si="409"/>
        <v>0</v>
      </c>
      <c r="J293" s="39">
        <f t="shared" si="409"/>
        <v>0</v>
      </c>
      <c r="K293" s="39">
        <f t="shared" si="409"/>
        <v>0</v>
      </c>
      <c r="L293" s="39">
        <f t="shared" si="409"/>
        <v>0</v>
      </c>
      <c r="M293" s="39">
        <f t="shared" si="409"/>
        <v>0</v>
      </c>
      <c r="N293" s="39">
        <f t="shared" si="409"/>
        <v>0</v>
      </c>
      <c r="O293" s="39">
        <f t="shared" ref="O293:Q293" si="410">+O290*$A$69</f>
        <v>0</v>
      </c>
      <c r="P293" s="39">
        <f t="shared" si="410"/>
        <v>0</v>
      </c>
      <c r="Q293" s="39">
        <f t="shared" si="410"/>
        <v>0</v>
      </c>
      <c r="R293" s="39"/>
      <c r="S293">
        <f>IF($B$284="ADB","A6",6)</f>
        <v>6</v>
      </c>
    </row>
    <row r="294" spans="1:19" x14ac:dyDescent="0.25">
      <c r="A294" s="39"/>
      <c r="B294" s="168"/>
      <c r="C294" s="166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</row>
    <row r="295" spans="1:19" x14ac:dyDescent="0.25">
      <c r="A295" s="39">
        <f>SUM(D295:Q295)</f>
        <v>0</v>
      </c>
      <c r="B295" s="168" t="s">
        <v>280</v>
      </c>
      <c r="C295" s="166"/>
      <c r="D295" s="39"/>
      <c r="E295" s="39">
        <f>+E287+E290</f>
        <v>0</v>
      </c>
      <c r="F295" s="39">
        <f t="shared" ref="F295:N295" si="411">+F287+F290</f>
        <v>0</v>
      </c>
      <c r="G295" s="39">
        <f t="shared" si="411"/>
        <v>0</v>
      </c>
      <c r="H295" s="39">
        <f t="shared" si="411"/>
        <v>0</v>
      </c>
      <c r="I295" s="39">
        <f t="shared" si="411"/>
        <v>0</v>
      </c>
      <c r="J295" s="39">
        <f t="shared" si="411"/>
        <v>0</v>
      </c>
      <c r="K295" s="39">
        <f t="shared" si="411"/>
        <v>0</v>
      </c>
      <c r="L295" s="39">
        <f t="shared" si="411"/>
        <v>0</v>
      </c>
      <c r="M295" s="39">
        <f t="shared" si="411"/>
        <v>0</v>
      </c>
      <c r="N295" s="39">
        <f t="shared" si="411"/>
        <v>0</v>
      </c>
      <c r="O295" s="39">
        <f t="shared" ref="O295:Q295" si="412">+O287+O290</f>
        <v>0</v>
      </c>
      <c r="P295" s="39">
        <f t="shared" si="412"/>
        <v>0</v>
      </c>
      <c r="Q295" s="39">
        <f t="shared" si="412"/>
        <v>0</v>
      </c>
      <c r="R295" s="39"/>
    </row>
    <row r="296" spans="1:19" x14ac:dyDescent="0.25">
      <c r="A296" s="39">
        <f>SUM(D296:Q296)</f>
        <v>0</v>
      </c>
      <c r="B296" s="168" t="s">
        <v>281</v>
      </c>
      <c r="C296" s="166"/>
      <c r="D296" s="39"/>
      <c r="E296" s="39">
        <f>+E288+E291</f>
        <v>0</v>
      </c>
      <c r="F296" s="39">
        <f>+F288+F292</f>
        <v>0</v>
      </c>
      <c r="G296" s="39">
        <f t="shared" ref="G296:N296" si="413">+G288+G292</f>
        <v>0</v>
      </c>
      <c r="H296" s="39">
        <f t="shared" si="413"/>
        <v>0</v>
      </c>
      <c r="I296" s="39">
        <f t="shared" si="413"/>
        <v>0</v>
      </c>
      <c r="J296" s="39">
        <f t="shared" si="413"/>
        <v>0</v>
      </c>
      <c r="K296" s="39">
        <f t="shared" si="413"/>
        <v>0</v>
      </c>
      <c r="L296" s="39">
        <f t="shared" si="413"/>
        <v>0</v>
      </c>
      <c r="M296" s="39">
        <f t="shared" si="413"/>
        <v>0</v>
      </c>
      <c r="N296" s="39">
        <f t="shared" si="413"/>
        <v>0</v>
      </c>
      <c r="O296" s="39">
        <f t="shared" ref="O296:Q296" si="414">+O288+O292</f>
        <v>0</v>
      </c>
      <c r="P296" s="39">
        <f t="shared" si="414"/>
        <v>0</v>
      </c>
      <c r="Q296" s="39">
        <f t="shared" si="414"/>
        <v>0</v>
      </c>
      <c r="R296" s="39"/>
    </row>
    <row r="297" spans="1:19" x14ac:dyDescent="0.25">
      <c r="A297" s="166"/>
      <c r="B297" s="168" t="s">
        <v>181</v>
      </c>
      <c r="C297" s="166"/>
      <c r="D297" s="39">
        <f t="shared" ref="D297:N297" si="415">+D287+C297</f>
        <v>0</v>
      </c>
      <c r="E297" s="39">
        <f t="shared" si="415"/>
        <v>0</v>
      </c>
      <c r="F297" s="39">
        <f t="shared" si="415"/>
        <v>0</v>
      </c>
      <c r="G297" s="39">
        <f t="shared" si="415"/>
        <v>0</v>
      </c>
      <c r="H297" s="39">
        <f t="shared" si="415"/>
        <v>0</v>
      </c>
      <c r="I297" s="39">
        <f t="shared" si="415"/>
        <v>0</v>
      </c>
      <c r="J297" s="39">
        <f t="shared" si="415"/>
        <v>0</v>
      </c>
      <c r="K297" s="39">
        <f t="shared" si="415"/>
        <v>0</v>
      </c>
      <c r="L297" s="39">
        <f t="shared" si="415"/>
        <v>0</v>
      </c>
      <c r="M297" s="39">
        <f t="shared" si="415"/>
        <v>0</v>
      </c>
      <c r="N297" s="39">
        <f t="shared" si="415"/>
        <v>0</v>
      </c>
      <c r="O297" s="39">
        <f t="shared" ref="O297" si="416">+O287+N297</f>
        <v>0</v>
      </c>
      <c r="P297" s="39">
        <f t="shared" ref="P297" si="417">+P287+O297</f>
        <v>0</v>
      </c>
      <c r="Q297" s="39">
        <f t="shared" ref="Q297" si="418">+Q287+P297</f>
        <v>0</v>
      </c>
      <c r="R297" s="39"/>
    </row>
    <row r="298" spans="1:19" x14ac:dyDescent="0.25">
      <c r="A298" s="166"/>
      <c r="B298" s="168" t="s">
        <v>182</v>
      </c>
      <c r="C298" s="166"/>
      <c r="D298" s="39">
        <f t="shared" ref="D298:N298" si="419">+D290+C298</f>
        <v>0</v>
      </c>
      <c r="E298" s="39">
        <f t="shared" si="419"/>
        <v>0</v>
      </c>
      <c r="F298" s="39">
        <f t="shared" si="419"/>
        <v>0</v>
      </c>
      <c r="G298" s="39">
        <f t="shared" si="419"/>
        <v>0</v>
      </c>
      <c r="H298" s="39">
        <f t="shared" si="419"/>
        <v>0</v>
      </c>
      <c r="I298" s="39">
        <f t="shared" si="419"/>
        <v>0</v>
      </c>
      <c r="J298" s="39">
        <f t="shared" si="419"/>
        <v>0</v>
      </c>
      <c r="K298" s="39">
        <f t="shared" si="419"/>
        <v>0</v>
      </c>
      <c r="L298" s="39">
        <f t="shared" si="419"/>
        <v>0</v>
      </c>
      <c r="M298" s="39">
        <f t="shared" si="419"/>
        <v>0</v>
      </c>
      <c r="N298" s="39">
        <f t="shared" si="419"/>
        <v>0</v>
      </c>
      <c r="O298" s="39">
        <f t="shared" ref="O298" si="420">+O290+N298</f>
        <v>0</v>
      </c>
      <c r="P298" s="39">
        <f t="shared" ref="P298" si="421">+P290+O298</f>
        <v>0</v>
      </c>
      <c r="Q298" s="39">
        <f t="shared" ref="Q298" si="422">+Q290+P298</f>
        <v>0</v>
      </c>
      <c r="R298" s="39"/>
    </row>
    <row r="299" spans="1:19" x14ac:dyDescent="0.25">
      <c r="A299" s="166"/>
      <c r="B299" s="156" t="s">
        <v>285</v>
      </c>
      <c r="C299" s="151"/>
      <c r="D299" s="158">
        <f>+D298+D297</f>
        <v>0</v>
      </c>
      <c r="E299" s="158">
        <f t="shared" ref="E299:N299" si="423">+E298+E297</f>
        <v>0</v>
      </c>
      <c r="F299" s="158">
        <f t="shared" si="423"/>
        <v>0</v>
      </c>
      <c r="G299" s="158">
        <f t="shared" si="423"/>
        <v>0</v>
      </c>
      <c r="H299" s="158">
        <f t="shared" si="423"/>
        <v>0</v>
      </c>
      <c r="I299" s="158">
        <f t="shared" si="423"/>
        <v>0</v>
      </c>
      <c r="J299" s="158">
        <f t="shared" si="423"/>
        <v>0</v>
      </c>
      <c r="K299" s="158">
        <f t="shared" si="423"/>
        <v>0</v>
      </c>
      <c r="L299" s="158">
        <f t="shared" si="423"/>
        <v>0</v>
      </c>
      <c r="M299" s="158">
        <f t="shared" si="423"/>
        <v>0</v>
      </c>
      <c r="N299" s="158">
        <f t="shared" si="423"/>
        <v>0</v>
      </c>
      <c r="O299" s="158">
        <f t="shared" ref="O299:Q299" si="424">+O298+O297</f>
        <v>0</v>
      </c>
      <c r="P299" s="158">
        <f t="shared" si="424"/>
        <v>0</v>
      </c>
      <c r="Q299" s="158">
        <f t="shared" si="424"/>
        <v>0</v>
      </c>
      <c r="R299" s="158"/>
    </row>
    <row r="300" spans="1:19" ht="16.5" thickBot="1" x14ac:dyDescent="0.3">
      <c r="A300" s="166"/>
      <c r="B300" s="156" t="s">
        <v>244</v>
      </c>
      <c r="C300" s="151"/>
      <c r="D300" s="158">
        <f t="shared" ref="D300:N300" si="425">+D285*D299</f>
        <v>0</v>
      </c>
      <c r="E300" s="158">
        <f t="shared" si="425"/>
        <v>0</v>
      </c>
      <c r="F300" s="158">
        <f t="shared" si="425"/>
        <v>0</v>
      </c>
      <c r="G300" s="158">
        <f t="shared" si="425"/>
        <v>0</v>
      </c>
      <c r="H300" s="158">
        <f t="shared" si="425"/>
        <v>0</v>
      </c>
      <c r="I300" s="158">
        <f t="shared" si="425"/>
        <v>0</v>
      </c>
      <c r="J300" s="158">
        <f t="shared" si="425"/>
        <v>0</v>
      </c>
      <c r="K300" s="158">
        <f t="shared" si="425"/>
        <v>0</v>
      </c>
      <c r="L300" s="158">
        <f t="shared" si="425"/>
        <v>0</v>
      </c>
      <c r="M300" s="158">
        <f t="shared" si="425"/>
        <v>0</v>
      </c>
      <c r="N300" s="158">
        <f t="shared" si="425"/>
        <v>0</v>
      </c>
      <c r="O300" s="158">
        <f t="shared" ref="O300:Q300" si="426">+O285*O299</f>
        <v>0</v>
      </c>
      <c r="P300" s="158">
        <f t="shared" si="426"/>
        <v>0</v>
      </c>
      <c r="Q300" s="158">
        <f t="shared" si="426"/>
        <v>0</v>
      </c>
      <c r="R300" s="158"/>
      <c r="S300">
        <f>IF($B$284="ADB","A7",7)</f>
        <v>7</v>
      </c>
    </row>
    <row r="301" spans="1:19" s="174" customFormat="1" ht="16.5" thickBot="1" x14ac:dyDescent="0.3">
      <c r="A301" s="290">
        <f>SUM(D301:Q301)</f>
        <v>0</v>
      </c>
      <c r="B301" s="291" t="s">
        <v>213</v>
      </c>
      <c r="C301" s="292"/>
      <c r="D301" s="293">
        <f>D292-D293</f>
        <v>0</v>
      </c>
      <c r="E301" s="293">
        <f>E292-E293</f>
        <v>0</v>
      </c>
      <c r="F301" s="293">
        <f>F292-F293</f>
        <v>0</v>
      </c>
      <c r="G301" s="293">
        <f t="shared" ref="G301:N301" si="427">G292-G293</f>
        <v>0</v>
      </c>
      <c r="H301" s="293">
        <f t="shared" si="427"/>
        <v>0</v>
      </c>
      <c r="I301" s="293">
        <f t="shared" si="427"/>
        <v>0</v>
      </c>
      <c r="J301" s="293">
        <f t="shared" si="427"/>
        <v>0</v>
      </c>
      <c r="K301" s="293">
        <f t="shared" si="427"/>
        <v>0</v>
      </c>
      <c r="L301" s="293">
        <f t="shared" si="427"/>
        <v>0</v>
      </c>
      <c r="M301" s="293">
        <f t="shared" si="427"/>
        <v>0</v>
      </c>
      <c r="N301" s="293">
        <f t="shared" si="427"/>
        <v>0</v>
      </c>
      <c r="O301" s="293">
        <f t="shared" ref="O301:Q301" si="428">O292-O293</f>
        <v>0</v>
      </c>
      <c r="P301" s="293">
        <f t="shared" si="428"/>
        <v>0</v>
      </c>
      <c r="Q301" s="293">
        <f t="shared" si="428"/>
        <v>0</v>
      </c>
      <c r="R301" s="694"/>
      <c r="S301" s="174">
        <f>IF($B$86="ADB","A8",8)</f>
        <v>8</v>
      </c>
    </row>
    <row r="302" spans="1:19" x14ac:dyDescent="0.25">
      <c r="A302" s="39">
        <f>SUM(D302:Q302)</f>
        <v>0</v>
      </c>
      <c r="B302" s="168" t="s">
        <v>282</v>
      </c>
      <c r="C302" s="166"/>
      <c r="D302" s="166"/>
      <c r="E302" s="166"/>
      <c r="F302" s="166">
        <f>IF(F299&lt;E299,+F299*(E285-F285),0)</f>
        <v>0</v>
      </c>
      <c r="G302" s="166">
        <f>IF(G299&lt;F299,+G299*(F285-G285),0)</f>
        <v>0</v>
      </c>
      <c r="H302" s="166">
        <f t="shared" ref="H302:M302" si="429">IF(H299&lt;G299,+H299*(G285-H285),0)</f>
        <v>0</v>
      </c>
      <c r="I302" s="166">
        <f t="shared" si="429"/>
        <v>0</v>
      </c>
      <c r="J302" s="166">
        <f t="shared" si="429"/>
        <v>0</v>
      </c>
      <c r="K302" s="166">
        <f t="shared" si="429"/>
        <v>0</v>
      </c>
      <c r="L302" s="166">
        <f t="shared" si="429"/>
        <v>0</v>
      </c>
      <c r="M302" s="166">
        <f t="shared" si="429"/>
        <v>0</v>
      </c>
      <c r="N302" s="166">
        <f>+N299*(M285-N285)</f>
        <v>0</v>
      </c>
      <c r="O302" s="166">
        <f t="shared" ref="O302:Q302" si="430">+O299*(N285-O285)</f>
        <v>0</v>
      </c>
      <c r="P302" s="166">
        <f t="shared" si="430"/>
        <v>0</v>
      </c>
      <c r="Q302" s="166">
        <f t="shared" si="430"/>
        <v>0</v>
      </c>
      <c r="R302" s="166"/>
      <c r="S302">
        <f>IF($B$284="ADB","A9",9)</f>
        <v>9</v>
      </c>
    </row>
    <row r="303" spans="1:19" x14ac:dyDescent="0.25">
      <c r="A303" s="39">
        <f>SUM(D303:Q303)</f>
        <v>0</v>
      </c>
      <c r="B303" s="168" t="s">
        <v>283</v>
      </c>
      <c r="C303" s="166"/>
      <c r="D303" s="166"/>
      <c r="E303" s="166"/>
      <c r="F303" s="166">
        <f t="shared" ref="F303:N303" si="431">+F290*(F285-E285)</f>
        <v>0</v>
      </c>
      <c r="G303" s="166">
        <f t="shared" si="431"/>
        <v>0</v>
      </c>
      <c r="H303" s="166">
        <f t="shared" si="431"/>
        <v>0</v>
      </c>
      <c r="I303" s="166">
        <f t="shared" si="431"/>
        <v>0</v>
      </c>
      <c r="J303" s="166">
        <f t="shared" si="431"/>
        <v>0</v>
      </c>
      <c r="K303" s="166">
        <f t="shared" si="431"/>
        <v>0</v>
      </c>
      <c r="L303" s="166">
        <f t="shared" si="431"/>
        <v>0</v>
      </c>
      <c r="M303" s="166">
        <f t="shared" si="431"/>
        <v>0</v>
      </c>
      <c r="N303" s="166">
        <f t="shared" si="431"/>
        <v>0</v>
      </c>
      <c r="O303" s="166">
        <f t="shared" ref="O303" si="432">+O290*(O285-N285)</f>
        <v>0</v>
      </c>
      <c r="P303" s="166">
        <f t="shared" ref="P303" si="433">+P290*(P285-O285)</f>
        <v>0</v>
      </c>
      <c r="Q303" s="166">
        <f t="shared" ref="Q303" si="434">+Q290*(Q285-P285)</f>
        <v>0</v>
      </c>
      <c r="R303" s="166"/>
      <c r="S303">
        <f>IF($B$284="ADB","A10",10)</f>
        <v>10</v>
      </c>
    </row>
    <row r="304" spans="1:19" x14ac:dyDescent="0.25">
      <c r="A304" s="39">
        <f>SUM(D304:Q304)</f>
        <v>0</v>
      </c>
      <c r="B304" s="170" t="s">
        <v>284</v>
      </c>
      <c r="C304" s="171"/>
      <c r="D304" s="171"/>
      <c r="E304" s="171"/>
      <c r="F304" s="171">
        <f>+F303+F302</f>
        <v>0</v>
      </c>
      <c r="G304" s="171">
        <f t="shared" ref="G304:N304" si="435">+G303+G302</f>
        <v>0</v>
      </c>
      <c r="H304" s="171">
        <f t="shared" si="435"/>
        <v>0</v>
      </c>
      <c r="I304" s="171">
        <f t="shared" si="435"/>
        <v>0</v>
      </c>
      <c r="J304" s="171">
        <f t="shared" si="435"/>
        <v>0</v>
      </c>
      <c r="K304" s="171">
        <f t="shared" si="435"/>
        <v>0</v>
      </c>
      <c r="L304" s="171">
        <f t="shared" si="435"/>
        <v>0</v>
      </c>
      <c r="M304" s="171">
        <f t="shared" si="435"/>
        <v>0</v>
      </c>
      <c r="N304" s="171">
        <f t="shared" si="435"/>
        <v>0</v>
      </c>
      <c r="O304" s="171">
        <f t="shared" ref="O304:Q304" si="436">+O303+O302</f>
        <v>0</v>
      </c>
      <c r="P304" s="171">
        <f t="shared" si="436"/>
        <v>0</v>
      </c>
      <c r="Q304" s="171">
        <f t="shared" si="436"/>
        <v>0</v>
      </c>
      <c r="R304" s="166"/>
    </row>
    <row r="306" spans="1:19" x14ac:dyDescent="0.25">
      <c r="B306" s="174" t="s">
        <v>279</v>
      </c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9" hidden="1" x14ac:dyDescent="0.25">
      <c r="A307" s="166"/>
      <c r="B307" s="166" t="s">
        <v>212</v>
      </c>
      <c r="C307" s="166"/>
      <c r="D307" s="114">
        <f>+turnover!D$122</f>
        <v>1.4656</v>
      </c>
      <c r="E307" s="114">
        <f>+turnover!E$122</f>
        <v>1.5874999999999999</v>
      </c>
      <c r="F307" s="114">
        <f>+turnover!F$122</f>
        <v>1.714</v>
      </c>
      <c r="G307" s="114">
        <f>+turnover!G$122</f>
        <v>1.89</v>
      </c>
      <c r="H307" s="114">
        <f>+turnover!H$122</f>
        <v>2.0790000000000002</v>
      </c>
      <c r="I307" s="114">
        <f>+turnover!I$122</f>
        <v>2.2869000000000002</v>
      </c>
      <c r="J307" s="114">
        <f>+turnover!J$122</f>
        <v>2.51559</v>
      </c>
      <c r="K307" s="114">
        <f>+turnover!K$122</f>
        <v>2.7671490000000003</v>
      </c>
      <c r="L307" s="114">
        <f>+turnover!L$122</f>
        <v>3.0438639000000007</v>
      </c>
      <c r="M307" s="114">
        <f>+turnover!M$122</f>
        <v>3.3482502900000011</v>
      </c>
      <c r="N307" s="114">
        <f>+turnover!N$122</f>
        <v>3.6830753190000012</v>
      </c>
      <c r="O307" s="114">
        <f>+turnover!O$122</f>
        <v>4.0513828509000014</v>
      </c>
      <c r="P307" s="114">
        <f>+turnover!P$122</f>
        <v>4.4565211359900019</v>
      </c>
      <c r="Q307" s="114">
        <f>+turnover!Q$122</f>
        <v>4.9021732495890031</v>
      </c>
      <c r="R307" s="114"/>
    </row>
    <row r="308" spans="1:19" x14ac:dyDescent="0.25">
      <c r="A308" s="166"/>
      <c r="B308" s="167" t="s">
        <v>307</v>
      </c>
      <c r="C308" s="153">
        <f>+PL!C$2</f>
        <v>2008</v>
      </c>
      <c r="D308" s="153">
        <f>+PL!D$2</f>
        <v>2009</v>
      </c>
      <c r="E308" s="153">
        <f>+PL!E$2</f>
        <v>2010</v>
      </c>
      <c r="F308" s="153">
        <f>+PL!F$2</f>
        <v>2011</v>
      </c>
      <c r="G308" s="153">
        <f>+PL!G$2</f>
        <v>2012</v>
      </c>
      <c r="H308" s="153">
        <f>+PL!H$2</f>
        <v>2013</v>
      </c>
      <c r="I308" s="153">
        <f>+PL!I$2</f>
        <v>2014</v>
      </c>
      <c r="J308" s="153">
        <f>+PL!J$2</f>
        <v>2015</v>
      </c>
      <c r="K308" s="153">
        <f>+PL!K$2</f>
        <v>2016</v>
      </c>
      <c r="L308" s="153">
        <f>+PL!L$2</f>
        <v>2017</v>
      </c>
      <c r="M308" s="153">
        <f>+PL!M$2</f>
        <v>2018</v>
      </c>
      <c r="N308" s="153">
        <f>+PL!N$2</f>
        <v>2019</v>
      </c>
      <c r="O308" s="153">
        <f>+PL!O$2</f>
        <v>2020</v>
      </c>
      <c r="P308" s="153">
        <f>+PL!P$2</f>
        <v>2021</v>
      </c>
      <c r="Q308" s="153">
        <f>+PL!Q$2</f>
        <v>2022</v>
      </c>
      <c r="R308" s="151"/>
    </row>
    <row r="309" spans="1:19" x14ac:dyDescent="0.25">
      <c r="A309" s="39">
        <f>SUM(D309:Q309)</f>
        <v>0</v>
      </c>
      <c r="B309" s="168" t="s">
        <v>177</v>
      </c>
      <c r="C309" s="166"/>
      <c r="D309" s="169"/>
      <c r="E309" s="169"/>
      <c r="F309" s="169"/>
      <c r="G309" s="169"/>
      <c r="H309" s="16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>
        <f>IF($B$306="ADB","A1",1)</f>
        <v>1</v>
      </c>
    </row>
    <row r="310" spans="1:19" x14ac:dyDescent="0.25">
      <c r="A310" s="39">
        <f>SUM(D310:Q310)</f>
        <v>0</v>
      </c>
      <c r="B310" s="168" t="s">
        <v>178</v>
      </c>
      <c r="C310" s="166"/>
      <c r="D310" s="169">
        <f t="shared" ref="D310:N310" si="437">+D309*D307</f>
        <v>0</v>
      </c>
      <c r="E310" s="169">
        <f t="shared" si="437"/>
        <v>0</v>
      </c>
      <c r="F310" s="169">
        <f t="shared" si="437"/>
        <v>0</v>
      </c>
      <c r="G310" s="169">
        <f t="shared" si="437"/>
        <v>0</v>
      </c>
      <c r="H310" s="169">
        <f t="shared" si="437"/>
        <v>0</v>
      </c>
      <c r="I310" s="169">
        <f t="shared" si="437"/>
        <v>0</v>
      </c>
      <c r="J310" s="169">
        <f t="shared" si="437"/>
        <v>0</v>
      </c>
      <c r="K310" s="169">
        <f t="shared" si="437"/>
        <v>0</v>
      </c>
      <c r="L310" s="169">
        <f t="shared" si="437"/>
        <v>0</v>
      </c>
      <c r="M310" s="169">
        <f t="shared" si="437"/>
        <v>0</v>
      </c>
      <c r="N310" s="169">
        <f t="shared" si="437"/>
        <v>0</v>
      </c>
      <c r="O310" s="169">
        <f t="shared" ref="O310:Q310" si="438">+O309*O307</f>
        <v>0</v>
      </c>
      <c r="P310" s="169">
        <f t="shared" si="438"/>
        <v>0</v>
      </c>
      <c r="Q310" s="169">
        <f t="shared" si="438"/>
        <v>0</v>
      </c>
      <c r="R310" s="169"/>
      <c r="S310">
        <f>IF($B$306="ADB","A2",2)</f>
        <v>2</v>
      </c>
    </row>
    <row r="311" spans="1:19" x14ac:dyDescent="0.25">
      <c r="A311" s="166" t="e">
        <f>+A310/A309</f>
        <v>#DIV/0!</v>
      </c>
      <c r="B311" s="168"/>
      <c r="C311" s="166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</row>
    <row r="312" spans="1:19" x14ac:dyDescent="0.25">
      <c r="A312" s="39">
        <f>-SUM(D312:Q312)</f>
        <v>0</v>
      </c>
      <c r="B312" s="168" t="s">
        <v>179</v>
      </c>
      <c r="C312" s="166"/>
      <c r="D312" s="39"/>
      <c r="E312" s="39"/>
      <c r="F312" s="39"/>
      <c r="G312" s="39">
        <f>-A309/5</f>
        <v>0</v>
      </c>
      <c r="H312" s="39">
        <f>+G312</f>
        <v>0</v>
      </c>
      <c r="I312" s="39">
        <f>+H312</f>
        <v>0</v>
      </c>
      <c r="J312" s="39">
        <f>+I312</f>
        <v>0</v>
      </c>
      <c r="K312" s="39">
        <f>+J312</f>
        <v>0</v>
      </c>
      <c r="L312" s="39">
        <f>-H309</f>
        <v>0</v>
      </c>
      <c r="M312" s="39">
        <f>-I309</f>
        <v>0</v>
      </c>
      <c r="N312" s="39">
        <f>-J309</f>
        <v>0</v>
      </c>
      <c r="O312" s="39">
        <f t="shared" ref="O312:Q312" si="439">-K309</f>
        <v>0</v>
      </c>
      <c r="P312" s="39">
        <f t="shared" si="439"/>
        <v>0</v>
      </c>
      <c r="Q312" s="39">
        <f t="shared" si="439"/>
        <v>0</v>
      </c>
      <c r="R312" s="39"/>
      <c r="S312">
        <f>IF($B$306="ADB","A3",3)</f>
        <v>3</v>
      </c>
    </row>
    <row r="313" spans="1:19" x14ac:dyDescent="0.25">
      <c r="A313" s="166"/>
      <c r="B313" s="168" t="s">
        <v>180</v>
      </c>
      <c r="C313" s="16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>
        <f>IF($B$306="ADB","A4",4)</f>
        <v>4</v>
      </c>
    </row>
    <row r="314" spans="1:19" x14ac:dyDescent="0.25">
      <c r="A314" s="39">
        <f>SUM(D314:Q314)</f>
        <v>0</v>
      </c>
      <c r="B314" s="168" t="s">
        <v>246</v>
      </c>
      <c r="C314" s="166"/>
      <c r="D314" s="39"/>
      <c r="E314" s="39"/>
      <c r="F314" s="39"/>
      <c r="G314" s="39">
        <f t="shared" ref="G314:N314" si="440">+G312*G307</f>
        <v>0</v>
      </c>
      <c r="H314" s="39">
        <f t="shared" si="440"/>
        <v>0</v>
      </c>
      <c r="I314" s="39">
        <f t="shared" si="440"/>
        <v>0</v>
      </c>
      <c r="J314" s="39">
        <f t="shared" si="440"/>
        <v>0</v>
      </c>
      <c r="K314" s="39">
        <f t="shared" si="440"/>
        <v>0</v>
      </c>
      <c r="L314" s="39">
        <f t="shared" si="440"/>
        <v>0</v>
      </c>
      <c r="M314" s="39">
        <f t="shared" si="440"/>
        <v>0</v>
      </c>
      <c r="N314" s="39">
        <f t="shared" si="440"/>
        <v>0</v>
      </c>
      <c r="O314" s="39">
        <f t="shared" ref="O314:Q314" si="441">+O312*O307</f>
        <v>0</v>
      </c>
      <c r="P314" s="39">
        <f t="shared" si="441"/>
        <v>0</v>
      </c>
      <c r="Q314" s="39">
        <f t="shared" si="441"/>
        <v>0</v>
      </c>
      <c r="R314" s="39"/>
      <c r="S314">
        <f>IF($B$306="ADB","A5",5)</f>
        <v>5</v>
      </c>
    </row>
    <row r="315" spans="1:19" x14ac:dyDescent="0.25">
      <c r="A315" s="39">
        <f>SUM(D315:Q315)</f>
        <v>0</v>
      </c>
      <c r="B315" s="168" t="s">
        <v>286</v>
      </c>
      <c r="C315" s="166"/>
      <c r="D315" s="39"/>
      <c r="E315" s="39"/>
      <c r="F315" s="39"/>
      <c r="G315" s="39">
        <f>+G312*$A$69</f>
        <v>0</v>
      </c>
      <c r="H315" s="39">
        <f t="shared" ref="H315:N315" si="442">+H312*$A$69</f>
        <v>0</v>
      </c>
      <c r="I315" s="39">
        <f t="shared" si="442"/>
        <v>0</v>
      </c>
      <c r="J315" s="39">
        <f t="shared" si="442"/>
        <v>0</v>
      </c>
      <c r="K315" s="39">
        <f t="shared" si="442"/>
        <v>0</v>
      </c>
      <c r="L315" s="39">
        <f t="shared" si="442"/>
        <v>0</v>
      </c>
      <c r="M315" s="39">
        <f t="shared" si="442"/>
        <v>0</v>
      </c>
      <c r="N315" s="39">
        <f t="shared" si="442"/>
        <v>0</v>
      </c>
      <c r="O315" s="39">
        <f t="shared" ref="O315:Q315" si="443">+O312*$A$69</f>
        <v>0</v>
      </c>
      <c r="P315" s="39">
        <f t="shared" si="443"/>
        <v>0</v>
      </c>
      <c r="Q315" s="39">
        <f t="shared" si="443"/>
        <v>0</v>
      </c>
      <c r="R315" s="39"/>
      <c r="S315">
        <f>IF($B$306="ADB","A6",6)</f>
        <v>6</v>
      </c>
    </row>
    <row r="316" spans="1:19" x14ac:dyDescent="0.25">
      <c r="A316" s="39"/>
      <c r="B316" s="168"/>
      <c r="C316" s="166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</row>
    <row r="317" spans="1:19" x14ac:dyDescent="0.25">
      <c r="A317" s="39">
        <f>SUM(D317:Q317)</f>
        <v>0</v>
      </c>
      <c r="B317" s="168" t="s">
        <v>280</v>
      </c>
      <c r="C317" s="166"/>
      <c r="D317" s="39"/>
      <c r="E317" s="39">
        <f>+E309+E312</f>
        <v>0</v>
      </c>
      <c r="F317" s="39">
        <f t="shared" ref="F317:N317" si="444">+F309+F312</f>
        <v>0</v>
      </c>
      <c r="G317" s="39">
        <f t="shared" si="444"/>
        <v>0</v>
      </c>
      <c r="H317" s="39">
        <f t="shared" si="444"/>
        <v>0</v>
      </c>
      <c r="I317" s="39">
        <f t="shared" si="444"/>
        <v>0</v>
      </c>
      <c r="J317" s="39">
        <f t="shared" si="444"/>
        <v>0</v>
      </c>
      <c r="K317" s="39">
        <f t="shared" si="444"/>
        <v>0</v>
      </c>
      <c r="L317" s="39">
        <f t="shared" si="444"/>
        <v>0</v>
      </c>
      <c r="M317" s="39">
        <f t="shared" si="444"/>
        <v>0</v>
      </c>
      <c r="N317" s="39">
        <f t="shared" si="444"/>
        <v>0</v>
      </c>
      <c r="O317" s="39">
        <f t="shared" ref="O317:Q317" si="445">+O309+O312</f>
        <v>0</v>
      </c>
      <c r="P317" s="39">
        <f t="shared" si="445"/>
        <v>0</v>
      </c>
      <c r="Q317" s="39">
        <f t="shared" si="445"/>
        <v>0</v>
      </c>
      <c r="R317" s="39"/>
    </row>
    <row r="318" spans="1:19" x14ac:dyDescent="0.25">
      <c r="A318" s="39">
        <f>SUM(D318:Q318)</f>
        <v>0</v>
      </c>
      <c r="B318" s="168" t="s">
        <v>281</v>
      </c>
      <c r="C318" s="166"/>
      <c r="D318" s="39"/>
      <c r="E318" s="39">
        <f>+E310+E313</f>
        <v>0</v>
      </c>
      <c r="F318" s="39">
        <f>+F310+F314</f>
        <v>0</v>
      </c>
      <c r="G318" s="39">
        <f t="shared" ref="G318:N318" si="446">+G310+G314</f>
        <v>0</v>
      </c>
      <c r="H318" s="39">
        <f t="shared" si="446"/>
        <v>0</v>
      </c>
      <c r="I318" s="39">
        <f t="shared" si="446"/>
        <v>0</v>
      </c>
      <c r="J318" s="39">
        <f t="shared" si="446"/>
        <v>0</v>
      </c>
      <c r="K318" s="39">
        <f t="shared" si="446"/>
        <v>0</v>
      </c>
      <c r="L318" s="39">
        <f t="shared" si="446"/>
        <v>0</v>
      </c>
      <c r="M318" s="39">
        <f t="shared" si="446"/>
        <v>0</v>
      </c>
      <c r="N318" s="39">
        <f t="shared" si="446"/>
        <v>0</v>
      </c>
      <c r="O318" s="39">
        <f t="shared" ref="O318:Q318" si="447">+O310+O314</f>
        <v>0</v>
      </c>
      <c r="P318" s="39">
        <f t="shared" si="447"/>
        <v>0</v>
      </c>
      <c r="Q318" s="39">
        <f t="shared" si="447"/>
        <v>0</v>
      </c>
      <c r="R318" s="39"/>
    </row>
    <row r="319" spans="1:19" x14ac:dyDescent="0.25">
      <c r="A319" s="166"/>
      <c r="B319" s="168" t="s">
        <v>181</v>
      </c>
      <c r="C319" s="166"/>
      <c r="D319" s="39">
        <f t="shared" ref="D319:N319" si="448">+D309+C319</f>
        <v>0</v>
      </c>
      <c r="E319" s="39">
        <f t="shared" si="448"/>
        <v>0</v>
      </c>
      <c r="F319" s="39">
        <f t="shared" si="448"/>
        <v>0</v>
      </c>
      <c r="G319" s="39">
        <f t="shared" si="448"/>
        <v>0</v>
      </c>
      <c r="H319" s="39">
        <f t="shared" si="448"/>
        <v>0</v>
      </c>
      <c r="I319" s="39">
        <f t="shared" si="448"/>
        <v>0</v>
      </c>
      <c r="J319" s="39">
        <f t="shared" si="448"/>
        <v>0</v>
      </c>
      <c r="K319" s="39">
        <f t="shared" si="448"/>
        <v>0</v>
      </c>
      <c r="L319" s="39">
        <f t="shared" si="448"/>
        <v>0</v>
      </c>
      <c r="M319" s="39">
        <f t="shared" si="448"/>
        <v>0</v>
      </c>
      <c r="N319" s="39">
        <f t="shared" si="448"/>
        <v>0</v>
      </c>
      <c r="O319" s="39">
        <f t="shared" ref="O319" si="449">+O309+N319</f>
        <v>0</v>
      </c>
      <c r="P319" s="39">
        <f t="shared" ref="P319" si="450">+P309+O319</f>
        <v>0</v>
      </c>
      <c r="Q319" s="39">
        <f t="shared" ref="Q319" si="451">+Q309+P319</f>
        <v>0</v>
      </c>
      <c r="R319" s="39"/>
    </row>
    <row r="320" spans="1:19" x14ac:dyDescent="0.25">
      <c r="A320" s="166"/>
      <c r="B320" s="168" t="s">
        <v>182</v>
      </c>
      <c r="C320" s="166"/>
      <c r="D320" s="39">
        <f t="shared" ref="D320:N320" si="452">+D312+C320</f>
        <v>0</v>
      </c>
      <c r="E320" s="39">
        <f t="shared" si="452"/>
        <v>0</v>
      </c>
      <c r="F320" s="39">
        <f t="shared" si="452"/>
        <v>0</v>
      </c>
      <c r="G320" s="39">
        <f t="shared" si="452"/>
        <v>0</v>
      </c>
      <c r="H320" s="39">
        <f t="shared" si="452"/>
        <v>0</v>
      </c>
      <c r="I320" s="39">
        <f t="shared" si="452"/>
        <v>0</v>
      </c>
      <c r="J320" s="39">
        <f t="shared" si="452"/>
        <v>0</v>
      </c>
      <c r="K320" s="39">
        <f t="shared" si="452"/>
        <v>0</v>
      </c>
      <c r="L320" s="39">
        <f t="shared" si="452"/>
        <v>0</v>
      </c>
      <c r="M320" s="39">
        <f t="shared" si="452"/>
        <v>0</v>
      </c>
      <c r="N320" s="39">
        <f t="shared" si="452"/>
        <v>0</v>
      </c>
      <c r="O320" s="39">
        <f t="shared" ref="O320" si="453">+O312+N320</f>
        <v>0</v>
      </c>
      <c r="P320" s="39">
        <f t="shared" ref="P320" si="454">+P312+O320</f>
        <v>0</v>
      </c>
      <c r="Q320" s="39">
        <f t="shared" ref="Q320" si="455">+Q312+P320</f>
        <v>0</v>
      </c>
      <c r="R320" s="39"/>
    </row>
    <row r="321" spans="1:19" x14ac:dyDescent="0.25">
      <c r="A321" s="166"/>
      <c r="B321" s="156" t="s">
        <v>285</v>
      </c>
      <c r="C321" s="151"/>
      <c r="D321" s="158">
        <f>+D320+D319</f>
        <v>0</v>
      </c>
      <c r="E321" s="158">
        <f t="shared" ref="E321:N321" si="456">+E320+E319</f>
        <v>0</v>
      </c>
      <c r="F321" s="158">
        <f t="shared" si="456"/>
        <v>0</v>
      </c>
      <c r="G321" s="158">
        <f t="shared" si="456"/>
        <v>0</v>
      </c>
      <c r="H321" s="158">
        <f t="shared" si="456"/>
        <v>0</v>
      </c>
      <c r="I321" s="158">
        <f t="shared" si="456"/>
        <v>0</v>
      </c>
      <c r="J321" s="158">
        <f t="shared" si="456"/>
        <v>0</v>
      </c>
      <c r="K321" s="158">
        <f t="shared" si="456"/>
        <v>0</v>
      </c>
      <c r="L321" s="158">
        <f t="shared" si="456"/>
        <v>0</v>
      </c>
      <c r="M321" s="158">
        <f t="shared" si="456"/>
        <v>0</v>
      </c>
      <c r="N321" s="158">
        <f t="shared" si="456"/>
        <v>0</v>
      </c>
      <c r="O321" s="158">
        <f t="shared" ref="O321:Q321" si="457">+O320+O319</f>
        <v>0</v>
      </c>
      <c r="P321" s="158">
        <f t="shared" si="457"/>
        <v>0</v>
      </c>
      <c r="Q321" s="158">
        <f t="shared" si="457"/>
        <v>0</v>
      </c>
      <c r="R321" s="158"/>
    </row>
    <row r="322" spans="1:19" ht="16.5" thickBot="1" x14ac:dyDescent="0.3">
      <c r="A322" s="166"/>
      <c r="B322" s="156" t="s">
        <v>244</v>
      </c>
      <c r="C322" s="151"/>
      <c r="D322" s="158">
        <f t="shared" ref="D322:N322" si="458">+D307*D321</f>
        <v>0</v>
      </c>
      <c r="E322" s="158">
        <f t="shared" si="458"/>
        <v>0</v>
      </c>
      <c r="F322" s="158">
        <f t="shared" si="458"/>
        <v>0</v>
      </c>
      <c r="G322" s="158">
        <f t="shared" si="458"/>
        <v>0</v>
      </c>
      <c r="H322" s="158">
        <f t="shared" si="458"/>
        <v>0</v>
      </c>
      <c r="I322" s="158">
        <f t="shared" si="458"/>
        <v>0</v>
      </c>
      <c r="J322" s="158">
        <f t="shared" si="458"/>
        <v>0</v>
      </c>
      <c r="K322" s="158">
        <f t="shared" si="458"/>
        <v>0</v>
      </c>
      <c r="L322" s="158">
        <f t="shared" si="458"/>
        <v>0</v>
      </c>
      <c r="M322" s="158">
        <f t="shared" si="458"/>
        <v>0</v>
      </c>
      <c r="N322" s="158">
        <f t="shared" si="458"/>
        <v>0</v>
      </c>
      <c r="O322" s="158">
        <f t="shared" ref="O322:Q322" si="459">+O307*O321</f>
        <v>0</v>
      </c>
      <c r="P322" s="158">
        <f t="shared" si="459"/>
        <v>0</v>
      </c>
      <c r="Q322" s="158">
        <f t="shared" si="459"/>
        <v>0</v>
      </c>
      <c r="R322" s="158"/>
      <c r="S322">
        <f>IF($B$306="ADB","A7",7)</f>
        <v>7</v>
      </c>
    </row>
    <row r="323" spans="1:19" s="174" customFormat="1" ht="16.5" thickBot="1" x14ac:dyDescent="0.3">
      <c r="A323" s="290">
        <f>SUM(D323:Q323)</f>
        <v>0</v>
      </c>
      <c r="B323" s="291" t="s">
        <v>213</v>
      </c>
      <c r="C323" s="292"/>
      <c r="D323" s="293">
        <f>D314-D315</f>
        <v>0</v>
      </c>
      <c r="E323" s="293">
        <f>E314-E315</f>
        <v>0</v>
      </c>
      <c r="F323" s="293">
        <f>F314-F315</f>
        <v>0</v>
      </c>
      <c r="G323" s="293">
        <f t="shared" ref="G323:N323" si="460">G314-G315</f>
        <v>0</v>
      </c>
      <c r="H323" s="293">
        <f t="shared" si="460"/>
        <v>0</v>
      </c>
      <c r="I323" s="293">
        <f t="shared" si="460"/>
        <v>0</v>
      </c>
      <c r="J323" s="293">
        <f t="shared" si="460"/>
        <v>0</v>
      </c>
      <c r="K323" s="293">
        <f t="shared" si="460"/>
        <v>0</v>
      </c>
      <c r="L323" s="293">
        <f t="shared" si="460"/>
        <v>0</v>
      </c>
      <c r="M323" s="293">
        <f t="shared" si="460"/>
        <v>0</v>
      </c>
      <c r="N323" s="293">
        <f t="shared" si="460"/>
        <v>0</v>
      </c>
      <c r="O323" s="293">
        <f t="shared" ref="O323:Q323" si="461">O314-O315</f>
        <v>0</v>
      </c>
      <c r="P323" s="293">
        <f t="shared" si="461"/>
        <v>0</v>
      </c>
      <c r="Q323" s="293">
        <f t="shared" si="461"/>
        <v>0</v>
      </c>
      <c r="R323" s="694"/>
      <c r="S323" s="174">
        <f>IF($B$86="ADB","A8",8)</f>
        <v>8</v>
      </c>
    </row>
    <row r="324" spans="1:19" x14ac:dyDescent="0.25">
      <c r="A324" s="39">
        <f>SUM(D324:Q324)</f>
        <v>0</v>
      </c>
      <c r="B324" s="168" t="s">
        <v>282</v>
      </c>
      <c r="C324" s="166"/>
      <c r="D324" s="166"/>
      <c r="E324" s="166"/>
      <c r="F324" s="166">
        <f>IF(F321&lt;E321,+F321*(E307-F307),0)</f>
        <v>0</v>
      </c>
      <c r="G324" s="166">
        <f>IF(G321&lt;F321,+G321*(F307-G307),0)</f>
        <v>0</v>
      </c>
      <c r="H324" s="166">
        <f t="shared" ref="H324:M324" si="462">IF(H321&lt;G321,+H321*(G307-H307),0)</f>
        <v>0</v>
      </c>
      <c r="I324" s="166">
        <f t="shared" si="462"/>
        <v>0</v>
      </c>
      <c r="J324" s="166">
        <f t="shared" si="462"/>
        <v>0</v>
      </c>
      <c r="K324" s="166">
        <f t="shared" si="462"/>
        <v>0</v>
      </c>
      <c r="L324" s="166">
        <f t="shared" si="462"/>
        <v>0</v>
      </c>
      <c r="M324" s="166">
        <f t="shared" si="462"/>
        <v>0</v>
      </c>
      <c r="N324" s="166">
        <f>+N321*(M307-N307)</f>
        <v>0</v>
      </c>
      <c r="O324" s="166">
        <f t="shared" ref="O324:Q324" si="463">+O321*(N307-O307)</f>
        <v>0</v>
      </c>
      <c r="P324" s="166">
        <f t="shared" si="463"/>
        <v>0</v>
      </c>
      <c r="Q324" s="166">
        <f t="shared" si="463"/>
        <v>0</v>
      </c>
      <c r="R324" s="166"/>
      <c r="S324">
        <f>IF($B$306="ADB","A9",9)</f>
        <v>9</v>
      </c>
    </row>
    <row r="325" spans="1:19" x14ac:dyDescent="0.25">
      <c r="A325" s="39">
        <f>SUM(D325:Q325)</f>
        <v>0</v>
      </c>
      <c r="B325" s="168" t="s">
        <v>283</v>
      </c>
      <c r="C325" s="166"/>
      <c r="D325" s="166"/>
      <c r="E325" s="166"/>
      <c r="F325" s="166">
        <f t="shared" ref="F325:N325" si="464">+F312*(F307-E307)</f>
        <v>0</v>
      </c>
      <c r="G325" s="166">
        <f t="shared" si="464"/>
        <v>0</v>
      </c>
      <c r="H325" s="166">
        <f t="shared" si="464"/>
        <v>0</v>
      </c>
      <c r="I325" s="166">
        <f t="shared" si="464"/>
        <v>0</v>
      </c>
      <c r="J325" s="166">
        <f t="shared" si="464"/>
        <v>0</v>
      </c>
      <c r="K325" s="166">
        <f t="shared" si="464"/>
        <v>0</v>
      </c>
      <c r="L325" s="166">
        <f t="shared" si="464"/>
        <v>0</v>
      </c>
      <c r="M325" s="166">
        <f t="shared" si="464"/>
        <v>0</v>
      </c>
      <c r="N325" s="166">
        <f t="shared" si="464"/>
        <v>0</v>
      </c>
      <c r="O325" s="166">
        <f t="shared" ref="O325" si="465">+O312*(O307-N307)</f>
        <v>0</v>
      </c>
      <c r="P325" s="166">
        <f t="shared" ref="P325" si="466">+P312*(P307-O307)</f>
        <v>0</v>
      </c>
      <c r="Q325" s="166">
        <f t="shared" ref="Q325" si="467">+Q312*(Q307-P307)</f>
        <v>0</v>
      </c>
      <c r="R325" s="166"/>
      <c r="S325">
        <f>IF($B$306="ADB","A10",10)</f>
        <v>10</v>
      </c>
    </row>
    <row r="326" spans="1:19" x14ac:dyDescent="0.25">
      <c r="A326" s="39">
        <f>SUM(D326:Q326)</f>
        <v>0</v>
      </c>
      <c r="B326" s="170" t="s">
        <v>284</v>
      </c>
      <c r="C326" s="171"/>
      <c r="D326" s="171"/>
      <c r="E326" s="171"/>
      <c r="F326" s="171">
        <f>+F325+F324</f>
        <v>0</v>
      </c>
      <c r="G326" s="171">
        <f t="shared" ref="G326:N326" si="468">+G325+G324</f>
        <v>0</v>
      </c>
      <c r="H326" s="171">
        <f t="shared" si="468"/>
        <v>0</v>
      </c>
      <c r="I326" s="171">
        <f t="shared" si="468"/>
        <v>0</v>
      </c>
      <c r="J326" s="171">
        <f t="shared" si="468"/>
        <v>0</v>
      </c>
      <c r="K326" s="171">
        <f t="shared" si="468"/>
        <v>0</v>
      </c>
      <c r="L326" s="171">
        <f t="shared" si="468"/>
        <v>0</v>
      </c>
      <c r="M326" s="171">
        <f t="shared" si="468"/>
        <v>0</v>
      </c>
      <c r="N326" s="171">
        <f t="shared" si="468"/>
        <v>0</v>
      </c>
      <c r="O326" s="171">
        <f t="shared" ref="O326:Q326" si="469">+O325+O324</f>
        <v>0</v>
      </c>
      <c r="P326" s="171">
        <f t="shared" si="469"/>
        <v>0</v>
      </c>
      <c r="Q326" s="171">
        <f t="shared" si="469"/>
        <v>0</v>
      </c>
      <c r="R326" s="166"/>
    </row>
  </sheetData>
  <mergeCells count="2">
    <mergeCell ref="B2:N2"/>
    <mergeCell ref="B23:N23"/>
  </mergeCells>
  <phoneticPr fontId="73" type="noConversion"/>
  <conditionalFormatting sqref="A12 A33 A53 A75">
    <cfRule type="cellIs" dxfId="25" priority="31" operator="equal">
      <formula>0</formula>
    </cfRule>
    <cfRule type="containsText" dxfId="24" priority="32" operator="containsText" text="0">
      <formula>NOT(ISERROR(SEARCH("0",A12)))</formula>
    </cfRule>
  </conditionalFormatting>
  <conditionalFormatting sqref="A97">
    <cfRule type="cellIs" dxfId="23" priority="29" operator="equal">
      <formula>0</formula>
    </cfRule>
    <cfRule type="containsText" dxfId="22" priority="30" operator="containsText" text="0">
      <formula>NOT(ISERROR(SEARCH("0",A97)))</formula>
    </cfRule>
  </conditionalFormatting>
  <conditionalFormatting sqref="A119">
    <cfRule type="cellIs" dxfId="21" priority="27" operator="equal">
      <formula>0</formula>
    </cfRule>
    <cfRule type="containsText" dxfId="20" priority="28" operator="containsText" text="0">
      <formula>NOT(ISERROR(SEARCH("0",A119)))</formula>
    </cfRule>
  </conditionalFormatting>
  <conditionalFormatting sqref="A141">
    <cfRule type="cellIs" dxfId="19" priority="25" operator="equal">
      <formula>0</formula>
    </cfRule>
    <cfRule type="containsText" dxfId="18" priority="26" operator="containsText" text="0">
      <formula>NOT(ISERROR(SEARCH("0",A141)))</formula>
    </cfRule>
  </conditionalFormatting>
  <conditionalFormatting sqref="A163">
    <cfRule type="cellIs" dxfId="17" priority="23" operator="equal">
      <formula>0</formula>
    </cfRule>
    <cfRule type="containsText" dxfId="16" priority="24" operator="containsText" text="0">
      <formula>NOT(ISERROR(SEARCH("0",A163)))</formula>
    </cfRule>
  </conditionalFormatting>
  <conditionalFormatting sqref="A185">
    <cfRule type="cellIs" dxfId="15" priority="21" operator="equal">
      <formula>0</formula>
    </cfRule>
    <cfRule type="containsText" dxfId="14" priority="22" operator="containsText" text="0">
      <formula>NOT(ISERROR(SEARCH("0",A185)))</formula>
    </cfRule>
  </conditionalFormatting>
  <conditionalFormatting sqref="A207">
    <cfRule type="cellIs" dxfId="13" priority="19" operator="equal">
      <formula>0</formula>
    </cfRule>
    <cfRule type="containsText" dxfId="12" priority="20" operator="containsText" text="0">
      <formula>NOT(ISERROR(SEARCH("0",A207)))</formula>
    </cfRule>
  </conditionalFormatting>
  <conditionalFormatting sqref="A229">
    <cfRule type="cellIs" dxfId="11" priority="17" operator="equal">
      <formula>0</formula>
    </cfRule>
    <cfRule type="containsText" dxfId="10" priority="18" operator="containsText" text="0">
      <formula>NOT(ISERROR(SEARCH("0",A229)))</formula>
    </cfRule>
  </conditionalFormatting>
  <conditionalFormatting sqref="A251">
    <cfRule type="cellIs" dxfId="9" priority="15" operator="equal">
      <formula>0</formula>
    </cfRule>
    <cfRule type="containsText" dxfId="8" priority="16" operator="containsText" text="0">
      <formula>NOT(ISERROR(SEARCH("0",A251)))</formula>
    </cfRule>
  </conditionalFormatting>
  <conditionalFormatting sqref="A273">
    <cfRule type="cellIs" dxfId="7" priority="13" operator="equal">
      <formula>0</formula>
    </cfRule>
    <cfRule type="containsText" dxfId="6" priority="14" operator="containsText" text="0">
      <formula>NOT(ISERROR(SEARCH("0",A273)))</formula>
    </cfRule>
  </conditionalFormatting>
  <conditionalFormatting sqref="A295">
    <cfRule type="cellIs" dxfId="5" priority="11" operator="equal">
      <formula>0</formula>
    </cfRule>
    <cfRule type="containsText" dxfId="4" priority="12" operator="containsText" text="0">
      <formula>NOT(ISERROR(SEARCH("0",A295)))</formula>
    </cfRule>
  </conditionalFormatting>
  <conditionalFormatting sqref="A317">
    <cfRule type="cellIs" dxfId="3" priority="9" operator="equal">
      <formula>0</formula>
    </cfRule>
    <cfRule type="containsText" dxfId="2" priority="10" operator="containsText" text="0">
      <formula>NOT(ISERROR(SEARCH("0",A317)))</formula>
    </cfRule>
  </conditionalFormatting>
  <printOptions headings="1"/>
  <pageMargins left="0.7" right="0.7" top="0.75" bottom="0.75" header="0.3" footer="0.3"/>
  <pageSetup paperSize="5" scale="56" orientation="portrait" r:id="rId1"/>
  <rowBreaks count="3" manualBreakCount="3">
    <brk id="63" max="16383" man="1"/>
    <brk id="151" max="16383" man="1"/>
    <brk id="239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Q16"/>
  <sheetViews>
    <sheetView workbookViewId="0"/>
  </sheetViews>
  <sheetFormatPr defaultRowHeight="15.75" x14ac:dyDescent="0.25"/>
  <cols>
    <col min="1" max="1" width="12.5" customWidth="1"/>
    <col min="2" max="2" width="2.375" customWidth="1"/>
    <col min="3" max="3" width="2.5" customWidth="1"/>
  </cols>
  <sheetData>
    <row r="2" spans="1:17" ht="18.75" x14ac:dyDescent="0.3">
      <c r="A2" s="126" t="s">
        <v>235</v>
      </c>
    </row>
    <row r="3" spans="1:17" ht="30.75" customHeight="1" x14ac:dyDescent="0.25">
      <c r="A3" s="387" t="s">
        <v>509</v>
      </c>
      <c r="B3" s="127">
        <v>2007</v>
      </c>
      <c r="C3" s="127">
        <v>2008</v>
      </c>
      <c r="D3" s="128">
        <f>+PL!D2</f>
        <v>2009</v>
      </c>
      <c r="E3" s="128">
        <f>+PL!E2</f>
        <v>2010</v>
      </c>
      <c r="F3" s="128">
        <f>+PL!F2</f>
        <v>2011</v>
      </c>
      <c r="G3" s="128">
        <f>+PL!G2</f>
        <v>2012</v>
      </c>
      <c r="H3" s="128">
        <f>+PL!H2</f>
        <v>2013</v>
      </c>
      <c r="I3" s="128">
        <f>+PL!I2</f>
        <v>2014</v>
      </c>
      <c r="J3" s="128">
        <f>+PL!J2</f>
        <v>2015</v>
      </c>
      <c r="K3" s="128">
        <f>+PL!K2</f>
        <v>2016</v>
      </c>
      <c r="L3" s="128">
        <f>+PL!L2</f>
        <v>2017</v>
      </c>
      <c r="M3" s="128">
        <f>+PL!M2</f>
        <v>2018</v>
      </c>
      <c r="N3" s="128">
        <f>+PL!N2</f>
        <v>2019</v>
      </c>
      <c r="O3" s="128">
        <f>+PL!O2</f>
        <v>2020</v>
      </c>
      <c r="P3" s="128">
        <f>+PL!P2</f>
        <v>2021</v>
      </c>
      <c r="Q3" s="128">
        <f>+PL!Q2</f>
        <v>2022</v>
      </c>
    </row>
    <row r="4" spans="1:17" ht="18" customHeight="1" x14ac:dyDescent="0.25">
      <c r="A4" s="129" t="s">
        <v>230</v>
      </c>
      <c r="B4" s="127"/>
      <c r="C4" s="127"/>
      <c r="D4" s="130">
        <v>14907.595739840001</v>
      </c>
      <c r="E4" s="130">
        <v>17889</v>
      </c>
      <c r="F4" s="130">
        <v>15714.750000000002</v>
      </c>
      <c r="G4" s="130">
        <f>-+cogs!H8-+cogs!H9</f>
        <v>23185</v>
      </c>
      <c r="H4" s="130">
        <f>-+cogs!I8-+cogs!I9</f>
        <v>28286</v>
      </c>
      <c r="I4" s="130">
        <f>-+cogs!J8-+cogs!J9</f>
        <v>34509</v>
      </c>
      <c r="J4" s="130">
        <f>-+cogs!K8-+cogs!K9</f>
        <v>42101</v>
      </c>
      <c r="K4" s="130">
        <f>-+cogs!L8-+cogs!L9</f>
        <v>51364</v>
      </c>
      <c r="L4" s="130">
        <f>-+cogs!M8-+cogs!M9</f>
        <v>62664</v>
      </c>
      <c r="M4" s="130">
        <f>-+cogs!N8-+cogs!N9</f>
        <v>76450</v>
      </c>
      <c r="N4" s="130">
        <f>-+cogs!O8-+cogs!O9</f>
        <v>93269</v>
      </c>
      <c r="O4" s="130">
        <f>-+cogs!P8-+cogs!P9</f>
        <v>113788</v>
      </c>
      <c r="P4" s="130">
        <f>-+cogs!Q8-+cogs!Q9</f>
        <v>138821</v>
      </c>
      <c r="Q4" s="130">
        <f>-+cogs!R8-+cogs!R9</f>
        <v>169363</v>
      </c>
    </row>
    <row r="5" spans="1:17" ht="18" customHeight="1" x14ac:dyDescent="0.25">
      <c r="A5" s="129" t="s">
        <v>231</v>
      </c>
      <c r="B5" s="127"/>
      <c r="C5" s="127"/>
      <c r="D5" s="130">
        <v>106</v>
      </c>
      <c r="E5" s="130">
        <v>118</v>
      </c>
      <c r="F5" s="130">
        <v>154</v>
      </c>
      <c r="G5" s="130">
        <f>+'operating expenses'!G38+'operating expenses'!G39</f>
        <v>365</v>
      </c>
      <c r="H5" s="130">
        <f>+'operating expenses'!H38+'operating expenses'!H39</f>
        <v>441.44</v>
      </c>
      <c r="I5" s="130">
        <f>+'operating expenses'!I38+'operating expenses'!I39</f>
        <v>538.16</v>
      </c>
      <c r="J5" s="130">
        <f>+'operating expenses'!J38+'operating expenses'!J39</f>
        <v>655.96</v>
      </c>
      <c r="K5" s="130">
        <f>+'operating expenses'!K38+'operating expenses'!K39</f>
        <v>799.8</v>
      </c>
      <c r="L5" s="130">
        <f>+'operating expenses'!L38+'operating expenses'!L39</f>
        <v>975.88</v>
      </c>
      <c r="M5" s="130">
        <f>+'operating expenses'!M38+'operating expenses'!M39</f>
        <v>1190.4000000000001</v>
      </c>
      <c r="N5" s="130">
        <f>+'operating expenses'!N38+'operating expenses'!N39</f>
        <v>1452.04</v>
      </c>
      <c r="O5" s="130">
        <f>+'operating expenses'!O38+'operating expenses'!O39</f>
        <v>1771.96</v>
      </c>
      <c r="P5" s="130">
        <f>+'operating expenses'!P38+'operating expenses'!P39</f>
        <v>2161.3200000000002</v>
      </c>
      <c r="Q5" s="130">
        <f>+'operating expenses'!Q38+'operating expenses'!Q39</f>
        <v>2636.24</v>
      </c>
    </row>
    <row r="6" spans="1:17" ht="18" customHeight="1" x14ac:dyDescent="0.25">
      <c r="A6" s="129" t="s">
        <v>232</v>
      </c>
      <c r="B6" s="127"/>
      <c r="C6" s="127"/>
      <c r="D6" s="130">
        <v>1166</v>
      </c>
      <c r="E6" s="130">
        <v>1121</v>
      </c>
      <c r="F6" s="130">
        <v>2013</v>
      </c>
      <c r="G6" s="130">
        <f>+'operating expenses'!G11+'operating expenses'!G12</f>
        <v>2821</v>
      </c>
      <c r="H6" s="130">
        <f>+'operating expenses'!H11+'operating expenses'!H12</f>
        <v>3653.04</v>
      </c>
      <c r="I6" s="130">
        <f>+'operating expenses'!I11+'operating expenses'!I12</f>
        <v>4456.5599999999995</v>
      </c>
      <c r="J6" s="130">
        <f>+'operating expenses'!J11+'operating expenses'!J12</f>
        <v>5437.4</v>
      </c>
      <c r="K6" s="130">
        <f>+'operating expenses'!K11+'operating expenses'!K12</f>
        <v>6634</v>
      </c>
      <c r="L6" s="130">
        <f>+'operating expenses'!L11+'operating expenses'!L12</f>
        <v>8093.48</v>
      </c>
      <c r="M6" s="130">
        <f>+'operating expenses'!M11+'operating expenses'!M12</f>
        <v>9874.119999999999</v>
      </c>
      <c r="N6" s="130">
        <f>+'operating expenses'!N11+'operating expenses'!N12</f>
        <v>12046.6</v>
      </c>
      <c r="O6" s="130">
        <f>+'operating expenses'!O11+'operating expenses'!O12</f>
        <v>14696.48</v>
      </c>
      <c r="P6" s="130">
        <f>+'operating expenses'!P11+'operating expenses'!P12</f>
        <v>17929.16</v>
      </c>
      <c r="Q6" s="130">
        <f>+'operating expenses'!Q11+'operating expenses'!Q12</f>
        <v>21873.599999999999</v>
      </c>
    </row>
    <row r="7" spans="1:17" ht="18" customHeight="1" x14ac:dyDescent="0.25">
      <c r="A7" s="129" t="s">
        <v>71</v>
      </c>
      <c r="B7" s="127"/>
      <c r="C7" s="127"/>
      <c r="D7" s="130">
        <v>138</v>
      </c>
      <c r="E7" s="130">
        <v>161</v>
      </c>
      <c r="F7" s="130">
        <v>226</v>
      </c>
      <c r="G7" s="130">
        <f>+'operating expenses'!G49</f>
        <v>267</v>
      </c>
      <c r="H7" s="130">
        <f>+'operating expenses'!H49</f>
        <v>326</v>
      </c>
      <c r="I7" s="130">
        <f>+'operating expenses'!I49</f>
        <v>398</v>
      </c>
      <c r="J7" s="130">
        <f>+'operating expenses'!J49</f>
        <v>486</v>
      </c>
      <c r="K7" s="130">
        <f>+'operating expenses'!K49</f>
        <v>593</v>
      </c>
      <c r="L7" s="130">
        <f>+'operating expenses'!L49</f>
        <v>723</v>
      </c>
      <c r="M7" s="130">
        <f>+'operating expenses'!M49</f>
        <v>882</v>
      </c>
      <c r="N7" s="130">
        <f>+'operating expenses'!N49</f>
        <v>1076</v>
      </c>
      <c r="O7" s="130">
        <f>+'operating expenses'!O49</f>
        <v>1313</v>
      </c>
      <c r="P7" s="130">
        <f>+'operating expenses'!P49</f>
        <v>1602</v>
      </c>
      <c r="Q7" s="130">
        <f>+'operating expenses'!Q49</f>
        <v>1954</v>
      </c>
    </row>
    <row r="8" spans="1:17" ht="18" customHeight="1" x14ac:dyDescent="0.25">
      <c r="A8" s="131" t="s">
        <v>114</v>
      </c>
      <c r="B8" s="131"/>
      <c r="C8" s="131"/>
      <c r="D8" s="132">
        <f t="shared" ref="D8:N8" si="0">SUM(D4:D7)</f>
        <v>16317.595739840001</v>
      </c>
      <c r="E8" s="132">
        <f t="shared" si="0"/>
        <v>19289</v>
      </c>
      <c r="F8" s="132">
        <f t="shared" si="0"/>
        <v>18107.75</v>
      </c>
      <c r="G8" s="132">
        <f t="shared" si="0"/>
        <v>26638</v>
      </c>
      <c r="H8" s="132">
        <f t="shared" si="0"/>
        <v>32706.48</v>
      </c>
      <c r="I8" s="132">
        <f t="shared" si="0"/>
        <v>39901.72</v>
      </c>
      <c r="J8" s="132">
        <f t="shared" si="0"/>
        <v>48680.36</v>
      </c>
      <c r="K8" s="132">
        <f t="shared" si="0"/>
        <v>59390.8</v>
      </c>
      <c r="L8" s="132">
        <f t="shared" si="0"/>
        <v>72456.36</v>
      </c>
      <c r="M8" s="132">
        <f t="shared" si="0"/>
        <v>88396.51999999999</v>
      </c>
      <c r="N8" s="132">
        <f t="shared" si="0"/>
        <v>107843.64</v>
      </c>
      <c r="O8" s="132">
        <f t="shared" ref="O8:Q8" si="1">SUM(O4:O7)</f>
        <v>131569.44</v>
      </c>
      <c r="P8" s="132">
        <f t="shared" si="1"/>
        <v>160513.48000000001</v>
      </c>
      <c r="Q8" s="132">
        <f t="shared" si="1"/>
        <v>195826.84</v>
      </c>
    </row>
    <row r="9" spans="1:17" x14ac:dyDescent="0.25">
      <c r="A9" s="133" t="s">
        <v>233</v>
      </c>
      <c r="B9" s="133"/>
      <c r="C9" s="133"/>
      <c r="D9" s="134">
        <f>+D8/PL!D6</f>
        <v>0.21981000525143127</v>
      </c>
      <c r="E9" s="134">
        <f>+E8/PL!E6</f>
        <v>0.11007190139237617</v>
      </c>
      <c r="F9" s="134">
        <f>+F8/PL!F6</f>
        <v>0.10921902613499967</v>
      </c>
      <c r="G9" s="134">
        <f ca="1">+G8/PL!G6</f>
        <v>0.14468339599284563</v>
      </c>
      <c r="H9" s="134">
        <f ca="1">+H8/PL!H6</f>
        <v>0.1521688418383349</v>
      </c>
      <c r="I9" s="134">
        <f ca="1">+I8/PL!I6</f>
        <v>0.13916610827493001</v>
      </c>
      <c r="J9" s="134">
        <f ca="1">+J8/PL!J6</f>
        <v>0.13309296972336968</v>
      </c>
      <c r="K9" s="134">
        <f ca="1">+K8/PL!K6</f>
        <v>0.14335770369641324</v>
      </c>
      <c r="L9" s="134">
        <f ca="1">+L8/PL!L6</f>
        <v>0.15428311629943814</v>
      </c>
      <c r="M9" s="134">
        <f ca="1">+M8/PL!M6</f>
        <v>0.16600968751082842</v>
      </c>
      <c r="N9" s="134">
        <f ca="1">+N8/PL!N6</f>
        <v>0.17857024699883015</v>
      </c>
      <c r="O9" s="134">
        <f ca="1">+O8/PL!O6</f>
        <v>0.19197545952427367</v>
      </c>
      <c r="P9" s="134">
        <f ca="1">+P8/PL!P6</f>
        <v>0.2063917069663703</v>
      </c>
      <c r="Q9" s="134">
        <f ca="1">+Q8/PL!Q6</f>
        <v>0.22162646063643593</v>
      </c>
    </row>
    <row r="10" spans="1:17" x14ac:dyDescent="0.25">
      <c r="A10" s="133" t="s">
        <v>234</v>
      </c>
      <c r="B10" s="133"/>
      <c r="C10" s="133"/>
      <c r="D10" s="134">
        <f>+D8/PL!D26</f>
        <v>4.7038327298472185</v>
      </c>
      <c r="E10" s="134">
        <f>+E8/PL!E26</f>
        <v>1.2238436805646951</v>
      </c>
      <c r="F10" s="134">
        <f>+F8/PL!F26</f>
        <v>1.4218152284064673</v>
      </c>
      <c r="G10" s="134">
        <f ca="1">+G8/PL!G26</f>
        <v>1.6439335838095541</v>
      </c>
      <c r="H10" s="134">
        <f ca="1">+H8/PL!H26</f>
        <v>2.3107614618000683</v>
      </c>
      <c r="I10" s="134">
        <f ca="1">+I8/PL!I26</f>
        <v>1.6829348822477699</v>
      </c>
      <c r="J10" s="134">
        <f ca="1">+J8/PL!J26</f>
        <v>1.2438693546385287</v>
      </c>
      <c r="K10" s="134">
        <f ca="1">+K8/PL!K26</f>
        <v>1.3196882064748043</v>
      </c>
      <c r="L10" s="134">
        <f ca="1">+L8/PL!L26</f>
        <v>1.4109814813969574</v>
      </c>
      <c r="M10" s="134">
        <f ca="1">+M8/PL!M26</f>
        <v>1.5265513048071448</v>
      </c>
      <c r="N10" s="134">
        <f ca="1">+N8/PL!N26</f>
        <v>1.6697005676639964</v>
      </c>
      <c r="O10" s="134">
        <f ca="1">+O8/PL!O26</f>
        <v>1.8236674444008489</v>
      </c>
      <c r="P10" s="134">
        <f ca="1">+P8/PL!P26</f>
        <v>2.0059049493259087</v>
      </c>
      <c r="Q10" s="134">
        <f ca="1">+Q8/PL!Q26</f>
        <v>2.2682222914453165</v>
      </c>
    </row>
    <row r="11" spans="1:17" x14ac:dyDescent="0.25">
      <c r="A11" s="26"/>
    </row>
    <row r="14" spans="1:17" x14ac:dyDescent="0.25">
      <c r="A14" t="s">
        <v>744</v>
      </c>
      <c r="B14">
        <v>2980</v>
      </c>
      <c r="C14">
        <v>2989</v>
      </c>
      <c r="D14">
        <v>2939</v>
      </c>
      <c r="E14">
        <v>2986</v>
      </c>
      <c r="F14">
        <v>2881</v>
      </c>
      <c r="G14">
        <v>2966</v>
      </c>
      <c r="H14">
        <v>2960</v>
      </c>
      <c r="I14">
        <v>2960</v>
      </c>
      <c r="J14">
        <v>2960</v>
      </c>
      <c r="K14">
        <v>2960</v>
      </c>
      <c r="L14">
        <v>2960</v>
      </c>
      <c r="M14">
        <v>2960</v>
      </c>
      <c r="N14">
        <v>2960</v>
      </c>
      <c r="O14">
        <v>2960</v>
      </c>
      <c r="P14">
        <v>2960</v>
      </c>
      <c r="Q14">
        <v>2960</v>
      </c>
    </row>
    <row r="15" spans="1:17" x14ac:dyDescent="0.25">
      <c r="A15" t="s">
        <v>745</v>
      </c>
      <c r="B15" s="1">
        <f>PL!B20</f>
        <v>3880</v>
      </c>
      <c r="C15" s="1">
        <f>PL!C20</f>
        <v>41026.016000000003</v>
      </c>
      <c r="D15" s="1">
        <f>PL!D20</f>
        <v>4962</v>
      </c>
      <c r="E15" s="1">
        <f>PL!E20</f>
        <v>17488.019796232016</v>
      </c>
      <c r="F15" s="1">
        <f>PL!F20</f>
        <v>14599.244999999999</v>
      </c>
      <c r="G15" s="1">
        <f ca="1">PL!G20</f>
        <v>18602.817637371139</v>
      </c>
      <c r="H15" s="1">
        <f ca="1">PL!H20</f>
        <v>16773.168671911277</v>
      </c>
      <c r="I15" s="1">
        <f ca="1">PL!I20</f>
        <v>31251.445628243382</v>
      </c>
      <c r="J15" s="1">
        <f ca="1">PL!J20</f>
        <v>48408.69585875723</v>
      </c>
      <c r="K15" s="1">
        <f ca="1">PL!K20</f>
        <v>54422.1240623876</v>
      </c>
      <c r="L15" s="1">
        <f ca="1">PL!L20</f>
        <v>60970.207696552105</v>
      </c>
      <c r="M15" s="1">
        <f ca="1">PL!M20</f>
        <v>67724.489867077165</v>
      </c>
      <c r="N15" s="1">
        <f ca="1">PL!N20</f>
        <v>74607.074299694621</v>
      </c>
      <c r="O15" s="1">
        <f ca="1">PL!O20</f>
        <v>81553.985717666597</v>
      </c>
      <c r="P15" s="1">
        <f ca="1">PL!P20</f>
        <v>87893.945125689439</v>
      </c>
      <c r="Q15" s="1">
        <f ca="1">PL!Q20</f>
        <v>94208.405581004874</v>
      </c>
    </row>
    <row r="16" spans="1:17" x14ac:dyDescent="0.25">
      <c r="B16" s="100">
        <f>B15/B14</f>
        <v>1.3020134228187918</v>
      </c>
      <c r="C16" s="100">
        <f t="shared" ref="C16:F16" si="2">C15/C14</f>
        <v>13.725666109066578</v>
      </c>
      <c r="D16" s="100">
        <f t="shared" si="2"/>
        <v>1.6883293637291596</v>
      </c>
      <c r="E16" s="100">
        <f t="shared" si="2"/>
        <v>5.8566710637079762</v>
      </c>
      <c r="F16" s="100">
        <f t="shared" si="2"/>
        <v>5.0674227698715724</v>
      </c>
      <c r="G16" s="100">
        <f t="shared" ref="G16" ca="1" si="3">G15/G14</f>
        <v>6.2720221299295815</v>
      </c>
      <c r="H16" s="100">
        <f t="shared" ref="H16" ca="1" si="4">H15/H14</f>
        <v>5.666611037807864</v>
      </c>
      <c r="I16" s="100">
        <f t="shared" ref="I16:J16" ca="1" si="5">I15/I14</f>
        <v>10.557920820352495</v>
      </c>
      <c r="J16" s="100">
        <f t="shared" ca="1" si="5"/>
        <v>16.354289141472037</v>
      </c>
      <c r="K16" s="100">
        <f t="shared" ref="K16" ca="1" si="6">K15/K14</f>
        <v>18.385852723779596</v>
      </c>
      <c r="L16" s="100">
        <f t="shared" ref="L16" ca="1" si="7">L15/L14</f>
        <v>20.598043140727061</v>
      </c>
      <c r="M16" s="100">
        <f t="shared" ref="M16:N16" ca="1" si="8">M15/M14</f>
        <v>22.879895225363907</v>
      </c>
      <c r="N16" s="100">
        <f t="shared" ca="1" si="8"/>
        <v>25.205092668815752</v>
      </c>
      <c r="O16" s="100">
        <f t="shared" ref="O16" ca="1" si="9">O15/O14</f>
        <v>27.55202220191439</v>
      </c>
      <c r="P16" s="100">
        <f t="shared" ref="P16" ca="1" si="10">P15/P14</f>
        <v>29.693900380300487</v>
      </c>
      <c r="Q16" s="100">
        <f t="shared" ref="Q16" ca="1" si="11">Q15/Q14</f>
        <v>31.827164047636781</v>
      </c>
    </row>
  </sheetData>
  <phoneticPr fontId="73" type="noConversion"/>
  <printOptions headings="1"/>
  <pageMargins left="0.6" right="0.6" top="0.75" bottom="0.75" header="0.3" footer="0.3"/>
  <pageSetup scale="96"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R55"/>
  <sheetViews>
    <sheetView workbookViewId="0"/>
  </sheetViews>
  <sheetFormatPr defaultRowHeight="15.75" x14ac:dyDescent="0.25"/>
  <cols>
    <col min="1" max="1" width="13.5" bestFit="1" customWidth="1"/>
    <col min="2" max="2" width="9.375" bestFit="1" customWidth="1"/>
    <col min="7" max="7" width="8.125" bestFit="1" customWidth="1"/>
  </cols>
  <sheetData>
    <row r="1" spans="1:18" x14ac:dyDescent="0.25">
      <c r="B1" s="5">
        <f>+PL!B2</f>
        <v>2007</v>
      </c>
      <c r="C1" s="5">
        <f>+PL!C2</f>
        <v>2008</v>
      </c>
      <c r="D1" s="5">
        <f>+PL!D2</f>
        <v>2009</v>
      </c>
      <c r="E1" s="5">
        <f>+PL!E2</f>
        <v>2010</v>
      </c>
      <c r="F1" s="5">
        <f>+PL!F2</f>
        <v>2011</v>
      </c>
      <c r="G1" s="5">
        <f>+PL!G2</f>
        <v>2012</v>
      </c>
      <c r="H1" s="5">
        <f>+PL!H2</f>
        <v>2013</v>
      </c>
      <c r="I1" s="5">
        <f>+PL!I2</f>
        <v>2014</v>
      </c>
      <c r="J1" s="5">
        <f>+PL!J2</f>
        <v>2015</v>
      </c>
      <c r="K1" s="5">
        <f>+PL!K2</f>
        <v>2016</v>
      </c>
      <c r="L1" s="5">
        <f>+PL!L2</f>
        <v>2017</v>
      </c>
      <c r="M1" s="5">
        <f>+PL!M2</f>
        <v>2018</v>
      </c>
      <c r="N1" s="5">
        <f>+PL!N2</f>
        <v>2019</v>
      </c>
      <c r="O1" s="5">
        <f>+PL!O2</f>
        <v>2020</v>
      </c>
      <c r="P1" s="5">
        <f>+PL!P2</f>
        <v>2021</v>
      </c>
      <c r="Q1" s="5">
        <f>+PL!Q2</f>
        <v>2022</v>
      </c>
      <c r="R1" s="5"/>
    </row>
    <row r="2" spans="1:18" x14ac:dyDescent="0.25">
      <c r="A2" s="5" t="s">
        <v>214</v>
      </c>
    </row>
    <row r="3" spans="1:18" x14ac:dyDescent="0.25">
      <c r="A3" t="s">
        <v>215</v>
      </c>
      <c r="C3" s="1">
        <v>299.91863554051343</v>
      </c>
      <c r="D3" s="1">
        <v>434.22309171695747</v>
      </c>
      <c r="E3" s="1">
        <v>427.79405209195693</v>
      </c>
      <c r="F3" s="1">
        <v>499.69151146068208</v>
      </c>
      <c r="G3" s="276">
        <v>500</v>
      </c>
      <c r="H3" s="276">
        <v>490</v>
      </c>
      <c r="I3" s="276">
        <v>480</v>
      </c>
      <c r="J3" s="276">
        <v>470</v>
      </c>
      <c r="K3" s="276">
        <v>460</v>
      </c>
      <c r="L3" s="276">
        <v>450</v>
      </c>
      <c r="M3" s="276">
        <v>440</v>
      </c>
      <c r="N3" s="276">
        <v>430</v>
      </c>
      <c r="O3" s="276">
        <v>430</v>
      </c>
      <c r="P3" s="276">
        <v>430</v>
      </c>
      <c r="Q3" s="276">
        <v>430</v>
      </c>
      <c r="R3" s="1"/>
    </row>
    <row r="4" spans="1:18" x14ac:dyDescent="0.25">
      <c r="A4" s="26" t="s">
        <v>216</v>
      </c>
      <c r="B4" s="1"/>
      <c r="C4" s="1">
        <f>+turnover!C6</f>
        <v>79458.550340000002</v>
      </c>
      <c r="D4" s="1">
        <f>+turnover!D6</f>
        <v>60309.619372442001</v>
      </c>
      <c r="E4" s="1">
        <f>+turnover!E6</f>
        <v>94218</v>
      </c>
      <c r="F4" s="1">
        <f>+turnover!F6</f>
        <v>90116.800000000003</v>
      </c>
      <c r="G4" s="1">
        <f ca="1">+turnover!G6</f>
        <v>86574.349708166963</v>
      </c>
      <c r="H4" s="1">
        <f ca="1">+turnover!H6</f>
        <v>104778.12305246333</v>
      </c>
      <c r="I4" s="1">
        <f ca="1">+turnover!I6</f>
        <v>116921.4991892705</v>
      </c>
      <c r="J4" s="1">
        <f ca="1">+turnover!J6</f>
        <v>124527.70711401819</v>
      </c>
      <c r="K4" s="1">
        <f ca="1">+turnover!K6</f>
        <v>141064.66678267624</v>
      </c>
      <c r="L4" s="1">
        <f ca="1">+turnover!L6</f>
        <v>160014.87388479491</v>
      </c>
      <c r="M4" s="1">
        <f ca="1">+turnover!M6</f>
        <v>181765.78953262349</v>
      </c>
      <c r="N4" s="1">
        <f ca="1">+turnover!N6</f>
        <v>206772.62301219755</v>
      </c>
      <c r="O4" s="1">
        <f ca="1">+turnover!O6</f>
        <v>235218.83101520804</v>
      </c>
      <c r="P4" s="1">
        <f ca="1">+turnover!P6</f>
        <v>267687.01557720039</v>
      </c>
      <c r="Q4" s="1">
        <f ca="1">+turnover!Q6</f>
        <v>305991.74255916901</v>
      </c>
      <c r="R4" s="1"/>
    </row>
    <row r="5" spans="1:18" x14ac:dyDescent="0.25">
      <c r="A5" s="26" t="s">
        <v>243</v>
      </c>
      <c r="B5" s="677">
        <v>0.2</v>
      </c>
      <c r="C5" s="1">
        <f>+C4*$B$5</f>
        <v>15891.710068</v>
      </c>
      <c r="D5" s="1">
        <f t="shared" ref="D5:N5" si="0">+D4*$B$5</f>
        <v>12061.923874488401</v>
      </c>
      <c r="E5" s="1">
        <f t="shared" si="0"/>
        <v>18843.600000000002</v>
      </c>
      <c r="F5" s="1">
        <f t="shared" si="0"/>
        <v>18023.36</v>
      </c>
      <c r="G5" s="1">
        <f t="shared" ca="1" si="0"/>
        <v>17314.869941633395</v>
      </c>
      <c r="H5" s="1">
        <f t="shared" ca="1" si="0"/>
        <v>20955.624610492669</v>
      </c>
      <c r="I5" s="1">
        <f t="shared" ca="1" si="0"/>
        <v>23384.299837854101</v>
      </c>
      <c r="J5" s="1">
        <f t="shared" ca="1" si="0"/>
        <v>24905.541422803639</v>
      </c>
      <c r="K5" s="1">
        <f t="shared" ca="1" si="0"/>
        <v>28212.93335653525</v>
      </c>
      <c r="L5" s="1">
        <f t="shared" ca="1" si="0"/>
        <v>32002.974776958985</v>
      </c>
      <c r="M5" s="1">
        <f t="shared" ca="1" si="0"/>
        <v>36353.157906524699</v>
      </c>
      <c r="N5" s="1">
        <f t="shared" ca="1" si="0"/>
        <v>41354.524602439516</v>
      </c>
      <c r="O5" s="1">
        <f t="shared" ref="O5:Q5" ca="1" si="1">+O4*$B$5</f>
        <v>47043.76620304161</v>
      </c>
      <c r="P5" s="1">
        <f t="shared" ca="1" si="1"/>
        <v>53537.40311544008</v>
      </c>
      <c r="Q5" s="1">
        <f t="shared" ca="1" si="1"/>
        <v>61198.348511833807</v>
      </c>
      <c r="R5" s="1"/>
    </row>
    <row r="6" spans="1:18" x14ac:dyDescent="0.25">
      <c r="A6" t="s">
        <v>217</v>
      </c>
      <c r="B6" s="1">
        <f>+BS!B11</f>
        <v>46670</v>
      </c>
      <c r="C6" s="1">
        <f>+(C4+C5)/360*C3</f>
        <v>79437</v>
      </c>
      <c r="D6" s="1">
        <f t="shared" ref="D6:N6" si="2">+(D4+D5)/360*D3</f>
        <v>87292.764613915599</v>
      </c>
      <c r="E6" s="1">
        <f t="shared" si="2"/>
        <v>134353</v>
      </c>
      <c r="F6" s="1">
        <f t="shared" si="2"/>
        <v>150102</v>
      </c>
      <c r="G6" s="1">
        <f t="shared" ca="1" si="2"/>
        <v>144290.58284694495</v>
      </c>
      <c r="H6" s="1">
        <f t="shared" ca="1" si="2"/>
        <v>171137.60098569011</v>
      </c>
      <c r="I6" s="1">
        <f t="shared" ca="1" si="2"/>
        <v>187074.39870283278</v>
      </c>
      <c r="J6" s="1">
        <f t="shared" ca="1" si="2"/>
        <v>195093.40781196184</v>
      </c>
      <c r="K6" s="1">
        <f t="shared" ca="1" si="2"/>
        <v>216299.1557334369</v>
      </c>
      <c r="L6" s="1">
        <f t="shared" ca="1" si="2"/>
        <v>240022.31082719238</v>
      </c>
      <c r="M6" s="1">
        <f t="shared" ca="1" si="2"/>
        <v>266589.8246478478</v>
      </c>
      <c r="N6" s="1">
        <f t="shared" ca="1" si="2"/>
        <v>296374.09298414981</v>
      </c>
      <c r="O6" s="1">
        <f t="shared" ref="O6:Q6" ca="1" si="3">+(O4+O5)/360*O3</f>
        <v>337146.99112179817</v>
      </c>
      <c r="P6" s="1">
        <f t="shared" ca="1" si="3"/>
        <v>383684.72232732055</v>
      </c>
      <c r="Q6" s="1">
        <f t="shared" ca="1" si="3"/>
        <v>438588.16433480894</v>
      </c>
      <c r="R6" s="1"/>
    </row>
    <row r="7" spans="1:18" x14ac:dyDescent="0.25">
      <c r="C7" s="1"/>
      <c r="D7" s="1"/>
      <c r="E7" s="1"/>
      <c r="F7" s="660">
        <f>+F6</f>
        <v>150102</v>
      </c>
      <c r="G7" s="660">
        <f t="shared" ref="G7:Q7" ca="1" si="4">+F7+(G4+G5)*(1-$R$7)</f>
        <v>170879.84392996007</v>
      </c>
      <c r="H7" s="660">
        <f t="shared" ca="1" si="4"/>
        <v>196026.59346255127</v>
      </c>
      <c r="I7" s="660">
        <f t="shared" ca="1" si="4"/>
        <v>224087.75326797619</v>
      </c>
      <c r="J7" s="660">
        <f t="shared" ca="1" si="4"/>
        <v>253974.40297534055</v>
      </c>
      <c r="K7" s="660">
        <f t="shared" ca="1" si="4"/>
        <v>287829.92300318286</v>
      </c>
      <c r="L7" s="660">
        <f t="shared" ca="1" si="4"/>
        <v>326233.49273553363</v>
      </c>
      <c r="M7" s="660">
        <f t="shared" ca="1" si="4"/>
        <v>369857.28222336323</v>
      </c>
      <c r="N7" s="660">
        <f t="shared" ca="1" si="4"/>
        <v>419482.71174629062</v>
      </c>
      <c r="O7" s="660">
        <f t="shared" ca="1" si="4"/>
        <v>475935.23118994053</v>
      </c>
      <c r="P7" s="660">
        <f t="shared" ca="1" si="4"/>
        <v>540180.1149284686</v>
      </c>
      <c r="Q7" s="660">
        <f t="shared" ca="1" si="4"/>
        <v>613618.1331426691</v>
      </c>
      <c r="R7" s="677">
        <v>0.8</v>
      </c>
    </row>
    <row r="8" spans="1:18" x14ac:dyDescent="0.25">
      <c r="C8" s="1"/>
      <c r="D8" s="1"/>
      <c r="E8" s="1"/>
      <c r="F8" s="660"/>
      <c r="G8" s="660">
        <f ca="1">+G7-F7</f>
        <v>20777.843929960072</v>
      </c>
      <c r="H8" s="660">
        <f t="shared" ref="H8:Q8" ca="1" si="5">+H7-G7</f>
        <v>25146.749532591202</v>
      </c>
      <c r="I8" s="660">
        <f t="shared" ca="1" si="5"/>
        <v>28061.159805424919</v>
      </c>
      <c r="J8" s="660">
        <f t="shared" ca="1" si="5"/>
        <v>29886.649707364355</v>
      </c>
      <c r="K8" s="660">
        <f t="shared" ca="1" si="5"/>
        <v>33855.520027842314</v>
      </c>
      <c r="L8" s="660">
        <f t="shared" ca="1" si="5"/>
        <v>38403.569732350763</v>
      </c>
      <c r="M8" s="660">
        <f t="shared" ca="1" si="5"/>
        <v>43623.789487829607</v>
      </c>
      <c r="N8" s="660">
        <f t="shared" ca="1" si="5"/>
        <v>49625.429522927385</v>
      </c>
      <c r="O8" s="660">
        <f t="shared" ca="1" si="5"/>
        <v>56452.519443649915</v>
      </c>
      <c r="P8" s="660">
        <f t="shared" ca="1" si="5"/>
        <v>64244.883738528064</v>
      </c>
      <c r="Q8" s="660">
        <f t="shared" ca="1" si="5"/>
        <v>73438.018214200507</v>
      </c>
      <c r="R8" s="3"/>
    </row>
    <row r="9" spans="1:18" x14ac:dyDescent="0.25">
      <c r="A9" s="5" t="s">
        <v>18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8.75" x14ac:dyDescent="0.3">
      <c r="A10" s="274" t="s">
        <v>721</v>
      </c>
      <c r="B10" s="1">
        <f>+cogs!C16</f>
        <v>0</v>
      </c>
      <c r="C10" s="1">
        <f>+cogs!D16*0+PL!B8</f>
        <v>-78174</v>
      </c>
      <c r="D10" s="1">
        <f>+cogs!E16*0+PL!C8</f>
        <v>-66011.983999999997</v>
      </c>
      <c r="E10" s="1">
        <f>+cogs!F16*0+PL!D8</f>
        <v>-57729</v>
      </c>
      <c r="F10" s="1">
        <f ca="1">+cogs!G16*0+PL!E8</f>
        <v>-137452.32321038633</v>
      </c>
      <c r="G10" s="1">
        <f ca="1">+cogs!H16*0+PL!F8</f>
        <v>-129542</v>
      </c>
      <c r="H10" s="1">
        <f ca="1">+cogs!I16*0+PL!G8</f>
        <v>-144231.59983100998</v>
      </c>
      <c r="I10" s="1">
        <f ca="1">+cogs!J16*0+PL!H8</f>
        <v>-171470.88286195582</v>
      </c>
      <c r="J10" s="1">
        <f ca="1">+cogs!K16*0+PL!I8</f>
        <v>-222676.62189126766</v>
      </c>
      <c r="K10" s="1">
        <f ca="1">+cogs!L16*0+PL!J8</f>
        <v>-278599.26907105988</v>
      </c>
      <c r="L10" s="1">
        <f ca="1">+cogs!M16*0+PL!K8</f>
        <v>-316508.28617754776</v>
      </c>
      <c r="M10" s="1">
        <f ca="1">+cogs!N16*0+PL!L8</f>
        <v>-359956.09301970591</v>
      </c>
      <c r="N10" s="1">
        <f ca="1">+cogs!O16*0+PL!M8</f>
        <v>-409827.87180476089</v>
      </c>
      <c r="O10" s="1">
        <f ca="1">+cogs!P16*0+PL!N8</f>
        <v>-467161.4165909873</v>
      </c>
      <c r="P10" s="1">
        <f ca="1">+cogs!Q16*0+PL!O8</f>
        <v>-533175.10349099932</v>
      </c>
      <c r="Q10" s="1">
        <f ca="1">+cogs!R16*0+PL!P8</f>
        <v>-609310.41119568725</v>
      </c>
      <c r="R10" s="1"/>
    </row>
    <row r="11" spans="1:18" x14ac:dyDescent="0.25">
      <c r="A11" t="s">
        <v>218</v>
      </c>
      <c r="B11" s="4">
        <v>2</v>
      </c>
      <c r="C11" s="4">
        <v>2.4871623571738466</v>
      </c>
      <c r="D11" s="4">
        <v>1.0193011938647099</v>
      </c>
      <c r="E11" s="4">
        <v>1.7537213667717979</v>
      </c>
      <c r="F11" s="4">
        <f>5+0.015</f>
        <v>5.0149999999999997</v>
      </c>
      <c r="G11" s="277">
        <v>5</v>
      </c>
      <c r="H11" s="277">
        <v>6</v>
      </c>
      <c r="I11" s="277">
        <v>8</v>
      </c>
      <c r="J11" s="277">
        <v>8</v>
      </c>
      <c r="K11" s="277">
        <v>8</v>
      </c>
      <c r="L11" s="277">
        <v>8</v>
      </c>
      <c r="M11" s="277">
        <v>8</v>
      </c>
      <c r="N11" s="277">
        <v>8</v>
      </c>
      <c r="O11" s="277">
        <v>8</v>
      </c>
      <c r="P11" s="277">
        <v>8</v>
      </c>
      <c r="Q11" s="277">
        <v>8</v>
      </c>
      <c r="R11" s="4"/>
    </row>
    <row r="12" spans="1:18" x14ac:dyDescent="0.25">
      <c r="A12" s="26" t="s">
        <v>18</v>
      </c>
      <c r="B12" s="1">
        <f t="shared" ref="B12:G12" si="6">+B10/-B11</f>
        <v>0</v>
      </c>
      <c r="C12" s="1">
        <f t="shared" si="6"/>
        <v>31430.999980567747</v>
      </c>
      <c r="D12" s="1">
        <f t="shared" si="6"/>
        <v>64762.000081363251</v>
      </c>
      <c r="E12" s="1">
        <f t="shared" si="6"/>
        <v>32918.000027715898</v>
      </c>
      <c r="F12" s="1">
        <f t="shared" ca="1" si="6"/>
        <v>27408.239922310335</v>
      </c>
      <c r="G12" s="1">
        <f t="shared" ca="1" si="6"/>
        <v>25908.400000000001</v>
      </c>
      <c r="H12" s="1">
        <f t="shared" ref="H12:N12" ca="1" si="7">+H10/-H11</f>
        <v>24038.599971834996</v>
      </c>
      <c r="I12" s="1">
        <f t="shared" ca="1" si="7"/>
        <v>21433.860357744477</v>
      </c>
      <c r="J12" s="1">
        <f t="shared" ca="1" si="7"/>
        <v>27834.577736408457</v>
      </c>
      <c r="K12" s="1">
        <f t="shared" ca="1" si="7"/>
        <v>34824.908633882485</v>
      </c>
      <c r="L12" s="1">
        <f t="shared" ca="1" si="7"/>
        <v>39563.535772193471</v>
      </c>
      <c r="M12" s="1">
        <f t="shared" ca="1" si="7"/>
        <v>44994.511627463238</v>
      </c>
      <c r="N12" s="1">
        <f t="shared" ca="1" si="7"/>
        <v>51228.483975595111</v>
      </c>
      <c r="O12" s="1">
        <f t="shared" ref="O12:Q12" ca="1" si="8">+O10/-O11</f>
        <v>58395.177073873412</v>
      </c>
      <c r="P12" s="1">
        <f t="shared" ca="1" si="8"/>
        <v>66646.887936374915</v>
      </c>
      <c r="Q12" s="1">
        <f t="shared" ca="1" si="8"/>
        <v>76163.801399460906</v>
      </c>
      <c r="R12" s="1"/>
    </row>
    <row r="13" spans="1:18" x14ac:dyDescent="0.25">
      <c r="B13" s="1"/>
      <c r="C13" s="1"/>
      <c r="D13" s="1"/>
      <c r="E13" s="1">
        <f>E10/-E12</f>
        <v>1.7537213667717977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5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5">
      <c r="A16" s="166" t="s">
        <v>19</v>
      </c>
      <c r="B16" s="1">
        <f>+B12</f>
        <v>0</v>
      </c>
      <c r="C16" s="1">
        <f>+C12</f>
        <v>31430.999980567747</v>
      </c>
      <c r="D16" s="1">
        <f t="shared" ref="D16:Q16" si="9">+D12</f>
        <v>64762.000081363251</v>
      </c>
      <c r="E16" s="1">
        <f t="shared" si="9"/>
        <v>32918.000027715898</v>
      </c>
      <c r="F16" s="1">
        <f t="shared" ca="1" si="9"/>
        <v>27408.239922310335</v>
      </c>
      <c r="G16" s="1">
        <f t="shared" ca="1" si="9"/>
        <v>25908.400000000001</v>
      </c>
      <c r="H16" s="1">
        <f t="shared" ca="1" si="9"/>
        <v>24038.599971834996</v>
      </c>
      <c r="I16" s="1">
        <f t="shared" ca="1" si="9"/>
        <v>21433.860357744477</v>
      </c>
      <c r="J16" s="1">
        <f t="shared" ca="1" si="9"/>
        <v>27834.577736408457</v>
      </c>
      <c r="K16" s="1">
        <f t="shared" ca="1" si="9"/>
        <v>34824.908633882485</v>
      </c>
      <c r="L16" s="1">
        <f t="shared" ca="1" si="9"/>
        <v>39563.535772193471</v>
      </c>
      <c r="M16" s="1">
        <f t="shared" ca="1" si="9"/>
        <v>44994.511627463238</v>
      </c>
      <c r="N16" s="1">
        <f t="shared" ca="1" si="9"/>
        <v>51228.483975595111</v>
      </c>
      <c r="O16" s="1">
        <f t="shared" ca="1" si="9"/>
        <v>58395.177073873412</v>
      </c>
      <c r="P16" s="1">
        <f t="shared" ca="1" si="9"/>
        <v>66646.887936374915</v>
      </c>
      <c r="Q16" s="1">
        <f t="shared" ca="1" si="9"/>
        <v>76163.801399460906</v>
      </c>
      <c r="R16" s="1"/>
    </row>
    <row r="17" spans="1:18" x14ac:dyDescent="0.25">
      <c r="A17" t="s">
        <v>218</v>
      </c>
      <c r="B17" s="9" t="e">
        <f>+PL!B6/'WC parameters'!B16</f>
        <v>#DIV/0!</v>
      </c>
      <c r="C17" s="9">
        <f>+PL!C6/'WC parameters'!C16</f>
        <v>3.9044255695291841</v>
      </c>
      <c r="D17" s="9">
        <f>+PL!D6/'WC parameters'!D16</f>
        <v>1.1462740481568732</v>
      </c>
      <c r="E17" s="9">
        <f>+PL!E6/'WC parameters'!E16</f>
        <v>5.323531194254012</v>
      </c>
      <c r="F17" s="9">
        <f ca="1">+PL!F6/'WC parameters'!F16</f>
        <v>6.049020311772896</v>
      </c>
      <c r="G17" s="9">
        <f ca="1">+PL!G6/'WC parameters'!G16</f>
        <v>7.1062801912957552</v>
      </c>
      <c r="H17" s="9">
        <f ca="1">+PL!H6/'WC parameters'!H16</f>
        <v>8.9412636398248662</v>
      </c>
      <c r="I17" s="9">
        <f ca="1">+PL!I6/'WC parameters'!I16</f>
        <v>13.376969512571863</v>
      </c>
      <c r="J17" s="9">
        <f ca="1">+PL!J6/'WC parameters'!J16</f>
        <v>13.140564683566243</v>
      </c>
      <c r="K17" s="9">
        <f ca="1">+PL!K6/'WC parameters'!K16</f>
        <v>11.896197173108979</v>
      </c>
      <c r="L17" s="9">
        <f ca="1">+PL!L6/'WC parameters'!L16</f>
        <v>11.870336016143616</v>
      </c>
      <c r="M17" s="9">
        <f ca="1">+PL!M6/'WC parameters'!M16</f>
        <v>11.834289622112482</v>
      </c>
      <c r="N17" s="9">
        <f ca="1">+PL!N6/'WC parameters'!N16</f>
        <v>11.788917672538757</v>
      </c>
      <c r="O17" s="9">
        <f ca="1">+PL!O6/'WC parameters'!O16</f>
        <v>11.73633049355022</v>
      </c>
      <c r="P17" s="9">
        <f ca="1">+PL!P6/'WC parameters'!P16</f>
        <v>11.669154573961784</v>
      </c>
      <c r="Q17" s="9">
        <f ca="1">+PL!Q6/'WC parameters'!Q16</f>
        <v>11.601175402912498</v>
      </c>
      <c r="R17" s="9"/>
    </row>
    <row r="18" spans="1:18" x14ac:dyDescent="0.25">
      <c r="A18" t="s">
        <v>666</v>
      </c>
      <c r="B18" s="10" t="e">
        <f t="shared" ref="B18:H18" si="10">360/B17</f>
        <v>#DIV/0!</v>
      </c>
      <c r="C18" s="10">
        <f t="shared" si="10"/>
        <v>92.203063828262628</v>
      </c>
      <c r="D18" s="10">
        <f t="shared" si="10"/>
        <v>314.06102282334166</v>
      </c>
      <c r="E18" s="10">
        <f t="shared" si="10"/>
        <v>67.624286749473427</v>
      </c>
      <c r="F18" s="10">
        <f t="shared" ca="1" si="10"/>
        <v>59.513769411445118</v>
      </c>
      <c r="G18" s="10">
        <f t="shared" ca="1" si="10"/>
        <v>50.659415377534927</v>
      </c>
      <c r="H18" s="10">
        <f t="shared" ca="1" si="10"/>
        <v>40.262765365349566</v>
      </c>
      <c r="I18" s="10">
        <f t="shared" ref="I18:N18" ca="1" si="11">360/I17</f>
        <v>26.911924981339531</v>
      </c>
      <c r="J18" s="10">
        <f t="shared" ca="1" si="11"/>
        <v>27.396082943849482</v>
      </c>
      <c r="K18" s="10">
        <f t="shared" ca="1" si="11"/>
        <v>30.261771451953567</v>
      </c>
      <c r="L18" s="10">
        <f t="shared" ca="1" si="11"/>
        <v>30.327700876403267</v>
      </c>
      <c r="M18" s="10">
        <f t="shared" ca="1" si="11"/>
        <v>30.42007686945033</v>
      </c>
      <c r="N18" s="10">
        <f t="shared" ca="1" si="11"/>
        <v>30.537154469963617</v>
      </c>
      <c r="O18" s="10">
        <f t="shared" ref="O18:Q18" ca="1" si="12">360/O17</f>
        <v>30.673982826049457</v>
      </c>
      <c r="P18" s="10">
        <f t="shared" ca="1" si="12"/>
        <v>30.850563999151547</v>
      </c>
      <c r="Q18" s="10">
        <f t="shared" ca="1" si="12"/>
        <v>31.031338420210535</v>
      </c>
      <c r="R18" s="10"/>
    </row>
    <row r="20" spans="1:18" x14ac:dyDescent="0.25">
      <c r="A20" s="5" t="s">
        <v>238</v>
      </c>
    </row>
    <row r="21" spans="1:18" x14ac:dyDescent="0.25">
      <c r="A21" t="s">
        <v>3</v>
      </c>
      <c r="B21" s="1"/>
      <c r="C21" s="1">
        <f>+PL!C8</f>
        <v>-66011.983999999997</v>
      </c>
      <c r="D21" s="1">
        <f>+cogs!E16</f>
        <v>-49932.84596910821</v>
      </c>
      <c r="E21" s="1">
        <f>+cogs!F16</f>
        <v>-119226.39635658877</v>
      </c>
      <c r="F21" s="1">
        <f ca="1">+cogs!G16</f>
        <v>-102579.93627271439</v>
      </c>
      <c r="G21" s="1">
        <f ca="1">+cogs!H16</f>
        <v>-105825.59983101</v>
      </c>
      <c r="H21" s="1">
        <f ca="1">+cogs!I16</f>
        <v>-127534.88286195582</v>
      </c>
      <c r="I21" s="1">
        <f ca="1">+cogs!J16</f>
        <v>-170796.62189126766</v>
      </c>
      <c r="J21" s="1">
        <f ca="1">+cogs!K16</f>
        <v>-217216.26907105988</v>
      </c>
      <c r="K21" s="1">
        <f ca="1">+cogs!L16</f>
        <v>-243741.28617754776</v>
      </c>
      <c r="L21" s="1">
        <f ca="1">+cogs!M16</f>
        <v>-273535.09301970591</v>
      </c>
      <c r="M21" s="1">
        <f ca="1">+cogs!N16</f>
        <v>-307007.87180476089</v>
      </c>
      <c r="N21" s="1">
        <f ca="1">+cogs!O16</f>
        <v>-344621.4165909873</v>
      </c>
      <c r="O21" s="1">
        <f ca="1">+cogs!P16</f>
        <v>-386897.10349099932</v>
      </c>
      <c r="P21" s="1">
        <f ca="1">+cogs!Q16</f>
        <v>-434425.41119568725</v>
      </c>
      <c r="Q21" s="1">
        <f ca="1">+cogs!R16</f>
        <v>-487872.53622150194</v>
      </c>
      <c r="R21" s="1"/>
    </row>
    <row r="22" spans="1:18" x14ac:dyDescent="0.25">
      <c r="A22" t="s">
        <v>4</v>
      </c>
      <c r="B22" s="1"/>
      <c r="C22" s="1">
        <f t="shared" ref="C22:N22" si="13">+C16-+B16</f>
        <v>31430.999980567747</v>
      </c>
      <c r="D22" s="1">
        <f t="shared" si="13"/>
        <v>33331.0001007955</v>
      </c>
      <c r="E22" s="1">
        <f t="shared" si="13"/>
        <v>-31844.000053647353</v>
      </c>
      <c r="F22" s="1">
        <f t="shared" ca="1" si="13"/>
        <v>-5509.7601054055631</v>
      </c>
      <c r="G22" s="1">
        <f ca="1">(+G16-+F16)*0</f>
        <v>0</v>
      </c>
      <c r="H22" s="1">
        <f t="shared" ca="1" si="13"/>
        <v>-1869.8000281650056</v>
      </c>
      <c r="I22" s="1">
        <f t="shared" ca="1" si="13"/>
        <v>-2604.7396140905184</v>
      </c>
      <c r="J22" s="1">
        <f t="shared" ca="1" si="13"/>
        <v>6400.7173786639796</v>
      </c>
      <c r="K22" s="1">
        <f t="shared" ca="1" si="13"/>
        <v>6990.3308974740285</v>
      </c>
      <c r="L22" s="1">
        <f t="shared" ca="1" si="13"/>
        <v>4738.6271383109852</v>
      </c>
      <c r="M22" s="1">
        <f t="shared" ca="1" si="13"/>
        <v>5430.9758552697676</v>
      </c>
      <c r="N22" s="1">
        <f t="shared" ca="1" si="13"/>
        <v>6233.9723481318724</v>
      </c>
      <c r="O22" s="1">
        <f t="shared" ref="O22" ca="1" si="14">+O16-+N16</f>
        <v>7166.6930982783015</v>
      </c>
      <c r="P22" s="1">
        <f t="shared" ref="P22" ca="1" si="15">+P16-+O16</f>
        <v>8251.7108625015026</v>
      </c>
      <c r="Q22" s="1">
        <f t="shared" ref="Q22" ca="1" si="16">+Q16-+P16</f>
        <v>9516.9134630859917</v>
      </c>
      <c r="R22" s="1"/>
    </row>
    <row r="23" spans="1:18" x14ac:dyDescent="0.25">
      <c r="A23" t="s">
        <v>667</v>
      </c>
      <c r="B23" s="1"/>
      <c r="C23" s="1">
        <f t="shared" ref="C23:H23" si="17">+C22+C21</f>
        <v>-34580.984019432246</v>
      </c>
      <c r="D23" s="1">
        <f t="shared" si="17"/>
        <v>-16601.84586831271</v>
      </c>
      <c r="E23" s="1">
        <f t="shared" si="17"/>
        <v>-151070.39641023614</v>
      </c>
      <c r="F23" s="1">
        <f t="shared" ca="1" si="17"/>
        <v>-108089.69637811996</v>
      </c>
      <c r="G23" s="1">
        <f t="shared" ca="1" si="17"/>
        <v>-105825.59983101</v>
      </c>
      <c r="H23" s="1">
        <f t="shared" ca="1" si="17"/>
        <v>-129404.68289012082</v>
      </c>
      <c r="I23" s="1">
        <f t="shared" ref="I23:N23" ca="1" si="18">+I22+I21</f>
        <v>-173401.36150535819</v>
      </c>
      <c r="J23" s="1">
        <f t="shared" ca="1" si="18"/>
        <v>-210815.55169239591</v>
      </c>
      <c r="K23" s="1">
        <f t="shared" ca="1" si="18"/>
        <v>-236750.95528007374</v>
      </c>
      <c r="L23" s="1">
        <f t="shared" ca="1" si="18"/>
        <v>-268796.46588139492</v>
      </c>
      <c r="M23" s="1">
        <f t="shared" ca="1" si="18"/>
        <v>-301576.89594949113</v>
      </c>
      <c r="N23" s="1">
        <f t="shared" ca="1" si="18"/>
        <v>-338387.44424285542</v>
      </c>
      <c r="O23" s="1">
        <f t="shared" ref="O23:Q23" ca="1" si="19">+O22+O21</f>
        <v>-379730.41039272101</v>
      </c>
      <c r="P23" s="1">
        <f t="shared" ca="1" si="19"/>
        <v>-426173.70033318573</v>
      </c>
      <c r="Q23" s="1">
        <f t="shared" ca="1" si="19"/>
        <v>-478355.62275841594</v>
      </c>
      <c r="R23" s="1"/>
    </row>
    <row r="24" spans="1:18" x14ac:dyDescent="0.25">
      <c r="A24" t="s">
        <v>668</v>
      </c>
      <c r="C24" s="1">
        <v>387.56849679882998</v>
      </c>
      <c r="D24" s="1">
        <v>514.58000000000004</v>
      </c>
      <c r="E24" s="276">
        <v>224.22</v>
      </c>
      <c r="F24" s="276">
        <f>315-0.23</f>
        <v>314.77</v>
      </c>
      <c r="G24" s="276">
        <v>329</v>
      </c>
      <c r="H24" s="276">
        <v>329</v>
      </c>
      <c r="I24" s="276">
        <v>329</v>
      </c>
      <c r="J24" s="276">
        <f>310-10</f>
        <v>300</v>
      </c>
      <c r="K24" s="276">
        <f>305-10</f>
        <v>295</v>
      </c>
      <c r="L24" s="276">
        <f>299-10</f>
        <v>289</v>
      </c>
      <c r="M24" s="276">
        <f>292-10</f>
        <v>282</v>
      </c>
      <c r="N24" s="276">
        <f>286-10</f>
        <v>276</v>
      </c>
      <c r="O24" s="276">
        <f t="shared" ref="O24:Q24" si="20">286-10</f>
        <v>276</v>
      </c>
      <c r="P24" s="276">
        <f t="shared" si="20"/>
        <v>276</v>
      </c>
      <c r="Q24" s="276">
        <f t="shared" si="20"/>
        <v>276</v>
      </c>
      <c r="R24" s="1"/>
    </row>
    <row r="25" spans="1:18" x14ac:dyDescent="0.25">
      <c r="A25" s="26" t="s">
        <v>669</v>
      </c>
      <c r="C25" s="1">
        <f t="shared" ref="C25:H25" si="21">-C23/360*C24</f>
        <v>37229.16665065477</v>
      </c>
      <c r="D25" s="1">
        <f>-D21/360*D24</f>
        <v>71373.455218843636</v>
      </c>
      <c r="E25" s="1">
        <f t="shared" si="21"/>
        <v>94091.67856417541</v>
      </c>
      <c r="F25" s="1">
        <f t="shared" ca="1" si="21"/>
        <v>94509.427024835619</v>
      </c>
      <c r="G25" s="1">
        <f t="shared" ca="1" si="21"/>
        <v>96712.839845561917</v>
      </c>
      <c r="H25" s="1">
        <f t="shared" ca="1" si="21"/>
        <v>118261.50186347154</v>
      </c>
      <c r="I25" s="1">
        <f t="shared" ref="I25:N25" ca="1" si="22">-I23/360*I24</f>
        <v>158469.57759795236</v>
      </c>
      <c r="J25" s="1">
        <f t="shared" ca="1" si="22"/>
        <v>175679.62641032995</v>
      </c>
      <c r="K25" s="1">
        <f t="shared" ca="1" si="22"/>
        <v>194004.25502117156</v>
      </c>
      <c r="L25" s="1">
        <f t="shared" ca="1" si="22"/>
        <v>215783.82955478647</v>
      </c>
      <c r="M25" s="1">
        <f t="shared" ca="1" si="22"/>
        <v>236235.23516043471</v>
      </c>
      <c r="N25" s="1">
        <f t="shared" ca="1" si="22"/>
        <v>259430.37391952248</v>
      </c>
      <c r="O25" s="1">
        <f t="shared" ref="O25:Q25" ca="1" si="23">-O23/360*O24</f>
        <v>291126.64796775277</v>
      </c>
      <c r="P25" s="1">
        <f t="shared" ca="1" si="23"/>
        <v>326733.17025544238</v>
      </c>
      <c r="Q25" s="1">
        <f t="shared" ca="1" si="23"/>
        <v>366739.31078145222</v>
      </c>
      <c r="R25" s="1"/>
    </row>
    <row r="26" spans="1:18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25">
      <c r="A27" s="26" t="s">
        <v>670</v>
      </c>
      <c r="D27" s="1">
        <f>-+cogs!E17</f>
        <v>8409.130000000001</v>
      </c>
      <c r="E27" s="1">
        <f>-+cogs!F17</f>
        <v>8409</v>
      </c>
      <c r="F27" s="1">
        <f>-+cogs!G17</f>
        <v>11635</v>
      </c>
      <c r="G27" s="1">
        <f>-+cogs!H17</f>
        <v>14112</v>
      </c>
      <c r="H27" s="1">
        <f>-+cogs!I17</f>
        <v>15650</v>
      </c>
      <c r="I27" s="1">
        <f>-+cogs!J17</f>
        <v>17371</v>
      </c>
      <c r="J27" s="1">
        <f>-+cogs!K17</f>
        <v>19282</v>
      </c>
      <c r="K27" s="1">
        <f>-+cogs!L17</f>
        <v>21403</v>
      </c>
      <c r="L27" s="1">
        <f>-+cogs!M17</f>
        <v>23757</v>
      </c>
      <c r="M27" s="1">
        <f>-+cogs!N17</f>
        <v>26370</v>
      </c>
      <c r="N27" s="1">
        <f>-+cogs!O17</f>
        <v>29271</v>
      </c>
      <c r="O27" s="1">
        <f>-+cogs!P17</f>
        <v>32490</v>
      </c>
      <c r="P27" s="1">
        <f>-+cogs!Q17</f>
        <v>36064</v>
      </c>
      <c r="Q27" s="1">
        <f>-+cogs!R17</f>
        <v>40031</v>
      </c>
      <c r="R27" s="1"/>
    </row>
    <row r="28" spans="1:18" x14ac:dyDescent="0.25">
      <c r="A28" s="26" t="s">
        <v>671</v>
      </c>
      <c r="D28" s="1">
        <f>+'operating expenses'!D93</f>
        <v>11939.025</v>
      </c>
      <c r="E28" s="1">
        <f>+'operating expenses'!E93</f>
        <v>20561.656993381657</v>
      </c>
      <c r="F28" s="1">
        <f>+'operating expenses'!F93</f>
        <v>22133.755000000001</v>
      </c>
      <c r="G28" s="1">
        <f ca="1">+'operating expenses'!G93</f>
        <v>20538.932239785841</v>
      </c>
      <c r="H28" s="1">
        <f ca="1">+'operating expenses'!H93</f>
        <v>23770.928346596218</v>
      </c>
      <c r="I28" s="1">
        <f ca="1">+'operating expenses'!I93</f>
        <v>28899.309022759466</v>
      </c>
      <c r="J28" s="1">
        <f ca="1">+'operating expenses'!J93</f>
        <v>33674.744255211088</v>
      </c>
      <c r="K28" s="1">
        <f ca="1">+'operating expenses'!K93</f>
        <v>36826.769404235944</v>
      </c>
      <c r="L28" s="1">
        <f ca="1">+'operating expenses'!L93</f>
        <v>40413.802886396501</v>
      </c>
      <c r="M28" s="1">
        <f ca="1">+'operating expenses'!M93</f>
        <v>44479.20033306961</v>
      </c>
      <c r="N28" s="1">
        <f ca="1">+'operating expenses'!N93</f>
        <v>49085.2491865798</v>
      </c>
      <c r="O28" s="1">
        <f ca="1">+'operating expenses'!O93</f>
        <v>54334.568159699353</v>
      </c>
      <c r="P28" s="1">
        <f ca="1">+'operating expenses'!P93</f>
        <v>60316.000881691041</v>
      </c>
      <c r="Q28" s="1">
        <f ca="1">+'operating expenses'!Q93</f>
        <v>67150.837585231522</v>
      </c>
      <c r="R28" s="1"/>
    </row>
    <row r="29" spans="1:18" x14ac:dyDescent="0.25">
      <c r="A29" s="26" t="s">
        <v>672</v>
      </c>
      <c r="C29" s="1">
        <f>-+PL!C13</f>
        <v>2660</v>
      </c>
      <c r="D29" s="1">
        <f>+D28+D27</f>
        <v>20348.154999999999</v>
      </c>
      <c r="E29" s="1">
        <f t="shared" ref="E29:N29" si="24">+E28+E27</f>
        <v>28970.656993381657</v>
      </c>
      <c r="F29" s="1">
        <f t="shared" si="24"/>
        <v>33768.755000000005</v>
      </c>
      <c r="G29" s="1">
        <f t="shared" ca="1" si="24"/>
        <v>34650.932239785841</v>
      </c>
      <c r="H29" s="1">
        <f t="shared" ca="1" si="24"/>
        <v>39420.928346596222</v>
      </c>
      <c r="I29" s="1">
        <f t="shared" ca="1" si="24"/>
        <v>46270.309022759466</v>
      </c>
      <c r="J29" s="1">
        <f t="shared" ca="1" si="24"/>
        <v>52956.744255211088</v>
      </c>
      <c r="K29" s="1">
        <f t="shared" ca="1" si="24"/>
        <v>58229.769404235944</v>
      </c>
      <c r="L29" s="1">
        <f t="shared" ca="1" si="24"/>
        <v>64170.802886396501</v>
      </c>
      <c r="M29" s="1">
        <f t="shared" ca="1" si="24"/>
        <v>70849.200333069602</v>
      </c>
      <c r="N29" s="1">
        <f t="shared" ca="1" si="24"/>
        <v>78356.249186579807</v>
      </c>
      <c r="O29" s="1">
        <f t="shared" ref="O29:Q29" ca="1" si="25">+O28+O27</f>
        <v>86824.568159699353</v>
      </c>
      <c r="P29" s="1">
        <f t="shared" ca="1" si="25"/>
        <v>96380.000881691041</v>
      </c>
      <c r="Q29" s="1">
        <f t="shared" ca="1" si="25"/>
        <v>107181.83758523152</v>
      </c>
      <c r="R29" s="1"/>
    </row>
    <row r="30" spans="1:18" x14ac:dyDescent="0.25">
      <c r="A30" t="s">
        <v>668</v>
      </c>
      <c r="C30" s="136">
        <v>30</v>
      </c>
      <c r="D30" s="136">
        <v>30</v>
      </c>
      <c r="E30" s="276">
        <v>20.520816060450581</v>
      </c>
      <c r="F30" s="276">
        <v>30</v>
      </c>
      <c r="G30" s="276">
        <f t="shared" ref="G30:N30" si="26">+F30</f>
        <v>30</v>
      </c>
      <c r="H30" s="276">
        <f t="shared" si="26"/>
        <v>30</v>
      </c>
      <c r="I30" s="276">
        <f t="shared" si="26"/>
        <v>30</v>
      </c>
      <c r="J30" s="276">
        <f t="shared" si="26"/>
        <v>30</v>
      </c>
      <c r="K30" s="276">
        <f t="shared" si="26"/>
        <v>30</v>
      </c>
      <c r="L30" s="276">
        <f t="shared" si="26"/>
        <v>30</v>
      </c>
      <c r="M30" s="276">
        <f t="shared" si="26"/>
        <v>30</v>
      </c>
      <c r="N30" s="276">
        <f t="shared" si="26"/>
        <v>30</v>
      </c>
      <c r="O30" s="276">
        <f t="shared" ref="O30" si="27">+N30</f>
        <v>30</v>
      </c>
      <c r="P30" s="276">
        <f t="shared" ref="P30" si="28">+O30</f>
        <v>30</v>
      </c>
      <c r="Q30" s="276">
        <f t="shared" ref="Q30" si="29">+P30</f>
        <v>30</v>
      </c>
      <c r="R30" s="1"/>
    </row>
    <row r="31" spans="1:18" x14ac:dyDescent="0.25">
      <c r="A31" t="s">
        <v>673</v>
      </c>
      <c r="C31" s="1">
        <f t="shared" ref="C31:H31" si="30">+C29/360*C30</f>
        <v>221.66666666666669</v>
      </c>
      <c r="D31" s="1">
        <f t="shared" si="30"/>
        <v>1695.6795833333331</v>
      </c>
      <c r="E31" s="1">
        <f t="shared" si="30"/>
        <v>1651.3931203099758</v>
      </c>
      <c r="F31" s="1">
        <f t="shared" si="30"/>
        <v>2814.0629166666668</v>
      </c>
      <c r="G31" s="1">
        <f t="shared" ca="1" si="30"/>
        <v>2887.57768664882</v>
      </c>
      <c r="H31" s="1">
        <f t="shared" ca="1" si="30"/>
        <v>3285.077362216352</v>
      </c>
      <c r="I31" s="1">
        <f t="shared" ref="I31:N31" ca="1" si="31">+I29/360*I30</f>
        <v>3855.8590852299549</v>
      </c>
      <c r="J31" s="1">
        <f t="shared" ca="1" si="31"/>
        <v>4413.0620212675904</v>
      </c>
      <c r="K31" s="1">
        <f t="shared" ca="1" si="31"/>
        <v>4852.4807836863283</v>
      </c>
      <c r="L31" s="1">
        <f t="shared" ca="1" si="31"/>
        <v>5347.5669071997081</v>
      </c>
      <c r="M31" s="1">
        <f t="shared" ca="1" si="31"/>
        <v>5904.1000277557996</v>
      </c>
      <c r="N31" s="1">
        <f t="shared" ca="1" si="31"/>
        <v>6529.6874322149833</v>
      </c>
      <c r="O31" s="1">
        <f t="shared" ref="O31:Q31" ca="1" si="32">+O29/360*O30</f>
        <v>7235.3806799749464</v>
      </c>
      <c r="P31" s="1">
        <f t="shared" ca="1" si="32"/>
        <v>8031.6667401409204</v>
      </c>
      <c r="Q31" s="1">
        <f t="shared" ca="1" si="32"/>
        <v>8931.8197987692929</v>
      </c>
      <c r="R31" s="1"/>
    </row>
    <row r="32" spans="1:18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25">
      <c r="A34" t="s">
        <v>674</v>
      </c>
      <c r="C34" s="1">
        <f t="shared" ref="C34:H34" si="33">+C31+C25</f>
        <v>37450.833317321434</v>
      </c>
      <c r="D34" s="1">
        <f t="shared" si="33"/>
        <v>73069.134802176966</v>
      </c>
      <c r="E34" s="1">
        <f t="shared" si="33"/>
        <v>95743.071684485389</v>
      </c>
      <c r="F34" s="1">
        <f t="shared" ca="1" si="33"/>
        <v>97323.489941502281</v>
      </c>
      <c r="G34" s="1">
        <f t="shared" ca="1" si="33"/>
        <v>99600.417532210733</v>
      </c>
      <c r="H34" s="1">
        <f t="shared" ca="1" si="33"/>
        <v>121546.57922568789</v>
      </c>
      <c r="I34" s="1">
        <f t="shared" ref="I34:N34" ca="1" si="34">+I31+I25</f>
        <v>162325.43668318231</v>
      </c>
      <c r="J34" s="1">
        <f t="shared" ca="1" si="34"/>
        <v>180092.68843159755</v>
      </c>
      <c r="K34" s="1">
        <f t="shared" ca="1" si="34"/>
        <v>198856.73580485789</v>
      </c>
      <c r="L34" s="1">
        <f t="shared" ca="1" si="34"/>
        <v>221131.39646198618</v>
      </c>
      <c r="M34" s="1">
        <f t="shared" ca="1" si="34"/>
        <v>242139.33518819051</v>
      </c>
      <c r="N34" s="1">
        <f t="shared" ca="1" si="34"/>
        <v>265960.06135173747</v>
      </c>
      <c r="O34" s="1">
        <f t="shared" ref="O34:Q34" ca="1" si="35">+O31+O25</f>
        <v>298362.02864772774</v>
      </c>
      <c r="P34" s="1">
        <f t="shared" ca="1" si="35"/>
        <v>334764.83699558332</v>
      </c>
      <c r="Q34" s="1">
        <f t="shared" ca="1" si="35"/>
        <v>375671.13058022154</v>
      </c>
      <c r="R34" s="1"/>
    </row>
    <row r="35" spans="1:18" x14ac:dyDescent="0.25">
      <c r="A35" t="s">
        <v>243</v>
      </c>
      <c r="B35" s="676">
        <v>0.2</v>
      </c>
      <c r="C35" s="1">
        <f t="shared" ref="C35:H35" si="36">+(C25+C31)*$B$35</f>
        <v>7490.166663464287</v>
      </c>
      <c r="D35" s="1">
        <f t="shared" si="36"/>
        <v>14613.826960435394</v>
      </c>
      <c r="E35" s="1">
        <f t="shared" si="36"/>
        <v>19148.614336897077</v>
      </c>
      <c r="F35" s="1">
        <f t="shared" ca="1" si="36"/>
        <v>19464.697988300457</v>
      </c>
      <c r="G35" s="1">
        <f t="shared" ca="1" si="36"/>
        <v>19920.083506442148</v>
      </c>
      <c r="H35" s="1">
        <f t="shared" ca="1" si="36"/>
        <v>24309.315845137578</v>
      </c>
      <c r="I35" s="1">
        <f t="shared" ref="I35:N35" ca="1" si="37">+(I25+I31)*$B$35</f>
        <v>32465.087336636465</v>
      </c>
      <c r="J35" s="1">
        <f t="shared" ca="1" si="37"/>
        <v>36018.537686319512</v>
      </c>
      <c r="K35" s="1">
        <f t="shared" ca="1" si="37"/>
        <v>39771.347160971578</v>
      </c>
      <c r="L35" s="1">
        <f t="shared" ca="1" si="37"/>
        <v>44226.279292397237</v>
      </c>
      <c r="M35" s="1">
        <f t="shared" ca="1" si="37"/>
        <v>48427.867037638105</v>
      </c>
      <c r="N35" s="1">
        <f t="shared" ca="1" si="37"/>
        <v>53192.012270347499</v>
      </c>
      <c r="O35" s="1">
        <f t="shared" ref="O35:Q35" ca="1" si="38">+(O25+O31)*$B$35</f>
        <v>59672.40572954555</v>
      </c>
      <c r="P35" s="1">
        <f t="shared" ca="1" si="38"/>
        <v>66952.967399116664</v>
      </c>
      <c r="Q35" s="1">
        <f t="shared" ca="1" si="38"/>
        <v>75134.226116044316</v>
      </c>
      <c r="R35" s="1"/>
    </row>
    <row r="36" spans="1:18" x14ac:dyDescent="0.25">
      <c r="A36" s="20" t="s">
        <v>35</v>
      </c>
      <c r="B36" s="5" t="s">
        <v>135</v>
      </c>
      <c r="C36" s="8">
        <f t="shared" ref="C36:H36" si="39">+C35+C34</f>
        <v>44940.999980785724</v>
      </c>
      <c r="D36" s="8">
        <f t="shared" si="39"/>
        <v>87682.961762612365</v>
      </c>
      <c r="E36" s="8">
        <f t="shared" si="39"/>
        <v>114891.68602138247</v>
      </c>
      <c r="F36" s="8">
        <f t="shared" ca="1" si="39"/>
        <v>116788.18792980273</v>
      </c>
      <c r="G36" s="8">
        <f t="shared" ca="1" si="39"/>
        <v>119520.50103865287</v>
      </c>
      <c r="H36" s="8">
        <f t="shared" ca="1" si="39"/>
        <v>145855.89507082547</v>
      </c>
      <c r="I36" s="8">
        <f t="shared" ref="I36:N36" ca="1" si="40">+I35+I34</f>
        <v>194790.52401981878</v>
      </c>
      <c r="J36" s="8">
        <f t="shared" ca="1" si="40"/>
        <v>216111.22611791705</v>
      </c>
      <c r="K36" s="8">
        <f t="shared" ca="1" si="40"/>
        <v>238628.08296582947</v>
      </c>
      <c r="L36" s="8">
        <f t="shared" ca="1" si="40"/>
        <v>265357.67575438344</v>
      </c>
      <c r="M36" s="8">
        <f t="shared" ca="1" si="40"/>
        <v>290567.2022258286</v>
      </c>
      <c r="N36" s="8">
        <f t="shared" ca="1" si="40"/>
        <v>319152.07362208498</v>
      </c>
      <c r="O36" s="8">
        <f t="shared" ref="O36:Q36" ca="1" si="41">+O35+O34</f>
        <v>358034.43437727331</v>
      </c>
      <c r="P36" s="8">
        <f t="shared" ca="1" si="41"/>
        <v>401717.80439469998</v>
      </c>
      <c r="Q36" s="8">
        <f t="shared" ca="1" si="41"/>
        <v>450805.35669626587</v>
      </c>
      <c r="R36" s="1"/>
    </row>
    <row r="38" spans="1:18" x14ac:dyDescent="0.25">
      <c r="A38" s="26" t="s">
        <v>239</v>
      </c>
      <c r="D38" s="1">
        <f>+Payroll!D8/12</f>
        <v>1359.7996449866666</v>
      </c>
      <c r="E38" s="1">
        <f>+Payroll!E8/12</f>
        <v>1607.4166666666667</v>
      </c>
      <c r="F38" s="1">
        <f>+Payroll!F8/12</f>
        <v>1508.9791666666667</v>
      </c>
      <c r="G38" s="1">
        <f>+Payroll!G8/12</f>
        <v>2219.8333333333335</v>
      </c>
      <c r="H38" s="1">
        <f>+Payroll!H8/12</f>
        <v>2725.54</v>
      </c>
      <c r="I38" s="1">
        <f>+Payroll!I8/12</f>
        <v>3325.1433333333334</v>
      </c>
      <c r="J38" s="1">
        <f>+Payroll!J8/12</f>
        <v>4056.6966666666667</v>
      </c>
      <c r="K38" s="1">
        <f>+Payroll!K8/12</f>
        <v>4949.2333333333336</v>
      </c>
      <c r="L38" s="1">
        <f>+Payroll!L8/12</f>
        <v>6038.03</v>
      </c>
      <c r="M38" s="1">
        <f>+Payroll!M8/12</f>
        <v>7366.3766666666661</v>
      </c>
      <c r="N38" s="1">
        <f>+Payroll!N8/12</f>
        <v>8986.9699999999993</v>
      </c>
      <c r="O38" s="1">
        <f>+Payroll!O8/12</f>
        <v>10964.12</v>
      </c>
      <c r="P38" s="1">
        <f>+Payroll!P8/12</f>
        <v>13376.123333333335</v>
      </c>
      <c r="Q38" s="1">
        <f>+Payroll!Q8/12</f>
        <v>16318.903333333334</v>
      </c>
    </row>
    <row r="39" spans="1:18" x14ac:dyDescent="0.25">
      <c r="A39" s="135" t="s">
        <v>240</v>
      </c>
      <c r="B39" s="135"/>
      <c r="C39" s="136"/>
      <c r="D39" s="136">
        <v>2000</v>
      </c>
      <c r="E39" s="136">
        <v>2000</v>
      </c>
      <c r="F39" s="136">
        <v>15911</v>
      </c>
      <c r="G39" s="136">
        <v>3000</v>
      </c>
      <c r="H39" s="136">
        <f>ROUND(+G39*(1+Assumptions!H7),0)</f>
        <v>3327</v>
      </c>
      <c r="I39" s="136">
        <f>ROUND(+H39*(1+Assumptions!I7),0)</f>
        <v>3693</v>
      </c>
      <c r="J39" s="136">
        <f>ROUND(+I39*(1+Assumptions!J7),0)</f>
        <v>4099</v>
      </c>
      <c r="K39" s="136">
        <f>ROUND(+J39*(1+Assumptions!K7),0)</f>
        <v>4550</v>
      </c>
      <c r="L39" s="136">
        <f>ROUND(+K39*(1+Assumptions!L7),0)</f>
        <v>5051</v>
      </c>
      <c r="M39" s="136">
        <f>ROUND(+L39*(1+Assumptions!M7),0)</f>
        <v>5607</v>
      </c>
      <c r="N39" s="136">
        <f>ROUND(+M39*(1+Assumptions!N7),0)</f>
        <v>6224</v>
      </c>
      <c r="O39" s="136">
        <f>ROUND(+N39*(1+Assumptions!O7),0)</f>
        <v>6909</v>
      </c>
      <c r="P39" s="136">
        <f>ROUND(+O39*(1+Assumptions!P7),0)</f>
        <v>7669</v>
      </c>
      <c r="Q39" s="136">
        <f>ROUND(+P39*(1+Assumptions!Q7),0)</f>
        <v>8513</v>
      </c>
      <c r="R39" s="1"/>
    </row>
    <row r="40" spans="1:18" x14ac:dyDescent="0.25">
      <c r="A40" s="135" t="s">
        <v>242</v>
      </c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</row>
    <row r="41" spans="1:18" x14ac:dyDescent="0.25">
      <c r="A41" s="5" t="s">
        <v>241</v>
      </c>
      <c r="B41" s="5"/>
      <c r="C41" s="5"/>
      <c r="D41" s="8">
        <f>SUM(D38:D40)</f>
        <v>3359.7996449866669</v>
      </c>
      <c r="E41" s="8">
        <f t="shared" ref="E41:N41" si="42">SUM(E38:E40)</f>
        <v>3607.416666666667</v>
      </c>
      <c r="F41" s="8">
        <f t="shared" si="42"/>
        <v>17419.979166666668</v>
      </c>
      <c r="G41" s="8">
        <f t="shared" si="42"/>
        <v>5219.8333333333339</v>
      </c>
      <c r="H41" s="8">
        <f t="shared" si="42"/>
        <v>6052.54</v>
      </c>
      <c r="I41" s="8">
        <f t="shared" si="42"/>
        <v>7018.1433333333334</v>
      </c>
      <c r="J41" s="8">
        <f t="shared" si="42"/>
        <v>8155.6966666666667</v>
      </c>
      <c r="K41" s="8">
        <f t="shared" si="42"/>
        <v>9499.2333333333336</v>
      </c>
      <c r="L41" s="8">
        <f t="shared" si="42"/>
        <v>11089.029999999999</v>
      </c>
      <c r="M41" s="8">
        <f t="shared" si="42"/>
        <v>12973.376666666667</v>
      </c>
      <c r="N41" s="8">
        <f t="shared" si="42"/>
        <v>15210.97</v>
      </c>
      <c r="O41" s="8">
        <f t="shared" ref="O41:Q41" si="43">SUM(O38:O40)</f>
        <v>17873.120000000003</v>
      </c>
      <c r="P41" s="8">
        <f t="shared" si="43"/>
        <v>21045.123333333337</v>
      </c>
      <c r="Q41" s="8">
        <f t="shared" si="43"/>
        <v>24831.903333333335</v>
      </c>
    </row>
    <row r="43" spans="1:18" ht="18.75" x14ac:dyDescent="0.3">
      <c r="A43" s="274" t="s">
        <v>697</v>
      </c>
      <c r="I43" s="1"/>
      <c r="J43" s="1"/>
      <c r="K43" s="1"/>
      <c r="L43" s="1"/>
      <c r="M43" s="1"/>
      <c r="N43" s="1"/>
      <c r="O43" s="1"/>
      <c r="P43" s="1"/>
      <c r="Q43" s="1"/>
    </row>
    <row r="44" spans="1:18" x14ac:dyDescent="0.25">
      <c r="C44" s="151">
        <f>+C1</f>
        <v>2008</v>
      </c>
      <c r="D44" s="151">
        <f>+D1</f>
        <v>2009</v>
      </c>
      <c r="E44" s="151">
        <f t="shared" ref="E44:Q44" si="44">+E1</f>
        <v>2010</v>
      </c>
      <c r="F44" s="151">
        <f t="shared" si="44"/>
        <v>2011</v>
      </c>
      <c r="G44" s="151">
        <f t="shared" si="44"/>
        <v>2012</v>
      </c>
      <c r="H44" s="151">
        <f t="shared" si="44"/>
        <v>2013</v>
      </c>
      <c r="I44" s="151">
        <f t="shared" si="44"/>
        <v>2014</v>
      </c>
      <c r="J44" s="151">
        <f t="shared" si="44"/>
        <v>2015</v>
      </c>
      <c r="K44" s="151">
        <f t="shared" si="44"/>
        <v>2016</v>
      </c>
      <c r="L44" s="151">
        <f t="shared" si="44"/>
        <v>2017</v>
      </c>
      <c r="M44" s="151">
        <f t="shared" si="44"/>
        <v>2018</v>
      </c>
      <c r="N44" s="151">
        <f t="shared" si="44"/>
        <v>2019</v>
      </c>
      <c r="O44" s="151">
        <f t="shared" si="44"/>
        <v>2020</v>
      </c>
      <c r="P44" s="151">
        <f t="shared" si="44"/>
        <v>2021</v>
      </c>
      <c r="Q44" s="151">
        <f t="shared" si="44"/>
        <v>2022</v>
      </c>
    </row>
    <row r="45" spans="1:18" x14ac:dyDescent="0.25">
      <c r="A45" s="166" t="s">
        <v>705</v>
      </c>
      <c r="C45" s="39">
        <f>+C6</f>
        <v>79437</v>
      </c>
      <c r="D45" s="39">
        <f>+D6</f>
        <v>87292.764613915599</v>
      </c>
      <c r="E45" s="39">
        <f t="shared" ref="E45:Q45" si="45">+E6</f>
        <v>134353</v>
      </c>
      <c r="F45" s="39">
        <f t="shared" si="45"/>
        <v>150102</v>
      </c>
      <c r="G45" s="39">
        <f t="shared" ca="1" si="45"/>
        <v>144290.58284694495</v>
      </c>
      <c r="H45" s="39">
        <f t="shared" ca="1" si="45"/>
        <v>171137.60098569011</v>
      </c>
      <c r="I45" s="39">
        <f t="shared" ca="1" si="45"/>
        <v>187074.39870283278</v>
      </c>
      <c r="J45" s="39">
        <f t="shared" ca="1" si="45"/>
        <v>195093.40781196184</v>
      </c>
      <c r="K45" s="39">
        <f t="shared" ca="1" si="45"/>
        <v>216299.1557334369</v>
      </c>
      <c r="L45" s="39">
        <f t="shared" ca="1" si="45"/>
        <v>240022.31082719238</v>
      </c>
      <c r="M45" s="39">
        <f t="shared" ca="1" si="45"/>
        <v>266589.8246478478</v>
      </c>
      <c r="N45" s="39">
        <f t="shared" ca="1" si="45"/>
        <v>296374.09298414981</v>
      </c>
      <c r="O45" s="39">
        <f t="shared" ca="1" si="45"/>
        <v>337146.99112179817</v>
      </c>
      <c r="P45" s="39">
        <f t="shared" ca="1" si="45"/>
        <v>383684.72232732055</v>
      </c>
      <c r="Q45" s="39">
        <f t="shared" ca="1" si="45"/>
        <v>438588.16433480894</v>
      </c>
    </row>
    <row r="46" spans="1:18" x14ac:dyDescent="0.25">
      <c r="A46" s="166" t="s">
        <v>18</v>
      </c>
      <c r="C46" s="39">
        <f>+C16</f>
        <v>31430.999980567747</v>
      </c>
      <c r="D46" s="39">
        <f>+D16</f>
        <v>64762.000081363251</v>
      </c>
      <c r="E46" s="39">
        <f t="shared" ref="E46:Q46" si="46">+E16</f>
        <v>32918.000027715898</v>
      </c>
      <c r="F46" s="39">
        <f t="shared" ca="1" si="46"/>
        <v>27408.239922310335</v>
      </c>
      <c r="G46" s="39">
        <f t="shared" ca="1" si="46"/>
        <v>25908.400000000001</v>
      </c>
      <c r="H46" s="39">
        <f t="shared" ca="1" si="46"/>
        <v>24038.599971834996</v>
      </c>
      <c r="I46" s="39">
        <f t="shared" ca="1" si="46"/>
        <v>21433.860357744477</v>
      </c>
      <c r="J46" s="39">
        <f t="shared" ca="1" si="46"/>
        <v>27834.577736408457</v>
      </c>
      <c r="K46" s="39">
        <f t="shared" ca="1" si="46"/>
        <v>34824.908633882485</v>
      </c>
      <c r="L46" s="39">
        <f t="shared" ca="1" si="46"/>
        <v>39563.535772193471</v>
      </c>
      <c r="M46" s="39">
        <f t="shared" ca="1" si="46"/>
        <v>44994.511627463238</v>
      </c>
      <c r="N46" s="39">
        <f t="shared" ca="1" si="46"/>
        <v>51228.483975595111</v>
      </c>
      <c r="O46" s="39">
        <f t="shared" ca="1" si="46"/>
        <v>58395.177073873412</v>
      </c>
      <c r="P46" s="39">
        <f t="shared" ca="1" si="46"/>
        <v>66646.887936374915</v>
      </c>
      <c r="Q46" s="39">
        <f t="shared" ca="1" si="46"/>
        <v>76163.801399460906</v>
      </c>
    </row>
    <row r="47" spans="1:18" x14ac:dyDescent="0.25">
      <c r="A47" s="166" t="s">
        <v>706</v>
      </c>
      <c r="C47" s="1">
        <f>+C46+C45</f>
        <v>110867.99998056775</v>
      </c>
      <c r="D47" s="1">
        <f>+D46+D45</f>
        <v>152054.76469527883</v>
      </c>
      <c r="E47" s="1">
        <f t="shared" ref="E47:Q47" si="47">+E46+E45</f>
        <v>167271.0000277159</v>
      </c>
      <c r="F47" s="1">
        <f t="shared" ca="1" si="47"/>
        <v>177510.23992231034</v>
      </c>
      <c r="G47" s="1">
        <f t="shared" ca="1" si="47"/>
        <v>170198.98284694494</v>
      </c>
      <c r="H47" s="1">
        <f t="shared" ca="1" si="47"/>
        <v>195176.20095752511</v>
      </c>
      <c r="I47" s="1">
        <f t="shared" ca="1" si="47"/>
        <v>208508.25906057726</v>
      </c>
      <c r="J47" s="1">
        <f t="shared" ca="1" si="47"/>
        <v>222927.98554837028</v>
      </c>
      <c r="K47" s="1">
        <f t="shared" ca="1" si="47"/>
        <v>251124.0643673194</v>
      </c>
      <c r="L47" s="1">
        <f t="shared" ca="1" si="47"/>
        <v>279585.84659938584</v>
      </c>
      <c r="M47" s="1">
        <f t="shared" ca="1" si="47"/>
        <v>311584.33627531101</v>
      </c>
      <c r="N47" s="1">
        <f t="shared" ca="1" si="47"/>
        <v>347602.57695974491</v>
      </c>
      <c r="O47" s="1">
        <f t="shared" ca="1" si="47"/>
        <v>395542.16819567158</v>
      </c>
      <c r="P47" s="1">
        <f t="shared" ca="1" si="47"/>
        <v>450331.61026369547</v>
      </c>
      <c r="Q47" s="1">
        <f t="shared" ca="1" si="47"/>
        <v>514751.96573426982</v>
      </c>
    </row>
    <row r="48" spans="1:18" x14ac:dyDescent="0.25">
      <c r="A48" s="166" t="s">
        <v>698</v>
      </c>
      <c r="B48" s="7"/>
      <c r="C48" s="3">
        <f>+C49/C47</f>
        <v>0.40535591864796605</v>
      </c>
      <c r="D48" s="3">
        <f>+D49/D47</f>
        <v>0.57665382560244649</v>
      </c>
      <c r="E48" s="3">
        <f t="shared" ref="E48:G48" si="48">+E49/E47</f>
        <v>0.68685956323777309</v>
      </c>
      <c r="F48" s="3">
        <f t="shared" ca="1" si="48"/>
        <v>0.65792366671870084</v>
      </c>
      <c r="G48" s="3">
        <f t="shared" ca="1" si="48"/>
        <v>0.7022398080142126</v>
      </c>
      <c r="H48" s="676">
        <v>0.67</v>
      </c>
      <c r="I48" s="676">
        <v>0.67</v>
      </c>
      <c r="J48" s="676">
        <v>0.67</v>
      </c>
      <c r="K48" s="676">
        <v>0.67</v>
      </c>
      <c r="L48" s="676">
        <v>0.67</v>
      </c>
      <c r="M48" s="676">
        <v>0.67</v>
      </c>
      <c r="N48" s="676">
        <v>0.67</v>
      </c>
      <c r="O48" s="676">
        <v>0.67</v>
      </c>
      <c r="P48" s="676">
        <v>0.67</v>
      </c>
      <c r="Q48" s="676">
        <v>0.67</v>
      </c>
    </row>
    <row r="49" spans="1:18" x14ac:dyDescent="0.25">
      <c r="A49" s="166" t="s">
        <v>701</v>
      </c>
      <c r="B49" s="166" t="s">
        <v>133</v>
      </c>
      <c r="C49" s="1">
        <f t="shared" ref="C49" si="49">+C36</f>
        <v>44940.999980785724</v>
      </c>
      <c r="D49" s="1">
        <f t="shared" ref="D49:F49" si="50">+D36</f>
        <v>87682.961762612365</v>
      </c>
      <c r="E49" s="1">
        <f t="shared" si="50"/>
        <v>114891.68602138247</v>
      </c>
      <c r="F49" s="1">
        <f t="shared" ca="1" si="50"/>
        <v>116788.18792980273</v>
      </c>
      <c r="G49" s="1">
        <f ca="1">+G36</f>
        <v>119520.50103865287</v>
      </c>
      <c r="H49" s="1">
        <f ca="1">ROUND(H47*H48,0)</f>
        <v>130768</v>
      </c>
      <c r="I49" s="1">
        <f t="shared" ref="I49:Q49" ca="1" si="51">ROUND(I47*I48,0)</f>
        <v>139701</v>
      </c>
      <c r="J49" s="1">
        <f t="shared" ca="1" si="51"/>
        <v>149362</v>
      </c>
      <c r="K49" s="1">
        <f t="shared" ca="1" si="51"/>
        <v>168253</v>
      </c>
      <c r="L49" s="1">
        <f t="shared" ca="1" si="51"/>
        <v>187323</v>
      </c>
      <c r="M49" s="1">
        <f t="shared" ca="1" si="51"/>
        <v>208762</v>
      </c>
      <c r="N49" s="1">
        <f t="shared" ca="1" si="51"/>
        <v>232894</v>
      </c>
      <c r="O49" s="1">
        <f t="shared" ca="1" si="51"/>
        <v>265013</v>
      </c>
      <c r="P49" s="1">
        <f t="shared" ca="1" si="51"/>
        <v>301722</v>
      </c>
      <c r="Q49" s="1">
        <f t="shared" ca="1" si="51"/>
        <v>344884</v>
      </c>
    </row>
    <row r="50" spans="1:18" x14ac:dyDescent="0.25">
      <c r="A50" s="166" t="s">
        <v>700</v>
      </c>
      <c r="C50" s="1">
        <f t="shared" ref="C50" si="52">+C47-C49</f>
        <v>65926.999999782027</v>
      </c>
      <c r="D50" s="1">
        <f t="shared" ref="D50:F50" si="53">+D47-D49</f>
        <v>64371.802932666469</v>
      </c>
      <c r="E50" s="1">
        <f t="shared" si="53"/>
        <v>52379.314006333429</v>
      </c>
      <c r="F50" s="1">
        <f t="shared" ca="1" si="53"/>
        <v>60722.051992507608</v>
      </c>
      <c r="G50" s="1">
        <f ca="1">+G47-G49</f>
        <v>50678.481808292068</v>
      </c>
      <c r="H50" s="276">
        <v>60000</v>
      </c>
      <c r="I50" s="276">
        <f t="shared" ref="I50:Q50" si="54">ROUND(+H50*(1+$R$50),0)</f>
        <v>64800</v>
      </c>
      <c r="J50" s="276">
        <f t="shared" si="54"/>
        <v>69984</v>
      </c>
      <c r="K50" s="276">
        <f t="shared" si="54"/>
        <v>75583</v>
      </c>
      <c r="L50" s="276">
        <f t="shared" si="54"/>
        <v>81630</v>
      </c>
      <c r="M50" s="276">
        <f t="shared" si="54"/>
        <v>88160</v>
      </c>
      <c r="N50" s="276">
        <f t="shared" si="54"/>
        <v>95213</v>
      </c>
      <c r="O50" s="276">
        <f t="shared" si="54"/>
        <v>102830</v>
      </c>
      <c r="P50" s="276">
        <f t="shared" si="54"/>
        <v>111056</v>
      </c>
      <c r="Q50" s="276">
        <f t="shared" si="54"/>
        <v>119940</v>
      </c>
      <c r="R50" s="719">
        <v>0.08</v>
      </c>
    </row>
    <row r="51" spans="1:18" x14ac:dyDescent="0.25">
      <c r="A51" s="166" t="s">
        <v>701</v>
      </c>
      <c r="B51" s="166" t="s">
        <v>134</v>
      </c>
      <c r="C51" s="1">
        <f t="shared" ref="C51" si="55">+C49</f>
        <v>44940.999980785724</v>
      </c>
      <c r="D51" s="1">
        <f t="shared" ref="D51:F51" si="56">+D49</f>
        <v>87682.961762612365</v>
      </c>
      <c r="E51" s="1">
        <f t="shared" si="56"/>
        <v>114891.68602138247</v>
      </c>
      <c r="F51" s="1">
        <f t="shared" ca="1" si="56"/>
        <v>116788.18792980273</v>
      </c>
      <c r="G51" s="1">
        <f ca="1">+G49</f>
        <v>119520.50103865287</v>
      </c>
      <c r="H51" s="1">
        <f ca="1">+H47-H50</f>
        <v>135176.20095752511</v>
      </c>
      <c r="I51" s="1">
        <f t="shared" ref="I51:Q51" ca="1" si="57">+I47-I50</f>
        <v>143708.25906057726</v>
      </c>
      <c r="J51" s="1">
        <f t="shared" ca="1" si="57"/>
        <v>152943.98554837028</v>
      </c>
      <c r="K51" s="1">
        <f t="shared" ca="1" si="57"/>
        <v>175541.0643673194</v>
      </c>
      <c r="L51" s="1">
        <f t="shared" ca="1" si="57"/>
        <v>197955.84659938584</v>
      </c>
      <c r="M51" s="1">
        <f t="shared" ca="1" si="57"/>
        <v>223424.33627531101</v>
      </c>
      <c r="N51" s="1">
        <f t="shared" ca="1" si="57"/>
        <v>252389.57695974491</v>
      </c>
      <c r="O51" s="1">
        <f t="shared" ca="1" si="57"/>
        <v>292712.16819567158</v>
      </c>
      <c r="P51" s="1">
        <f t="shared" ca="1" si="57"/>
        <v>339275.61026369547</v>
      </c>
      <c r="Q51" s="1">
        <f t="shared" ca="1" si="57"/>
        <v>394811.96573426982</v>
      </c>
    </row>
    <row r="53" spans="1:18" x14ac:dyDescent="0.25">
      <c r="A53" s="151" t="s">
        <v>699</v>
      </c>
      <c r="B53" s="709" t="s">
        <v>707</v>
      </c>
      <c r="C53" s="8">
        <f>IF($B$53=$B$49,C49,0)+IF($B$53=$B$51,C51,0)+IF($B$53=$B$36,C36,0)</f>
        <v>44940.999980785724</v>
      </c>
      <c r="D53" s="8">
        <f>IF($B$53=$B$49,D49,0)+IF($B$53=$B$51,D51,0)+IF($B$53=$B$36,D36,0)</f>
        <v>87682.961762612365</v>
      </c>
      <c r="E53" s="8">
        <f t="shared" ref="E53:Q53" si="58">IF($B$53=$B$49,E49,0)+IF($B$53=$B$51,E51,0)+IF($B$53=$B$36,E36,0)</f>
        <v>114891.68602138247</v>
      </c>
      <c r="F53" s="8">
        <f t="shared" ca="1" si="58"/>
        <v>116788.18792980273</v>
      </c>
      <c r="G53" s="8">
        <f t="shared" ca="1" si="58"/>
        <v>119520.50103865287</v>
      </c>
      <c r="H53" s="8">
        <f t="shared" ca="1" si="58"/>
        <v>135176.20095752511</v>
      </c>
      <c r="I53" s="8">
        <f t="shared" ca="1" si="58"/>
        <v>143708.25906057726</v>
      </c>
      <c r="J53" s="8">
        <f t="shared" ca="1" si="58"/>
        <v>152943.98554837028</v>
      </c>
      <c r="K53" s="8">
        <f t="shared" ca="1" si="58"/>
        <v>175541.0643673194</v>
      </c>
      <c r="L53" s="8">
        <f t="shared" ca="1" si="58"/>
        <v>197955.84659938584</v>
      </c>
      <c r="M53" s="8">
        <f t="shared" ca="1" si="58"/>
        <v>223424.33627531101</v>
      </c>
      <c r="N53" s="8">
        <f t="shared" ca="1" si="58"/>
        <v>252389.57695974491</v>
      </c>
      <c r="O53" s="8">
        <f t="shared" ca="1" si="58"/>
        <v>292712.16819567158</v>
      </c>
      <c r="P53" s="8">
        <f t="shared" ca="1" si="58"/>
        <v>339275.61026369547</v>
      </c>
      <c r="Q53" s="8">
        <f t="shared" ca="1" si="58"/>
        <v>394811.96573426982</v>
      </c>
    </row>
    <row r="54" spans="1:18" x14ac:dyDescent="0.25">
      <c r="C54" s="1"/>
      <c r="D54" s="1"/>
      <c r="E54" s="1"/>
      <c r="F54" s="1"/>
      <c r="G54" s="1"/>
    </row>
    <row r="55" spans="1:18" x14ac:dyDescent="0.25">
      <c r="B55" s="166"/>
      <c r="D55" s="1"/>
      <c r="E55" s="1"/>
      <c r="F55" s="1"/>
    </row>
  </sheetData>
  <phoneticPr fontId="2" type="noConversion"/>
  <printOptions horizontalCentered="1" headings="1"/>
  <pageMargins left="0.59055118110236204" right="0.59055118110236204" top="0.59055118110236204" bottom="0.59055118110236204" header="0.511811023622047" footer="0.31496062992126"/>
  <pageSetup paperSize="9" scale="63" orientation="portrait" r:id="rId1"/>
  <headerFooter alignWithMargins="0">
    <oddFooter>&amp;L&amp;F -&amp;A&amp;C&amp;P/&amp;N&amp;R&amp;D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AG253"/>
  <sheetViews>
    <sheetView workbookViewId="0"/>
  </sheetViews>
  <sheetFormatPr defaultRowHeight="15.75" outlineLevelCol="1" x14ac:dyDescent="0.25"/>
  <cols>
    <col min="1" max="1" width="28.75" bestFit="1" customWidth="1"/>
    <col min="3" max="3" width="9" outlineLevel="1"/>
    <col min="4" max="4" width="9.875" bestFit="1" customWidth="1"/>
    <col min="7" max="7" width="9.5" bestFit="1" customWidth="1"/>
    <col min="9" max="10" width="9.875" bestFit="1" customWidth="1"/>
    <col min="12" max="13" width="9.875" bestFit="1" customWidth="1"/>
    <col min="14" max="14" width="9.375" bestFit="1" customWidth="1"/>
    <col min="15" max="17" width="9.375" customWidth="1"/>
  </cols>
  <sheetData>
    <row r="2" spans="1:23" x14ac:dyDescent="0.25">
      <c r="A2" s="91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</row>
    <row r="3" spans="1:23" ht="7.15" customHeight="1" x14ac:dyDescent="0.25"/>
    <row r="4" spans="1:23" ht="18.75" x14ac:dyDescent="0.25">
      <c r="A4" s="223" t="s">
        <v>311</v>
      </c>
      <c r="B4" s="180">
        <f>+PL!B2</f>
        <v>2007</v>
      </c>
      <c r="C4" s="180">
        <f t="shared" ref="C4:N4" si="0">1+B4</f>
        <v>2008</v>
      </c>
      <c r="D4" s="180">
        <f t="shared" si="0"/>
        <v>2009</v>
      </c>
      <c r="E4" s="180">
        <f t="shared" si="0"/>
        <v>2010</v>
      </c>
      <c r="F4" s="180">
        <f t="shared" si="0"/>
        <v>2011</v>
      </c>
      <c r="G4" s="180">
        <f t="shared" si="0"/>
        <v>2012</v>
      </c>
      <c r="H4" s="180">
        <f t="shared" si="0"/>
        <v>2013</v>
      </c>
      <c r="I4" s="180">
        <f t="shared" si="0"/>
        <v>2014</v>
      </c>
      <c r="J4" s="180">
        <f t="shared" si="0"/>
        <v>2015</v>
      </c>
      <c r="K4" s="180">
        <f t="shared" si="0"/>
        <v>2016</v>
      </c>
      <c r="L4" s="180">
        <f t="shared" si="0"/>
        <v>2017</v>
      </c>
      <c r="M4" s="180">
        <f t="shared" si="0"/>
        <v>2018</v>
      </c>
      <c r="N4" s="224">
        <f t="shared" si="0"/>
        <v>2019</v>
      </c>
      <c r="O4" s="224">
        <f t="shared" ref="O4" si="1">1+N4</f>
        <v>2020</v>
      </c>
      <c r="P4" s="224">
        <f t="shared" ref="P4" si="2">1+O4</f>
        <v>2021</v>
      </c>
      <c r="Q4" s="224">
        <f t="shared" ref="Q4" si="3">1+P4</f>
        <v>2022</v>
      </c>
      <c r="R4" s="5"/>
      <c r="S4" s="5"/>
    </row>
    <row r="5" spans="1:23" ht="7.15" customHeight="1" x14ac:dyDescent="0.25"/>
    <row r="6" spans="1:23" x14ac:dyDescent="0.25">
      <c r="A6" s="26" t="s">
        <v>396</v>
      </c>
      <c r="B6" s="1">
        <f>93540-B7</f>
        <v>62850.899999999994</v>
      </c>
      <c r="C6" s="1">
        <f t="shared" ref="C6:N6" si="4">+C52+C94+C137</f>
        <v>79458.550340000002</v>
      </c>
      <c r="D6" s="1">
        <f t="shared" si="4"/>
        <v>60309.619372442001</v>
      </c>
      <c r="E6" s="1">
        <f t="shared" si="4"/>
        <v>94218</v>
      </c>
      <c r="F6" s="1">
        <f t="shared" si="4"/>
        <v>90116.800000000003</v>
      </c>
      <c r="G6" s="1">
        <f t="shared" ca="1" si="4"/>
        <v>86574.349708166963</v>
      </c>
      <c r="H6" s="1">
        <f t="shared" ca="1" si="4"/>
        <v>104778.12305246333</v>
      </c>
      <c r="I6" s="1">
        <f t="shared" ca="1" si="4"/>
        <v>116921.4991892705</v>
      </c>
      <c r="J6" s="1">
        <f t="shared" ca="1" si="4"/>
        <v>124527.70711401819</v>
      </c>
      <c r="K6" s="1">
        <f t="shared" ca="1" si="4"/>
        <v>141064.66678267624</v>
      </c>
      <c r="L6" s="1">
        <f t="shared" ca="1" si="4"/>
        <v>160014.87388479491</v>
      </c>
      <c r="M6" s="1">
        <f t="shared" ca="1" si="4"/>
        <v>181765.78953262349</v>
      </c>
      <c r="N6" s="1">
        <f t="shared" ca="1" si="4"/>
        <v>206772.62301219755</v>
      </c>
      <c r="O6" s="1">
        <f t="shared" ref="O6:Q6" ca="1" si="5">+O52+O94+O137</f>
        <v>235218.83101520804</v>
      </c>
      <c r="P6" s="1">
        <f t="shared" ca="1" si="5"/>
        <v>267687.01557720039</v>
      </c>
      <c r="Q6" s="1">
        <f t="shared" ca="1" si="5"/>
        <v>305991.74255916901</v>
      </c>
      <c r="R6" s="1"/>
      <c r="S6" s="1"/>
    </row>
    <row r="7" spans="1:23" x14ac:dyDescent="0.25">
      <c r="A7" s="26" t="s">
        <v>397</v>
      </c>
      <c r="B7" s="1">
        <f>23607*1.3</f>
        <v>30689.100000000002</v>
      </c>
      <c r="C7" s="1">
        <f t="shared" ref="C7:H7" si="6">+C136</f>
        <v>54671.291919999996</v>
      </c>
      <c r="D7" s="1">
        <f t="shared" si="6"/>
        <v>13608</v>
      </c>
      <c r="E7" s="1">
        <f t="shared" si="6"/>
        <v>73342.19981090448</v>
      </c>
      <c r="F7" s="1">
        <f t="shared" si="6"/>
        <v>65978</v>
      </c>
      <c r="G7" s="1">
        <f t="shared" si="6"/>
        <v>87885</v>
      </c>
      <c r="H7" s="1">
        <f t="shared" si="6"/>
        <v>110157.336828</v>
      </c>
      <c r="I7" s="1">
        <f t="shared" ref="I7:N7" si="7">+I136</f>
        <v>169798.59735300002</v>
      </c>
      <c r="J7" s="1">
        <f t="shared" si="7"/>
        <v>241234.36207101002</v>
      </c>
      <c r="K7" s="1">
        <f t="shared" si="7"/>
        <v>273219.31286149507</v>
      </c>
      <c r="L7" s="1">
        <f t="shared" si="7"/>
        <v>309617.58971785952</v>
      </c>
      <c r="M7" s="1">
        <f t="shared" si="7"/>
        <v>350712.29247228423</v>
      </c>
      <c r="N7" s="1">
        <f t="shared" si="7"/>
        <v>397155.75706506422</v>
      </c>
      <c r="O7" s="1">
        <f t="shared" ref="O7:Q7" si="8">+O136</f>
        <v>450126.26635315729</v>
      </c>
      <c r="P7" s="1">
        <f t="shared" si="8"/>
        <v>510025.82162586716</v>
      </c>
      <c r="Q7" s="1">
        <f t="shared" si="8"/>
        <v>577597.87682856934</v>
      </c>
      <c r="R7" s="1"/>
      <c r="S7" s="1"/>
    </row>
    <row r="8" spans="1:23" s="5" customFormat="1" x14ac:dyDescent="0.25">
      <c r="A8" s="5" t="s">
        <v>398</v>
      </c>
      <c r="B8" s="8">
        <f t="shared" ref="B8:H8" si="9">SUM(B6:B7)</f>
        <v>93540</v>
      </c>
      <c r="C8" s="8">
        <f t="shared" si="9"/>
        <v>134129.84226</v>
      </c>
      <c r="D8" s="8">
        <f t="shared" si="9"/>
        <v>73917.619372442001</v>
      </c>
      <c r="E8" s="8">
        <f t="shared" si="9"/>
        <v>167560.19981090448</v>
      </c>
      <c r="F8" s="8">
        <f t="shared" si="9"/>
        <v>156094.79999999999</v>
      </c>
      <c r="G8" s="8">
        <f t="shared" ca="1" si="9"/>
        <v>174459.34970816696</v>
      </c>
      <c r="H8" s="8">
        <f t="shared" ca="1" si="9"/>
        <v>214935.45988046331</v>
      </c>
      <c r="I8" s="8">
        <f t="shared" ref="I8:N8" ca="1" si="10">SUM(I6:I7)</f>
        <v>286720.0965422705</v>
      </c>
      <c r="J8" s="8">
        <f t="shared" ca="1" si="10"/>
        <v>365762.0691850282</v>
      </c>
      <c r="K8" s="8">
        <f t="shared" ca="1" si="10"/>
        <v>414283.97964417131</v>
      </c>
      <c r="L8" s="8">
        <f t="shared" ca="1" si="10"/>
        <v>469632.4636026544</v>
      </c>
      <c r="M8" s="8">
        <f t="shared" ca="1" si="10"/>
        <v>532478.08200490777</v>
      </c>
      <c r="N8" s="8">
        <f t="shared" ca="1" si="10"/>
        <v>603928.38007726171</v>
      </c>
      <c r="O8" s="8">
        <f t="shared" ref="O8:Q8" ca="1" si="11">SUM(O6:O7)</f>
        <v>685345.09736836539</v>
      </c>
      <c r="P8" s="8">
        <f t="shared" ca="1" si="11"/>
        <v>777712.83720306749</v>
      </c>
      <c r="Q8" s="8">
        <f t="shared" ca="1" si="11"/>
        <v>883589.61938773841</v>
      </c>
      <c r="R8" s="8"/>
      <c r="S8" s="8"/>
    </row>
    <row r="9" spans="1:23" s="26" customFormat="1" ht="18.75" x14ac:dyDescent="0.35">
      <c r="A9" s="26" t="s">
        <v>399</v>
      </c>
      <c r="B9" s="72"/>
      <c r="C9" s="115">
        <f>+Assumptions!C15+Assumptions!C16</f>
        <v>101</v>
      </c>
      <c r="D9" s="115">
        <f>+Assumptions!D15+Assumptions!D16</f>
        <v>74.5</v>
      </c>
      <c r="E9" s="115">
        <f>+Assumptions!E15+Assumptions!E16</f>
        <v>170.3</v>
      </c>
      <c r="F9" s="115">
        <f>+Assumptions!F15+Assumptions!F16</f>
        <v>116.3</v>
      </c>
      <c r="G9" s="115">
        <f>+Assumptions!G14</f>
        <v>110</v>
      </c>
      <c r="H9" s="115">
        <f>+Assumptions!H14</f>
        <v>120</v>
      </c>
      <c r="I9" s="115">
        <f>+Assumptions!I14</f>
        <v>125</v>
      </c>
      <c r="J9" s="115">
        <f>+Assumptions!J14</f>
        <v>130</v>
      </c>
      <c r="K9" s="115">
        <f>+Assumptions!K14</f>
        <v>130</v>
      </c>
      <c r="L9" s="115">
        <f>+Assumptions!L14</f>
        <v>130</v>
      </c>
      <c r="M9" s="115">
        <f>+Assumptions!M14</f>
        <v>130</v>
      </c>
      <c r="N9" s="115">
        <f>+Assumptions!N14</f>
        <v>130</v>
      </c>
      <c r="O9" s="115">
        <f>+Assumptions!O14</f>
        <v>130</v>
      </c>
      <c r="P9" s="115">
        <f>+Assumptions!P14</f>
        <v>130</v>
      </c>
      <c r="Q9" s="115">
        <f>+Assumptions!Q14</f>
        <v>130</v>
      </c>
      <c r="R9" s="115"/>
      <c r="S9" s="115"/>
    </row>
    <row r="10" spans="1:23" x14ac:dyDescent="0.25">
      <c r="A10" s="26" t="s">
        <v>583</v>
      </c>
      <c r="B10" s="646">
        <f>B7/B8</f>
        <v>0.32808531109685696</v>
      </c>
      <c r="C10" s="646">
        <f t="shared" ref="C10:N10" si="12">C7/C8</f>
        <v>0.40759976302681439</v>
      </c>
      <c r="D10" s="646">
        <f t="shared" si="12"/>
        <v>0.18409683801414931</v>
      </c>
      <c r="E10" s="646">
        <f t="shared" si="12"/>
        <v>0.43770656691548965</v>
      </c>
      <c r="F10" s="646">
        <f t="shared" si="12"/>
        <v>0.42267903863549589</v>
      </c>
      <c r="G10" s="646">
        <f t="shared" ca="1" si="12"/>
        <v>0.50375632000814363</v>
      </c>
      <c r="H10" s="646">
        <f t="shared" ca="1" si="12"/>
        <v>0.51251355587981695</v>
      </c>
      <c r="I10" s="646">
        <f t="shared" ca="1" si="12"/>
        <v>0.59221031033646776</v>
      </c>
      <c r="J10" s="646">
        <f t="shared" ca="1" si="12"/>
        <v>0.6595390347843223</v>
      </c>
      <c r="K10" s="646">
        <f t="shared" ca="1" si="12"/>
        <v>0.65949765447402353</v>
      </c>
      <c r="L10" s="646">
        <f t="shared" ca="1" si="12"/>
        <v>0.65927637826123553</v>
      </c>
      <c r="M10" s="646">
        <f t="shared" ca="1" si="12"/>
        <v>0.65864174380993912</v>
      </c>
      <c r="N10" s="646">
        <f t="shared" ca="1" si="12"/>
        <v>0.65762062219075601</v>
      </c>
      <c r="O10" s="646">
        <f t="shared" ref="O10:Q10" ca="1" si="13">O7/O8</f>
        <v>0.65678775274176859</v>
      </c>
      <c r="P10" s="646">
        <f t="shared" ca="1" si="13"/>
        <v>0.65580224117182095</v>
      </c>
      <c r="Q10" s="646">
        <f t="shared" ca="1" si="13"/>
        <v>0.65369472904039039</v>
      </c>
    </row>
    <row r="11" spans="1:23" x14ac:dyDescent="0.25">
      <c r="A11" s="26" t="s">
        <v>655</v>
      </c>
      <c r="B11" s="3"/>
      <c r="C11" s="3"/>
      <c r="D11" s="3"/>
      <c r="E11" s="3"/>
      <c r="F11" s="3"/>
      <c r="G11" s="1">
        <f>+G7/G122</f>
        <v>46500</v>
      </c>
      <c r="H11" s="1">
        <f t="shared" ref="H11:N11" si="14">+H7/H122</f>
        <v>52985.731999999996</v>
      </c>
      <c r="I11" s="1">
        <f t="shared" si="14"/>
        <v>74248.37000000001</v>
      </c>
      <c r="J11" s="1">
        <f t="shared" si="14"/>
        <v>95895.739000000016</v>
      </c>
      <c r="K11" s="1">
        <f t="shared" si="14"/>
        <v>98736.755000000019</v>
      </c>
      <c r="L11" s="1">
        <f t="shared" si="14"/>
        <v>101718.60499999998</v>
      </c>
      <c r="M11" s="1">
        <f t="shared" si="14"/>
        <v>104744.94500000002</v>
      </c>
      <c r="N11" s="1">
        <f t="shared" si="14"/>
        <v>107832.64600000001</v>
      </c>
      <c r="O11" s="1">
        <f t="shared" ref="O11:Q11" si="15">+O7/O122</f>
        <v>111104.352</v>
      </c>
      <c r="P11" s="1">
        <f t="shared" si="15"/>
        <v>114444.83399999999</v>
      </c>
      <c r="Q11" s="1">
        <f t="shared" si="15"/>
        <v>117824.86</v>
      </c>
    </row>
    <row r="12" spans="1:23" x14ac:dyDescent="0.25">
      <c r="A12" s="26"/>
      <c r="B12" s="3"/>
      <c r="C12" s="3"/>
      <c r="D12" s="3"/>
      <c r="E12" s="3"/>
      <c r="F12" s="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23" ht="18.75" x14ac:dyDescent="0.25">
      <c r="A13" s="180" t="s">
        <v>510</v>
      </c>
      <c r="B13" s="180"/>
      <c r="C13" s="180">
        <f>+C$4</f>
        <v>2008</v>
      </c>
      <c r="D13" s="180">
        <f t="shared" ref="D13:Q13" si="16">+D$4</f>
        <v>2009</v>
      </c>
      <c r="E13" s="180">
        <f t="shared" si="16"/>
        <v>2010</v>
      </c>
      <c r="F13" s="180">
        <f t="shared" si="16"/>
        <v>2011</v>
      </c>
      <c r="G13" s="180">
        <f t="shared" si="16"/>
        <v>2012</v>
      </c>
      <c r="H13" s="180">
        <f t="shared" si="16"/>
        <v>2013</v>
      </c>
      <c r="I13" s="180">
        <f t="shared" si="16"/>
        <v>2014</v>
      </c>
      <c r="J13" s="180">
        <f t="shared" si="16"/>
        <v>2015</v>
      </c>
      <c r="K13" s="180">
        <f t="shared" si="16"/>
        <v>2016</v>
      </c>
      <c r="L13" s="180">
        <f t="shared" si="16"/>
        <v>2017</v>
      </c>
      <c r="M13" s="180">
        <f t="shared" si="16"/>
        <v>2018</v>
      </c>
      <c r="N13" s="224">
        <f t="shared" si="16"/>
        <v>2019</v>
      </c>
      <c r="O13" s="224">
        <f t="shared" si="16"/>
        <v>2020</v>
      </c>
      <c r="P13" s="224">
        <f t="shared" si="16"/>
        <v>2021</v>
      </c>
      <c r="Q13" s="224">
        <f t="shared" si="16"/>
        <v>2022</v>
      </c>
      <c r="R13" s="5"/>
      <c r="S13" s="5"/>
    </row>
    <row r="14" spans="1:23" s="26" customFormat="1" x14ac:dyDescent="0.25">
      <c r="A14" s="63" t="s">
        <v>111</v>
      </c>
      <c r="C14" s="256">
        <v>81.2</v>
      </c>
      <c r="D14" s="256">
        <v>56.6</v>
      </c>
      <c r="E14" s="366">
        <f>+(Assumptions!E15-Assumptions!E33)/Assumptions!E21*0+76*0.24/0.46*0+83.823</f>
        <v>83.822999999999993</v>
      </c>
      <c r="F14" s="366">
        <f>(+(Assumptions!F15-Assumptions!F33)/Assumptions!F21+76*0.24/0.46)*0+57.13</f>
        <v>57.13</v>
      </c>
      <c r="G14" s="525">
        <f>+(Assumptions!G15-Assumptions!G33)/Assumptions!G21*0+72.5-7.8</f>
        <v>64.7</v>
      </c>
      <c r="H14" s="256">
        <f>+(Assumptions!H15-Assumptions!H33)/Assumptions!H21+76*0.24/0.46-H55</f>
        <v>49.304869565217402</v>
      </c>
      <c r="I14" s="256">
        <f>+(Assumptions!I15-Assumptions!I33)/Assumptions!I21+76*0.24/0.46-I55</f>
        <v>49.145749565217407</v>
      </c>
      <c r="J14" s="256">
        <f>+(Assumptions!J15-Assumptions!J33)/Assumptions!J21+76*0.24/0.46-J55</f>
        <v>48.983447165217406</v>
      </c>
      <c r="K14" s="256">
        <f>+(Assumptions!K15-Assumptions!K33)/Assumptions!K21+76*0.24/0.46-K55</f>
        <v>48.817898717217403</v>
      </c>
      <c r="L14" s="256">
        <f>+(Assumptions!L15-Assumptions!L33)/Assumptions!L21+76*0.24/0.46-L55</f>
        <v>48.649039300257407</v>
      </c>
      <c r="M14" s="256">
        <f>+(Assumptions!M15-Assumptions!M33)/Assumptions!M21+76*0.24/0.46-M55</f>
        <v>48.476802694958202</v>
      </c>
      <c r="N14" s="256">
        <f>+(Assumptions!N15-Assumptions!N33)/Assumptions!N21+76*0.24/0.46-N55</f>
        <v>48.301121357553022</v>
      </c>
      <c r="O14" s="256">
        <f>+(Assumptions!O15-Assumptions!O33)/Assumptions!O21+76*0.24/0.46-O55</f>
        <v>48.121926393399733</v>
      </c>
      <c r="P14" s="256">
        <f>+(Assumptions!P15-Assumptions!P33)/Assumptions!P21+76*0.24/0.46-P55</f>
        <v>47.939147529963378</v>
      </c>
      <c r="Q14" s="256">
        <f>+(Assumptions!Q15-Assumptions!Q33)/Assumptions!Q21+76*0.24/0.46-Q55</f>
        <v>47.752713089258293</v>
      </c>
      <c r="R14" s="256"/>
      <c r="S14" s="38"/>
      <c r="T14" s="38"/>
      <c r="U14" s="38"/>
      <c r="V14" s="38"/>
      <c r="W14" s="38"/>
    </row>
    <row r="15" spans="1:23" s="26" customFormat="1" x14ac:dyDescent="0.25">
      <c r="A15" s="63" t="s">
        <v>112</v>
      </c>
      <c r="C15" s="256">
        <v>131.54</v>
      </c>
      <c r="D15" s="256">
        <v>109.95</v>
      </c>
      <c r="E15" s="366">
        <f>(+Assumptions!E49-76)*0+194.3</f>
        <v>194.3</v>
      </c>
      <c r="F15" s="366">
        <f>(+Assumptions!F49-76)*0+196.18</f>
        <v>196.18</v>
      </c>
      <c r="G15" s="525">
        <f>+Assumptions!G49*0+120.9-8.2</f>
        <v>112.7</v>
      </c>
      <c r="H15" s="256">
        <f>+Assumptions!H49-76-H56</f>
        <v>155.63599999999997</v>
      </c>
      <c r="I15" s="256">
        <f>+Assumptions!I49-76-I56</f>
        <v>155.46871999999996</v>
      </c>
      <c r="J15" s="256">
        <f>+Assumptions!J49-76-J56</f>
        <v>155.29809439999997</v>
      </c>
      <c r="K15" s="256">
        <f>+Assumptions!K49-76-K56</f>
        <v>155.12405628799996</v>
      </c>
      <c r="L15" s="256">
        <f>+Assumptions!L49-76-L56</f>
        <v>154.94653741375998</v>
      </c>
      <c r="M15" s="256">
        <f>+Assumptions!M49-76-M56</f>
        <v>154.76546816203518</v>
      </c>
      <c r="N15" s="256">
        <f>+Assumptions!N49-76-N56</f>
        <v>154.58077752527589</v>
      </c>
      <c r="O15" s="256">
        <f>+Assumptions!O49-76-O56</f>
        <v>154.3923930757814</v>
      </c>
      <c r="P15" s="256">
        <f>+Assumptions!P49-76-P56</f>
        <v>154.20024093729702</v>
      </c>
      <c r="Q15" s="256">
        <f>+Assumptions!Q49-76-Q56</f>
        <v>154.00424575604296</v>
      </c>
      <c r="R15" s="256"/>
      <c r="S15" s="38"/>
      <c r="T15" s="38"/>
      <c r="U15" s="38"/>
      <c r="V15" s="38"/>
      <c r="W15" s="38"/>
    </row>
    <row r="16" spans="1:23" s="26" customFormat="1" x14ac:dyDescent="0.25">
      <c r="A16" s="522" t="s">
        <v>113</v>
      </c>
      <c r="C16" s="256">
        <v>48.6</v>
      </c>
      <c r="D16" s="256">
        <v>0.85</v>
      </c>
      <c r="E16" s="256">
        <v>0.67800000000000005</v>
      </c>
      <c r="F16" s="256">
        <v>0</v>
      </c>
      <c r="G16" s="256">
        <v>0</v>
      </c>
      <c r="H16" s="256">
        <v>0</v>
      </c>
      <c r="I16" s="256">
        <v>0</v>
      </c>
      <c r="J16" s="256">
        <v>0</v>
      </c>
      <c r="K16" s="256">
        <v>0</v>
      </c>
      <c r="L16" s="256">
        <v>0</v>
      </c>
      <c r="M16" s="256">
        <v>0</v>
      </c>
      <c r="N16" s="256">
        <v>0</v>
      </c>
      <c r="O16" s="256">
        <v>0</v>
      </c>
      <c r="P16" s="256">
        <v>0</v>
      </c>
      <c r="Q16" s="256">
        <v>0</v>
      </c>
      <c r="R16" s="38"/>
      <c r="S16" s="256"/>
      <c r="T16" s="256"/>
      <c r="U16" s="38"/>
      <c r="V16" s="38"/>
      <c r="W16" s="38"/>
    </row>
    <row r="17" spans="1:33" x14ac:dyDescent="0.25">
      <c r="A17" s="364" t="s">
        <v>502</v>
      </c>
      <c r="B17" s="1"/>
      <c r="C17" s="256">
        <v>0</v>
      </c>
      <c r="D17" s="256">
        <v>0</v>
      </c>
      <c r="E17" s="256">
        <v>0.92500000000000004</v>
      </c>
      <c r="F17" s="256">
        <v>0</v>
      </c>
      <c r="G17" s="256">
        <v>0</v>
      </c>
      <c r="H17" s="256">
        <v>0</v>
      </c>
      <c r="I17" s="256">
        <v>0</v>
      </c>
      <c r="J17" s="256">
        <v>0</v>
      </c>
      <c r="K17" s="256">
        <v>0</v>
      </c>
      <c r="L17" s="256">
        <v>0</v>
      </c>
      <c r="M17" s="256">
        <v>0</v>
      </c>
      <c r="N17" s="256">
        <v>0</v>
      </c>
      <c r="O17" s="256">
        <v>0</v>
      </c>
      <c r="P17" s="256">
        <v>0</v>
      </c>
      <c r="Q17" s="256">
        <v>0</v>
      </c>
      <c r="R17" s="38"/>
      <c r="S17" s="38"/>
    </row>
    <row r="18" spans="1:33" x14ac:dyDescent="0.25">
      <c r="A18" s="364" t="s">
        <v>152</v>
      </c>
      <c r="B18" s="1"/>
      <c r="C18" s="256">
        <v>0</v>
      </c>
      <c r="D18" s="256">
        <v>0</v>
      </c>
      <c r="E18" s="256">
        <v>0</v>
      </c>
      <c r="F18" s="256">
        <v>0</v>
      </c>
      <c r="G18" s="256">
        <v>0</v>
      </c>
      <c r="H18" s="256">
        <v>0</v>
      </c>
      <c r="I18" s="256">
        <v>0</v>
      </c>
      <c r="J18" s="256">
        <v>0</v>
      </c>
      <c r="K18" s="256">
        <v>0</v>
      </c>
      <c r="L18" s="256">
        <v>0</v>
      </c>
      <c r="M18" s="256">
        <v>0</v>
      </c>
      <c r="N18" s="256">
        <v>0</v>
      </c>
      <c r="O18" s="256">
        <v>0</v>
      </c>
      <c r="P18" s="256">
        <v>0</v>
      </c>
      <c r="Q18" s="256">
        <v>0</v>
      </c>
      <c r="R18" s="38"/>
      <c r="S18" s="38"/>
    </row>
    <row r="19" spans="1:33" x14ac:dyDescent="0.25">
      <c r="A19" s="364" t="str">
        <f>+Assumptions!A36</f>
        <v>NPK 15-15-15</v>
      </c>
      <c r="B19" s="1"/>
      <c r="C19" s="256">
        <v>0</v>
      </c>
      <c r="D19" s="256">
        <v>0</v>
      </c>
      <c r="E19" s="256">
        <v>0</v>
      </c>
      <c r="F19" s="256">
        <v>0</v>
      </c>
      <c r="G19" s="256">
        <v>0</v>
      </c>
      <c r="H19" s="256">
        <v>0</v>
      </c>
      <c r="I19" s="256">
        <v>0</v>
      </c>
      <c r="J19" s="256">
        <v>0</v>
      </c>
      <c r="K19" s="256">
        <v>0</v>
      </c>
      <c r="L19" s="256">
        <v>0</v>
      </c>
      <c r="M19" s="256">
        <v>0</v>
      </c>
      <c r="N19" s="256">
        <v>0</v>
      </c>
      <c r="O19" s="256">
        <v>0</v>
      </c>
      <c r="P19" s="256">
        <v>0</v>
      </c>
      <c r="Q19" s="256">
        <v>0</v>
      </c>
      <c r="R19" s="38"/>
      <c r="S19" s="38"/>
    </row>
    <row r="20" spans="1:33" x14ac:dyDescent="0.25">
      <c r="A20" s="364" t="str">
        <f>+Assumptions!A37</f>
        <v>NPK 16-16-16</v>
      </c>
      <c r="B20" s="1"/>
      <c r="C20" s="256">
        <v>0</v>
      </c>
      <c r="D20" s="256">
        <v>0</v>
      </c>
      <c r="E20" s="256">
        <v>0</v>
      </c>
      <c r="F20" s="256">
        <v>0</v>
      </c>
      <c r="G20" s="256">
        <v>0</v>
      </c>
      <c r="H20" s="256">
        <v>0</v>
      </c>
      <c r="I20" s="256">
        <v>0</v>
      </c>
      <c r="J20" s="256">
        <v>0</v>
      </c>
      <c r="K20" s="256">
        <v>0</v>
      </c>
      <c r="L20" s="256">
        <v>0</v>
      </c>
      <c r="M20" s="256">
        <v>0</v>
      </c>
      <c r="N20" s="256">
        <v>0</v>
      </c>
      <c r="O20" s="256">
        <v>0</v>
      </c>
      <c r="P20" s="256">
        <v>0</v>
      </c>
      <c r="Q20" s="256">
        <v>0</v>
      </c>
      <c r="R20" s="38"/>
      <c r="S20" s="38"/>
    </row>
    <row r="21" spans="1:33" x14ac:dyDescent="0.25">
      <c r="A21" s="364" t="str">
        <f>+Assumptions!A38</f>
        <v>NPK 10-26-26</v>
      </c>
      <c r="B21" s="1"/>
      <c r="C21" s="256">
        <v>0</v>
      </c>
      <c r="D21" s="256">
        <v>0</v>
      </c>
      <c r="E21" s="256">
        <v>0</v>
      </c>
      <c r="F21" s="256">
        <v>0</v>
      </c>
      <c r="G21" s="256">
        <v>0</v>
      </c>
      <c r="H21" s="256">
        <v>0</v>
      </c>
      <c r="I21" s="256">
        <v>0</v>
      </c>
      <c r="J21" s="256">
        <v>0</v>
      </c>
      <c r="K21" s="256">
        <v>0</v>
      </c>
      <c r="L21" s="256">
        <v>0</v>
      </c>
      <c r="M21" s="256">
        <v>0</v>
      </c>
      <c r="N21" s="256">
        <v>0</v>
      </c>
      <c r="O21" s="256">
        <v>0</v>
      </c>
      <c r="P21" s="256">
        <v>0</v>
      </c>
      <c r="Q21" s="256">
        <v>0</v>
      </c>
      <c r="R21" s="38"/>
      <c r="S21" s="38"/>
    </row>
    <row r="22" spans="1:33" x14ac:dyDescent="0.25">
      <c r="A22" s="63" t="str">
        <f>+Assumptions!A39</f>
        <v>NPK 10-20-20</v>
      </c>
      <c r="B22" s="1"/>
      <c r="C22" s="256">
        <v>0</v>
      </c>
      <c r="D22" s="256">
        <v>0</v>
      </c>
      <c r="E22" s="256">
        <v>0</v>
      </c>
      <c r="F22" s="256">
        <v>0</v>
      </c>
      <c r="G22" s="256">
        <v>0</v>
      </c>
      <c r="H22" s="256">
        <v>0</v>
      </c>
      <c r="I22" s="256">
        <v>0</v>
      </c>
      <c r="J22" s="256">
        <v>0</v>
      </c>
      <c r="K22" s="256">
        <v>0</v>
      </c>
      <c r="L22" s="256">
        <v>0</v>
      </c>
      <c r="M22" s="256">
        <v>0</v>
      </c>
      <c r="N22" s="256">
        <v>0</v>
      </c>
      <c r="O22" s="256">
        <v>0</v>
      </c>
      <c r="P22" s="256">
        <v>0</v>
      </c>
      <c r="Q22" s="256">
        <v>0</v>
      </c>
      <c r="R22" s="38"/>
      <c r="S22" s="38"/>
    </row>
    <row r="23" spans="1:33" x14ac:dyDescent="0.25">
      <c r="A23" s="63" t="str">
        <f>+Assumptions!A40</f>
        <v>NPK 13-13-21</v>
      </c>
      <c r="B23" s="1"/>
      <c r="C23" s="256">
        <v>0</v>
      </c>
      <c r="D23" s="256">
        <v>0</v>
      </c>
      <c r="E23" s="256">
        <v>0</v>
      </c>
      <c r="F23" s="256">
        <v>0</v>
      </c>
      <c r="G23" s="256">
        <v>0</v>
      </c>
      <c r="H23" s="256">
        <v>0</v>
      </c>
      <c r="I23" s="256">
        <v>0</v>
      </c>
      <c r="J23" s="256">
        <v>0</v>
      </c>
      <c r="K23" s="256">
        <v>0</v>
      </c>
      <c r="L23" s="256">
        <v>0</v>
      </c>
      <c r="M23" s="256">
        <v>0</v>
      </c>
      <c r="N23" s="256">
        <v>0</v>
      </c>
      <c r="O23" s="256">
        <v>0</v>
      </c>
      <c r="P23" s="256">
        <v>0</v>
      </c>
      <c r="Q23" s="256">
        <v>0</v>
      </c>
      <c r="R23" s="38"/>
      <c r="S23" s="38"/>
    </row>
    <row r="24" spans="1:33" x14ac:dyDescent="0.25">
      <c r="A24" s="63" t="str">
        <f>+Assumptions!A41</f>
        <v>NPK 00-00-00</v>
      </c>
      <c r="B24" s="1"/>
      <c r="C24" s="256">
        <v>0</v>
      </c>
      <c r="D24" s="256">
        <v>0</v>
      </c>
      <c r="E24" s="256">
        <v>0</v>
      </c>
      <c r="F24" s="256">
        <v>0</v>
      </c>
      <c r="G24" s="256">
        <v>0</v>
      </c>
      <c r="H24" s="256">
        <v>0</v>
      </c>
      <c r="I24" s="256">
        <v>0</v>
      </c>
      <c r="J24" s="256">
        <v>0</v>
      </c>
      <c r="K24" s="256">
        <v>0</v>
      </c>
      <c r="L24" s="256">
        <v>0</v>
      </c>
      <c r="M24" s="256">
        <v>0</v>
      </c>
      <c r="N24" s="256">
        <v>0</v>
      </c>
      <c r="O24" s="256">
        <v>0</v>
      </c>
      <c r="P24" s="256">
        <v>0</v>
      </c>
      <c r="Q24" s="256">
        <v>0</v>
      </c>
      <c r="R24" s="38"/>
      <c r="S24" s="38"/>
    </row>
    <row r="25" spans="1:33" x14ac:dyDescent="0.25">
      <c r="A25" s="26" t="s">
        <v>114</v>
      </c>
      <c r="B25" s="1"/>
      <c r="C25" s="376">
        <f>SUM(C14:C24)</f>
        <v>261.34000000000003</v>
      </c>
      <c r="D25" s="376">
        <f t="shared" ref="D25:Q25" si="17">SUM(D14:D24)</f>
        <v>167.4</v>
      </c>
      <c r="E25" s="376">
        <f t="shared" si="17"/>
        <v>279.726</v>
      </c>
      <c r="F25" s="376">
        <f t="shared" si="17"/>
        <v>253.31</v>
      </c>
      <c r="G25" s="376">
        <f t="shared" si="17"/>
        <v>177.4</v>
      </c>
      <c r="H25" s="376">
        <f t="shared" si="17"/>
        <v>204.94086956521738</v>
      </c>
      <c r="I25" s="376">
        <f t="shared" si="17"/>
        <v>204.61446956521738</v>
      </c>
      <c r="J25" s="376">
        <f t="shared" si="17"/>
        <v>204.28154156521737</v>
      </c>
      <c r="K25" s="376">
        <f t="shared" si="17"/>
        <v>203.94195500521738</v>
      </c>
      <c r="L25" s="376">
        <f t="shared" si="17"/>
        <v>203.5955767140174</v>
      </c>
      <c r="M25" s="376">
        <f t="shared" si="17"/>
        <v>203.24227085699337</v>
      </c>
      <c r="N25" s="376">
        <f t="shared" si="17"/>
        <v>202.88189888282892</v>
      </c>
      <c r="O25" s="376">
        <f t="shared" si="17"/>
        <v>202.51431946918115</v>
      </c>
      <c r="P25" s="376">
        <f t="shared" si="17"/>
        <v>202.1393884672604</v>
      </c>
      <c r="Q25" s="376">
        <f t="shared" si="17"/>
        <v>201.75695884530126</v>
      </c>
      <c r="R25" s="8"/>
      <c r="S25" s="8"/>
    </row>
    <row r="26" spans="1:33" x14ac:dyDescent="0.25">
      <c r="A26" s="707" t="s">
        <v>702</v>
      </c>
      <c r="B26" s="1"/>
      <c r="C26" s="708"/>
      <c r="D26" s="708"/>
      <c r="E26" s="708">
        <f>+Assumptions!E15</f>
        <v>97.4</v>
      </c>
      <c r="F26" s="708">
        <f>+Assumptions!F15</f>
        <v>73.5</v>
      </c>
      <c r="G26" s="708">
        <f>+Assumptions!G15</f>
        <v>62.7</v>
      </c>
      <c r="H26" s="708">
        <f>+Assumptions!H15</f>
        <v>65.7</v>
      </c>
      <c r="I26" s="708">
        <f>+Assumptions!I15</f>
        <v>65.7</v>
      </c>
      <c r="J26" s="708">
        <f>+Assumptions!J15</f>
        <v>65.7</v>
      </c>
      <c r="K26" s="708">
        <f>+Assumptions!K15</f>
        <v>65.7</v>
      </c>
      <c r="L26" s="708">
        <f>+Assumptions!L15</f>
        <v>65.7</v>
      </c>
      <c r="M26" s="708">
        <f>+Assumptions!M15</f>
        <v>65.7</v>
      </c>
      <c r="N26" s="708">
        <f>+Assumptions!N15</f>
        <v>65.7</v>
      </c>
      <c r="O26" s="708">
        <f>+Assumptions!O15</f>
        <v>65.7</v>
      </c>
      <c r="P26" s="708">
        <f>+Assumptions!P15</f>
        <v>65.7</v>
      </c>
      <c r="Q26" s="708">
        <f>+Assumptions!Q15</f>
        <v>65.7</v>
      </c>
    </row>
    <row r="27" spans="1:33" ht="18.75" x14ac:dyDescent="0.25">
      <c r="A27" s="180" t="s">
        <v>511</v>
      </c>
      <c r="B27" s="180"/>
      <c r="C27" s="180">
        <f>+C$4</f>
        <v>2008</v>
      </c>
      <c r="D27" s="180">
        <f t="shared" ref="D27:Q27" si="18">+D$4</f>
        <v>2009</v>
      </c>
      <c r="E27" s="180">
        <f t="shared" si="18"/>
        <v>2010</v>
      </c>
      <c r="F27" s="180">
        <f t="shared" si="18"/>
        <v>2011</v>
      </c>
      <c r="G27" s="180">
        <f t="shared" si="18"/>
        <v>2012</v>
      </c>
      <c r="H27" s="180">
        <f t="shared" si="18"/>
        <v>2013</v>
      </c>
      <c r="I27" s="180">
        <f t="shared" si="18"/>
        <v>2014</v>
      </c>
      <c r="J27" s="180">
        <f t="shared" si="18"/>
        <v>2015</v>
      </c>
      <c r="K27" s="180">
        <f t="shared" si="18"/>
        <v>2016</v>
      </c>
      <c r="L27" s="180">
        <f t="shared" si="18"/>
        <v>2017</v>
      </c>
      <c r="M27" s="180">
        <f t="shared" si="18"/>
        <v>2018</v>
      </c>
      <c r="N27" s="224">
        <f t="shared" si="18"/>
        <v>2019</v>
      </c>
      <c r="O27" s="224">
        <f t="shared" si="18"/>
        <v>2020</v>
      </c>
      <c r="P27" s="224">
        <f t="shared" si="18"/>
        <v>2021</v>
      </c>
      <c r="Q27" s="224">
        <f t="shared" si="18"/>
        <v>2022</v>
      </c>
      <c r="R27" s="5"/>
      <c r="S27" s="5"/>
    </row>
    <row r="28" spans="1:33" x14ac:dyDescent="0.25">
      <c r="A28" t="str">
        <f t="shared" ref="A28:A38" si="19">+A14</f>
        <v>ammofos</v>
      </c>
      <c r="B28" s="388">
        <v>338.54</v>
      </c>
      <c r="C28" s="256">
        <v>317.24400000000003</v>
      </c>
      <c r="D28" s="388">
        <v>346.46643109540634</v>
      </c>
      <c r="E28" s="366">
        <f>+'Ammofos Price'!E26*0+33724.8/E14</f>
        <v>402.33348842203219</v>
      </c>
      <c r="F28" s="366">
        <f>+'Ammofos Price'!F26*0+24994.7/F14</f>
        <v>437.50568877997551</v>
      </c>
      <c r="G28" s="256">
        <f ca="1">+'Ammofos Price'!G26*0+557.134</f>
        <v>557.13400000000001</v>
      </c>
      <c r="H28" s="256">
        <f ca="1">+'Ammofos Price'!H26</f>
        <v>617.95923378077339</v>
      </c>
      <c r="I28" s="256">
        <f ca="1">+'Ammofos Price'!I26</f>
        <v>683.93918884692232</v>
      </c>
      <c r="J28" s="256">
        <f ca="1">+'Ammofos Price'!J26</f>
        <v>732.8908294700251</v>
      </c>
      <c r="K28" s="256">
        <f ca="1">+'Ammofos Price'!K26</f>
        <v>830.16488848445954</v>
      </c>
      <c r="L28" s="256">
        <f ca="1">+'Ammofos Price'!L26</f>
        <v>941.6355141908025</v>
      </c>
      <c r="M28" s="256">
        <f ca="1">+'Ammofos Price'!M26</f>
        <v>1069.5839148548137</v>
      </c>
      <c r="N28" s="256">
        <f ca="1">+'Ammofos Price'!N26</f>
        <v>1216.6909396471754</v>
      </c>
      <c r="O28" s="256">
        <f ca="1">+'Ammofos Price'!O26</f>
        <v>1384.039525639155</v>
      </c>
      <c r="P28" s="256">
        <f ca="1">+'Ammofos Price'!P26</f>
        <v>1575.0635955607847</v>
      </c>
      <c r="Q28" s="256">
        <f ca="1">+'Ammofos Price'!Q26</f>
        <v>1800.4477164280997</v>
      </c>
      <c r="R28" s="146"/>
      <c r="S28" s="146"/>
      <c r="T28" s="146"/>
      <c r="U28" s="146"/>
      <c r="V28" s="146"/>
      <c r="W28" s="146"/>
      <c r="X28" s="146"/>
      <c r="Y28" s="146"/>
      <c r="Z28" s="146"/>
      <c r="AA28" s="146"/>
      <c r="AB28" s="146"/>
      <c r="AC28" s="146"/>
      <c r="AD28" s="146"/>
      <c r="AE28" s="146"/>
      <c r="AF28" s="146"/>
      <c r="AG28" s="146"/>
    </row>
    <row r="29" spans="1:33" x14ac:dyDescent="0.25">
      <c r="A29" t="str">
        <f t="shared" si="19"/>
        <v>suprefos</v>
      </c>
      <c r="B29" s="388">
        <v>304.56900000000002</v>
      </c>
      <c r="C29" s="256">
        <v>246.27099999999999</v>
      </c>
      <c r="D29" s="388">
        <v>319.7544338335606</v>
      </c>
      <c r="E29" s="366">
        <f>60023/E15</f>
        <v>308.91919711785897</v>
      </c>
      <c r="F29" s="366">
        <f>65122.1/F15</f>
        <v>331.95075950657559</v>
      </c>
      <c r="G29" s="256">
        <v>381.7</v>
      </c>
      <c r="H29" s="256">
        <f ca="1">+'Ammofos Price'!H58</f>
        <v>423.1295120141512</v>
      </c>
      <c r="I29" s="256">
        <f ca="1">+'Ammofos Price'!I58</f>
        <v>468.31699576332426</v>
      </c>
      <c r="J29" s="256">
        <f ca="1">+'Ammofos Price'!J58</f>
        <v>497.08862437145564</v>
      </c>
      <c r="K29" s="256">
        <f ca="1">+'Ammofos Price'!K58</f>
        <v>562.97623811113931</v>
      </c>
      <c r="L29" s="256">
        <f ca="1">+'Ammofos Price'!L58</f>
        <v>638.45768130313695</v>
      </c>
      <c r="M29" s="256">
        <f ca="1">+'Ammofos Price'!M58</f>
        <v>725.06943387038075</v>
      </c>
      <c r="N29" s="256">
        <f ca="1">+'Ammofos Price'!N58</f>
        <v>824.61581334811092</v>
      </c>
      <c r="O29" s="256">
        <f ca="1">+'Ammofos Price'!O58</f>
        <v>937.81489463238972</v>
      </c>
      <c r="P29" s="256">
        <f ca="1">+'Ammofos Price'!P58</f>
        <v>1066.9735706126698</v>
      </c>
      <c r="Q29" s="256">
        <f ca="1">+'Ammofos Price'!Q58</f>
        <v>1219.304027485286</v>
      </c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6"/>
    </row>
    <row r="30" spans="1:33" x14ac:dyDescent="0.25">
      <c r="A30" t="str">
        <f t="shared" si="19"/>
        <v>ASP</v>
      </c>
      <c r="B30" s="4"/>
      <c r="C30" s="256">
        <v>252.37899999999999</v>
      </c>
      <c r="D30" s="256">
        <v>304.70588235294122</v>
      </c>
      <c r="E30" s="256">
        <f>220.5/0.678</f>
        <v>325.22123893805309</v>
      </c>
      <c r="F30" s="256">
        <v>252.37899999999999</v>
      </c>
      <c r="G30" s="256">
        <v>252.37899999999999</v>
      </c>
      <c r="H30" s="256">
        <v>252.37899999999999</v>
      </c>
      <c r="I30" s="256">
        <v>252.37899999999999</v>
      </c>
      <c r="J30" s="256">
        <v>252.37899999999999</v>
      </c>
      <c r="K30" s="256">
        <v>252.37899999999999</v>
      </c>
      <c r="L30" s="256">
        <v>252.37899999999999</v>
      </c>
      <c r="M30" s="256">
        <v>252.37899999999999</v>
      </c>
      <c r="N30" s="256">
        <v>252.37899999999999</v>
      </c>
      <c r="O30" s="256">
        <v>252.37899999999999</v>
      </c>
      <c r="P30" s="256">
        <v>252.37899999999999</v>
      </c>
      <c r="Q30" s="256">
        <v>252.37899999999999</v>
      </c>
      <c r="R30" s="38"/>
      <c r="S30" s="38"/>
    </row>
    <row r="31" spans="1:33" x14ac:dyDescent="0.25">
      <c r="A31" t="str">
        <f t="shared" si="19"/>
        <v>MAP</v>
      </c>
      <c r="B31" s="4"/>
      <c r="C31" s="256">
        <v>0</v>
      </c>
      <c r="D31" s="256">
        <v>0</v>
      </c>
      <c r="E31" s="256">
        <f>249.7/E17</f>
        <v>269.94594594594594</v>
      </c>
      <c r="F31" s="256">
        <v>0</v>
      </c>
      <c r="G31" s="256">
        <v>0</v>
      </c>
      <c r="H31" s="256">
        <v>0</v>
      </c>
      <c r="I31" s="256">
        <v>0</v>
      </c>
      <c r="J31" s="256">
        <v>0</v>
      </c>
      <c r="K31" s="256">
        <v>0</v>
      </c>
      <c r="L31" s="256">
        <v>0</v>
      </c>
      <c r="M31" s="256">
        <v>0</v>
      </c>
      <c r="N31" s="256">
        <v>0</v>
      </c>
      <c r="O31" s="256">
        <v>0</v>
      </c>
      <c r="P31" s="256">
        <v>0</v>
      </c>
      <c r="Q31" s="256">
        <v>0</v>
      </c>
      <c r="R31" s="38"/>
      <c r="S31" s="38"/>
    </row>
    <row r="32" spans="1:33" x14ac:dyDescent="0.25">
      <c r="A32" t="str">
        <f t="shared" si="19"/>
        <v>SA</v>
      </c>
      <c r="B32" s="4"/>
      <c r="C32" s="256">
        <v>0</v>
      </c>
      <c r="D32" s="256">
        <v>0</v>
      </c>
      <c r="E32" s="256">
        <v>0</v>
      </c>
      <c r="F32" s="256">
        <v>0</v>
      </c>
      <c r="G32" s="256">
        <v>0</v>
      </c>
      <c r="H32" s="256">
        <v>0</v>
      </c>
      <c r="I32" s="256">
        <v>0</v>
      </c>
      <c r="J32" s="256">
        <v>0</v>
      </c>
      <c r="K32" s="256">
        <v>0</v>
      </c>
      <c r="L32" s="256">
        <v>0</v>
      </c>
      <c r="M32" s="256">
        <v>0</v>
      </c>
      <c r="N32" s="256">
        <v>0</v>
      </c>
      <c r="O32" s="256">
        <v>0</v>
      </c>
      <c r="P32" s="256">
        <v>0</v>
      </c>
      <c r="Q32" s="256">
        <v>0</v>
      </c>
      <c r="R32" s="38"/>
      <c r="S32" s="38"/>
    </row>
    <row r="33" spans="1:19" x14ac:dyDescent="0.25">
      <c r="A33" t="str">
        <f t="shared" si="19"/>
        <v>NPK 15-15-15</v>
      </c>
      <c r="B33" s="4"/>
      <c r="C33" s="256">
        <v>0</v>
      </c>
      <c r="D33" s="256">
        <v>0</v>
      </c>
      <c r="E33" s="256">
        <v>0</v>
      </c>
      <c r="F33" s="256">
        <v>0</v>
      </c>
      <c r="G33" s="256">
        <v>0</v>
      </c>
      <c r="H33" s="256">
        <v>0</v>
      </c>
      <c r="I33" s="256">
        <v>0</v>
      </c>
      <c r="J33" s="256">
        <v>0</v>
      </c>
      <c r="K33" s="256">
        <v>0</v>
      </c>
      <c r="L33" s="256">
        <v>0</v>
      </c>
      <c r="M33" s="256">
        <v>0</v>
      </c>
      <c r="N33" s="256">
        <v>0</v>
      </c>
      <c r="O33" s="256">
        <v>0</v>
      </c>
      <c r="P33" s="256">
        <v>0</v>
      </c>
      <c r="Q33" s="256">
        <v>0</v>
      </c>
      <c r="R33" s="38"/>
      <c r="S33" s="38"/>
    </row>
    <row r="34" spans="1:19" x14ac:dyDescent="0.25">
      <c r="A34" t="str">
        <f t="shared" si="19"/>
        <v>NPK 16-16-16</v>
      </c>
      <c r="B34" s="4"/>
      <c r="C34" s="256">
        <v>0</v>
      </c>
      <c r="D34" s="256">
        <v>0</v>
      </c>
      <c r="E34" s="256">
        <v>0</v>
      </c>
      <c r="F34" s="256">
        <v>0</v>
      </c>
      <c r="G34" s="256">
        <v>0</v>
      </c>
      <c r="H34" s="256">
        <v>0</v>
      </c>
      <c r="I34" s="256">
        <v>0</v>
      </c>
      <c r="J34" s="256">
        <v>0</v>
      </c>
      <c r="K34" s="256">
        <v>0</v>
      </c>
      <c r="L34" s="256">
        <v>0</v>
      </c>
      <c r="M34" s="256">
        <v>0</v>
      </c>
      <c r="N34" s="256">
        <v>0</v>
      </c>
      <c r="O34" s="256">
        <v>0</v>
      </c>
      <c r="P34" s="256">
        <v>0</v>
      </c>
      <c r="Q34" s="256">
        <v>0</v>
      </c>
      <c r="R34" s="38"/>
      <c r="S34" s="38"/>
    </row>
    <row r="35" spans="1:19" x14ac:dyDescent="0.25">
      <c r="A35" t="str">
        <f t="shared" si="19"/>
        <v>NPK 10-26-26</v>
      </c>
      <c r="B35" s="4"/>
      <c r="C35" s="256">
        <v>0</v>
      </c>
      <c r="D35" s="256">
        <v>0</v>
      </c>
      <c r="E35" s="256">
        <v>0</v>
      </c>
      <c r="F35" s="256">
        <v>0</v>
      </c>
      <c r="G35" s="256">
        <v>0</v>
      </c>
      <c r="H35" s="256">
        <v>0</v>
      </c>
      <c r="I35" s="256">
        <v>0</v>
      </c>
      <c r="J35" s="256">
        <v>0</v>
      </c>
      <c r="K35" s="256">
        <v>0</v>
      </c>
      <c r="L35" s="256">
        <v>0</v>
      </c>
      <c r="M35" s="256">
        <v>0</v>
      </c>
      <c r="N35" s="256">
        <v>0</v>
      </c>
      <c r="O35" s="256">
        <v>0</v>
      </c>
      <c r="P35" s="256">
        <v>0</v>
      </c>
      <c r="Q35" s="256">
        <v>0</v>
      </c>
      <c r="R35" s="38"/>
      <c r="S35" s="38"/>
    </row>
    <row r="36" spans="1:19" x14ac:dyDescent="0.25">
      <c r="A36" t="str">
        <f t="shared" si="19"/>
        <v>NPK 10-20-20</v>
      </c>
      <c r="B36" s="4"/>
      <c r="C36" s="256">
        <v>0</v>
      </c>
      <c r="D36" s="256">
        <v>0</v>
      </c>
      <c r="E36" s="256">
        <v>0</v>
      </c>
      <c r="F36" s="256">
        <v>0</v>
      </c>
      <c r="G36" s="256">
        <v>0</v>
      </c>
      <c r="H36" s="256">
        <v>0</v>
      </c>
      <c r="I36" s="256">
        <v>0</v>
      </c>
      <c r="J36" s="256">
        <v>0</v>
      </c>
      <c r="K36" s="256">
        <v>0</v>
      </c>
      <c r="L36" s="256">
        <v>0</v>
      </c>
      <c r="M36" s="256">
        <v>0</v>
      </c>
      <c r="N36" s="256">
        <v>0</v>
      </c>
      <c r="O36" s="256">
        <v>0</v>
      </c>
      <c r="P36" s="256">
        <v>0</v>
      </c>
      <c r="Q36" s="256">
        <v>0</v>
      </c>
      <c r="R36" s="38"/>
      <c r="S36" s="38"/>
    </row>
    <row r="37" spans="1:19" x14ac:dyDescent="0.25">
      <c r="A37" t="str">
        <f t="shared" si="19"/>
        <v>NPK 13-13-21</v>
      </c>
      <c r="B37" s="4"/>
      <c r="C37" s="256">
        <v>0</v>
      </c>
      <c r="D37" s="256">
        <v>0</v>
      </c>
      <c r="E37" s="256">
        <v>0</v>
      </c>
      <c r="F37" s="256">
        <v>0</v>
      </c>
      <c r="G37" s="256">
        <v>0</v>
      </c>
      <c r="H37" s="256">
        <v>0</v>
      </c>
      <c r="I37" s="256">
        <v>0</v>
      </c>
      <c r="J37" s="256">
        <v>0</v>
      </c>
      <c r="K37" s="256">
        <v>0</v>
      </c>
      <c r="L37" s="256">
        <v>0</v>
      </c>
      <c r="M37" s="256">
        <v>0</v>
      </c>
      <c r="N37" s="256">
        <v>0</v>
      </c>
      <c r="O37" s="256">
        <v>0</v>
      </c>
      <c r="P37" s="256">
        <v>0</v>
      </c>
      <c r="Q37" s="256">
        <v>0</v>
      </c>
      <c r="R37" s="38"/>
      <c r="S37" s="38"/>
    </row>
    <row r="38" spans="1:19" x14ac:dyDescent="0.25">
      <c r="A38" t="str">
        <f t="shared" si="19"/>
        <v>NPK 00-00-00</v>
      </c>
      <c r="B38" s="4"/>
      <c r="C38" s="256">
        <v>0</v>
      </c>
      <c r="D38" s="256">
        <v>0</v>
      </c>
      <c r="E38" s="256">
        <v>0</v>
      </c>
      <c r="F38" s="256">
        <v>0</v>
      </c>
      <c r="G38" s="256">
        <v>0</v>
      </c>
      <c r="H38" s="256">
        <v>0</v>
      </c>
      <c r="I38" s="256">
        <v>0</v>
      </c>
      <c r="J38" s="256">
        <v>0</v>
      </c>
      <c r="K38" s="256">
        <v>0</v>
      </c>
      <c r="L38" s="256">
        <v>0</v>
      </c>
      <c r="M38" s="256">
        <v>0</v>
      </c>
      <c r="N38" s="256">
        <v>0</v>
      </c>
      <c r="O38" s="256">
        <v>0</v>
      </c>
      <c r="P38" s="256">
        <v>0</v>
      </c>
      <c r="Q38" s="256">
        <v>0</v>
      </c>
      <c r="R38" s="38"/>
      <c r="S38" s="38"/>
    </row>
    <row r="40" spans="1:19" ht="18.75" x14ac:dyDescent="0.25">
      <c r="A40" s="180" t="s">
        <v>512</v>
      </c>
      <c r="B40" s="180"/>
      <c r="C40" s="180">
        <f>+C$4</f>
        <v>2008</v>
      </c>
      <c r="D40" s="180">
        <f t="shared" ref="D40:Q40" si="20">+D$4</f>
        <v>2009</v>
      </c>
      <c r="E40" s="180">
        <f t="shared" si="20"/>
        <v>2010</v>
      </c>
      <c r="F40" s="180">
        <f t="shared" si="20"/>
        <v>2011</v>
      </c>
      <c r="G40" s="180">
        <f t="shared" si="20"/>
        <v>2012</v>
      </c>
      <c r="H40" s="180">
        <f t="shared" si="20"/>
        <v>2013</v>
      </c>
      <c r="I40" s="180">
        <f t="shared" si="20"/>
        <v>2014</v>
      </c>
      <c r="J40" s="180">
        <f t="shared" si="20"/>
        <v>2015</v>
      </c>
      <c r="K40" s="180">
        <f t="shared" si="20"/>
        <v>2016</v>
      </c>
      <c r="L40" s="180">
        <f t="shared" si="20"/>
        <v>2017</v>
      </c>
      <c r="M40" s="180">
        <f t="shared" si="20"/>
        <v>2018</v>
      </c>
      <c r="N40" s="224">
        <f t="shared" si="20"/>
        <v>2019</v>
      </c>
      <c r="O40" s="224">
        <f t="shared" si="20"/>
        <v>2020</v>
      </c>
      <c r="P40" s="224">
        <f t="shared" si="20"/>
        <v>2021</v>
      </c>
      <c r="Q40" s="224">
        <f t="shared" si="20"/>
        <v>2022</v>
      </c>
      <c r="R40" s="5"/>
      <c r="S40" s="5"/>
    </row>
    <row r="41" spans="1:19" x14ac:dyDescent="0.25">
      <c r="A41" t="str">
        <f t="shared" ref="A41:A51" si="21">+A28</f>
        <v>ammofos</v>
      </c>
      <c r="C41" s="1">
        <f t="shared" ref="C41:H45" si="22">+C14*C28</f>
        <v>25760.212800000005</v>
      </c>
      <c r="D41" s="1">
        <f t="shared" si="22"/>
        <v>19610</v>
      </c>
      <c r="E41" s="1">
        <f t="shared" si="22"/>
        <v>33724.800000000003</v>
      </c>
      <c r="F41" s="1">
        <f t="shared" si="22"/>
        <v>24994.7</v>
      </c>
      <c r="G41" s="1">
        <f t="shared" ca="1" si="22"/>
        <v>36046.569800000005</v>
      </c>
      <c r="H41" s="1">
        <f t="shared" ca="1" si="22"/>
        <v>30468.399418182718</v>
      </c>
      <c r="I41" s="1">
        <f t="shared" ref="I41:N41" ca="1" si="23">+I14*I28</f>
        <v>33612.704092908782</v>
      </c>
      <c r="J41" s="1">
        <f t="shared" ca="1" si="23"/>
        <v>35899.519223217336</v>
      </c>
      <c r="K41" s="1">
        <f t="shared" ca="1" si="23"/>
        <v>40526.905444624426</v>
      </c>
      <c r="L41" s="1">
        <f t="shared" ca="1" si="23"/>
        <v>45809.663136386444</v>
      </c>
      <c r="M41" s="1">
        <f t="shared" ca="1" si="23"/>
        <v>51850.008406117777</v>
      </c>
      <c r="N41" s="1">
        <f t="shared" ca="1" si="23"/>
        <v>58767.536730533437</v>
      </c>
      <c r="O41" s="1">
        <f t="shared" ref="O41:Q41" ca="1" si="24">+O14*O28</f>
        <v>66602.648178363306</v>
      </c>
      <c r="P41" s="1">
        <f t="shared" ca="1" si="24"/>
        <v>75507.206076663031</v>
      </c>
      <c r="Q41" s="1">
        <f t="shared" ca="1" si="24"/>
        <v>85976.263234801329</v>
      </c>
      <c r="R41" s="1"/>
      <c r="S41" s="1"/>
    </row>
    <row r="42" spans="1:19" x14ac:dyDescent="0.25">
      <c r="A42" t="str">
        <f t="shared" si="21"/>
        <v>suprefos</v>
      </c>
      <c r="C42" s="1">
        <f t="shared" si="22"/>
        <v>32394.487339999996</v>
      </c>
      <c r="D42" s="1">
        <f t="shared" si="22"/>
        <v>35156.999999999985</v>
      </c>
      <c r="E42" s="1">
        <f t="shared" si="22"/>
        <v>60023</v>
      </c>
      <c r="F42" s="1">
        <f t="shared" si="22"/>
        <v>65122.100000000006</v>
      </c>
      <c r="G42" s="1">
        <f t="shared" si="22"/>
        <v>43017.59</v>
      </c>
      <c r="H42" s="1">
        <f t="shared" ca="1" si="22"/>
        <v>65854.184731834423</v>
      </c>
      <c r="I42" s="1">
        <f t="shared" ref="I42:N42" ca="1" si="25">+I15*I29</f>
        <v>72808.643885569429</v>
      </c>
      <c r="J42" s="1">
        <f t="shared" ca="1" si="25"/>
        <v>77196.916112804436</v>
      </c>
      <c r="K42" s="1">
        <f t="shared" ca="1" si="25"/>
        <v>87331.157649558838</v>
      </c>
      <c r="L42" s="1">
        <f t="shared" ca="1" si="25"/>
        <v>98926.807003138951</v>
      </c>
      <c r="M42" s="1">
        <f t="shared" ca="1" si="25"/>
        <v>112215.71038293128</v>
      </c>
      <c r="N42" s="1">
        <f t="shared" ca="1" si="25"/>
        <v>127469.75358698877</v>
      </c>
      <c r="O42" s="1">
        <f t="shared" ref="O42:Q42" ca="1" si="26">+O15*O29</f>
        <v>144791.48584440642</v>
      </c>
      <c r="P42" s="1">
        <f t="shared" ca="1" si="26"/>
        <v>164527.58166220179</v>
      </c>
      <c r="Q42" s="1">
        <f t="shared" ca="1" si="26"/>
        <v>187777.99710017696</v>
      </c>
      <c r="R42" s="1"/>
      <c r="S42" s="1"/>
    </row>
    <row r="43" spans="1:19" x14ac:dyDescent="0.25">
      <c r="A43" t="str">
        <f t="shared" si="21"/>
        <v>ASP</v>
      </c>
      <c r="C43" s="1">
        <f t="shared" si="22"/>
        <v>12265.6194</v>
      </c>
      <c r="D43" s="1">
        <f t="shared" si="22"/>
        <v>259</v>
      </c>
      <c r="E43" s="1">
        <f t="shared" si="22"/>
        <v>220.5</v>
      </c>
      <c r="F43" s="1">
        <f t="shared" si="22"/>
        <v>0</v>
      </c>
      <c r="G43" s="1">
        <f t="shared" si="22"/>
        <v>0</v>
      </c>
      <c r="H43" s="1">
        <f t="shared" si="22"/>
        <v>0</v>
      </c>
      <c r="I43" s="1">
        <f t="shared" ref="I43:N43" si="27">+I16*I30</f>
        <v>0</v>
      </c>
      <c r="J43" s="1">
        <f t="shared" si="27"/>
        <v>0</v>
      </c>
      <c r="K43" s="1">
        <f t="shared" si="27"/>
        <v>0</v>
      </c>
      <c r="L43" s="1">
        <f t="shared" si="27"/>
        <v>0</v>
      </c>
      <c r="M43" s="1">
        <f t="shared" si="27"/>
        <v>0</v>
      </c>
      <c r="N43" s="1">
        <f t="shared" si="27"/>
        <v>0</v>
      </c>
      <c r="O43" s="1">
        <f t="shared" ref="O43:Q43" si="28">+O16*O30</f>
        <v>0</v>
      </c>
      <c r="P43" s="1">
        <f t="shared" si="28"/>
        <v>0</v>
      </c>
      <c r="Q43" s="1">
        <f t="shared" si="28"/>
        <v>0</v>
      </c>
      <c r="R43" s="1"/>
      <c r="S43" s="1"/>
    </row>
    <row r="44" spans="1:19" x14ac:dyDescent="0.25">
      <c r="A44" t="str">
        <f t="shared" si="21"/>
        <v>MAP</v>
      </c>
      <c r="C44" s="1">
        <f t="shared" si="22"/>
        <v>0</v>
      </c>
      <c r="D44" s="1">
        <f t="shared" si="22"/>
        <v>0</v>
      </c>
      <c r="E44" s="1">
        <f t="shared" si="22"/>
        <v>249.70000000000002</v>
      </c>
      <c r="F44" s="1">
        <f t="shared" si="22"/>
        <v>0</v>
      </c>
      <c r="G44" s="1">
        <f t="shared" si="22"/>
        <v>0</v>
      </c>
      <c r="H44" s="1">
        <f t="shared" si="22"/>
        <v>0</v>
      </c>
      <c r="I44" s="1">
        <f t="shared" ref="I44:N44" si="29">+I17*I31</f>
        <v>0</v>
      </c>
      <c r="J44" s="1">
        <f t="shared" si="29"/>
        <v>0</v>
      </c>
      <c r="K44" s="1">
        <f t="shared" si="29"/>
        <v>0</v>
      </c>
      <c r="L44" s="1">
        <f t="shared" si="29"/>
        <v>0</v>
      </c>
      <c r="M44" s="1">
        <f t="shared" si="29"/>
        <v>0</v>
      </c>
      <c r="N44" s="1">
        <f t="shared" si="29"/>
        <v>0</v>
      </c>
      <c r="O44" s="1">
        <f t="shared" ref="O44:Q44" si="30">+O17*O31</f>
        <v>0</v>
      </c>
      <c r="P44" s="1">
        <f t="shared" si="30"/>
        <v>0</v>
      </c>
      <c r="Q44" s="1">
        <f t="shared" si="30"/>
        <v>0</v>
      </c>
      <c r="R44" s="1"/>
      <c r="S44" s="1"/>
    </row>
    <row r="45" spans="1:19" x14ac:dyDescent="0.25">
      <c r="A45" t="str">
        <f t="shared" si="21"/>
        <v>SA</v>
      </c>
      <c r="C45" s="1">
        <f t="shared" si="22"/>
        <v>0</v>
      </c>
      <c r="D45" s="1">
        <f t="shared" si="22"/>
        <v>0</v>
      </c>
      <c r="E45" s="1">
        <f t="shared" si="22"/>
        <v>0</v>
      </c>
      <c r="F45" s="1">
        <f t="shared" si="22"/>
        <v>0</v>
      </c>
      <c r="G45" s="1">
        <f t="shared" si="22"/>
        <v>0</v>
      </c>
      <c r="H45" s="1">
        <f t="shared" si="22"/>
        <v>0</v>
      </c>
      <c r="I45" s="1">
        <f t="shared" ref="I45:N45" si="31">+I18*I32</f>
        <v>0</v>
      </c>
      <c r="J45" s="1">
        <f t="shared" si="31"/>
        <v>0</v>
      </c>
      <c r="K45" s="1">
        <f t="shared" si="31"/>
        <v>0</v>
      </c>
      <c r="L45" s="1">
        <f t="shared" si="31"/>
        <v>0</v>
      </c>
      <c r="M45" s="1">
        <f t="shared" si="31"/>
        <v>0</v>
      </c>
      <c r="N45" s="1">
        <f t="shared" si="31"/>
        <v>0</v>
      </c>
      <c r="O45" s="1">
        <f t="shared" ref="O45:Q45" si="32">+O18*O32</f>
        <v>0</v>
      </c>
      <c r="P45" s="1">
        <f t="shared" si="32"/>
        <v>0</v>
      </c>
      <c r="Q45" s="1">
        <f t="shared" si="32"/>
        <v>0</v>
      </c>
      <c r="R45" s="1"/>
      <c r="S45" s="1"/>
    </row>
    <row r="46" spans="1:19" x14ac:dyDescent="0.25">
      <c r="A46" t="str">
        <f t="shared" si="21"/>
        <v>NPK 15-15-15</v>
      </c>
      <c r="C46" s="1">
        <f t="shared" ref="C46:H46" si="33">+C19*C33</f>
        <v>0</v>
      </c>
      <c r="D46" s="1">
        <f t="shared" si="33"/>
        <v>0</v>
      </c>
      <c r="E46" s="1">
        <f t="shared" si="33"/>
        <v>0</v>
      </c>
      <c r="F46" s="1">
        <f t="shared" si="33"/>
        <v>0</v>
      </c>
      <c r="G46" s="1">
        <f t="shared" si="33"/>
        <v>0</v>
      </c>
      <c r="H46" s="1">
        <f t="shared" si="33"/>
        <v>0</v>
      </c>
      <c r="I46" s="1">
        <f t="shared" ref="I46:N46" si="34">+I19*I33</f>
        <v>0</v>
      </c>
      <c r="J46" s="1">
        <f t="shared" si="34"/>
        <v>0</v>
      </c>
      <c r="K46" s="1">
        <f t="shared" si="34"/>
        <v>0</v>
      </c>
      <c r="L46" s="1">
        <f t="shared" si="34"/>
        <v>0</v>
      </c>
      <c r="M46" s="1">
        <f t="shared" si="34"/>
        <v>0</v>
      </c>
      <c r="N46" s="1">
        <f t="shared" si="34"/>
        <v>0</v>
      </c>
      <c r="O46" s="1">
        <f t="shared" ref="O46:Q46" si="35">+O19*O33</f>
        <v>0</v>
      </c>
      <c r="P46" s="1">
        <f t="shared" si="35"/>
        <v>0</v>
      </c>
      <c r="Q46" s="1">
        <f t="shared" si="35"/>
        <v>0</v>
      </c>
      <c r="R46" s="1"/>
      <c r="S46" s="1"/>
    </row>
    <row r="47" spans="1:19" x14ac:dyDescent="0.25">
      <c r="A47" t="str">
        <f t="shared" si="21"/>
        <v>NPK 16-16-16</v>
      </c>
      <c r="C47" s="1">
        <f t="shared" ref="C47:H47" si="36">+C20*C34</f>
        <v>0</v>
      </c>
      <c r="D47" s="1">
        <f t="shared" si="36"/>
        <v>0</v>
      </c>
      <c r="E47" s="1">
        <f t="shared" si="36"/>
        <v>0</v>
      </c>
      <c r="F47" s="1">
        <f t="shared" si="36"/>
        <v>0</v>
      </c>
      <c r="G47" s="1">
        <f t="shared" si="36"/>
        <v>0</v>
      </c>
      <c r="H47" s="1">
        <f t="shared" si="36"/>
        <v>0</v>
      </c>
      <c r="I47" s="1">
        <f t="shared" ref="I47:N47" si="37">+I20*I34</f>
        <v>0</v>
      </c>
      <c r="J47" s="1">
        <f t="shared" si="37"/>
        <v>0</v>
      </c>
      <c r="K47" s="1">
        <f t="shared" si="37"/>
        <v>0</v>
      </c>
      <c r="L47" s="1">
        <f t="shared" si="37"/>
        <v>0</v>
      </c>
      <c r="M47" s="1">
        <f t="shared" si="37"/>
        <v>0</v>
      </c>
      <c r="N47" s="1">
        <f t="shared" si="37"/>
        <v>0</v>
      </c>
      <c r="O47" s="1">
        <f t="shared" ref="O47:Q47" si="38">+O20*O34</f>
        <v>0</v>
      </c>
      <c r="P47" s="1">
        <f t="shared" si="38"/>
        <v>0</v>
      </c>
      <c r="Q47" s="1">
        <f t="shared" si="38"/>
        <v>0</v>
      </c>
      <c r="R47" s="1"/>
      <c r="S47" s="1"/>
    </row>
    <row r="48" spans="1:19" x14ac:dyDescent="0.25">
      <c r="A48" t="str">
        <f t="shared" si="21"/>
        <v>NPK 10-26-26</v>
      </c>
      <c r="C48" s="1">
        <f t="shared" ref="C48:H48" si="39">+C21*C35</f>
        <v>0</v>
      </c>
      <c r="D48" s="1">
        <f t="shared" si="39"/>
        <v>0</v>
      </c>
      <c r="E48" s="1">
        <f t="shared" si="39"/>
        <v>0</v>
      </c>
      <c r="F48" s="1">
        <f t="shared" si="39"/>
        <v>0</v>
      </c>
      <c r="G48" s="1">
        <f t="shared" si="39"/>
        <v>0</v>
      </c>
      <c r="H48" s="1">
        <f t="shared" si="39"/>
        <v>0</v>
      </c>
      <c r="I48" s="1">
        <f t="shared" ref="I48:N48" si="40">+I21*I35</f>
        <v>0</v>
      </c>
      <c r="J48" s="1">
        <f t="shared" si="40"/>
        <v>0</v>
      </c>
      <c r="K48" s="1">
        <f t="shared" si="40"/>
        <v>0</v>
      </c>
      <c r="L48" s="1">
        <f t="shared" si="40"/>
        <v>0</v>
      </c>
      <c r="M48" s="1">
        <f t="shared" si="40"/>
        <v>0</v>
      </c>
      <c r="N48" s="1">
        <f t="shared" si="40"/>
        <v>0</v>
      </c>
      <c r="O48" s="1">
        <f t="shared" ref="O48:Q48" si="41">+O21*O35</f>
        <v>0</v>
      </c>
      <c r="P48" s="1">
        <f t="shared" si="41"/>
        <v>0</v>
      </c>
      <c r="Q48" s="1">
        <f t="shared" si="41"/>
        <v>0</v>
      </c>
      <c r="R48" s="1"/>
      <c r="S48" s="1"/>
    </row>
    <row r="49" spans="1:19" x14ac:dyDescent="0.25">
      <c r="A49" t="str">
        <f t="shared" si="21"/>
        <v>NPK 10-20-20</v>
      </c>
      <c r="C49" s="1">
        <f t="shared" ref="C49:H49" si="42">+C22*C36</f>
        <v>0</v>
      </c>
      <c r="D49" s="1">
        <f t="shared" si="42"/>
        <v>0</v>
      </c>
      <c r="E49" s="1">
        <f t="shared" si="42"/>
        <v>0</v>
      </c>
      <c r="F49" s="1">
        <f t="shared" si="42"/>
        <v>0</v>
      </c>
      <c r="G49" s="1">
        <f t="shared" si="42"/>
        <v>0</v>
      </c>
      <c r="H49" s="1">
        <f t="shared" si="42"/>
        <v>0</v>
      </c>
      <c r="I49" s="1">
        <f t="shared" ref="I49:N49" si="43">+I22*I36</f>
        <v>0</v>
      </c>
      <c r="J49" s="1">
        <f t="shared" si="43"/>
        <v>0</v>
      </c>
      <c r="K49" s="1">
        <f t="shared" si="43"/>
        <v>0</v>
      </c>
      <c r="L49" s="1">
        <f t="shared" si="43"/>
        <v>0</v>
      </c>
      <c r="M49" s="1">
        <f t="shared" si="43"/>
        <v>0</v>
      </c>
      <c r="N49" s="1">
        <f t="shared" si="43"/>
        <v>0</v>
      </c>
      <c r="O49" s="1">
        <f t="shared" ref="O49:Q49" si="44">+O22*O36</f>
        <v>0</v>
      </c>
      <c r="P49" s="1">
        <f t="shared" si="44"/>
        <v>0</v>
      </c>
      <c r="Q49" s="1">
        <f t="shared" si="44"/>
        <v>0</v>
      </c>
      <c r="R49" s="1"/>
      <c r="S49" s="1"/>
    </row>
    <row r="50" spans="1:19" x14ac:dyDescent="0.25">
      <c r="A50" t="str">
        <f t="shared" si="21"/>
        <v>NPK 13-13-21</v>
      </c>
      <c r="C50" s="1">
        <f t="shared" ref="C50:Q50" si="45">+C23*C37</f>
        <v>0</v>
      </c>
      <c r="D50" s="1">
        <f t="shared" si="45"/>
        <v>0</v>
      </c>
      <c r="E50" s="1">
        <f t="shared" si="45"/>
        <v>0</v>
      </c>
      <c r="F50" s="1">
        <f t="shared" si="45"/>
        <v>0</v>
      </c>
      <c r="G50" s="1">
        <f t="shared" si="45"/>
        <v>0</v>
      </c>
      <c r="H50" s="1">
        <f t="shared" si="45"/>
        <v>0</v>
      </c>
      <c r="I50" s="1">
        <f t="shared" si="45"/>
        <v>0</v>
      </c>
      <c r="J50" s="1">
        <f t="shared" si="45"/>
        <v>0</v>
      </c>
      <c r="K50" s="1">
        <f t="shared" si="45"/>
        <v>0</v>
      </c>
      <c r="L50" s="1">
        <f t="shared" si="45"/>
        <v>0</v>
      </c>
      <c r="M50" s="1">
        <f t="shared" si="45"/>
        <v>0</v>
      </c>
      <c r="N50" s="1">
        <f t="shared" si="45"/>
        <v>0</v>
      </c>
      <c r="O50" s="1">
        <f t="shared" si="45"/>
        <v>0</v>
      </c>
      <c r="P50" s="1">
        <f t="shared" si="45"/>
        <v>0</v>
      </c>
      <c r="Q50" s="1">
        <f t="shared" si="45"/>
        <v>0</v>
      </c>
      <c r="R50" s="1"/>
      <c r="S50" s="1"/>
    </row>
    <row r="51" spans="1:19" x14ac:dyDescent="0.25">
      <c r="A51" t="str">
        <f t="shared" si="21"/>
        <v>NPK 00-00-00</v>
      </c>
      <c r="C51" s="1">
        <f t="shared" ref="C51:Q51" si="46">+C24*C38</f>
        <v>0</v>
      </c>
      <c r="D51" s="1">
        <f t="shared" si="46"/>
        <v>0</v>
      </c>
      <c r="E51" s="1">
        <f t="shared" si="46"/>
        <v>0</v>
      </c>
      <c r="F51" s="1">
        <f t="shared" si="46"/>
        <v>0</v>
      </c>
      <c r="G51" s="1">
        <f t="shared" si="46"/>
        <v>0</v>
      </c>
      <c r="H51" s="1">
        <f t="shared" si="46"/>
        <v>0</v>
      </c>
      <c r="I51" s="1">
        <f t="shared" si="46"/>
        <v>0</v>
      </c>
      <c r="J51" s="1">
        <f t="shared" si="46"/>
        <v>0</v>
      </c>
      <c r="K51" s="1">
        <f t="shared" si="46"/>
        <v>0</v>
      </c>
      <c r="L51" s="1">
        <f t="shared" si="46"/>
        <v>0</v>
      </c>
      <c r="M51" s="1">
        <f t="shared" si="46"/>
        <v>0</v>
      </c>
      <c r="N51" s="1">
        <f t="shared" si="46"/>
        <v>0</v>
      </c>
      <c r="O51" s="1">
        <f t="shared" si="46"/>
        <v>0</v>
      </c>
      <c r="P51" s="1">
        <f t="shared" si="46"/>
        <v>0</v>
      </c>
      <c r="Q51" s="1">
        <f t="shared" si="46"/>
        <v>0</v>
      </c>
      <c r="R51" s="1"/>
      <c r="S51" s="1"/>
    </row>
    <row r="52" spans="1:19" x14ac:dyDescent="0.25">
      <c r="A52" s="26" t="s">
        <v>114</v>
      </c>
      <c r="C52" s="8">
        <f>SUM(C41:C51)</f>
        <v>70420.319539999997</v>
      </c>
      <c r="D52" s="8">
        <f t="shared" ref="D52:Q52" si="47">SUM(D41:D51)</f>
        <v>55025.999999999985</v>
      </c>
      <c r="E52" s="8">
        <f t="shared" si="47"/>
        <v>94218</v>
      </c>
      <c r="F52" s="8">
        <f t="shared" si="47"/>
        <v>90116.800000000003</v>
      </c>
      <c r="G52" s="8">
        <f t="shared" ca="1" si="47"/>
        <v>79064.159799999994</v>
      </c>
      <c r="H52" s="8">
        <f t="shared" ca="1" si="47"/>
        <v>96322.584150017137</v>
      </c>
      <c r="I52" s="8">
        <f t="shared" ca="1" si="47"/>
        <v>106421.34797847821</v>
      </c>
      <c r="J52" s="8">
        <f t="shared" ca="1" si="47"/>
        <v>113096.43533602176</v>
      </c>
      <c r="K52" s="8">
        <f t="shared" ca="1" si="47"/>
        <v>127858.06309418326</v>
      </c>
      <c r="L52" s="8">
        <f t="shared" ca="1" si="47"/>
        <v>144736.47013952539</v>
      </c>
      <c r="M52" s="8">
        <f t="shared" ca="1" si="47"/>
        <v>164065.71878904907</v>
      </c>
      <c r="N52" s="8">
        <f t="shared" ca="1" si="47"/>
        <v>186237.29031752219</v>
      </c>
      <c r="O52" s="8">
        <f t="shared" ca="1" si="47"/>
        <v>211394.13402276972</v>
      </c>
      <c r="P52" s="8">
        <f t="shared" ca="1" si="47"/>
        <v>240034.78773886483</v>
      </c>
      <c r="Q52" s="8">
        <f t="shared" ca="1" si="47"/>
        <v>273754.26033497829</v>
      </c>
      <c r="R52" s="8"/>
      <c r="S52" s="8"/>
    </row>
    <row r="54" spans="1:19" x14ac:dyDescent="0.25">
      <c r="A54" s="31" t="s">
        <v>513</v>
      </c>
      <c r="B54" s="5"/>
      <c r="C54" s="5">
        <f>+C$4</f>
        <v>2008</v>
      </c>
      <c r="D54" s="5">
        <f t="shared" ref="D54:Q54" si="48">+D$4</f>
        <v>2009</v>
      </c>
      <c r="E54" s="5">
        <f t="shared" si="48"/>
        <v>2010</v>
      </c>
      <c r="F54" s="5">
        <f t="shared" si="48"/>
        <v>2011</v>
      </c>
      <c r="G54" s="5">
        <f t="shared" si="48"/>
        <v>2012</v>
      </c>
      <c r="H54" s="5">
        <f t="shared" si="48"/>
        <v>2013</v>
      </c>
      <c r="I54" s="5">
        <f t="shared" si="48"/>
        <v>2014</v>
      </c>
      <c r="J54" s="5">
        <f t="shared" si="48"/>
        <v>2015</v>
      </c>
      <c r="K54" s="5">
        <f t="shared" si="48"/>
        <v>2016</v>
      </c>
      <c r="L54" s="5">
        <f t="shared" si="48"/>
        <v>2017</v>
      </c>
      <c r="M54" s="5">
        <f t="shared" si="48"/>
        <v>2018</v>
      </c>
      <c r="N54" s="5">
        <f t="shared" si="48"/>
        <v>2019</v>
      </c>
      <c r="O54" s="5">
        <f t="shared" si="48"/>
        <v>2020</v>
      </c>
      <c r="P54" s="5">
        <f t="shared" si="48"/>
        <v>2021</v>
      </c>
      <c r="Q54" s="5">
        <f t="shared" si="48"/>
        <v>2022</v>
      </c>
      <c r="R54" s="5"/>
      <c r="S54" s="5"/>
    </row>
    <row r="55" spans="1:19" x14ac:dyDescent="0.25">
      <c r="A55" t="str">
        <f t="shared" ref="A55:A65" si="49">+A41</f>
        <v>ammofos</v>
      </c>
      <c r="C55" s="256">
        <v>1.3</v>
      </c>
      <c r="D55" s="256">
        <v>12.84</v>
      </c>
      <c r="E55" s="256">
        <v>0</v>
      </c>
      <c r="F55" s="256">
        <f t="shared" ref="F55" si="50">+E55</f>
        <v>0</v>
      </c>
      <c r="G55" s="256">
        <v>7.8</v>
      </c>
      <c r="H55" s="256">
        <f>+G55*(1+Assumptions!H12)</f>
        <v>7.9559999999999995</v>
      </c>
      <c r="I55" s="256">
        <f>+H55*(1+Assumptions!I12)</f>
        <v>8.1151199999999992</v>
      </c>
      <c r="J55" s="256">
        <f>+I55*(1+Assumptions!J12)</f>
        <v>8.277422399999999</v>
      </c>
      <c r="K55" s="256">
        <f>+J55*(1+Assumptions!K12)</f>
        <v>8.4429708479999999</v>
      </c>
      <c r="L55" s="256">
        <f>+K55*(1+Assumptions!L12)</f>
        <v>8.61183026496</v>
      </c>
      <c r="M55" s="256">
        <f>+L55*(1+Assumptions!M12)</f>
        <v>8.7840668702592009</v>
      </c>
      <c r="N55" s="256">
        <f>+M55*(1+Assumptions!N12)</f>
        <v>8.9597482076643846</v>
      </c>
      <c r="O55" s="256">
        <f>+N55*(1+Assumptions!O12)</f>
        <v>9.1389431718176724</v>
      </c>
      <c r="P55" s="256">
        <f>+O55*(1+Assumptions!P12)</f>
        <v>9.3217220352540267</v>
      </c>
      <c r="Q55" s="256">
        <f>+P55*(1+Assumptions!Q12)</f>
        <v>9.5081564759591082</v>
      </c>
      <c r="R55" s="38"/>
      <c r="S55" s="38"/>
    </row>
    <row r="56" spans="1:19" x14ac:dyDescent="0.25">
      <c r="A56" t="str">
        <f t="shared" si="49"/>
        <v>suprefos</v>
      </c>
      <c r="C56" s="256">
        <f>23.8+1.9</f>
        <v>25.7</v>
      </c>
      <c r="D56" s="256">
        <v>1.55</v>
      </c>
      <c r="E56" s="256">
        <v>0</v>
      </c>
      <c r="F56" s="256">
        <v>0</v>
      </c>
      <c r="G56" s="256">
        <v>8.1999999999999993</v>
      </c>
      <c r="H56" s="256">
        <f>+G56*(1+Assumptions!H12)</f>
        <v>8.363999999999999</v>
      </c>
      <c r="I56" s="256">
        <f>+H56*(1+Assumptions!I12)</f>
        <v>8.5312799999999989</v>
      </c>
      <c r="J56" s="256">
        <f>+I56*(1+Assumptions!J12)</f>
        <v>8.7019055999999981</v>
      </c>
      <c r="K56" s="256">
        <f>+J56*(1+Assumptions!K12)</f>
        <v>8.875943711999998</v>
      </c>
      <c r="L56" s="256">
        <f>+K56*(1+Assumptions!L12)</f>
        <v>9.0534625862399984</v>
      </c>
      <c r="M56" s="256">
        <f>+L56*(1+Assumptions!M12)</f>
        <v>9.2345318379647985</v>
      </c>
      <c r="N56" s="256">
        <f>+M56*(1+Assumptions!N12)</f>
        <v>9.4192224747240942</v>
      </c>
      <c r="O56" s="256">
        <f>+N56*(1+Assumptions!O12)</f>
        <v>9.607606924218576</v>
      </c>
      <c r="P56" s="256">
        <f>+O56*(1+Assumptions!P12)</f>
        <v>9.7997590627029485</v>
      </c>
      <c r="Q56" s="256">
        <f>+P56*(1+Assumptions!Q12)</f>
        <v>9.9957542439570073</v>
      </c>
      <c r="R56" s="38"/>
      <c r="S56" s="38"/>
    </row>
    <row r="57" spans="1:19" x14ac:dyDescent="0.25">
      <c r="A57" t="str">
        <f t="shared" si="49"/>
        <v>ASP</v>
      </c>
      <c r="C57" s="256">
        <f>2.9+6.2</f>
        <v>9.1</v>
      </c>
      <c r="D57" s="256">
        <v>0.73</v>
      </c>
      <c r="E57" s="256">
        <v>0</v>
      </c>
      <c r="F57" s="256">
        <v>0</v>
      </c>
      <c r="G57" s="256">
        <v>0</v>
      </c>
      <c r="H57" s="256">
        <v>0</v>
      </c>
      <c r="I57" s="256">
        <v>0</v>
      </c>
      <c r="J57" s="256">
        <v>0</v>
      </c>
      <c r="K57" s="256">
        <v>0</v>
      </c>
      <c r="L57" s="256">
        <v>0</v>
      </c>
      <c r="M57" s="256">
        <v>0</v>
      </c>
      <c r="N57" s="256">
        <v>0</v>
      </c>
      <c r="O57" s="256">
        <v>0</v>
      </c>
      <c r="P57" s="256">
        <v>0</v>
      </c>
      <c r="Q57" s="256">
        <v>0</v>
      </c>
      <c r="R57" s="38"/>
      <c r="S57" s="38"/>
    </row>
    <row r="58" spans="1:19" x14ac:dyDescent="0.25">
      <c r="A58" t="str">
        <f t="shared" si="49"/>
        <v>MAP</v>
      </c>
      <c r="C58" s="256">
        <v>0</v>
      </c>
      <c r="D58" s="256">
        <v>0</v>
      </c>
      <c r="E58" s="256">
        <v>0</v>
      </c>
      <c r="F58" s="256">
        <v>0</v>
      </c>
      <c r="G58" s="256">
        <v>0</v>
      </c>
      <c r="H58" s="256">
        <v>0</v>
      </c>
      <c r="I58" s="256">
        <v>0</v>
      </c>
      <c r="J58" s="256">
        <v>0</v>
      </c>
      <c r="K58" s="256">
        <v>0</v>
      </c>
      <c r="L58" s="256">
        <v>0</v>
      </c>
      <c r="M58" s="256">
        <v>0</v>
      </c>
      <c r="N58" s="256">
        <v>0</v>
      </c>
      <c r="O58" s="256">
        <v>0</v>
      </c>
      <c r="P58" s="256">
        <v>0</v>
      </c>
      <c r="Q58" s="256">
        <v>0</v>
      </c>
      <c r="R58" s="38"/>
      <c r="S58" s="38"/>
    </row>
    <row r="59" spans="1:19" x14ac:dyDescent="0.25">
      <c r="A59" t="str">
        <f t="shared" si="49"/>
        <v>SA</v>
      </c>
      <c r="C59" s="256">
        <v>0</v>
      </c>
      <c r="D59" s="256">
        <v>0</v>
      </c>
      <c r="E59" s="256">
        <v>0</v>
      </c>
      <c r="F59" s="256">
        <v>0</v>
      </c>
      <c r="G59" s="256">
        <v>0</v>
      </c>
      <c r="H59" s="256">
        <v>0</v>
      </c>
      <c r="I59" s="256">
        <v>0</v>
      </c>
      <c r="J59" s="256">
        <v>0</v>
      </c>
      <c r="K59" s="256">
        <v>0</v>
      </c>
      <c r="L59" s="256">
        <v>0</v>
      </c>
      <c r="M59" s="256">
        <v>0</v>
      </c>
      <c r="N59" s="256">
        <v>0</v>
      </c>
      <c r="O59" s="256">
        <v>0</v>
      </c>
      <c r="P59" s="256">
        <v>0</v>
      </c>
      <c r="Q59" s="256">
        <v>0</v>
      </c>
      <c r="R59" s="38"/>
      <c r="S59" s="38"/>
    </row>
    <row r="60" spans="1:19" x14ac:dyDescent="0.25">
      <c r="A60" t="str">
        <f t="shared" si="49"/>
        <v>NPK 15-15-15</v>
      </c>
      <c r="C60" s="256">
        <v>0</v>
      </c>
      <c r="D60" s="256">
        <v>0</v>
      </c>
      <c r="E60" s="256">
        <v>0</v>
      </c>
      <c r="F60" s="256">
        <v>0</v>
      </c>
      <c r="G60" s="256">
        <v>0</v>
      </c>
      <c r="H60" s="256">
        <v>0</v>
      </c>
      <c r="I60" s="256">
        <v>0</v>
      </c>
      <c r="J60" s="256">
        <v>0</v>
      </c>
      <c r="K60" s="256">
        <v>0</v>
      </c>
      <c r="L60" s="256">
        <v>0</v>
      </c>
      <c r="M60" s="256">
        <v>0</v>
      </c>
      <c r="N60" s="256">
        <v>0</v>
      </c>
      <c r="O60" s="256">
        <v>0</v>
      </c>
      <c r="P60" s="256">
        <v>0</v>
      </c>
      <c r="Q60" s="256">
        <v>0</v>
      </c>
      <c r="R60" s="38"/>
      <c r="S60" s="38"/>
    </row>
    <row r="61" spans="1:19" x14ac:dyDescent="0.25">
      <c r="A61" t="str">
        <f t="shared" si="49"/>
        <v>NPK 16-16-16</v>
      </c>
      <c r="C61" s="256">
        <v>0</v>
      </c>
      <c r="D61" s="256">
        <v>0</v>
      </c>
      <c r="E61" s="256">
        <v>0</v>
      </c>
      <c r="F61" s="256">
        <v>0</v>
      </c>
      <c r="G61" s="256">
        <v>0</v>
      </c>
      <c r="H61" s="256">
        <v>0</v>
      </c>
      <c r="I61" s="256">
        <v>0</v>
      </c>
      <c r="J61" s="256">
        <v>0</v>
      </c>
      <c r="K61" s="256">
        <v>0</v>
      </c>
      <c r="L61" s="256">
        <v>0</v>
      </c>
      <c r="M61" s="256">
        <v>0</v>
      </c>
      <c r="N61" s="256">
        <v>0</v>
      </c>
      <c r="O61" s="256">
        <v>0</v>
      </c>
      <c r="P61" s="256">
        <v>0</v>
      </c>
      <c r="Q61" s="256">
        <v>0</v>
      </c>
      <c r="R61" s="38"/>
      <c r="S61" s="38"/>
    </row>
    <row r="62" spans="1:19" x14ac:dyDescent="0.25">
      <c r="A62" t="str">
        <f t="shared" si="49"/>
        <v>NPK 10-26-26</v>
      </c>
      <c r="C62" s="256">
        <v>0</v>
      </c>
      <c r="D62" s="256">
        <v>0</v>
      </c>
      <c r="E62" s="256">
        <v>0</v>
      </c>
      <c r="F62" s="256">
        <v>0</v>
      </c>
      <c r="G62" s="256">
        <v>0</v>
      </c>
      <c r="H62" s="256">
        <v>0</v>
      </c>
      <c r="I62" s="256">
        <v>0</v>
      </c>
      <c r="J62" s="256">
        <v>0</v>
      </c>
      <c r="K62" s="256">
        <v>0</v>
      </c>
      <c r="L62" s="256">
        <v>0</v>
      </c>
      <c r="M62" s="256">
        <v>0</v>
      </c>
      <c r="N62" s="256">
        <v>0</v>
      </c>
      <c r="O62" s="256">
        <v>0</v>
      </c>
      <c r="P62" s="256">
        <v>0</v>
      </c>
      <c r="Q62" s="256">
        <v>0</v>
      </c>
      <c r="R62" s="38"/>
      <c r="S62" s="38"/>
    </row>
    <row r="63" spans="1:19" x14ac:dyDescent="0.25">
      <c r="A63" t="str">
        <f t="shared" si="49"/>
        <v>NPK 10-20-20</v>
      </c>
      <c r="C63" s="256">
        <v>0</v>
      </c>
      <c r="D63" s="256">
        <v>0</v>
      </c>
      <c r="E63" s="256">
        <v>0</v>
      </c>
      <c r="F63" s="256">
        <v>0</v>
      </c>
      <c r="G63" s="256">
        <v>0</v>
      </c>
      <c r="H63" s="256">
        <v>0</v>
      </c>
      <c r="I63" s="256">
        <v>0</v>
      </c>
      <c r="J63" s="256">
        <v>0</v>
      </c>
      <c r="K63" s="256">
        <v>0</v>
      </c>
      <c r="L63" s="256">
        <v>0</v>
      </c>
      <c r="M63" s="256">
        <v>0</v>
      </c>
      <c r="N63" s="256">
        <v>0</v>
      </c>
      <c r="O63" s="256">
        <v>0</v>
      </c>
      <c r="P63" s="256">
        <v>0</v>
      </c>
      <c r="Q63" s="256">
        <v>0</v>
      </c>
      <c r="R63" s="38"/>
      <c r="S63" s="38"/>
    </row>
    <row r="64" spans="1:19" x14ac:dyDescent="0.25">
      <c r="A64" t="str">
        <f t="shared" si="49"/>
        <v>NPK 13-13-21</v>
      </c>
      <c r="C64" s="256">
        <v>0</v>
      </c>
      <c r="D64" s="256">
        <v>0</v>
      </c>
      <c r="E64" s="256">
        <v>0</v>
      </c>
      <c r="F64" s="256">
        <v>0</v>
      </c>
      <c r="G64" s="256">
        <v>0</v>
      </c>
      <c r="H64" s="256">
        <v>0</v>
      </c>
      <c r="I64" s="256">
        <v>0</v>
      </c>
      <c r="J64" s="256">
        <v>0</v>
      </c>
      <c r="K64" s="256">
        <v>0</v>
      </c>
      <c r="L64" s="256">
        <v>0</v>
      </c>
      <c r="M64" s="256">
        <v>0</v>
      </c>
      <c r="N64" s="256">
        <v>0</v>
      </c>
      <c r="O64" s="256">
        <v>0</v>
      </c>
      <c r="P64" s="256">
        <v>0</v>
      </c>
      <c r="Q64" s="256">
        <v>0</v>
      </c>
      <c r="R64" s="38"/>
      <c r="S64" s="38"/>
    </row>
    <row r="65" spans="1:19" x14ac:dyDescent="0.25">
      <c r="A65" t="str">
        <f t="shared" si="49"/>
        <v>NPK 00-00-00</v>
      </c>
      <c r="C65" s="256">
        <v>0</v>
      </c>
      <c r="D65" s="256">
        <v>0</v>
      </c>
      <c r="E65" s="256">
        <v>0</v>
      </c>
      <c r="F65" s="256">
        <v>0</v>
      </c>
      <c r="G65" s="256">
        <v>0</v>
      </c>
      <c r="H65" s="256">
        <v>0</v>
      </c>
      <c r="I65" s="256">
        <v>0</v>
      </c>
      <c r="J65" s="256">
        <v>0</v>
      </c>
      <c r="K65" s="256">
        <v>0</v>
      </c>
      <c r="L65" s="256">
        <v>0</v>
      </c>
      <c r="M65" s="256">
        <v>0</v>
      </c>
      <c r="N65" s="256">
        <v>0</v>
      </c>
      <c r="O65" s="256">
        <v>0</v>
      </c>
      <c r="P65" s="256">
        <v>0</v>
      </c>
      <c r="Q65" s="256">
        <v>0</v>
      </c>
      <c r="R65" s="38"/>
      <c r="S65" s="38"/>
    </row>
    <row r="66" spans="1:19" x14ac:dyDescent="0.25">
      <c r="A66" s="26" t="s">
        <v>114</v>
      </c>
      <c r="C66" s="376">
        <f>SUM(C55:C65)</f>
        <v>36.1</v>
      </c>
      <c r="D66" s="376">
        <f t="shared" ref="D66:Q66" si="51">SUM(D55:D65)</f>
        <v>15.120000000000001</v>
      </c>
      <c r="E66" s="376">
        <f t="shared" si="51"/>
        <v>0</v>
      </c>
      <c r="F66" s="376">
        <f t="shared" si="51"/>
        <v>0</v>
      </c>
      <c r="G66" s="376">
        <f t="shared" si="51"/>
        <v>16</v>
      </c>
      <c r="H66" s="376">
        <f t="shared" si="51"/>
        <v>16.32</v>
      </c>
      <c r="I66" s="376">
        <f t="shared" si="51"/>
        <v>16.6464</v>
      </c>
      <c r="J66" s="376">
        <f t="shared" si="51"/>
        <v>16.979327999999995</v>
      </c>
      <c r="K66" s="376">
        <f t="shared" si="51"/>
        <v>17.318914559999996</v>
      </c>
      <c r="L66" s="376">
        <f t="shared" si="51"/>
        <v>17.6652928512</v>
      </c>
      <c r="M66" s="376">
        <f t="shared" si="51"/>
        <v>18.018598708223998</v>
      </c>
      <c r="N66" s="376">
        <f t="shared" si="51"/>
        <v>18.378970682388477</v>
      </c>
      <c r="O66" s="376">
        <f t="shared" si="51"/>
        <v>18.746550096036248</v>
      </c>
      <c r="P66" s="376">
        <f t="shared" si="51"/>
        <v>19.121481097956973</v>
      </c>
      <c r="Q66" s="376">
        <f t="shared" si="51"/>
        <v>19.503910719916114</v>
      </c>
      <c r="R66" s="8"/>
      <c r="S66" s="8"/>
    </row>
    <row r="68" spans="1:19" x14ac:dyDescent="0.25">
      <c r="A68" s="31" t="s">
        <v>514</v>
      </c>
      <c r="B68" s="5"/>
      <c r="C68" s="5">
        <f>+C54</f>
        <v>2008</v>
      </c>
      <c r="D68" s="5">
        <f t="shared" ref="D68:N68" si="52">+D54</f>
        <v>2009</v>
      </c>
      <c r="E68" s="5">
        <f t="shared" si="52"/>
        <v>2010</v>
      </c>
      <c r="F68" s="5">
        <f t="shared" si="52"/>
        <v>2011</v>
      </c>
      <c r="G68" s="5">
        <f t="shared" si="52"/>
        <v>2012</v>
      </c>
      <c r="H68" s="5">
        <f t="shared" si="52"/>
        <v>2013</v>
      </c>
      <c r="I68" s="5">
        <f t="shared" si="52"/>
        <v>2014</v>
      </c>
      <c r="J68" s="5">
        <f t="shared" si="52"/>
        <v>2015</v>
      </c>
      <c r="K68" s="5">
        <f t="shared" si="52"/>
        <v>2016</v>
      </c>
      <c r="L68" s="5">
        <f t="shared" si="52"/>
        <v>2017</v>
      </c>
      <c r="M68" s="5">
        <f t="shared" si="52"/>
        <v>2018</v>
      </c>
      <c r="N68" s="5">
        <f t="shared" si="52"/>
        <v>2019</v>
      </c>
      <c r="O68" s="5">
        <f t="shared" ref="O68:Q68" si="53">+O54</f>
        <v>2020</v>
      </c>
      <c r="P68" s="5">
        <f t="shared" si="53"/>
        <v>2021</v>
      </c>
      <c r="Q68" s="5">
        <f t="shared" si="53"/>
        <v>2022</v>
      </c>
    </row>
    <row r="69" spans="1:19" x14ac:dyDescent="0.25">
      <c r="A69" t="str">
        <f t="shared" ref="A69:A77" si="54">+A55</f>
        <v>ammofos</v>
      </c>
      <c r="C69" s="256">
        <v>317.24400000000003</v>
      </c>
      <c r="D69" s="256">
        <v>354.75077881619927</v>
      </c>
      <c r="E69" s="389">
        <f>+'Ammofos Price'!E26</f>
        <v>400.88500000000005</v>
      </c>
      <c r="F69" s="389">
        <f>+'Ammofos Price'!F26</f>
        <v>436.62700000000001</v>
      </c>
      <c r="G69" s="389">
        <f ca="1">+'Ammofos Price'!G26</f>
        <v>561.5705010470482</v>
      </c>
      <c r="H69" s="256">
        <f ca="1">+'Ammofos Price'!H29</f>
        <v>617.95923378077339</v>
      </c>
      <c r="I69" s="256">
        <f ca="1">+'Ammofos Price'!I29</f>
        <v>752.33310773161463</v>
      </c>
      <c r="J69" s="256">
        <f ca="1">+'Ammofos Price'!J29</f>
        <v>806.17991241702771</v>
      </c>
      <c r="K69" s="256">
        <f ca="1">+'Ammofos Price'!K29</f>
        <v>913.18137733290553</v>
      </c>
      <c r="L69" s="256">
        <f ca="1">+'Ammofos Price'!L29</f>
        <v>1035.7990656098827</v>
      </c>
      <c r="M69" s="256">
        <f ca="1">+'Ammofos Price'!M29</f>
        <v>1176.5423063402952</v>
      </c>
      <c r="N69" s="256">
        <f ca="1">+'Ammofos Price'!N29</f>
        <v>1338.360033611893</v>
      </c>
      <c r="O69" s="256">
        <f ca="1">+'Ammofos Price'!O29</f>
        <v>1522.4434782030708</v>
      </c>
      <c r="P69" s="256">
        <f ca="1">+'Ammofos Price'!P29</f>
        <v>1732.5699551168634</v>
      </c>
      <c r="Q69" s="256">
        <f ca="1">+'Ammofos Price'!Q29</f>
        <v>1980.49248807091</v>
      </c>
    </row>
    <row r="70" spans="1:19" x14ac:dyDescent="0.25">
      <c r="A70" t="str">
        <f t="shared" si="54"/>
        <v>suprefos</v>
      </c>
      <c r="C70" s="256">
        <f>+C29</f>
        <v>246.27099999999999</v>
      </c>
      <c r="D70" s="256">
        <f t="shared" ref="D70:G70" si="55">+D29</f>
        <v>319.7544338335606</v>
      </c>
      <c r="E70" s="256">
        <f t="shared" si="55"/>
        <v>308.91919711785897</v>
      </c>
      <c r="F70" s="256">
        <f t="shared" si="55"/>
        <v>331.95075950657559</v>
      </c>
      <c r="G70" s="256">
        <f t="shared" si="55"/>
        <v>381.7</v>
      </c>
      <c r="H70" s="256">
        <f ca="1">+'Ammofos Price'!H61</f>
        <v>423.1295120141512</v>
      </c>
      <c r="I70" s="256">
        <f ca="1">+'Ammofos Price'!I61</f>
        <v>515.14869533965668</v>
      </c>
      <c r="J70" s="256">
        <f ca="1">+'Ammofos Price'!J61</f>
        <v>546.79748680860121</v>
      </c>
      <c r="K70" s="256">
        <f ca="1">+'Ammofos Price'!K61</f>
        <v>619.27386192225333</v>
      </c>
      <c r="L70" s="256">
        <f ca="1">+'Ammofos Price'!L61</f>
        <v>702.30344943345074</v>
      </c>
      <c r="M70" s="256">
        <f ca="1">+'Ammofos Price'!M61</f>
        <v>797.57637725741893</v>
      </c>
      <c r="N70" s="256">
        <f ca="1">+'Ammofos Price'!N61</f>
        <v>907.07739468292209</v>
      </c>
      <c r="O70" s="256">
        <f ca="1">+'Ammofos Price'!O61</f>
        <v>1031.5963840956288</v>
      </c>
      <c r="P70" s="256">
        <f ca="1">+'Ammofos Price'!P61</f>
        <v>1173.6709276739368</v>
      </c>
      <c r="Q70" s="256">
        <f ca="1">+'Ammofos Price'!Q61</f>
        <v>1341.2344302338147</v>
      </c>
    </row>
    <row r="71" spans="1:19" x14ac:dyDescent="0.25">
      <c r="A71" t="str">
        <f t="shared" si="54"/>
        <v>ASP</v>
      </c>
      <c r="C71" s="256">
        <v>252.37899999999999</v>
      </c>
      <c r="D71" s="256">
        <v>319.17808219178085</v>
      </c>
      <c r="E71" s="256">
        <v>0</v>
      </c>
      <c r="F71" s="256">
        <v>0</v>
      </c>
      <c r="G71" s="256">
        <v>0</v>
      </c>
      <c r="H71" s="256">
        <v>0</v>
      </c>
      <c r="I71" s="256">
        <v>0</v>
      </c>
      <c r="J71" s="256">
        <v>0</v>
      </c>
      <c r="K71" s="256">
        <v>0</v>
      </c>
      <c r="L71" s="256">
        <v>0</v>
      </c>
      <c r="M71" s="256">
        <v>0</v>
      </c>
      <c r="N71" s="256">
        <v>0</v>
      </c>
      <c r="O71" s="256">
        <v>0</v>
      </c>
      <c r="P71" s="256">
        <v>0</v>
      </c>
      <c r="Q71" s="256">
        <v>0</v>
      </c>
    </row>
    <row r="72" spans="1:19" x14ac:dyDescent="0.25">
      <c r="A72" t="str">
        <f t="shared" si="54"/>
        <v>MAP</v>
      </c>
      <c r="C72" s="256">
        <v>0</v>
      </c>
      <c r="D72" s="256">
        <v>0</v>
      </c>
      <c r="E72" s="256">
        <v>0</v>
      </c>
      <c r="F72" s="256">
        <v>0</v>
      </c>
      <c r="G72" s="256">
        <v>0</v>
      </c>
      <c r="H72" s="256">
        <v>0</v>
      </c>
      <c r="I72" s="256">
        <v>0</v>
      </c>
      <c r="J72" s="256">
        <v>0</v>
      </c>
      <c r="K72" s="256">
        <v>0</v>
      </c>
      <c r="L72" s="256">
        <v>0</v>
      </c>
      <c r="M72" s="256">
        <v>0</v>
      </c>
      <c r="N72" s="256">
        <v>0</v>
      </c>
      <c r="O72" s="256">
        <v>0</v>
      </c>
      <c r="P72" s="256">
        <v>0</v>
      </c>
      <c r="Q72" s="256">
        <v>0</v>
      </c>
    </row>
    <row r="73" spans="1:19" x14ac:dyDescent="0.25">
      <c r="A73" t="str">
        <f t="shared" si="54"/>
        <v>SA</v>
      </c>
      <c r="C73" s="256">
        <v>0</v>
      </c>
      <c r="D73" s="256">
        <v>0</v>
      </c>
      <c r="E73" s="256">
        <v>0</v>
      </c>
      <c r="F73" s="256">
        <v>0</v>
      </c>
      <c r="G73" s="256">
        <v>0</v>
      </c>
      <c r="H73" s="256">
        <v>0</v>
      </c>
      <c r="I73" s="256">
        <v>0</v>
      </c>
      <c r="J73" s="256">
        <v>0</v>
      </c>
      <c r="K73" s="256">
        <v>0</v>
      </c>
      <c r="L73" s="256">
        <v>0</v>
      </c>
      <c r="M73" s="256">
        <v>0</v>
      </c>
      <c r="N73" s="256">
        <v>0</v>
      </c>
      <c r="O73" s="256">
        <v>0</v>
      </c>
      <c r="P73" s="256">
        <v>0</v>
      </c>
      <c r="Q73" s="256">
        <v>0</v>
      </c>
    </row>
    <row r="74" spans="1:19" x14ac:dyDescent="0.25">
      <c r="A74" t="str">
        <f t="shared" si="54"/>
        <v>NPK 15-15-15</v>
      </c>
      <c r="C74" s="256">
        <v>0</v>
      </c>
      <c r="D74" s="256">
        <v>0</v>
      </c>
      <c r="E74" s="256">
        <v>0</v>
      </c>
      <c r="F74" s="256">
        <v>0</v>
      </c>
      <c r="G74" s="256">
        <v>0</v>
      </c>
      <c r="H74" s="256">
        <v>0</v>
      </c>
      <c r="I74" s="256">
        <v>0</v>
      </c>
      <c r="J74" s="256">
        <v>0</v>
      </c>
      <c r="K74" s="256">
        <v>0</v>
      </c>
      <c r="L74" s="256">
        <v>0</v>
      </c>
      <c r="M74" s="256">
        <v>0</v>
      </c>
      <c r="N74" s="256">
        <v>0</v>
      </c>
      <c r="O74" s="256">
        <v>0</v>
      </c>
      <c r="P74" s="256">
        <v>0</v>
      </c>
      <c r="Q74" s="256">
        <v>0</v>
      </c>
    </row>
    <row r="75" spans="1:19" x14ac:dyDescent="0.25">
      <c r="A75" t="str">
        <f t="shared" si="54"/>
        <v>NPK 16-16-16</v>
      </c>
      <c r="C75" s="256">
        <v>0</v>
      </c>
      <c r="D75" s="256">
        <v>0</v>
      </c>
      <c r="E75" s="256">
        <v>0</v>
      </c>
      <c r="F75" s="256">
        <v>0</v>
      </c>
      <c r="G75" s="256">
        <v>0</v>
      </c>
      <c r="H75" s="256">
        <v>0</v>
      </c>
      <c r="I75" s="256">
        <v>0</v>
      </c>
      <c r="J75" s="256">
        <v>0</v>
      </c>
      <c r="K75" s="256">
        <v>0</v>
      </c>
      <c r="L75" s="256">
        <v>0</v>
      </c>
      <c r="M75" s="256">
        <v>0</v>
      </c>
      <c r="N75" s="256">
        <v>0</v>
      </c>
      <c r="O75" s="256">
        <v>0</v>
      </c>
      <c r="P75" s="256">
        <v>0</v>
      </c>
      <c r="Q75" s="256">
        <v>0</v>
      </c>
    </row>
    <row r="76" spans="1:19" x14ac:dyDescent="0.25">
      <c r="A76" t="str">
        <f t="shared" si="54"/>
        <v>NPK 10-26-26</v>
      </c>
      <c r="C76" s="256">
        <v>0</v>
      </c>
      <c r="D76" s="256">
        <v>0</v>
      </c>
      <c r="E76" s="256">
        <v>0</v>
      </c>
      <c r="F76" s="256">
        <v>0</v>
      </c>
      <c r="G76" s="256">
        <v>0</v>
      </c>
      <c r="H76" s="256">
        <v>0</v>
      </c>
      <c r="I76" s="256">
        <v>0</v>
      </c>
      <c r="J76" s="256">
        <v>0</v>
      </c>
      <c r="K76" s="256">
        <v>0</v>
      </c>
      <c r="L76" s="256">
        <v>0</v>
      </c>
      <c r="M76" s="256">
        <v>0</v>
      </c>
      <c r="N76" s="256">
        <v>0</v>
      </c>
      <c r="O76" s="256">
        <v>0</v>
      </c>
      <c r="P76" s="256">
        <v>0</v>
      </c>
      <c r="Q76" s="256">
        <v>0</v>
      </c>
    </row>
    <row r="77" spans="1:19" x14ac:dyDescent="0.25">
      <c r="A77" t="str">
        <f t="shared" si="54"/>
        <v>NPK 10-20-20</v>
      </c>
      <c r="C77" s="256">
        <v>0</v>
      </c>
      <c r="D77" s="256">
        <v>0</v>
      </c>
      <c r="E77" s="256">
        <v>0</v>
      </c>
      <c r="F77" s="256">
        <v>0</v>
      </c>
      <c r="G77" s="256">
        <v>0</v>
      </c>
      <c r="H77" s="256">
        <v>0</v>
      </c>
      <c r="I77" s="256">
        <v>0</v>
      </c>
      <c r="J77" s="256">
        <v>0</v>
      </c>
      <c r="K77" s="256">
        <v>0</v>
      </c>
      <c r="L77" s="256">
        <v>0</v>
      </c>
      <c r="M77" s="256">
        <v>0</v>
      </c>
      <c r="N77" s="256">
        <v>0</v>
      </c>
      <c r="O77" s="256">
        <v>0</v>
      </c>
      <c r="P77" s="256">
        <v>0</v>
      </c>
      <c r="Q77" s="256">
        <v>0</v>
      </c>
    </row>
    <row r="78" spans="1:19" x14ac:dyDescent="0.25">
      <c r="A78" t="str">
        <f t="shared" ref="A78:A79" si="56">+A64</f>
        <v>NPK 13-13-21</v>
      </c>
      <c r="C78" s="256">
        <v>0</v>
      </c>
      <c r="D78" s="256">
        <v>0</v>
      </c>
      <c r="E78" s="256">
        <v>0</v>
      </c>
      <c r="F78" s="256">
        <v>0</v>
      </c>
      <c r="G78" s="256">
        <v>0</v>
      </c>
      <c r="H78" s="256">
        <v>0</v>
      </c>
      <c r="I78" s="256">
        <v>0</v>
      </c>
      <c r="J78" s="256">
        <v>0</v>
      </c>
      <c r="K78" s="256">
        <v>0</v>
      </c>
      <c r="L78" s="256">
        <v>0</v>
      </c>
      <c r="M78" s="256">
        <v>0</v>
      </c>
      <c r="N78" s="256">
        <v>0</v>
      </c>
      <c r="O78" s="256">
        <v>0</v>
      </c>
      <c r="P78" s="256">
        <v>0</v>
      </c>
      <c r="Q78" s="256">
        <v>0</v>
      </c>
    </row>
    <row r="79" spans="1:19" x14ac:dyDescent="0.25">
      <c r="A79" t="str">
        <f t="shared" si="56"/>
        <v>NPK 00-00-00</v>
      </c>
      <c r="C79" s="256">
        <v>0</v>
      </c>
      <c r="D79" s="256">
        <v>0</v>
      </c>
      <c r="E79" s="256">
        <v>0</v>
      </c>
      <c r="F79" s="256">
        <v>0</v>
      </c>
      <c r="G79" s="256">
        <v>0</v>
      </c>
      <c r="H79" s="256">
        <v>0</v>
      </c>
      <c r="I79" s="256">
        <v>0</v>
      </c>
      <c r="J79" s="256">
        <v>0</v>
      </c>
      <c r="K79" s="256">
        <v>0</v>
      </c>
      <c r="L79" s="256">
        <v>0</v>
      </c>
      <c r="M79" s="256">
        <v>0</v>
      </c>
      <c r="N79" s="256">
        <v>0</v>
      </c>
      <c r="O79" s="256">
        <v>0</v>
      </c>
      <c r="P79" s="256">
        <v>0</v>
      </c>
      <c r="Q79" s="256">
        <v>0</v>
      </c>
    </row>
    <row r="80" spans="1:19" x14ac:dyDescent="0.25">
      <c r="A80" t="str">
        <f t="shared" ref="A80" si="57">+A66</f>
        <v>total</v>
      </c>
    </row>
    <row r="82" spans="1:19" x14ac:dyDescent="0.25">
      <c r="A82" s="31" t="s">
        <v>515</v>
      </c>
      <c r="B82" s="5"/>
      <c r="C82" s="5">
        <f>+C$4</f>
        <v>2008</v>
      </c>
      <c r="D82" s="5">
        <f t="shared" ref="D82:Q82" si="58">+D$4</f>
        <v>2009</v>
      </c>
      <c r="E82" s="5">
        <f t="shared" si="58"/>
        <v>2010</v>
      </c>
      <c r="F82" s="5">
        <f t="shared" si="58"/>
        <v>2011</v>
      </c>
      <c r="G82" s="5">
        <f t="shared" si="58"/>
        <v>2012</v>
      </c>
      <c r="H82" s="5">
        <f t="shared" si="58"/>
        <v>2013</v>
      </c>
      <c r="I82" s="5">
        <f t="shared" si="58"/>
        <v>2014</v>
      </c>
      <c r="J82" s="5">
        <f t="shared" si="58"/>
        <v>2015</v>
      </c>
      <c r="K82" s="5">
        <f t="shared" si="58"/>
        <v>2016</v>
      </c>
      <c r="L82" s="5">
        <f t="shared" si="58"/>
        <v>2017</v>
      </c>
      <c r="M82" s="5">
        <f t="shared" si="58"/>
        <v>2018</v>
      </c>
      <c r="N82" s="5">
        <f t="shared" si="58"/>
        <v>2019</v>
      </c>
      <c r="O82" s="5">
        <f t="shared" si="58"/>
        <v>2020</v>
      </c>
      <c r="P82" s="5">
        <f t="shared" si="58"/>
        <v>2021</v>
      </c>
      <c r="Q82" s="5">
        <f t="shared" si="58"/>
        <v>2022</v>
      </c>
      <c r="R82" s="5"/>
      <c r="S82" s="5"/>
    </row>
    <row r="83" spans="1:19" x14ac:dyDescent="0.25">
      <c r="A83" t="str">
        <f t="shared" ref="A83:A93" si="59">+A55</f>
        <v>ammofos</v>
      </c>
      <c r="C83" s="72">
        <f t="shared" ref="C83:N83" si="60">+C69*C55</f>
        <v>412.41720000000004</v>
      </c>
      <c r="D83" s="72">
        <f t="shared" si="60"/>
        <v>4554.9999999999982</v>
      </c>
      <c r="E83" s="72">
        <f t="shared" si="60"/>
        <v>0</v>
      </c>
      <c r="F83" s="72">
        <f t="shared" si="60"/>
        <v>0</v>
      </c>
      <c r="G83" s="72">
        <f t="shared" ca="1" si="60"/>
        <v>4380.2499081669757</v>
      </c>
      <c r="H83" s="72">
        <f t="shared" ca="1" si="60"/>
        <v>4916.4836639598325</v>
      </c>
      <c r="I83" s="72">
        <f t="shared" ca="1" si="60"/>
        <v>6105.2734492149802</v>
      </c>
      <c r="J83" s="72">
        <f t="shared" ca="1" si="60"/>
        <v>6673.0916654707426</v>
      </c>
      <c r="K83" s="72">
        <f t="shared" ca="1" si="60"/>
        <v>7709.9637477582091</v>
      </c>
      <c r="L83" s="72">
        <f t="shared" ca="1" si="60"/>
        <v>8920.125741636477</v>
      </c>
      <c r="M83" s="72">
        <f t="shared" ca="1" si="60"/>
        <v>10334.826294582139</v>
      </c>
      <c r="N83" s="72">
        <f t="shared" ca="1" si="60"/>
        <v>11991.368912363803</v>
      </c>
      <c r="O83" s="72">
        <f t="shared" ref="O83:Q83" ca="1" si="61">+O69*O55</f>
        <v>13913.524429602301</v>
      </c>
      <c r="P83" s="72">
        <f t="shared" ca="1" si="61"/>
        <v>16150.535528231945</v>
      </c>
      <c r="Q83" s="72">
        <f t="shared" ca="1" si="61"/>
        <v>18830.832476039788</v>
      </c>
      <c r="R83" s="72"/>
      <c r="S83" s="72"/>
    </row>
    <row r="84" spans="1:19" x14ac:dyDescent="0.25">
      <c r="A84" t="str">
        <f t="shared" si="59"/>
        <v>suprefos</v>
      </c>
      <c r="C84" s="72">
        <f t="shared" ref="C84:N84" si="62">+C70*C56</f>
        <v>6329.1646999999994</v>
      </c>
      <c r="D84" s="72">
        <f t="shared" si="62"/>
        <v>495.61937244201891</v>
      </c>
      <c r="E84" s="72">
        <f t="shared" si="62"/>
        <v>0</v>
      </c>
      <c r="F84" s="72">
        <f t="shared" si="62"/>
        <v>0</v>
      </c>
      <c r="G84" s="72">
        <f t="shared" si="62"/>
        <v>3129.9399999999996</v>
      </c>
      <c r="H84" s="72">
        <f t="shared" ca="1" si="62"/>
        <v>3539.0552384863604</v>
      </c>
      <c r="I84" s="72">
        <f t="shared" ca="1" si="62"/>
        <v>4394.877761577306</v>
      </c>
      <c r="J84" s="72">
        <f t="shared" ca="1" si="62"/>
        <v>4758.1801125256916</v>
      </c>
      <c r="K84" s="72">
        <f t="shared" ca="1" si="62"/>
        <v>5496.6399407347799</v>
      </c>
      <c r="L84" s="72">
        <f t="shared" ca="1" si="62"/>
        <v>6358.2780036330405</v>
      </c>
      <c r="M84" s="72">
        <f t="shared" ca="1" si="62"/>
        <v>7365.2444489922582</v>
      </c>
      <c r="N84" s="72">
        <f t="shared" ca="1" si="62"/>
        <v>8543.9637823115572</v>
      </c>
      <c r="O84" s="72">
        <f t="shared" ref="O84:Q84" ca="1" si="63">+O70*O56</f>
        <v>9911.1725628360091</v>
      </c>
      <c r="P84" s="72">
        <f t="shared" ca="1" si="63"/>
        <v>11501.692310103639</v>
      </c>
      <c r="Q84" s="72">
        <f t="shared" ca="1" si="63"/>
        <v>13406.649748150912</v>
      </c>
      <c r="R84" s="72"/>
      <c r="S84" s="72"/>
    </row>
    <row r="85" spans="1:19" x14ac:dyDescent="0.25">
      <c r="A85" t="str">
        <f t="shared" si="59"/>
        <v>ASP</v>
      </c>
      <c r="C85" s="72">
        <f t="shared" ref="C85:N85" si="64">+C71*C57</f>
        <v>2296.6488999999997</v>
      </c>
      <c r="D85" s="72">
        <f t="shared" si="64"/>
        <v>233</v>
      </c>
      <c r="E85" s="72">
        <f t="shared" si="64"/>
        <v>0</v>
      </c>
      <c r="F85" s="72">
        <f t="shared" si="64"/>
        <v>0</v>
      </c>
      <c r="G85" s="72">
        <f t="shared" si="64"/>
        <v>0</v>
      </c>
      <c r="H85" s="72">
        <f t="shared" si="64"/>
        <v>0</v>
      </c>
      <c r="I85" s="72">
        <f t="shared" si="64"/>
        <v>0</v>
      </c>
      <c r="J85" s="72">
        <f t="shared" si="64"/>
        <v>0</v>
      </c>
      <c r="K85" s="72">
        <f t="shared" si="64"/>
        <v>0</v>
      </c>
      <c r="L85" s="72">
        <f t="shared" si="64"/>
        <v>0</v>
      </c>
      <c r="M85" s="72">
        <f t="shared" si="64"/>
        <v>0</v>
      </c>
      <c r="N85" s="72">
        <f t="shared" si="64"/>
        <v>0</v>
      </c>
      <c r="O85" s="72">
        <f t="shared" ref="O85:Q85" si="65">+O71*O57</f>
        <v>0</v>
      </c>
      <c r="P85" s="72">
        <f t="shared" si="65"/>
        <v>0</v>
      </c>
      <c r="Q85" s="72">
        <f t="shared" si="65"/>
        <v>0</v>
      </c>
      <c r="R85" s="72"/>
      <c r="S85" s="72"/>
    </row>
    <row r="86" spans="1:19" x14ac:dyDescent="0.25">
      <c r="A86" t="str">
        <f t="shared" si="59"/>
        <v>MAP</v>
      </c>
      <c r="C86" s="72">
        <f t="shared" ref="C86:N86" si="66">+C72*C58</f>
        <v>0</v>
      </c>
      <c r="D86" s="72">
        <f t="shared" si="66"/>
        <v>0</v>
      </c>
      <c r="E86" s="72">
        <f t="shared" si="66"/>
        <v>0</v>
      </c>
      <c r="F86" s="72">
        <f t="shared" si="66"/>
        <v>0</v>
      </c>
      <c r="G86" s="72">
        <f t="shared" si="66"/>
        <v>0</v>
      </c>
      <c r="H86" s="72">
        <f t="shared" si="66"/>
        <v>0</v>
      </c>
      <c r="I86" s="72">
        <f t="shared" si="66"/>
        <v>0</v>
      </c>
      <c r="J86" s="72">
        <f t="shared" si="66"/>
        <v>0</v>
      </c>
      <c r="K86" s="72">
        <f t="shared" si="66"/>
        <v>0</v>
      </c>
      <c r="L86" s="72">
        <f t="shared" si="66"/>
        <v>0</v>
      </c>
      <c r="M86" s="72">
        <f t="shared" si="66"/>
        <v>0</v>
      </c>
      <c r="N86" s="72">
        <f t="shared" si="66"/>
        <v>0</v>
      </c>
      <c r="O86" s="72">
        <f t="shared" ref="O86:Q86" si="67">+O72*O58</f>
        <v>0</v>
      </c>
      <c r="P86" s="72">
        <f t="shared" si="67"/>
        <v>0</v>
      </c>
      <c r="Q86" s="72">
        <f t="shared" si="67"/>
        <v>0</v>
      </c>
      <c r="R86" s="72"/>
      <c r="S86" s="72"/>
    </row>
    <row r="87" spans="1:19" x14ac:dyDescent="0.25">
      <c r="A87" t="str">
        <f t="shared" si="59"/>
        <v>SA</v>
      </c>
      <c r="C87" s="72">
        <f t="shared" ref="C87:N87" si="68">+C73*C59</f>
        <v>0</v>
      </c>
      <c r="D87" s="72">
        <f t="shared" si="68"/>
        <v>0</v>
      </c>
      <c r="E87" s="72">
        <f t="shared" si="68"/>
        <v>0</v>
      </c>
      <c r="F87" s="72">
        <f t="shared" si="68"/>
        <v>0</v>
      </c>
      <c r="G87" s="72">
        <f t="shared" si="68"/>
        <v>0</v>
      </c>
      <c r="H87" s="72">
        <f t="shared" si="68"/>
        <v>0</v>
      </c>
      <c r="I87" s="72">
        <f t="shared" si="68"/>
        <v>0</v>
      </c>
      <c r="J87" s="72">
        <f t="shared" si="68"/>
        <v>0</v>
      </c>
      <c r="K87" s="72">
        <f t="shared" si="68"/>
        <v>0</v>
      </c>
      <c r="L87" s="72">
        <f t="shared" si="68"/>
        <v>0</v>
      </c>
      <c r="M87" s="72">
        <f t="shared" si="68"/>
        <v>0</v>
      </c>
      <c r="N87" s="72">
        <f t="shared" si="68"/>
        <v>0</v>
      </c>
      <c r="O87" s="72">
        <f t="shared" ref="O87:Q87" si="69">+O73*O59</f>
        <v>0</v>
      </c>
      <c r="P87" s="72">
        <f t="shared" si="69"/>
        <v>0</v>
      </c>
      <c r="Q87" s="72">
        <f t="shared" si="69"/>
        <v>0</v>
      </c>
      <c r="R87" s="72"/>
      <c r="S87" s="72"/>
    </row>
    <row r="88" spans="1:19" x14ac:dyDescent="0.25">
      <c r="A88" t="str">
        <f t="shared" si="59"/>
        <v>NPK 15-15-15</v>
      </c>
      <c r="C88" s="72">
        <f t="shared" ref="C88:N88" si="70">+C74*C60</f>
        <v>0</v>
      </c>
      <c r="D88" s="72">
        <f t="shared" si="70"/>
        <v>0</v>
      </c>
      <c r="E88" s="72">
        <f t="shared" si="70"/>
        <v>0</v>
      </c>
      <c r="F88" s="72">
        <f t="shared" si="70"/>
        <v>0</v>
      </c>
      <c r="G88" s="72">
        <f t="shared" si="70"/>
        <v>0</v>
      </c>
      <c r="H88" s="72">
        <f t="shared" si="70"/>
        <v>0</v>
      </c>
      <c r="I88" s="72">
        <f t="shared" si="70"/>
        <v>0</v>
      </c>
      <c r="J88" s="72">
        <f t="shared" si="70"/>
        <v>0</v>
      </c>
      <c r="K88" s="72">
        <f t="shared" si="70"/>
        <v>0</v>
      </c>
      <c r="L88" s="72">
        <f t="shared" si="70"/>
        <v>0</v>
      </c>
      <c r="M88" s="72">
        <f t="shared" si="70"/>
        <v>0</v>
      </c>
      <c r="N88" s="72">
        <f t="shared" si="70"/>
        <v>0</v>
      </c>
      <c r="O88" s="72">
        <f t="shared" ref="O88:Q88" si="71">+O74*O60</f>
        <v>0</v>
      </c>
      <c r="P88" s="72">
        <f t="shared" si="71"/>
        <v>0</v>
      </c>
      <c r="Q88" s="72">
        <f t="shared" si="71"/>
        <v>0</v>
      </c>
      <c r="R88" s="72"/>
      <c r="S88" s="72"/>
    </row>
    <row r="89" spans="1:19" x14ac:dyDescent="0.25">
      <c r="A89" t="str">
        <f t="shared" si="59"/>
        <v>NPK 16-16-16</v>
      </c>
      <c r="C89" s="72">
        <f t="shared" ref="C89:N89" si="72">+C75*C61</f>
        <v>0</v>
      </c>
      <c r="D89" s="72">
        <f t="shared" si="72"/>
        <v>0</v>
      </c>
      <c r="E89" s="72">
        <f t="shared" si="72"/>
        <v>0</v>
      </c>
      <c r="F89" s="72">
        <f t="shared" si="72"/>
        <v>0</v>
      </c>
      <c r="G89" s="72">
        <f t="shared" si="72"/>
        <v>0</v>
      </c>
      <c r="H89" s="72">
        <f t="shared" si="72"/>
        <v>0</v>
      </c>
      <c r="I89" s="72">
        <f t="shared" si="72"/>
        <v>0</v>
      </c>
      <c r="J89" s="72">
        <f t="shared" si="72"/>
        <v>0</v>
      </c>
      <c r="K89" s="72">
        <f t="shared" si="72"/>
        <v>0</v>
      </c>
      <c r="L89" s="72">
        <f t="shared" si="72"/>
        <v>0</v>
      </c>
      <c r="M89" s="72">
        <f t="shared" si="72"/>
        <v>0</v>
      </c>
      <c r="N89" s="72">
        <f t="shared" si="72"/>
        <v>0</v>
      </c>
      <c r="O89" s="72">
        <f t="shared" ref="O89:Q89" si="73">+O75*O61</f>
        <v>0</v>
      </c>
      <c r="P89" s="72">
        <f t="shared" si="73"/>
        <v>0</v>
      </c>
      <c r="Q89" s="72">
        <f t="shared" si="73"/>
        <v>0</v>
      </c>
      <c r="R89" s="72"/>
      <c r="S89" s="72"/>
    </row>
    <row r="90" spans="1:19" x14ac:dyDescent="0.25">
      <c r="A90" t="str">
        <f t="shared" si="59"/>
        <v>NPK 10-26-26</v>
      </c>
      <c r="C90" s="72">
        <f t="shared" ref="C90:N90" si="74">+C76*C62</f>
        <v>0</v>
      </c>
      <c r="D90" s="72">
        <f t="shared" si="74"/>
        <v>0</v>
      </c>
      <c r="E90" s="72">
        <f t="shared" si="74"/>
        <v>0</v>
      </c>
      <c r="F90" s="72">
        <f t="shared" si="74"/>
        <v>0</v>
      </c>
      <c r="G90" s="72">
        <f t="shared" si="74"/>
        <v>0</v>
      </c>
      <c r="H90" s="72">
        <f t="shared" si="74"/>
        <v>0</v>
      </c>
      <c r="I90" s="72">
        <f t="shared" si="74"/>
        <v>0</v>
      </c>
      <c r="J90" s="72">
        <f t="shared" si="74"/>
        <v>0</v>
      </c>
      <c r="K90" s="72">
        <f t="shared" si="74"/>
        <v>0</v>
      </c>
      <c r="L90" s="72">
        <f t="shared" si="74"/>
        <v>0</v>
      </c>
      <c r="M90" s="72">
        <f t="shared" si="74"/>
        <v>0</v>
      </c>
      <c r="N90" s="72">
        <f t="shared" si="74"/>
        <v>0</v>
      </c>
      <c r="O90" s="72">
        <f t="shared" ref="O90:Q90" si="75">+O76*O62</f>
        <v>0</v>
      </c>
      <c r="P90" s="72">
        <f t="shared" si="75"/>
        <v>0</v>
      </c>
      <c r="Q90" s="72">
        <f t="shared" si="75"/>
        <v>0</v>
      </c>
      <c r="R90" s="72"/>
      <c r="S90" s="72"/>
    </row>
    <row r="91" spans="1:19" x14ac:dyDescent="0.25">
      <c r="A91" t="str">
        <f t="shared" si="59"/>
        <v>NPK 10-20-20</v>
      </c>
      <c r="C91" s="72">
        <f t="shared" ref="C91:N91" si="76">+C77*C63</f>
        <v>0</v>
      </c>
      <c r="D91" s="72">
        <f t="shared" si="76"/>
        <v>0</v>
      </c>
      <c r="E91" s="72">
        <f t="shared" si="76"/>
        <v>0</v>
      </c>
      <c r="F91" s="72">
        <f t="shared" si="76"/>
        <v>0</v>
      </c>
      <c r="G91" s="72">
        <f t="shared" si="76"/>
        <v>0</v>
      </c>
      <c r="H91" s="72">
        <f t="shared" si="76"/>
        <v>0</v>
      </c>
      <c r="I91" s="72">
        <f t="shared" si="76"/>
        <v>0</v>
      </c>
      <c r="J91" s="72">
        <f t="shared" si="76"/>
        <v>0</v>
      </c>
      <c r="K91" s="72">
        <f t="shared" si="76"/>
        <v>0</v>
      </c>
      <c r="L91" s="72">
        <f t="shared" si="76"/>
        <v>0</v>
      </c>
      <c r="M91" s="72">
        <f t="shared" si="76"/>
        <v>0</v>
      </c>
      <c r="N91" s="72">
        <f t="shared" si="76"/>
        <v>0</v>
      </c>
      <c r="O91" s="72">
        <f t="shared" ref="O91:Q91" si="77">+O77*O63</f>
        <v>0</v>
      </c>
      <c r="P91" s="72">
        <f t="shared" si="77"/>
        <v>0</v>
      </c>
      <c r="Q91" s="72">
        <f t="shared" si="77"/>
        <v>0</v>
      </c>
      <c r="R91" s="72"/>
      <c r="S91" s="72"/>
    </row>
    <row r="92" spans="1:19" x14ac:dyDescent="0.25">
      <c r="A92" t="str">
        <f t="shared" si="59"/>
        <v>NPK 13-13-21</v>
      </c>
      <c r="C92" s="72">
        <f t="shared" ref="C92:Q92" si="78">+C78*C64</f>
        <v>0</v>
      </c>
      <c r="D92" s="72">
        <f t="shared" si="78"/>
        <v>0</v>
      </c>
      <c r="E92" s="72">
        <f t="shared" si="78"/>
        <v>0</v>
      </c>
      <c r="F92" s="72">
        <f t="shared" si="78"/>
        <v>0</v>
      </c>
      <c r="G92" s="72">
        <f t="shared" si="78"/>
        <v>0</v>
      </c>
      <c r="H92" s="72">
        <f t="shared" si="78"/>
        <v>0</v>
      </c>
      <c r="I92" s="72">
        <f t="shared" si="78"/>
        <v>0</v>
      </c>
      <c r="J92" s="72">
        <f t="shared" si="78"/>
        <v>0</v>
      </c>
      <c r="K92" s="72">
        <f t="shared" si="78"/>
        <v>0</v>
      </c>
      <c r="L92" s="72">
        <f t="shared" si="78"/>
        <v>0</v>
      </c>
      <c r="M92" s="72">
        <f t="shared" si="78"/>
        <v>0</v>
      </c>
      <c r="N92" s="72">
        <f t="shared" si="78"/>
        <v>0</v>
      </c>
      <c r="O92" s="72">
        <f t="shared" si="78"/>
        <v>0</v>
      </c>
      <c r="P92" s="72">
        <f t="shared" si="78"/>
        <v>0</v>
      </c>
      <c r="Q92" s="72">
        <f t="shared" si="78"/>
        <v>0</v>
      </c>
      <c r="R92" s="72"/>
      <c r="S92" s="72"/>
    </row>
    <row r="93" spans="1:19" x14ac:dyDescent="0.25">
      <c r="A93" t="str">
        <f t="shared" si="59"/>
        <v>NPK 00-00-00</v>
      </c>
      <c r="C93" s="72">
        <f t="shared" ref="C93:Q93" si="79">+C79*C65</f>
        <v>0</v>
      </c>
      <c r="D93" s="72">
        <f t="shared" si="79"/>
        <v>0</v>
      </c>
      <c r="E93" s="72">
        <f t="shared" si="79"/>
        <v>0</v>
      </c>
      <c r="F93" s="72">
        <f t="shared" si="79"/>
        <v>0</v>
      </c>
      <c r="G93" s="72">
        <f t="shared" si="79"/>
        <v>0</v>
      </c>
      <c r="H93" s="72">
        <f t="shared" si="79"/>
        <v>0</v>
      </c>
      <c r="I93" s="72">
        <f t="shared" si="79"/>
        <v>0</v>
      </c>
      <c r="J93" s="72">
        <f t="shared" si="79"/>
        <v>0</v>
      </c>
      <c r="K93" s="72">
        <f t="shared" si="79"/>
        <v>0</v>
      </c>
      <c r="L93" s="72">
        <f t="shared" si="79"/>
        <v>0</v>
      </c>
      <c r="M93" s="72">
        <f t="shared" si="79"/>
        <v>0</v>
      </c>
      <c r="N93" s="72">
        <f t="shared" si="79"/>
        <v>0</v>
      </c>
      <c r="O93" s="72">
        <f t="shared" si="79"/>
        <v>0</v>
      </c>
      <c r="P93" s="72">
        <f t="shared" si="79"/>
        <v>0</v>
      </c>
      <c r="Q93" s="72">
        <f t="shared" si="79"/>
        <v>0</v>
      </c>
      <c r="R93" s="72"/>
      <c r="S93" s="72"/>
    </row>
    <row r="94" spans="1:19" x14ac:dyDescent="0.25">
      <c r="A94" s="26" t="s">
        <v>114</v>
      </c>
      <c r="C94" s="8">
        <f>SUM(C83:C93)</f>
        <v>9038.2307999999994</v>
      </c>
      <c r="D94" s="8">
        <f t="shared" ref="D94:Q94" si="80">SUM(D83:D93)</f>
        <v>5283.6193724420173</v>
      </c>
      <c r="E94" s="8">
        <f t="shared" si="80"/>
        <v>0</v>
      </c>
      <c r="F94" s="8">
        <f t="shared" si="80"/>
        <v>0</v>
      </c>
      <c r="G94" s="8">
        <f t="shared" ca="1" si="80"/>
        <v>7510.1899081669753</v>
      </c>
      <c r="H94" s="8">
        <f t="shared" ca="1" si="80"/>
        <v>8455.5389024461929</v>
      </c>
      <c r="I94" s="8">
        <f t="shared" ca="1" si="80"/>
        <v>10500.151210792286</v>
      </c>
      <c r="J94" s="8">
        <f t="shared" ca="1" si="80"/>
        <v>11431.271777996433</v>
      </c>
      <c r="K94" s="8">
        <f t="shared" ca="1" si="80"/>
        <v>13206.603688492989</v>
      </c>
      <c r="L94" s="8">
        <f t="shared" ca="1" si="80"/>
        <v>15278.403745269517</v>
      </c>
      <c r="M94" s="8">
        <f t="shared" ca="1" si="80"/>
        <v>17700.070743574397</v>
      </c>
      <c r="N94" s="8">
        <f t="shared" ca="1" si="80"/>
        <v>20535.332694675359</v>
      </c>
      <c r="O94" s="8">
        <f t="shared" ca="1" si="80"/>
        <v>23824.696992438308</v>
      </c>
      <c r="P94" s="8">
        <f t="shared" ca="1" si="80"/>
        <v>27652.227838335584</v>
      </c>
      <c r="Q94" s="8">
        <f t="shared" ca="1" si="80"/>
        <v>32237.482224190702</v>
      </c>
      <c r="R94" s="8"/>
      <c r="S94" s="8"/>
    </row>
    <row r="96" spans="1:19" x14ac:dyDescent="0.25">
      <c r="A96" s="31" t="s">
        <v>516</v>
      </c>
      <c r="B96" s="5"/>
      <c r="C96" s="5">
        <f>+C$4</f>
        <v>2008</v>
      </c>
      <c r="D96" s="5">
        <f t="shared" ref="D96:Q96" si="81">+D$4</f>
        <v>2009</v>
      </c>
      <c r="E96" s="5">
        <f t="shared" si="81"/>
        <v>2010</v>
      </c>
      <c r="F96" s="5">
        <f t="shared" si="81"/>
        <v>2011</v>
      </c>
      <c r="G96" s="5">
        <f t="shared" si="81"/>
        <v>2012</v>
      </c>
      <c r="H96" s="5">
        <f t="shared" si="81"/>
        <v>2013</v>
      </c>
      <c r="I96" s="5">
        <f t="shared" si="81"/>
        <v>2014</v>
      </c>
      <c r="J96" s="5">
        <f t="shared" si="81"/>
        <v>2015</v>
      </c>
      <c r="K96" s="5">
        <f t="shared" si="81"/>
        <v>2016</v>
      </c>
      <c r="L96" s="5">
        <f t="shared" si="81"/>
        <v>2017</v>
      </c>
      <c r="M96" s="5">
        <f t="shared" si="81"/>
        <v>2018</v>
      </c>
      <c r="N96" s="5">
        <f t="shared" si="81"/>
        <v>2019</v>
      </c>
      <c r="O96" s="5">
        <f t="shared" si="81"/>
        <v>2020</v>
      </c>
      <c r="P96" s="5">
        <f t="shared" si="81"/>
        <v>2021</v>
      </c>
      <c r="Q96" s="5">
        <f t="shared" si="81"/>
        <v>2022</v>
      </c>
      <c r="R96" s="5"/>
      <c r="S96" s="5"/>
    </row>
    <row r="97" spans="1:19" x14ac:dyDescent="0.25">
      <c r="A97" t="str">
        <f t="shared" ref="A97:A105" si="82">+A83</f>
        <v>ammofos</v>
      </c>
      <c r="C97" s="256">
        <v>50</v>
      </c>
      <c r="D97" s="366">
        <f>19.48+0.73</f>
        <v>20.21</v>
      </c>
      <c r="E97" s="366">
        <v>111.151</v>
      </c>
      <c r="F97" s="366">
        <v>65.94</v>
      </c>
      <c r="G97" s="366">
        <v>65</v>
      </c>
      <c r="H97" s="256">
        <f>+'break down export'!X163/1000</f>
        <v>71.885000000000005</v>
      </c>
      <c r="I97" s="256">
        <f>+'break down export'!AA163/1000</f>
        <v>60.935000000000002</v>
      </c>
      <c r="J97" s="256">
        <f>+'break down export'!AD163/1000</f>
        <v>48.956000000000003</v>
      </c>
      <c r="K97" s="256">
        <f>+'break down export'!AG163/1000</f>
        <v>48.956000000000003</v>
      </c>
      <c r="L97" s="256">
        <f>+'break down export'!AJ163/1000</f>
        <v>48.956000000000003</v>
      </c>
      <c r="M97" s="256">
        <f>+'break down export'!AM163/1000</f>
        <v>48.956000000000003</v>
      </c>
      <c r="N97" s="256">
        <f>+'break down export'!AP163/1000</f>
        <v>48.956000000000003</v>
      </c>
      <c r="O97" s="256">
        <f>+'break down export'!AS163/1000</f>
        <v>48.956000000000003</v>
      </c>
      <c r="P97" s="256">
        <f>+'break down export'!AV163/1000</f>
        <v>48.956000000000003</v>
      </c>
      <c r="Q97" s="256">
        <f>+'break down export'!AY163/1000</f>
        <v>48.956000000000003</v>
      </c>
      <c r="R97" s="38"/>
      <c r="S97" s="38"/>
    </row>
    <row r="98" spans="1:19" ht="18.75" x14ac:dyDescent="0.3">
      <c r="A98" t="str">
        <f t="shared" si="82"/>
        <v>suprefos</v>
      </c>
      <c r="C98" s="256">
        <v>34.1</v>
      </c>
      <c r="D98" s="366">
        <f>0.247+4.783+20</f>
        <v>25.03</v>
      </c>
      <c r="E98" s="366">
        <v>57.040999999999997</v>
      </c>
      <c r="F98" s="366">
        <v>60.34</v>
      </c>
      <c r="G98" s="525">
        <v>80</v>
      </c>
      <c r="H98" s="256">
        <f>+'break down export'!X165/1000</f>
        <v>88.472999999999999</v>
      </c>
      <c r="I98" s="256">
        <f>+'break down export'!AA165/1000</f>
        <v>74.998000000000005</v>
      </c>
      <c r="J98" s="256">
        <f>+'break down export'!AD165/1000</f>
        <v>60.250999999999998</v>
      </c>
      <c r="K98" s="256">
        <f>+'break down export'!AG165/1000</f>
        <v>60.250999999999998</v>
      </c>
      <c r="L98" s="256">
        <f>+'break down export'!AJ165/1000</f>
        <v>60.250999999999998</v>
      </c>
      <c r="M98" s="256">
        <f>+'break down export'!AM165/1000</f>
        <v>60.250999999999998</v>
      </c>
      <c r="N98" s="256">
        <f>+'break down export'!AP165/1000</f>
        <v>60.250999999999998</v>
      </c>
      <c r="O98" s="256">
        <f>+'break down export'!AS165/1000</f>
        <v>60.250999999999998</v>
      </c>
      <c r="P98" s="256">
        <f>+'break down export'!AV165/1000</f>
        <v>60.250999999999998</v>
      </c>
      <c r="Q98" s="256">
        <f>+'break down export'!AY165/1000</f>
        <v>60.250999999999998</v>
      </c>
      <c r="R98" s="409">
        <f>ROUND(+H98*0.24,3)</f>
        <v>21.234000000000002</v>
      </c>
      <c r="S98" s="38"/>
    </row>
    <row r="99" spans="1:19" ht="18.75" x14ac:dyDescent="0.3">
      <c r="A99" t="str">
        <f t="shared" si="82"/>
        <v>ASP</v>
      </c>
      <c r="C99" s="38">
        <v>5.8</v>
      </c>
      <c r="D99" s="366">
        <v>2</v>
      </c>
      <c r="E99" s="366">
        <v>0</v>
      </c>
      <c r="F99" s="366">
        <v>0</v>
      </c>
      <c r="G99" s="256">
        <v>0</v>
      </c>
      <c r="H99" s="256">
        <f>+'break down export'!X166/1000</f>
        <v>0</v>
      </c>
      <c r="I99" s="256">
        <f>+'break down export'!AA166/1000</f>
        <v>0</v>
      </c>
      <c r="J99" s="256">
        <f>+'break down export'!AD166/1000</f>
        <v>0</v>
      </c>
      <c r="K99" s="256">
        <f>+'break down export'!AG166/1000</f>
        <v>0</v>
      </c>
      <c r="L99" s="256">
        <f>+'break down export'!AJ166/1000</f>
        <v>0</v>
      </c>
      <c r="M99" s="256">
        <f>+'break down export'!AM166/1000</f>
        <v>0</v>
      </c>
      <c r="N99" s="256">
        <f>+'break down export'!AP166/1000</f>
        <v>0</v>
      </c>
      <c r="O99" s="256">
        <f>+'break down export'!AS166/1000</f>
        <v>0</v>
      </c>
      <c r="P99" s="256">
        <f>+'break down export'!AV166/1000</f>
        <v>0</v>
      </c>
      <c r="Q99" s="256">
        <f>+'break down export'!AY166/1000</f>
        <v>0</v>
      </c>
      <c r="R99" s="409"/>
      <c r="S99" s="38"/>
    </row>
    <row r="100" spans="1:19" ht="18.75" x14ac:dyDescent="0.3">
      <c r="A100" t="str">
        <f t="shared" si="82"/>
        <v>MAP</v>
      </c>
      <c r="C100" s="38">
        <v>0</v>
      </c>
      <c r="D100" s="38">
        <v>0</v>
      </c>
      <c r="E100" s="366">
        <v>16.260000000000002</v>
      </c>
      <c r="F100" s="366">
        <v>0</v>
      </c>
      <c r="G100" s="256">
        <v>0</v>
      </c>
      <c r="H100" s="256">
        <f>+'break down export'!X167/1000</f>
        <v>0</v>
      </c>
      <c r="I100" s="256">
        <f>+'break down export'!AA167/1000</f>
        <v>0</v>
      </c>
      <c r="J100" s="256">
        <f>+'break down export'!AD167/1000</f>
        <v>0</v>
      </c>
      <c r="K100" s="256">
        <f>+'break down export'!AG167/1000</f>
        <v>0</v>
      </c>
      <c r="L100" s="256">
        <f>+'break down export'!AJ167/1000</f>
        <v>0</v>
      </c>
      <c r="M100" s="256">
        <f>+'break down export'!AM167/1000</f>
        <v>0</v>
      </c>
      <c r="N100" s="256">
        <f>+'break down export'!AP167/1000</f>
        <v>0</v>
      </c>
      <c r="O100" s="256">
        <f>+'break down export'!AS167/1000</f>
        <v>0</v>
      </c>
      <c r="P100" s="256">
        <f>+'break down export'!AV167/1000</f>
        <v>0</v>
      </c>
      <c r="Q100" s="256">
        <f>+'break down export'!AY167/1000</f>
        <v>0</v>
      </c>
      <c r="R100" s="409">
        <f>4/0.52</f>
        <v>7.6923076923076916</v>
      </c>
      <c r="S100" s="38"/>
    </row>
    <row r="101" spans="1:19" x14ac:dyDescent="0.25">
      <c r="A101" t="str">
        <f t="shared" si="82"/>
        <v>SA</v>
      </c>
      <c r="C101" s="38">
        <v>0</v>
      </c>
      <c r="D101" s="38">
        <v>0</v>
      </c>
      <c r="E101" s="38">
        <v>0</v>
      </c>
      <c r="F101" s="38">
        <v>0</v>
      </c>
      <c r="G101" s="38">
        <v>0</v>
      </c>
      <c r="H101" s="38">
        <v>0</v>
      </c>
      <c r="I101" s="38">
        <v>0</v>
      </c>
      <c r="J101" s="38">
        <v>0</v>
      </c>
      <c r="K101" s="38">
        <v>0</v>
      </c>
      <c r="L101" s="38">
        <v>0</v>
      </c>
      <c r="M101" s="38">
        <v>0</v>
      </c>
      <c r="N101" s="38">
        <v>0</v>
      </c>
      <c r="O101" s="38"/>
      <c r="P101" s="38"/>
      <c r="Q101" s="38"/>
      <c r="R101" s="38"/>
      <c r="S101" s="38"/>
    </row>
    <row r="102" spans="1:19" x14ac:dyDescent="0.25">
      <c r="A102" t="str">
        <f t="shared" si="82"/>
        <v>NPK 15-15-15</v>
      </c>
      <c r="C102" s="38">
        <v>0</v>
      </c>
      <c r="D102" s="38">
        <v>0</v>
      </c>
      <c r="E102" s="38">
        <v>0</v>
      </c>
      <c r="F102" s="38">
        <v>0</v>
      </c>
      <c r="G102" s="38">
        <v>0</v>
      </c>
      <c r="H102" s="38">
        <v>0</v>
      </c>
      <c r="I102" s="38">
        <f>+'break down export'!AA305/1000</f>
        <v>8.0000000000000018</v>
      </c>
      <c r="J102" s="38">
        <f>+'break down export'!AD305/1000</f>
        <v>16.000000000000004</v>
      </c>
      <c r="K102" s="38">
        <f>+'break down export'!AG305/1000</f>
        <v>16.000000000000004</v>
      </c>
      <c r="L102" s="38">
        <f>+'break down export'!AJ305/1000</f>
        <v>16.000000000000004</v>
      </c>
      <c r="M102" s="38">
        <f>+'break down export'!AM305/1000</f>
        <v>16.000000000000004</v>
      </c>
      <c r="N102" s="38">
        <f>+'break down export'!AP305/1000</f>
        <v>16.000000000000004</v>
      </c>
      <c r="O102" s="38">
        <f>+'break down export'!AS305/1000</f>
        <v>16.000000000000004</v>
      </c>
      <c r="P102" s="38">
        <f>+'break down export'!AV305/1000</f>
        <v>16.000000000000004</v>
      </c>
      <c r="Q102" s="38">
        <f>+'break down export'!AY305/1000</f>
        <v>16.000000000000004</v>
      </c>
      <c r="R102" s="38"/>
      <c r="S102" s="38"/>
    </row>
    <row r="103" spans="1:19" x14ac:dyDescent="0.25">
      <c r="A103" t="str">
        <f t="shared" si="82"/>
        <v>NPK 16-16-16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f>+'break down export'!AA306/1000</f>
        <v>56</v>
      </c>
      <c r="J103" s="38">
        <f>+'break down export'!AD306/1000</f>
        <v>112</v>
      </c>
      <c r="K103" s="38">
        <f>+'break down export'!AG306/1000</f>
        <v>112</v>
      </c>
      <c r="L103" s="38">
        <f>+'break down export'!AJ306/1000</f>
        <v>112</v>
      </c>
      <c r="M103" s="38">
        <f>+'break down export'!AM306/1000</f>
        <v>112</v>
      </c>
      <c r="N103" s="38">
        <f>+'break down export'!AP306/1000</f>
        <v>112</v>
      </c>
      <c r="O103" s="38">
        <f>+'break down export'!AS306/1000</f>
        <v>112</v>
      </c>
      <c r="P103" s="38">
        <f>+'break down export'!AV306/1000</f>
        <v>112</v>
      </c>
      <c r="Q103" s="38">
        <f>+'break down export'!AY306/1000</f>
        <v>112</v>
      </c>
      <c r="R103" s="38"/>
      <c r="S103" s="38"/>
    </row>
    <row r="104" spans="1:19" x14ac:dyDescent="0.25">
      <c r="A104" t="str">
        <f t="shared" si="82"/>
        <v>NPK 10-26-26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f>+'break down export'!AA307/1000</f>
        <v>8.5</v>
      </c>
      <c r="J104" s="38">
        <f>+'break down export'!AD307/1000</f>
        <v>17</v>
      </c>
      <c r="K104" s="38">
        <f>+'break down export'!AG307/1000</f>
        <v>17</v>
      </c>
      <c r="L104" s="38">
        <f>+'break down export'!AJ307/1000</f>
        <v>17</v>
      </c>
      <c r="M104" s="38">
        <f>+'break down export'!AM307/1000</f>
        <v>17</v>
      </c>
      <c r="N104" s="38">
        <f>+'break down export'!AP307/1000</f>
        <v>17</v>
      </c>
      <c r="O104" s="38">
        <f>+'break down export'!AS307/1000</f>
        <v>17</v>
      </c>
      <c r="P104" s="38">
        <f>+'break down export'!AV307/1000</f>
        <v>17</v>
      </c>
      <c r="Q104" s="38">
        <f>+'break down export'!AY307/1000</f>
        <v>17</v>
      </c>
      <c r="R104" s="38"/>
      <c r="S104" s="38"/>
    </row>
    <row r="105" spans="1:19" x14ac:dyDescent="0.25">
      <c r="A105" t="str">
        <f t="shared" si="82"/>
        <v>NPK 10-20-20</v>
      </c>
      <c r="C105" s="38">
        <v>0</v>
      </c>
      <c r="D105" s="38">
        <v>0</v>
      </c>
      <c r="E105" s="38">
        <v>0</v>
      </c>
      <c r="F105" s="38">
        <v>0</v>
      </c>
      <c r="G105" s="38">
        <v>0</v>
      </c>
      <c r="H105" s="38">
        <v>0</v>
      </c>
      <c r="I105" s="38">
        <f>+'break down export'!AA308/1000</f>
        <v>4.5000000000000009</v>
      </c>
      <c r="J105" s="38">
        <f>+'break down export'!AD308/1000</f>
        <v>9.0000000000000018</v>
      </c>
      <c r="K105" s="38">
        <f>+'break down export'!AG308/1000</f>
        <v>9.0000000000000018</v>
      </c>
      <c r="L105" s="38">
        <f>+'break down export'!AJ308/1000</f>
        <v>9.0000000000000018</v>
      </c>
      <c r="M105" s="38">
        <f>+'break down export'!AM308/1000</f>
        <v>9.0000000000000018</v>
      </c>
      <c r="N105" s="38">
        <f>+'break down export'!AP308/1000</f>
        <v>9.0000000000000018</v>
      </c>
      <c r="O105" s="38">
        <f>+'break down export'!AS308/1000</f>
        <v>9.0000000000000018</v>
      </c>
      <c r="P105" s="38">
        <f>+'break down export'!AV308/1000</f>
        <v>9.0000000000000018</v>
      </c>
      <c r="Q105" s="38">
        <f>+'break down export'!AY308/1000</f>
        <v>9.0000000000000018</v>
      </c>
      <c r="R105" s="38"/>
      <c r="S105" s="38"/>
    </row>
    <row r="106" spans="1:19" x14ac:dyDescent="0.25">
      <c r="A106" t="str">
        <f t="shared" ref="A106:A107" si="83">+A92</f>
        <v>NPK 13-13-21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f>+'break down export'!AA309/1000</f>
        <v>3</v>
      </c>
      <c r="J106" s="38">
        <f>+'break down export'!AD309/1000</f>
        <v>6</v>
      </c>
      <c r="K106" s="38">
        <f>+'break down export'!AG309/1000</f>
        <v>6</v>
      </c>
      <c r="L106" s="38">
        <f>+'break down export'!AJ309/1000</f>
        <v>6</v>
      </c>
      <c r="M106" s="38">
        <f>+'break down export'!AM309/1000</f>
        <v>6</v>
      </c>
      <c r="N106" s="38">
        <f>+'break down export'!AP309/1000</f>
        <v>6</v>
      </c>
      <c r="O106" s="38">
        <f>+'break down export'!AS309/1000</f>
        <v>6</v>
      </c>
      <c r="P106" s="38">
        <f>+'break down export'!AV309/1000</f>
        <v>6</v>
      </c>
      <c r="Q106" s="38">
        <f>+'break down export'!AY309/1000</f>
        <v>6</v>
      </c>
      <c r="R106" s="38"/>
      <c r="S106" s="38"/>
    </row>
    <row r="107" spans="1:19" x14ac:dyDescent="0.25">
      <c r="A107" t="str">
        <f t="shared" si="83"/>
        <v>NPK 00-00-00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f>+'break down export'!AA310/1000</f>
        <v>0</v>
      </c>
      <c r="J107" s="38">
        <f>+'break down export'!AD310/1000</f>
        <v>0</v>
      </c>
      <c r="K107" s="38">
        <f>+'break down export'!AG310/1000</f>
        <v>0</v>
      </c>
      <c r="L107" s="38">
        <f>+'break down export'!AJ310/1000</f>
        <v>0</v>
      </c>
      <c r="M107" s="38">
        <f>+'break down export'!AM310/1000</f>
        <v>0</v>
      </c>
      <c r="N107" s="38">
        <f>+'break down export'!AP310/1000</f>
        <v>0</v>
      </c>
      <c r="O107" s="38">
        <f>+'break down export'!AS310/1000</f>
        <v>0</v>
      </c>
      <c r="P107" s="38">
        <f>+'break down export'!AV310/1000</f>
        <v>0</v>
      </c>
      <c r="Q107" s="38">
        <f>+'break down export'!AY310/1000</f>
        <v>0</v>
      </c>
      <c r="R107" s="38"/>
      <c r="S107" s="38"/>
    </row>
    <row r="108" spans="1:19" x14ac:dyDescent="0.25">
      <c r="A108" t="str">
        <f t="shared" ref="A108" si="84">+A94</f>
        <v>total</v>
      </c>
      <c r="C108" s="8">
        <f>SUM(C97:C107)</f>
        <v>89.899999999999991</v>
      </c>
      <c r="D108" s="8">
        <f t="shared" ref="D108:Q108" si="85">SUM(D97:D107)</f>
        <v>47.24</v>
      </c>
      <c r="E108" s="8">
        <f t="shared" si="85"/>
        <v>184.452</v>
      </c>
      <c r="F108" s="8">
        <f t="shared" si="85"/>
        <v>126.28</v>
      </c>
      <c r="G108" s="8">
        <f t="shared" si="85"/>
        <v>145</v>
      </c>
      <c r="H108" s="8">
        <f t="shared" si="85"/>
        <v>160.358</v>
      </c>
      <c r="I108" s="8">
        <f t="shared" si="85"/>
        <v>215.93299999999999</v>
      </c>
      <c r="J108" s="8">
        <f t="shared" si="85"/>
        <v>269.20699999999999</v>
      </c>
      <c r="K108" s="8">
        <f t="shared" si="85"/>
        <v>269.20699999999999</v>
      </c>
      <c r="L108" s="8">
        <f t="shared" si="85"/>
        <v>269.20699999999999</v>
      </c>
      <c r="M108" s="8">
        <f t="shared" si="85"/>
        <v>269.20699999999999</v>
      </c>
      <c r="N108" s="8">
        <f t="shared" si="85"/>
        <v>269.20699999999999</v>
      </c>
      <c r="O108" s="8">
        <f t="shared" si="85"/>
        <v>269.20699999999999</v>
      </c>
      <c r="P108" s="8">
        <f t="shared" si="85"/>
        <v>269.20699999999999</v>
      </c>
      <c r="Q108" s="8">
        <f t="shared" si="85"/>
        <v>269.20699999999999</v>
      </c>
      <c r="R108" s="8"/>
      <c r="S108" s="8"/>
    </row>
    <row r="110" spans="1:19" x14ac:dyDescent="0.25">
      <c r="A110" s="31" t="s">
        <v>188</v>
      </c>
      <c r="B110" s="5"/>
      <c r="C110" s="5">
        <f>+C$4</f>
        <v>2008</v>
      </c>
      <c r="D110" s="5">
        <f t="shared" ref="D110:Q110" si="86">+D$4</f>
        <v>2009</v>
      </c>
      <c r="E110" s="5">
        <f t="shared" si="86"/>
        <v>2010</v>
      </c>
      <c r="F110" s="5">
        <f t="shared" si="86"/>
        <v>2011</v>
      </c>
      <c r="G110" s="5">
        <f t="shared" si="86"/>
        <v>2012</v>
      </c>
      <c r="H110" s="5">
        <f t="shared" si="86"/>
        <v>2013</v>
      </c>
      <c r="I110" s="5">
        <f t="shared" si="86"/>
        <v>2014</v>
      </c>
      <c r="J110" s="5">
        <f t="shared" si="86"/>
        <v>2015</v>
      </c>
      <c r="K110" s="5">
        <f t="shared" si="86"/>
        <v>2016</v>
      </c>
      <c r="L110" s="5">
        <f t="shared" si="86"/>
        <v>2017</v>
      </c>
      <c r="M110" s="5">
        <f t="shared" si="86"/>
        <v>2018</v>
      </c>
      <c r="N110" s="5">
        <f t="shared" si="86"/>
        <v>2019</v>
      </c>
      <c r="O110" s="5">
        <f t="shared" si="86"/>
        <v>2020</v>
      </c>
      <c r="P110" s="5">
        <f t="shared" si="86"/>
        <v>2021</v>
      </c>
      <c r="Q110" s="5">
        <f t="shared" si="86"/>
        <v>2022</v>
      </c>
      <c r="R110" s="5"/>
      <c r="S110" s="5"/>
    </row>
    <row r="111" spans="1:19" x14ac:dyDescent="0.25">
      <c r="A111" t="str">
        <f t="shared" ref="A111:A121" si="87">+A97</f>
        <v>ammofos</v>
      </c>
      <c r="C111" s="38">
        <v>624.4</v>
      </c>
      <c r="D111" s="38">
        <v>270.68635724331926</v>
      </c>
      <c r="E111" s="38">
        <v>290.45418896948166</v>
      </c>
      <c r="F111" s="38">
        <v>386.6</v>
      </c>
      <c r="G111" s="38">
        <v>420</v>
      </c>
      <c r="H111" s="401">
        <f>+'break down export'!Y163</f>
        <v>432.72325241705499</v>
      </c>
      <c r="I111" s="401">
        <f>+'break down export'!AB163</f>
        <v>445.72319684910144</v>
      </c>
      <c r="J111" s="401">
        <f>+'break down export'!AE163</f>
        <v>459.01638205735765</v>
      </c>
      <c r="K111" s="401">
        <f>+'break down export'!AH163</f>
        <v>473.01638205735753</v>
      </c>
      <c r="L111" s="401">
        <f>+'break down export'!AK163</f>
        <v>487.07866247242424</v>
      </c>
      <c r="M111" s="401">
        <f>+'break down export'!AN163</f>
        <v>501.69478715581329</v>
      </c>
      <c r="N111" s="401">
        <f>+'break down export'!AQ163</f>
        <v>516.69478715581329</v>
      </c>
      <c r="O111" s="401">
        <f>+'break down export'!AT163</f>
        <v>532.3109118392025</v>
      </c>
      <c r="P111" s="401">
        <f>+'break down export'!AW163</f>
        <v>548.3109118392025</v>
      </c>
      <c r="Q111" s="401">
        <f>+'break down export'!AZ163</f>
        <v>564.75780292507568</v>
      </c>
      <c r="R111" s="146"/>
      <c r="S111" s="38"/>
    </row>
    <row r="112" spans="1:19" x14ac:dyDescent="0.25">
      <c r="A112" t="str">
        <f t="shared" si="87"/>
        <v>suprefos</v>
      </c>
      <c r="C112" s="38">
        <v>262</v>
      </c>
      <c r="D112" s="38">
        <v>148.84051939404029</v>
      </c>
      <c r="E112" s="38">
        <v>149.36646633765562</v>
      </c>
      <c r="F112" s="38">
        <v>220.2</v>
      </c>
      <c r="G112" s="38">
        <v>240</v>
      </c>
      <c r="H112" s="401">
        <f>+'break down export'!Y165</f>
        <v>247.30054366868984</v>
      </c>
      <c r="I112" s="401">
        <f>+'break down export'!AB165</f>
        <v>254.61730979492791</v>
      </c>
      <c r="J112" s="401">
        <f>+'break down export'!AE165</f>
        <v>261.93412557467929</v>
      </c>
      <c r="K112" s="401">
        <f>+'break down export'!AH165</f>
        <v>269.93412557467929</v>
      </c>
      <c r="L112" s="401">
        <f>+'break down export'!AK165</f>
        <v>278.06200726958889</v>
      </c>
      <c r="M112" s="401">
        <f>+'break down export'!AN165</f>
        <v>286.37869910872848</v>
      </c>
      <c r="N112" s="401">
        <f>+'break down export'!AQ165</f>
        <v>294.69539094786808</v>
      </c>
      <c r="O112" s="401">
        <f>+'break down export'!AT165</f>
        <v>303.69539094786808</v>
      </c>
      <c r="P112" s="401">
        <f>+'break down export'!AW165</f>
        <v>312.98708735124728</v>
      </c>
      <c r="Q112" s="401">
        <f>+'break down export'!AZ165</f>
        <v>322.30377919038688</v>
      </c>
      <c r="R112" s="38"/>
      <c r="S112" s="38"/>
    </row>
    <row r="113" spans="1:19" x14ac:dyDescent="0.25">
      <c r="A113" t="str">
        <f t="shared" si="87"/>
        <v>ASP</v>
      </c>
      <c r="C113" s="38">
        <v>220</v>
      </c>
      <c r="D113" s="38">
        <v>200</v>
      </c>
      <c r="E113" s="38"/>
      <c r="F113" s="38">
        <v>0</v>
      </c>
      <c r="G113" s="38">
        <v>0</v>
      </c>
      <c r="H113" s="401">
        <f>+'break down export'!Y166</f>
        <v>0</v>
      </c>
      <c r="I113" s="401">
        <f>+'break down export'!AB166</f>
        <v>0</v>
      </c>
      <c r="J113" s="401">
        <f>+'break down export'!AE166</f>
        <v>0</v>
      </c>
      <c r="K113" s="401">
        <f>+'break down export'!AH166</f>
        <v>0</v>
      </c>
      <c r="L113" s="401">
        <f>+'break down export'!AK166</f>
        <v>0</v>
      </c>
      <c r="M113" s="401">
        <f>+'break down export'!AN166</f>
        <v>0</v>
      </c>
      <c r="N113" s="401">
        <f>+'break down export'!AQ166</f>
        <v>0</v>
      </c>
      <c r="O113" s="401">
        <f>+'break down export'!AT166</f>
        <v>0</v>
      </c>
      <c r="P113" s="401">
        <f>+'break down export'!AW166</f>
        <v>0</v>
      </c>
      <c r="Q113" s="401">
        <f>+'break down export'!AZ166</f>
        <v>0</v>
      </c>
      <c r="R113" s="38"/>
      <c r="S113" s="38"/>
    </row>
    <row r="114" spans="1:19" x14ac:dyDescent="0.25">
      <c r="A114" t="str">
        <f t="shared" si="87"/>
        <v>MAP</v>
      </c>
      <c r="C114" s="38">
        <v>0</v>
      </c>
      <c r="D114" s="38">
        <v>0</v>
      </c>
      <c r="E114" s="38">
        <v>331.82808979051009</v>
      </c>
      <c r="F114" s="38">
        <v>430</v>
      </c>
      <c r="G114" s="38">
        <v>0</v>
      </c>
      <c r="H114" s="401">
        <f>+'break down export'!Y167</f>
        <v>0</v>
      </c>
      <c r="I114" s="401">
        <f>+'break down export'!AB167</f>
        <v>0</v>
      </c>
      <c r="J114" s="401">
        <f>+'break down export'!AE167</f>
        <v>0</v>
      </c>
      <c r="K114" s="401">
        <f>+'break down export'!AH167</f>
        <v>0</v>
      </c>
      <c r="L114" s="401">
        <f>+'break down export'!AK167</f>
        <v>0</v>
      </c>
      <c r="M114" s="401">
        <f>+'break down export'!AN167</f>
        <v>0</v>
      </c>
      <c r="N114" s="401">
        <f>+'break down export'!AQ167</f>
        <v>0</v>
      </c>
      <c r="O114" s="401">
        <f>+'break down export'!AT167</f>
        <v>0</v>
      </c>
      <c r="P114" s="401">
        <f>+'break down export'!AW167</f>
        <v>0</v>
      </c>
      <c r="Q114" s="401">
        <f>+'break down export'!AZ167</f>
        <v>0</v>
      </c>
      <c r="R114" s="38"/>
      <c r="S114" s="38"/>
    </row>
    <row r="115" spans="1:19" x14ac:dyDescent="0.25">
      <c r="A115" t="str">
        <f t="shared" si="87"/>
        <v>SA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/>
      <c r="S115" s="38"/>
    </row>
    <row r="116" spans="1:19" x14ac:dyDescent="0.25">
      <c r="A116" t="str">
        <f t="shared" si="87"/>
        <v>NPK 15-15-15</v>
      </c>
      <c r="B116">
        <v>45</v>
      </c>
      <c r="C116" s="401">
        <v>0</v>
      </c>
      <c r="D116" s="401">
        <v>0</v>
      </c>
      <c r="E116" s="401"/>
      <c r="F116" s="401"/>
      <c r="G116" s="401"/>
      <c r="H116" s="401"/>
      <c r="I116" s="401">
        <f>IFERROR(+'break down export'!AB305,0)</f>
        <v>318.07500000000005</v>
      </c>
      <c r="J116" s="401">
        <f>IFERROR(+'break down export'!AE305,0)</f>
        <v>327.16499999999996</v>
      </c>
      <c r="K116" s="401">
        <f>IFERROR(+'break down export'!AH305,0)</f>
        <v>337.26499999999999</v>
      </c>
      <c r="L116" s="401">
        <f>IFERROR(+'break down export'!AK305,0)</f>
        <v>347.36499999999995</v>
      </c>
      <c r="M116" s="401">
        <f>IFERROR(+'break down export'!AN305,0)</f>
        <v>357.46499999999997</v>
      </c>
      <c r="N116" s="401">
        <f>IFERROR(+'break down export'!AQ305,0)</f>
        <v>368.57499999999993</v>
      </c>
      <c r="O116" s="401">
        <f>IFERROR(+'break down export'!AT305,0)</f>
        <v>379.68499999999995</v>
      </c>
      <c r="P116" s="401">
        <f>IFERROR(+'break down export'!AW305,0)</f>
        <v>390.79500000000002</v>
      </c>
      <c r="Q116" s="401">
        <f>IFERROR(+'break down export'!AZ305,0)</f>
        <v>402.91500000000002</v>
      </c>
      <c r="S116" s="38"/>
    </row>
    <row r="117" spans="1:19" x14ac:dyDescent="0.25">
      <c r="A117" t="str">
        <f t="shared" si="87"/>
        <v>NPK 16-16-16</v>
      </c>
      <c r="B117">
        <v>40</v>
      </c>
      <c r="C117" s="401">
        <v>0</v>
      </c>
      <c r="D117" s="401">
        <v>0</v>
      </c>
      <c r="E117" s="401"/>
      <c r="F117" s="401"/>
      <c r="G117" s="401"/>
      <c r="H117" s="401"/>
      <c r="I117" s="401">
        <f>IFERROR(+'break down export'!AB306,0)</f>
        <v>341.69200000000001</v>
      </c>
      <c r="J117" s="401">
        <f>IFERROR(+'break down export'!AE306,0)</f>
        <v>351.75200000000001</v>
      </c>
      <c r="K117" s="401">
        <f>IFERROR(+'break down export'!AH306,0)</f>
        <v>361.81200000000001</v>
      </c>
      <c r="L117" s="401">
        <f>IFERROR(+'break down export'!AK306,0)</f>
        <v>372.87799999999999</v>
      </c>
      <c r="M117" s="401">
        <f>IFERROR(+'break down export'!AN306,0)</f>
        <v>383.94400000000002</v>
      </c>
      <c r="N117" s="401">
        <f>IFERROR(+'break down export'!AQ306,0)</f>
        <v>395.01</v>
      </c>
      <c r="O117" s="401">
        <f>IFERROR(+'break down export'!AT306,0)</f>
        <v>407.08199999999999</v>
      </c>
      <c r="P117" s="401">
        <f>IFERROR(+'break down export'!AW306,0)</f>
        <v>419.154</v>
      </c>
      <c r="Q117" s="401">
        <f>IFERROR(+'break down export'!AZ306,0)</f>
        <v>431.226</v>
      </c>
      <c r="R117" s="38"/>
      <c r="S117" s="38"/>
    </row>
    <row r="118" spans="1:19" x14ac:dyDescent="0.25">
      <c r="A118" t="str">
        <f t="shared" si="87"/>
        <v>NPK 10-26-26</v>
      </c>
      <c r="B118">
        <v>40</v>
      </c>
      <c r="C118" s="401">
        <v>0</v>
      </c>
      <c r="D118" s="401">
        <v>0</v>
      </c>
      <c r="E118" s="401"/>
      <c r="F118" s="401"/>
      <c r="G118" s="401"/>
      <c r="H118" s="401"/>
      <c r="I118" s="401">
        <f>IFERROR(+'break down export'!AB307,0)</f>
        <v>444.81599999999997</v>
      </c>
      <c r="J118" s="401">
        <f>IFERROR(+'break down export'!AE307,0)</f>
        <v>458.12799999999999</v>
      </c>
      <c r="K118" s="401">
        <f>IFERROR(+'break down export'!AH307,0)</f>
        <v>471.44</v>
      </c>
      <c r="L118" s="401">
        <f>IFERROR(+'break down export'!AK307,0)</f>
        <v>485.77600000000001</v>
      </c>
      <c r="M118" s="401">
        <f>IFERROR(+'break down export'!AN307,0)</f>
        <v>500.11200000000002</v>
      </c>
      <c r="N118" s="401">
        <f>IFERROR(+'break down export'!AQ307,0)</f>
        <v>515.47199999999998</v>
      </c>
      <c r="O118" s="401">
        <f>IFERROR(+'break down export'!AT307,0)</f>
        <v>530.83199999999999</v>
      </c>
      <c r="P118" s="401">
        <f>IFERROR(+'break down export'!AW307,0)</f>
        <v>547.21600000000001</v>
      </c>
      <c r="Q118" s="401">
        <f>IFERROR(+'break down export'!AZ307,0)</f>
        <v>563.6</v>
      </c>
      <c r="R118" s="38"/>
      <c r="S118" s="38"/>
    </row>
    <row r="119" spans="1:19" x14ac:dyDescent="0.25">
      <c r="A119" t="str">
        <f t="shared" si="87"/>
        <v>NPK 10-20-20</v>
      </c>
      <c r="B119">
        <v>48</v>
      </c>
      <c r="C119" s="401">
        <v>0</v>
      </c>
      <c r="D119" s="401">
        <v>0</v>
      </c>
      <c r="E119" s="401"/>
      <c r="F119" s="401"/>
      <c r="G119" s="401"/>
      <c r="H119" s="401"/>
      <c r="I119" s="401">
        <f>IFERROR(+'break down export'!AB308,0)</f>
        <v>343.7</v>
      </c>
      <c r="J119" s="401">
        <f>IFERROR(+'break down export'!AE308,0)</f>
        <v>354.7</v>
      </c>
      <c r="K119" s="401">
        <f>IFERROR(+'break down export'!AH308,0)</f>
        <v>365.7</v>
      </c>
      <c r="L119" s="401">
        <f>IFERROR(+'break down export'!AK308,0)</f>
        <v>376.7</v>
      </c>
      <c r="M119" s="401">
        <f>IFERROR(+'break down export'!AN308,0)</f>
        <v>387.7</v>
      </c>
      <c r="N119" s="401">
        <f>IFERROR(+'break down export'!AQ308,0)</f>
        <v>399.7</v>
      </c>
      <c r="O119" s="401">
        <f>IFERROR(+'break down export'!AT308,0)</f>
        <v>411.7</v>
      </c>
      <c r="P119" s="401">
        <f>IFERROR(+'break down export'!AW308,0)</f>
        <v>424.7</v>
      </c>
      <c r="Q119" s="401">
        <f>IFERROR(+'break down export'!AZ308,0)</f>
        <v>437.7</v>
      </c>
      <c r="R119" s="38"/>
      <c r="S119" s="38"/>
    </row>
    <row r="120" spans="1:19" x14ac:dyDescent="0.25">
      <c r="A120" t="str">
        <f t="shared" si="87"/>
        <v>NPK 13-13-21</v>
      </c>
      <c r="C120" s="401">
        <v>0</v>
      </c>
      <c r="D120" s="401">
        <v>0</v>
      </c>
      <c r="E120" s="401"/>
      <c r="F120" s="401"/>
      <c r="G120" s="401"/>
      <c r="H120" s="401"/>
      <c r="I120" s="401">
        <f>IFERROR(+'break down export'!AB309,0)</f>
        <v>328.5</v>
      </c>
      <c r="J120" s="401">
        <f>IFERROR(+'break down export'!AE309,0)</f>
        <v>338.5</v>
      </c>
      <c r="K120" s="401">
        <f>IFERROR(+'break down export'!AH309,0)</f>
        <v>348.5</v>
      </c>
      <c r="L120" s="401">
        <f>IFERROR(+'break down export'!AK309,0)</f>
        <v>358.5</v>
      </c>
      <c r="M120" s="401">
        <f>IFERROR(+'break down export'!AN309,0)</f>
        <v>369.5</v>
      </c>
      <c r="N120" s="401">
        <f>IFERROR(+'break down export'!AQ309,0)</f>
        <v>380.5</v>
      </c>
      <c r="O120" s="401">
        <f>IFERROR(+'break down export'!AT309,0)</f>
        <v>391.5</v>
      </c>
      <c r="P120" s="401">
        <f>IFERROR(+'break down export'!AW309,0)</f>
        <v>403.5</v>
      </c>
      <c r="Q120" s="401">
        <f>IFERROR(+'break down export'!AZ309,0)</f>
        <v>415.5</v>
      </c>
      <c r="R120" s="38"/>
      <c r="S120" s="38"/>
    </row>
    <row r="121" spans="1:19" x14ac:dyDescent="0.25">
      <c r="A121" t="str">
        <f t="shared" si="87"/>
        <v>NPK 00-00-00</v>
      </c>
      <c r="C121" s="401">
        <v>0</v>
      </c>
      <c r="D121" s="401">
        <v>0</v>
      </c>
      <c r="E121" s="401"/>
      <c r="F121" s="401"/>
      <c r="G121" s="401"/>
      <c r="H121" s="401"/>
      <c r="I121" s="401">
        <f>IFERROR(+'break down export'!AB310,0)</f>
        <v>0</v>
      </c>
      <c r="J121" s="401">
        <f>IFERROR(+'break down export'!AE310,0)</f>
        <v>0</v>
      </c>
      <c r="K121" s="401">
        <f>IFERROR(+'break down export'!AH310,0)</f>
        <v>0</v>
      </c>
      <c r="L121" s="401">
        <f>IFERROR(+'break down export'!AK310,0)</f>
        <v>0</v>
      </c>
      <c r="M121" s="401">
        <f>IFERROR(+'break down export'!AN310,0)</f>
        <v>0</v>
      </c>
      <c r="N121" s="401">
        <f>IFERROR(+'break down export'!AQ310,0)</f>
        <v>0</v>
      </c>
      <c r="O121" s="401">
        <f>IFERROR(+'break down export'!AT310,0)</f>
        <v>0</v>
      </c>
      <c r="P121" s="401">
        <f>IFERROR(+'break down export'!AW310,0)</f>
        <v>0</v>
      </c>
      <c r="Q121" s="401">
        <f>IFERROR(+'break down export'!AZ310,0)</f>
        <v>0</v>
      </c>
      <c r="R121" s="38"/>
      <c r="S121" s="38"/>
    </row>
    <row r="122" spans="1:19" x14ac:dyDescent="0.25">
      <c r="A122" s="144" t="s">
        <v>115</v>
      </c>
      <c r="B122" s="144"/>
      <c r="C122" s="143">
        <f>+Assumptions!C6/1000</f>
        <v>1.3195999999999999</v>
      </c>
      <c r="D122" s="143">
        <f>+Assumptions!D6/1000</f>
        <v>1.4656</v>
      </c>
      <c r="E122" s="143">
        <f>+Assumptions!E6/1000</f>
        <v>1.5874999999999999</v>
      </c>
      <c r="F122" s="143">
        <f>+Assumptions!F6/1000</f>
        <v>1.714</v>
      </c>
      <c r="G122" s="143">
        <f>+Assumptions!G6/1000</f>
        <v>1.89</v>
      </c>
      <c r="H122" s="143">
        <f>+Assumptions!H6/1000</f>
        <v>2.0790000000000002</v>
      </c>
      <c r="I122" s="143">
        <f>+Assumptions!I6/1000</f>
        <v>2.2869000000000002</v>
      </c>
      <c r="J122" s="143">
        <f>+Assumptions!J6/1000</f>
        <v>2.51559</v>
      </c>
      <c r="K122" s="143">
        <f>+Assumptions!K6/1000</f>
        <v>2.7671490000000003</v>
      </c>
      <c r="L122" s="143">
        <f>+Assumptions!L6/1000</f>
        <v>3.0438639000000007</v>
      </c>
      <c r="M122" s="143">
        <f>+Assumptions!M6/1000</f>
        <v>3.3482502900000011</v>
      </c>
      <c r="N122" s="143">
        <f>+Assumptions!N6/1000</f>
        <v>3.6830753190000012</v>
      </c>
      <c r="O122" s="143">
        <f>+Assumptions!O6/1000</f>
        <v>4.0513828509000014</v>
      </c>
      <c r="P122" s="143">
        <f>+Assumptions!P6/1000</f>
        <v>4.4565211359900019</v>
      </c>
      <c r="Q122" s="143">
        <f>+Assumptions!Q6/1000</f>
        <v>4.9021732495890031</v>
      </c>
      <c r="R122" s="404">
        <v>8.5585026041666694</v>
      </c>
      <c r="S122" s="40"/>
    </row>
    <row r="124" spans="1:19" x14ac:dyDescent="0.25">
      <c r="A124" s="31" t="s">
        <v>517</v>
      </c>
      <c r="B124" s="5"/>
      <c r="C124" s="5">
        <f>+C$4</f>
        <v>2008</v>
      </c>
      <c r="D124" s="5">
        <f t="shared" ref="D124:Q124" si="88">+D$4</f>
        <v>2009</v>
      </c>
      <c r="E124" s="5">
        <f t="shared" si="88"/>
        <v>2010</v>
      </c>
      <c r="F124" s="5">
        <f t="shared" si="88"/>
        <v>2011</v>
      </c>
      <c r="G124" s="5">
        <f t="shared" si="88"/>
        <v>2012</v>
      </c>
      <c r="H124" s="5">
        <f t="shared" si="88"/>
        <v>2013</v>
      </c>
      <c r="I124" s="5">
        <f t="shared" si="88"/>
        <v>2014</v>
      </c>
      <c r="J124" s="5">
        <f t="shared" si="88"/>
        <v>2015</v>
      </c>
      <c r="K124" s="5">
        <f t="shared" si="88"/>
        <v>2016</v>
      </c>
      <c r="L124" s="5">
        <f t="shared" si="88"/>
        <v>2017</v>
      </c>
      <c r="M124" s="5">
        <f t="shared" si="88"/>
        <v>2018</v>
      </c>
      <c r="N124" s="5">
        <f t="shared" si="88"/>
        <v>2019</v>
      </c>
      <c r="O124" s="5">
        <f t="shared" si="88"/>
        <v>2020</v>
      </c>
      <c r="P124" s="5">
        <f t="shared" si="88"/>
        <v>2021</v>
      </c>
      <c r="Q124" s="5">
        <f t="shared" si="88"/>
        <v>2022</v>
      </c>
      <c r="R124" s="5"/>
      <c r="S124" s="5"/>
    </row>
    <row r="125" spans="1:19" x14ac:dyDescent="0.25">
      <c r="A125" t="str">
        <f t="shared" ref="A125:A135" si="89">+A111</f>
        <v>ammofos</v>
      </c>
      <c r="C125" s="1">
        <f>+C97*C111*C$122</f>
        <v>41197.911999999997</v>
      </c>
      <c r="D125" s="367">
        <f>+D97*D111*D$122*0+7964</f>
        <v>7964</v>
      </c>
      <c r="E125" s="1">
        <f t="shared" ref="E125:H129" si="90">+E97*E111*E$122</f>
        <v>51251.284273558129</v>
      </c>
      <c r="F125" s="1">
        <f t="shared" si="90"/>
        <v>43693.980456000005</v>
      </c>
      <c r="G125" s="1">
        <f t="shared" si="90"/>
        <v>51597</v>
      </c>
      <c r="H125" s="1">
        <f t="shared" si="90"/>
        <v>64670.020569000008</v>
      </c>
      <c r="I125" s="1">
        <f t="shared" ref="I125:N125" si="91">+I97*I111*I$122</f>
        <v>62112.531026699995</v>
      </c>
      <c r="J125" s="1">
        <f t="shared" si="91"/>
        <v>56529.347337540006</v>
      </c>
      <c r="K125" s="1">
        <f t="shared" si="91"/>
        <v>64078.841721509998</v>
      </c>
      <c r="L125" s="1">
        <f t="shared" si="91"/>
        <v>72582.22224992972</v>
      </c>
      <c r="M125" s="1">
        <f t="shared" si="91"/>
        <v>82236.274925181322</v>
      </c>
      <c r="N125" s="1">
        <f t="shared" si="91"/>
        <v>93164.531947453914</v>
      </c>
      <c r="O125" s="1">
        <f t="shared" ref="O125:Q125" si="92">+O97*O111*O$122</f>
        <v>105578.27948586091</v>
      </c>
      <c r="P125" s="1">
        <f t="shared" si="92"/>
        <v>119626.88261418344</v>
      </c>
      <c r="Q125" s="1">
        <f t="shared" si="92"/>
        <v>135536.67331966641</v>
      </c>
      <c r="R125" s="1"/>
      <c r="S125" s="1"/>
    </row>
    <row r="126" spans="1:19" x14ac:dyDescent="0.25">
      <c r="A126" t="str">
        <f t="shared" si="89"/>
        <v>suprefos</v>
      </c>
      <c r="C126" s="1">
        <f>+C98*C112*C$122</f>
        <v>11789.570320000001</v>
      </c>
      <c r="D126" s="367">
        <f>+D98*D112*D$122*0+5050</f>
        <v>5050</v>
      </c>
      <c r="E126" s="1">
        <f t="shared" si="90"/>
        <v>13525.520012606363</v>
      </c>
      <c r="F126" s="1">
        <f t="shared" si="90"/>
        <v>22773.691751999999</v>
      </c>
      <c r="G126" s="1">
        <f t="shared" si="90"/>
        <v>36288</v>
      </c>
      <c r="H126" s="1">
        <f t="shared" si="90"/>
        <v>45487.316258999992</v>
      </c>
      <c r="I126" s="1">
        <f t="shared" ref="I126:N126" si="93">+I98*I112*I$122</f>
        <v>43670.159864100016</v>
      </c>
      <c r="J126" s="1">
        <f t="shared" si="93"/>
        <v>39700.52065287</v>
      </c>
      <c r="K126" s="1">
        <f t="shared" si="93"/>
        <v>45004.360673349009</v>
      </c>
      <c r="L126" s="1">
        <f t="shared" si="93"/>
        <v>50995.416462744608</v>
      </c>
      <c r="M126" s="1">
        <f t="shared" si="93"/>
        <v>57772.729498584886</v>
      </c>
      <c r="N126" s="1">
        <f t="shared" si="93"/>
        <v>65395.550976965766</v>
      </c>
      <c r="O126" s="1">
        <f t="shared" ref="O126:Q126" si="94">+O98*O112*O$122</f>
        <v>74132.004888008523</v>
      </c>
      <c r="P126" s="1">
        <f t="shared" si="94"/>
        <v>84040.117430455211</v>
      </c>
      <c r="Q126" s="1">
        <f t="shared" si="94"/>
        <v>95195.915105425054</v>
      </c>
      <c r="R126" s="1"/>
      <c r="S126" s="1"/>
    </row>
    <row r="127" spans="1:19" x14ac:dyDescent="0.25">
      <c r="A127" t="str">
        <f t="shared" si="89"/>
        <v>ASP</v>
      </c>
      <c r="C127" s="1">
        <f>+C99*C113*C$122</f>
        <v>1683.8095999999998</v>
      </c>
      <c r="D127" s="367">
        <f>+D99*D113*D$122*0+594</f>
        <v>594</v>
      </c>
      <c r="E127" s="1">
        <f t="shared" si="90"/>
        <v>0</v>
      </c>
      <c r="F127" s="1">
        <f t="shared" si="90"/>
        <v>0</v>
      </c>
      <c r="G127" s="1">
        <f t="shared" si="90"/>
        <v>0</v>
      </c>
      <c r="H127" s="1">
        <f t="shared" si="90"/>
        <v>0</v>
      </c>
      <c r="I127" s="1">
        <f t="shared" ref="I127:N127" si="95">+I99*I113*I$122</f>
        <v>0</v>
      </c>
      <c r="J127" s="1">
        <f t="shared" si="95"/>
        <v>0</v>
      </c>
      <c r="K127" s="1">
        <f t="shared" si="95"/>
        <v>0</v>
      </c>
      <c r="L127" s="1">
        <f t="shared" si="95"/>
        <v>0</v>
      </c>
      <c r="M127" s="1">
        <f t="shared" si="95"/>
        <v>0</v>
      </c>
      <c r="N127" s="1">
        <f t="shared" si="95"/>
        <v>0</v>
      </c>
      <c r="O127" s="1">
        <f t="shared" ref="O127:Q127" si="96">+O99*O113*O$122</f>
        <v>0</v>
      </c>
      <c r="P127" s="1">
        <f t="shared" si="96"/>
        <v>0</v>
      </c>
      <c r="Q127" s="1">
        <f t="shared" si="96"/>
        <v>0</v>
      </c>
      <c r="R127" s="1"/>
      <c r="S127" s="1"/>
    </row>
    <row r="128" spans="1:19" x14ac:dyDescent="0.25">
      <c r="A128" t="str">
        <f t="shared" si="89"/>
        <v>MAP</v>
      </c>
      <c r="C128" s="1">
        <f>+C100*C114*C$122</f>
        <v>0</v>
      </c>
      <c r="D128" s="1">
        <f>+D100*D114*D$122</f>
        <v>0</v>
      </c>
      <c r="E128" s="1">
        <f t="shared" si="90"/>
        <v>8565.3955247399899</v>
      </c>
      <c r="F128" s="1">
        <f t="shared" si="90"/>
        <v>0</v>
      </c>
      <c r="G128" s="1">
        <f t="shared" si="90"/>
        <v>0</v>
      </c>
      <c r="H128" s="1">
        <f t="shared" si="90"/>
        <v>0</v>
      </c>
      <c r="I128" s="1">
        <f t="shared" ref="I128:N128" si="97">+I100*I114*I$122</f>
        <v>0</v>
      </c>
      <c r="J128" s="1">
        <f t="shared" si="97"/>
        <v>0</v>
      </c>
      <c r="K128" s="1">
        <f t="shared" si="97"/>
        <v>0</v>
      </c>
      <c r="L128" s="1">
        <f t="shared" si="97"/>
        <v>0</v>
      </c>
      <c r="M128" s="1">
        <f t="shared" si="97"/>
        <v>0</v>
      </c>
      <c r="N128" s="1">
        <f t="shared" si="97"/>
        <v>0</v>
      </c>
      <c r="O128" s="1">
        <f t="shared" ref="O128:Q128" si="98">+O100*O114*O$122</f>
        <v>0</v>
      </c>
      <c r="P128" s="1">
        <f t="shared" si="98"/>
        <v>0</v>
      </c>
      <c r="Q128" s="1">
        <f t="shared" si="98"/>
        <v>0</v>
      </c>
      <c r="R128" s="1"/>
      <c r="S128" s="1"/>
    </row>
    <row r="129" spans="1:19" x14ac:dyDescent="0.25">
      <c r="A129" t="str">
        <f t="shared" si="89"/>
        <v>SA</v>
      </c>
      <c r="C129" s="1">
        <f>+C101*C115*C$122</f>
        <v>0</v>
      </c>
      <c r="D129" s="1">
        <f>+D101*D115*D$122</f>
        <v>0</v>
      </c>
      <c r="E129" s="1">
        <f t="shared" si="90"/>
        <v>0</v>
      </c>
      <c r="F129" s="1">
        <f t="shared" si="90"/>
        <v>0</v>
      </c>
      <c r="G129" s="1">
        <f t="shared" si="90"/>
        <v>0</v>
      </c>
      <c r="H129" s="1">
        <f t="shared" si="90"/>
        <v>0</v>
      </c>
      <c r="I129" s="1">
        <f t="shared" ref="I129:N129" si="99">+I101*I115*I$122</f>
        <v>0</v>
      </c>
      <c r="J129" s="1">
        <f t="shared" si="99"/>
        <v>0</v>
      </c>
      <c r="K129" s="1">
        <f t="shared" si="99"/>
        <v>0</v>
      </c>
      <c r="L129" s="1">
        <f t="shared" si="99"/>
        <v>0</v>
      </c>
      <c r="M129" s="1">
        <f t="shared" si="99"/>
        <v>0</v>
      </c>
      <c r="N129" s="1">
        <f t="shared" si="99"/>
        <v>0</v>
      </c>
      <c r="O129" s="1">
        <f t="shared" ref="O129:Q129" si="100">+O101*O115*O$122</f>
        <v>0</v>
      </c>
      <c r="P129" s="1">
        <f t="shared" si="100"/>
        <v>0</v>
      </c>
      <c r="Q129" s="1">
        <f t="shared" si="100"/>
        <v>0</v>
      </c>
      <c r="R129" s="1"/>
      <c r="S129" s="1"/>
    </row>
    <row r="130" spans="1:19" x14ac:dyDescent="0.25">
      <c r="A130" t="str">
        <f t="shared" si="89"/>
        <v>NPK 15-15-15</v>
      </c>
      <c r="C130" s="1">
        <f t="shared" ref="C130:H130" si="101">+C102*C116*C$122</f>
        <v>0</v>
      </c>
      <c r="D130" s="1">
        <f t="shared" si="101"/>
        <v>0</v>
      </c>
      <c r="E130" s="1">
        <f t="shared" si="101"/>
        <v>0</v>
      </c>
      <c r="F130" s="1">
        <f t="shared" si="101"/>
        <v>0</v>
      </c>
      <c r="G130" s="1">
        <f t="shared" si="101"/>
        <v>0</v>
      </c>
      <c r="H130" s="1">
        <f t="shared" si="101"/>
        <v>0</v>
      </c>
      <c r="I130" s="1">
        <f t="shared" ref="I130:N130" si="102">+I102*I116*I$122</f>
        <v>5819.2457400000021</v>
      </c>
      <c r="J130" s="1">
        <f t="shared" si="102"/>
        <v>13168.208037600001</v>
      </c>
      <c r="K130" s="1">
        <f t="shared" si="102"/>
        <v>14932.200119760004</v>
      </c>
      <c r="L130" s="1">
        <f t="shared" si="102"/>
        <v>16917.308537976005</v>
      </c>
      <c r="M130" s="1">
        <f t="shared" si="102"/>
        <v>19150.116638637606</v>
      </c>
      <c r="N130" s="1">
        <f t="shared" si="102"/>
        <v>21719.831771206806</v>
      </c>
      <c r="O130" s="1">
        <f t="shared" ref="O130:Q130" si="103">+O102*O116*O$122</f>
        <v>24611.988763903471</v>
      </c>
      <c r="P130" s="1">
        <f t="shared" si="103"/>
        <v>27865.378837427415</v>
      </c>
      <c r="Q130" s="1">
        <f t="shared" si="103"/>
        <v>31602.546157730463</v>
      </c>
      <c r="R130" s="1"/>
      <c r="S130" s="1"/>
    </row>
    <row r="131" spans="1:19" x14ac:dyDescent="0.25">
      <c r="A131" t="str">
        <f t="shared" si="89"/>
        <v>NPK 16-16-16</v>
      </c>
      <c r="C131" s="1">
        <f t="shared" ref="C131:H131" si="104">+C103*C117*C$122</f>
        <v>0</v>
      </c>
      <c r="D131" s="1">
        <f t="shared" si="104"/>
        <v>0</v>
      </c>
      <c r="E131" s="1">
        <f t="shared" si="104"/>
        <v>0</v>
      </c>
      <c r="F131" s="1">
        <f t="shared" si="104"/>
        <v>0</v>
      </c>
      <c r="G131" s="1">
        <f t="shared" si="104"/>
        <v>0</v>
      </c>
      <c r="H131" s="1">
        <f t="shared" si="104"/>
        <v>0</v>
      </c>
      <c r="I131" s="1">
        <f t="shared" ref="I131:N131" si="105">+I103*I117*I$122</f>
        <v>43759.264348800003</v>
      </c>
      <c r="J131" s="1">
        <f t="shared" si="105"/>
        <v>99104.747132160002</v>
      </c>
      <c r="K131" s="1">
        <f t="shared" si="105"/>
        <v>112133.02396665602</v>
      </c>
      <c r="L131" s="1">
        <f t="shared" si="105"/>
        <v>127118.86693007042</v>
      </c>
      <c r="M131" s="1">
        <f t="shared" si="105"/>
        <v>143980.54824650119</v>
      </c>
      <c r="N131" s="1">
        <f t="shared" si="105"/>
        <v>162943.37715691733</v>
      </c>
      <c r="O131" s="1">
        <f t="shared" ref="O131:Q131" si="106">+O103*O117*O$122</f>
        <v>184715.44377552834</v>
      </c>
      <c r="P131" s="1">
        <f t="shared" si="106"/>
        <v>209212.48994629236</v>
      </c>
      <c r="Q131" s="1">
        <f t="shared" si="106"/>
        <v>236761.79091345394</v>
      </c>
      <c r="R131" s="1"/>
      <c r="S131" s="1"/>
    </row>
    <row r="132" spans="1:19" x14ac:dyDescent="0.25">
      <c r="A132" t="str">
        <f t="shared" si="89"/>
        <v>NPK 10-26-26</v>
      </c>
      <c r="C132" s="1">
        <f t="shared" ref="C132:H132" si="107">+C104*C118*C$122</f>
        <v>0</v>
      </c>
      <c r="D132" s="1">
        <f t="shared" si="107"/>
        <v>0</v>
      </c>
      <c r="E132" s="1">
        <f t="shared" si="107"/>
        <v>0</v>
      </c>
      <c r="F132" s="1">
        <f t="shared" si="107"/>
        <v>0</v>
      </c>
      <c r="G132" s="1">
        <f t="shared" si="107"/>
        <v>0</v>
      </c>
      <c r="H132" s="1">
        <f t="shared" si="107"/>
        <v>0</v>
      </c>
      <c r="I132" s="1">
        <f t="shared" ref="I132:N132" si="108">+I104*I118*I$122</f>
        <v>8646.622538399999</v>
      </c>
      <c r="J132" s="1">
        <f t="shared" si="108"/>
        <v>19591.857663839997</v>
      </c>
      <c r="K132" s="1">
        <f t="shared" si="108"/>
        <v>22177.260317520002</v>
      </c>
      <c r="L132" s="1">
        <f t="shared" si="108"/>
        <v>25136.812508068808</v>
      </c>
      <c r="M132" s="1">
        <f t="shared" si="108"/>
        <v>28466.502533552171</v>
      </c>
      <c r="N132" s="1">
        <f t="shared" si="108"/>
        <v>32274.877414204664</v>
      </c>
      <c r="O132" s="1">
        <f t="shared" ref="O132:Q132" si="109">+O104*O118*O$122</f>
        <v>36560.262245652142</v>
      </c>
      <c r="P132" s="1">
        <f t="shared" si="109"/>
        <v>41457.554389182384</v>
      </c>
      <c r="Q132" s="1">
        <f t="shared" si="109"/>
        <v>46968.702338962161</v>
      </c>
      <c r="R132" s="1"/>
      <c r="S132" s="1"/>
    </row>
    <row r="133" spans="1:19" x14ac:dyDescent="0.25">
      <c r="A133" t="str">
        <f t="shared" si="89"/>
        <v>NPK 10-20-20</v>
      </c>
      <c r="C133" s="1">
        <f t="shared" ref="C133:H133" si="110">+C105*C119*C$122</f>
        <v>0</v>
      </c>
      <c r="D133" s="1">
        <f t="shared" si="110"/>
        <v>0</v>
      </c>
      <c r="E133" s="1">
        <f t="shared" si="110"/>
        <v>0</v>
      </c>
      <c r="F133" s="1">
        <f t="shared" si="110"/>
        <v>0</v>
      </c>
      <c r="G133" s="1">
        <f t="shared" si="110"/>
        <v>0</v>
      </c>
      <c r="H133" s="1">
        <f t="shared" si="110"/>
        <v>0</v>
      </c>
      <c r="I133" s="1">
        <f t="shared" ref="I133:N133" si="111">+I105*I119*I$122</f>
        <v>3537.0338850000012</v>
      </c>
      <c r="J133" s="1">
        <f t="shared" si="111"/>
        <v>8030.5179570000018</v>
      </c>
      <c r="K133" s="1">
        <f t="shared" si="111"/>
        <v>9107.5175037000026</v>
      </c>
      <c r="L133" s="1">
        <f t="shared" si="111"/>
        <v>10319.611780170004</v>
      </c>
      <c r="M133" s="1">
        <f t="shared" si="111"/>
        <v>11683.049736897006</v>
      </c>
      <c r="N133" s="1">
        <f t="shared" si="111"/>
        <v>13249.126845038707</v>
      </c>
      <c r="O133" s="1">
        <f t="shared" ref="O133:Q133" si="112">+O105*O119*O$122</f>
        <v>15011.588877439777</v>
      </c>
      <c r="P133" s="1">
        <f t="shared" si="112"/>
        <v>17034.160738094586</v>
      </c>
      <c r="Q133" s="1">
        <f t="shared" si="112"/>
        <v>19311.131082105963</v>
      </c>
      <c r="R133" s="1"/>
      <c r="S133" s="1"/>
    </row>
    <row r="134" spans="1:19" x14ac:dyDescent="0.25">
      <c r="A134" t="str">
        <f t="shared" si="89"/>
        <v>NPK 13-13-21</v>
      </c>
      <c r="C134" s="1">
        <f t="shared" ref="C134:Q134" si="113">+C106*C120*C$122</f>
        <v>0</v>
      </c>
      <c r="D134" s="1">
        <f t="shared" si="113"/>
        <v>0</v>
      </c>
      <c r="E134" s="1">
        <f t="shared" si="113"/>
        <v>0</v>
      </c>
      <c r="F134" s="1">
        <f t="shared" si="113"/>
        <v>0</v>
      </c>
      <c r="G134" s="1">
        <f t="shared" si="113"/>
        <v>0</v>
      </c>
      <c r="H134" s="1">
        <f t="shared" si="113"/>
        <v>0</v>
      </c>
      <c r="I134" s="1">
        <f t="shared" si="113"/>
        <v>2253.7399500000001</v>
      </c>
      <c r="J134" s="1">
        <f t="shared" si="113"/>
        <v>5109.1632900000004</v>
      </c>
      <c r="K134" s="1">
        <f t="shared" si="113"/>
        <v>5786.1085590000002</v>
      </c>
      <c r="L134" s="1">
        <f t="shared" si="113"/>
        <v>6547.3512489000013</v>
      </c>
      <c r="M134" s="1">
        <f t="shared" si="113"/>
        <v>7423.0708929300026</v>
      </c>
      <c r="N134" s="1">
        <f t="shared" si="113"/>
        <v>8408.4609532770028</v>
      </c>
      <c r="O134" s="1">
        <f t="shared" si="113"/>
        <v>9516.6983167641029</v>
      </c>
      <c r="P134" s="1">
        <f t="shared" si="113"/>
        <v>10789.237670231794</v>
      </c>
      <c r="Q134" s="1">
        <f t="shared" si="113"/>
        <v>12221.117911225385</v>
      </c>
      <c r="R134" s="1"/>
      <c r="S134" s="1"/>
    </row>
    <row r="135" spans="1:19" x14ac:dyDescent="0.25">
      <c r="A135" t="str">
        <f t="shared" si="89"/>
        <v>NPK 00-00-00</v>
      </c>
      <c r="C135" s="1">
        <f t="shared" ref="C135:Q135" si="114">+C107*C121*C$122</f>
        <v>0</v>
      </c>
      <c r="D135" s="1">
        <f t="shared" si="114"/>
        <v>0</v>
      </c>
      <c r="E135" s="1">
        <f t="shared" si="114"/>
        <v>0</v>
      </c>
      <c r="F135" s="1">
        <f t="shared" si="114"/>
        <v>0</v>
      </c>
      <c r="G135" s="1">
        <f t="shared" si="114"/>
        <v>0</v>
      </c>
      <c r="H135" s="1">
        <f t="shared" si="114"/>
        <v>0</v>
      </c>
      <c r="I135" s="1">
        <f t="shared" si="114"/>
        <v>0</v>
      </c>
      <c r="J135" s="1">
        <f t="shared" si="114"/>
        <v>0</v>
      </c>
      <c r="K135" s="1">
        <f t="shared" si="114"/>
        <v>0</v>
      </c>
      <c r="L135" s="1">
        <f t="shared" si="114"/>
        <v>0</v>
      </c>
      <c r="M135" s="1">
        <f t="shared" si="114"/>
        <v>0</v>
      </c>
      <c r="N135" s="1">
        <f t="shared" si="114"/>
        <v>0</v>
      </c>
      <c r="O135" s="1">
        <f t="shared" si="114"/>
        <v>0</v>
      </c>
      <c r="P135" s="1">
        <f t="shared" si="114"/>
        <v>0</v>
      </c>
      <c r="Q135" s="1">
        <f t="shared" si="114"/>
        <v>0</v>
      </c>
      <c r="R135" s="1"/>
      <c r="S135" s="1"/>
    </row>
    <row r="136" spans="1:19" x14ac:dyDescent="0.25">
      <c r="A136" s="26" t="s">
        <v>114</v>
      </c>
      <c r="C136" s="8">
        <f t="shared" ref="C136:H136" si="115">SUM(C125:C133)</f>
        <v>54671.291919999996</v>
      </c>
      <c r="D136" s="8">
        <f t="shared" si="115"/>
        <v>13608</v>
      </c>
      <c r="E136" s="8">
        <f t="shared" si="115"/>
        <v>73342.19981090448</v>
      </c>
      <c r="F136" s="119">
        <f>SUM(F125:F133)*0+65978</f>
        <v>65978</v>
      </c>
      <c r="G136" s="8">
        <f t="shared" si="115"/>
        <v>87885</v>
      </c>
      <c r="H136" s="8">
        <f t="shared" si="115"/>
        <v>110157.336828</v>
      </c>
      <c r="I136" s="8">
        <f>SUM(I125:I135)</f>
        <v>169798.59735300002</v>
      </c>
      <c r="J136" s="8">
        <f t="shared" ref="J136:Q136" si="116">SUM(J125:J135)</f>
        <v>241234.36207101002</v>
      </c>
      <c r="K136" s="8">
        <f t="shared" si="116"/>
        <v>273219.31286149507</v>
      </c>
      <c r="L136" s="8">
        <f t="shared" si="116"/>
        <v>309617.58971785952</v>
      </c>
      <c r="M136" s="8">
        <f t="shared" si="116"/>
        <v>350712.29247228423</v>
      </c>
      <c r="N136" s="8">
        <f t="shared" si="116"/>
        <v>397155.75706506422</v>
      </c>
      <c r="O136" s="8">
        <f t="shared" si="116"/>
        <v>450126.26635315729</v>
      </c>
      <c r="P136" s="8">
        <f t="shared" si="116"/>
        <v>510025.82162586716</v>
      </c>
      <c r="Q136" s="8">
        <f t="shared" si="116"/>
        <v>577597.87682856934</v>
      </c>
      <c r="R136" s="8"/>
      <c r="S136" s="8"/>
    </row>
    <row r="138" spans="1:19" x14ac:dyDescent="0.25"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9" x14ac:dyDescent="0.25">
      <c r="A139" s="5" t="s">
        <v>518</v>
      </c>
      <c r="C139" s="5">
        <f>+C$4</f>
        <v>2008</v>
      </c>
      <c r="D139" s="5">
        <f t="shared" ref="D139:Q139" si="117">+D$4</f>
        <v>2009</v>
      </c>
      <c r="E139" s="5">
        <f t="shared" si="117"/>
        <v>2010</v>
      </c>
      <c r="F139" s="5">
        <f t="shared" si="117"/>
        <v>2011</v>
      </c>
      <c r="G139" s="5">
        <f t="shared" si="117"/>
        <v>2012</v>
      </c>
      <c r="H139" s="5">
        <f t="shared" si="117"/>
        <v>2013</v>
      </c>
      <c r="I139" s="5">
        <f t="shared" si="117"/>
        <v>2014</v>
      </c>
      <c r="J139" s="5">
        <f t="shared" si="117"/>
        <v>2015</v>
      </c>
      <c r="K139" s="5">
        <f t="shared" si="117"/>
        <v>2016</v>
      </c>
      <c r="L139" s="5">
        <f t="shared" si="117"/>
        <v>2017</v>
      </c>
      <c r="M139" s="5">
        <f t="shared" si="117"/>
        <v>2018</v>
      </c>
      <c r="N139" s="5">
        <f t="shared" si="117"/>
        <v>2019</v>
      </c>
      <c r="O139" s="5">
        <f t="shared" si="117"/>
        <v>2020</v>
      </c>
      <c r="P139" s="5">
        <f t="shared" si="117"/>
        <v>2021</v>
      </c>
      <c r="Q139" s="5">
        <f t="shared" si="117"/>
        <v>2022</v>
      </c>
      <c r="R139" s="5"/>
      <c r="S139" s="5"/>
    </row>
    <row r="140" spans="1:19" x14ac:dyDescent="0.25">
      <c r="A140" t="str">
        <f t="shared" ref="A140:A150" si="118">+A125</f>
        <v>ammofos</v>
      </c>
      <c r="C140" s="4">
        <f t="shared" ref="C140:C148" si="119">+C14+C55+C97</f>
        <v>132.5</v>
      </c>
      <c r="D140" s="104">
        <f>(+D14+D55+D97)</f>
        <v>89.65</v>
      </c>
      <c r="E140" s="4">
        <f t="shared" ref="E140:N140" si="120">+E14+E55+E97</f>
        <v>194.97399999999999</v>
      </c>
      <c r="F140" s="4">
        <f t="shared" si="120"/>
        <v>123.07</v>
      </c>
      <c r="G140" s="4">
        <f t="shared" si="120"/>
        <v>137.5</v>
      </c>
      <c r="H140" s="4">
        <f t="shared" si="120"/>
        <v>129.14586956521742</v>
      </c>
      <c r="I140" s="4">
        <f t="shared" si="120"/>
        <v>118.19586956521741</v>
      </c>
      <c r="J140" s="4">
        <f t="shared" si="120"/>
        <v>106.21686956521741</v>
      </c>
      <c r="K140" s="4">
        <f t="shared" si="120"/>
        <v>106.21686956521741</v>
      </c>
      <c r="L140" s="4">
        <f t="shared" si="120"/>
        <v>106.21686956521741</v>
      </c>
      <c r="M140" s="4">
        <f t="shared" si="120"/>
        <v>106.21686956521741</v>
      </c>
      <c r="N140" s="4">
        <f t="shared" si="120"/>
        <v>106.21686956521741</v>
      </c>
      <c r="O140" s="4">
        <f t="shared" ref="O140:Q140" si="121">+O14+O55+O97</f>
        <v>106.21686956521741</v>
      </c>
      <c r="P140" s="4">
        <f t="shared" si="121"/>
        <v>106.21686956521741</v>
      </c>
      <c r="Q140" s="4">
        <f t="shared" si="121"/>
        <v>106.21686956521741</v>
      </c>
      <c r="R140" s="1"/>
      <c r="S140" s="3"/>
    </row>
    <row r="141" spans="1:19" x14ac:dyDescent="0.25">
      <c r="A141" t="str">
        <f t="shared" si="118"/>
        <v>suprefos</v>
      </c>
      <c r="C141" s="4">
        <f t="shared" si="119"/>
        <v>191.33999999999997</v>
      </c>
      <c r="D141" s="104">
        <f>(+D15+D56+D98)</f>
        <v>136.53</v>
      </c>
      <c r="E141" s="4">
        <f t="shared" ref="E141:N141" si="122">+E15+E56+E98</f>
        <v>251.34100000000001</v>
      </c>
      <c r="F141" s="4">
        <f t="shared" si="122"/>
        <v>256.52</v>
      </c>
      <c r="G141" s="4">
        <f t="shared" si="122"/>
        <v>200.9</v>
      </c>
      <c r="H141" s="4">
        <f t="shared" si="122"/>
        <v>252.47299999999996</v>
      </c>
      <c r="I141" s="4">
        <f t="shared" si="122"/>
        <v>238.99799999999999</v>
      </c>
      <c r="J141" s="4">
        <f t="shared" si="122"/>
        <v>224.25099999999998</v>
      </c>
      <c r="K141" s="4">
        <f t="shared" si="122"/>
        <v>224.25099999999998</v>
      </c>
      <c r="L141" s="4">
        <f t="shared" si="122"/>
        <v>224.25099999999998</v>
      </c>
      <c r="M141" s="4">
        <f t="shared" si="122"/>
        <v>224.25099999999998</v>
      </c>
      <c r="N141" s="4">
        <f t="shared" si="122"/>
        <v>224.251</v>
      </c>
      <c r="O141" s="4">
        <f t="shared" ref="O141:Q141" si="123">+O15+O56+O98</f>
        <v>224.25099999999998</v>
      </c>
      <c r="P141" s="4">
        <f t="shared" si="123"/>
        <v>224.25099999999998</v>
      </c>
      <c r="Q141" s="4">
        <f t="shared" si="123"/>
        <v>224.25099999999998</v>
      </c>
      <c r="R141" s="1"/>
      <c r="S141" s="1"/>
    </row>
    <row r="142" spans="1:19" x14ac:dyDescent="0.25">
      <c r="A142" t="str">
        <f t="shared" si="118"/>
        <v>ASP</v>
      </c>
      <c r="C142" s="4">
        <f t="shared" si="119"/>
        <v>63.5</v>
      </c>
      <c r="D142" s="4">
        <f t="shared" ref="D142:D148" si="124">+D16+D57+D99</f>
        <v>3.58</v>
      </c>
      <c r="E142" s="4">
        <f t="shared" ref="E142:N142" si="125">+E16+E57+E99</f>
        <v>0.67800000000000005</v>
      </c>
      <c r="F142" s="4">
        <f t="shared" si="125"/>
        <v>0</v>
      </c>
      <c r="G142" s="4">
        <f t="shared" si="125"/>
        <v>0</v>
      </c>
      <c r="H142" s="4">
        <f t="shared" si="125"/>
        <v>0</v>
      </c>
      <c r="I142" s="4">
        <f t="shared" si="125"/>
        <v>0</v>
      </c>
      <c r="J142" s="4">
        <f t="shared" si="125"/>
        <v>0</v>
      </c>
      <c r="K142" s="4">
        <f t="shared" si="125"/>
        <v>0</v>
      </c>
      <c r="L142" s="4">
        <f t="shared" si="125"/>
        <v>0</v>
      </c>
      <c r="M142" s="4">
        <f t="shared" si="125"/>
        <v>0</v>
      </c>
      <c r="N142" s="4">
        <f t="shared" si="125"/>
        <v>0</v>
      </c>
      <c r="O142" s="4">
        <f t="shared" ref="O142:Q142" si="126">+O16+O57+O99</f>
        <v>0</v>
      </c>
      <c r="P142" s="4">
        <f t="shared" si="126"/>
        <v>0</v>
      </c>
      <c r="Q142" s="4">
        <f t="shared" si="126"/>
        <v>0</v>
      </c>
      <c r="R142" s="1"/>
      <c r="S142" s="1"/>
    </row>
    <row r="143" spans="1:19" x14ac:dyDescent="0.25">
      <c r="A143" t="str">
        <f t="shared" si="118"/>
        <v>MAP</v>
      </c>
      <c r="C143" s="4">
        <f t="shared" si="119"/>
        <v>0</v>
      </c>
      <c r="D143" s="4">
        <f t="shared" si="124"/>
        <v>0</v>
      </c>
      <c r="E143" s="4">
        <f t="shared" ref="E143:N143" si="127">+E17+E58+E100</f>
        <v>17.185000000000002</v>
      </c>
      <c r="F143" s="4">
        <f t="shared" si="127"/>
        <v>0</v>
      </c>
      <c r="G143" s="4">
        <f t="shared" si="127"/>
        <v>0</v>
      </c>
      <c r="H143" s="4">
        <f t="shared" si="127"/>
        <v>0</v>
      </c>
      <c r="I143" s="4">
        <f t="shared" si="127"/>
        <v>0</v>
      </c>
      <c r="J143" s="4">
        <f t="shared" si="127"/>
        <v>0</v>
      </c>
      <c r="K143" s="4">
        <f t="shared" si="127"/>
        <v>0</v>
      </c>
      <c r="L143" s="4">
        <f t="shared" si="127"/>
        <v>0</v>
      </c>
      <c r="M143" s="4">
        <f t="shared" si="127"/>
        <v>0</v>
      </c>
      <c r="N143" s="4">
        <f t="shared" si="127"/>
        <v>0</v>
      </c>
      <c r="O143" s="4">
        <f t="shared" ref="O143:Q143" si="128">+O17+O58+O100</f>
        <v>0</v>
      </c>
      <c r="P143" s="4">
        <f t="shared" si="128"/>
        <v>0</v>
      </c>
      <c r="Q143" s="4">
        <f t="shared" si="128"/>
        <v>0</v>
      </c>
      <c r="R143" s="1"/>
      <c r="S143" s="1"/>
    </row>
    <row r="144" spans="1:19" x14ac:dyDescent="0.25">
      <c r="A144" t="str">
        <f t="shared" si="118"/>
        <v>SA</v>
      </c>
      <c r="C144" s="4">
        <f t="shared" si="119"/>
        <v>0</v>
      </c>
      <c r="D144" s="4">
        <f t="shared" si="124"/>
        <v>0</v>
      </c>
      <c r="E144" s="4">
        <f t="shared" ref="E144:N144" si="129">+E18+E59+E101</f>
        <v>0</v>
      </c>
      <c r="F144" s="4">
        <f t="shared" si="129"/>
        <v>0</v>
      </c>
      <c r="G144" s="4">
        <f t="shared" si="129"/>
        <v>0</v>
      </c>
      <c r="H144" s="4">
        <f t="shared" si="129"/>
        <v>0</v>
      </c>
      <c r="I144" s="4">
        <f t="shared" si="129"/>
        <v>0</v>
      </c>
      <c r="J144" s="4">
        <f t="shared" si="129"/>
        <v>0</v>
      </c>
      <c r="K144" s="4">
        <f t="shared" si="129"/>
        <v>0</v>
      </c>
      <c r="L144" s="4">
        <f t="shared" si="129"/>
        <v>0</v>
      </c>
      <c r="M144" s="4">
        <f t="shared" si="129"/>
        <v>0</v>
      </c>
      <c r="N144" s="4">
        <f t="shared" si="129"/>
        <v>0</v>
      </c>
      <c r="O144" s="4">
        <f t="shared" ref="O144:Q144" si="130">+O18+O59+O101</f>
        <v>0</v>
      </c>
      <c r="P144" s="4">
        <f t="shared" si="130"/>
        <v>0</v>
      </c>
      <c r="Q144" s="4">
        <f t="shared" si="130"/>
        <v>0</v>
      </c>
      <c r="R144" s="1"/>
      <c r="S144" s="1"/>
    </row>
    <row r="145" spans="1:19" x14ac:dyDescent="0.25">
      <c r="A145" t="str">
        <f t="shared" si="118"/>
        <v>NPK 15-15-15</v>
      </c>
      <c r="C145" s="4">
        <f t="shared" si="119"/>
        <v>0</v>
      </c>
      <c r="D145" s="4">
        <f t="shared" si="124"/>
        <v>0</v>
      </c>
      <c r="E145" s="4">
        <f t="shared" ref="E145:N145" si="131">+E19+E60+E102</f>
        <v>0</v>
      </c>
      <c r="F145" s="4">
        <f t="shared" si="131"/>
        <v>0</v>
      </c>
      <c r="G145" s="4">
        <f t="shared" si="131"/>
        <v>0</v>
      </c>
      <c r="H145" s="4">
        <f t="shared" si="131"/>
        <v>0</v>
      </c>
      <c r="I145" s="4">
        <f t="shared" si="131"/>
        <v>8.0000000000000018</v>
      </c>
      <c r="J145" s="4">
        <f t="shared" si="131"/>
        <v>16.000000000000004</v>
      </c>
      <c r="K145" s="4">
        <f t="shared" si="131"/>
        <v>16.000000000000004</v>
      </c>
      <c r="L145" s="4">
        <f t="shared" si="131"/>
        <v>16.000000000000004</v>
      </c>
      <c r="M145" s="4">
        <f t="shared" si="131"/>
        <v>16.000000000000004</v>
      </c>
      <c r="N145" s="4">
        <f t="shared" si="131"/>
        <v>16.000000000000004</v>
      </c>
      <c r="O145" s="4">
        <f t="shared" ref="O145:Q145" si="132">+O19+O60+O102</f>
        <v>16.000000000000004</v>
      </c>
      <c r="P145" s="4">
        <f t="shared" si="132"/>
        <v>16.000000000000004</v>
      </c>
      <c r="Q145" s="4">
        <f t="shared" si="132"/>
        <v>16.000000000000004</v>
      </c>
      <c r="R145" s="1"/>
      <c r="S145" s="1"/>
    </row>
    <row r="146" spans="1:19" x14ac:dyDescent="0.25">
      <c r="A146" t="str">
        <f t="shared" si="118"/>
        <v>NPK 16-16-16</v>
      </c>
      <c r="C146" s="4">
        <f t="shared" si="119"/>
        <v>0</v>
      </c>
      <c r="D146" s="4">
        <f t="shared" si="124"/>
        <v>0</v>
      </c>
      <c r="E146" s="4">
        <f t="shared" ref="E146:N146" si="133">+E20+E61+E103</f>
        <v>0</v>
      </c>
      <c r="F146" s="4">
        <f t="shared" si="133"/>
        <v>0</v>
      </c>
      <c r="G146" s="4">
        <f t="shared" si="133"/>
        <v>0</v>
      </c>
      <c r="H146" s="4">
        <f t="shared" si="133"/>
        <v>0</v>
      </c>
      <c r="I146" s="4">
        <f t="shared" si="133"/>
        <v>56</v>
      </c>
      <c r="J146" s="4">
        <f t="shared" si="133"/>
        <v>112</v>
      </c>
      <c r="K146" s="4">
        <f t="shared" si="133"/>
        <v>112</v>
      </c>
      <c r="L146" s="4">
        <f t="shared" si="133"/>
        <v>112</v>
      </c>
      <c r="M146" s="4">
        <f t="shared" si="133"/>
        <v>112</v>
      </c>
      <c r="N146" s="4">
        <f t="shared" si="133"/>
        <v>112</v>
      </c>
      <c r="O146" s="4">
        <f t="shared" ref="O146:Q146" si="134">+O20+O61+O103</f>
        <v>112</v>
      </c>
      <c r="P146" s="4">
        <f t="shared" si="134"/>
        <v>112</v>
      </c>
      <c r="Q146" s="4">
        <f t="shared" si="134"/>
        <v>112</v>
      </c>
      <c r="R146" s="1"/>
      <c r="S146" s="1"/>
    </row>
    <row r="147" spans="1:19" x14ac:dyDescent="0.25">
      <c r="A147" t="str">
        <f t="shared" si="118"/>
        <v>NPK 10-26-26</v>
      </c>
      <c r="C147" s="4">
        <f t="shared" si="119"/>
        <v>0</v>
      </c>
      <c r="D147" s="4">
        <f t="shared" si="124"/>
        <v>0</v>
      </c>
      <c r="E147" s="4">
        <f t="shared" ref="E147:N147" si="135">+E21+E62+E104</f>
        <v>0</v>
      </c>
      <c r="F147" s="4">
        <f t="shared" si="135"/>
        <v>0</v>
      </c>
      <c r="G147" s="4">
        <f t="shared" si="135"/>
        <v>0</v>
      </c>
      <c r="H147" s="4">
        <f t="shared" si="135"/>
        <v>0</v>
      </c>
      <c r="I147" s="4">
        <f t="shared" si="135"/>
        <v>8.5</v>
      </c>
      <c r="J147" s="4">
        <f t="shared" si="135"/>
        <v>17</v>
      </c>
      <c r="K147" s="4">
        <f t="shared" si="135"/>
        <v>17</v>
      </c>
      <c r="L147" s="4">
        <f t="shared" si="135"/>
        <v>17</v>
      </c>
      <c r="M147" s="4">
        <f t="shared" si="135"/>
        <v>17</v>
      </c>
      <c r="N147" s="4">
        <f t="shared" si="135"/>
        <v>17</v>
      </c>
      <c r="O147" s="4">
        <f t="shared" ref="O147:Q147" si="136">+O21+O62+O104</f>
        <v>17</v>
      </c>
      <c r="P147" s="4">
        <f t="shared" si="136"/>
        <v>17</v>
      </c>
      <c r="Q147" s="4">
        <f t="shared" si="136"/>
        <v>17</v>
      </c>
      <c r="R147" s="1"/>
      <c r="S147" s="1"/>
    </row>
    <row r="148" spans="1:19" x14ac:dyDescent="0.25">
      <c r="A148" t="str">
        <f t="shared" si="118"/>
        <v>NPK 10-20-20</v>
      </c>
      <c r="C148" s="4">
        <f t="shared" si="119"/>
        <v>0</v>
      </c>
      <c r="D148" s="4">
        <f t="shared" si="124"/>
        <v>0</v>
      </c>
      <c r="E148" s="4">
        <f t="shared" ref="E148:N148" si="137">+E22+E63+E105</f>
        <v>0</v>
      </c>
      <c r="F148" s="4">
        <f t="shared" si="137"/>
        <v>0</v>
      </c>
      <c r="G148" s="4">
        <f t="shared" si="137"/>
        <v>0</v>
      </c>
      <c r="H148" s="4">
        <f t="shared" si="137"/>
        <v>0</v>
      </c>
      <c r="I148" s="4">
        <f t="shared" si="137"/>
        <v>4.5000000000000009</v>
      </c>
      <c r="J148" s="4">
        <f t="shared" si="137"/>
        <v>9.0000000000000018</v>
      </c>
      <c r="K148" s="4">
        <f t="shared" si="137"/>
        <v>9.0000000000000018</v>
      </c>
      <c r="L148" s="4">
        <f t="shared" si="137"/>
        <v>9.0000000000000018</v>
      </c>
      <c r="M148" s="4">
        <f t="shared" si="137"/>
        <v>9.0000000000000018</v>
      </c>
      <c r="N148" s="4">
        <f t="shared" si="137"/>
        <v>9.0000000000000018</v>
      </c>
      <c r="O148" s="4">
        <f t="shared" ref="O148:Q148" si="138">+O22+O63+O105</f>
        <v>9.0000000000000018</v>
      </c>
      <c r="P148" s="4">
        <f t="shared" si="138"/>
        <v>9.0000000000000018</v>
      </c>
      <c r="Q148" s="4">
        <f t="shared" si="138"/>
        <v>9.0000000000000018</v>
      </c>
      <c r="R148" s="1"/>
      <c r="S148" s="1"/>
    </row>
    <row r="149" spans="1:19" x14ac:dyDescent="0.25">
      <c r="A149" t="str">
        <f t="shared" si="118"/>
        <v>NPK 13-13-21</v>
      </c>
      <c r="C149" s="4">
        <f t="shared" ref="C149:Q149" si="139">+C23+C64+C106</f>
        <v>0</v>
      </c>
      <c r="D149" s="4">
        <f t="shared" si="139"/>
        <v>0</v>
      </c>
      <c r="E149" s="4">
        <f t="shared" si="139"/>
        <v>0</v>
      </c>
      <c r="F149" s="4">
        <f t="shared" si="139"/>
        <v>0</v>
      </c>
      <c r="G149" s="4">
        <f t="shared" si="139"/>
        <v>0</v>
      </c>
      <c r="H149" s="4">
        <f t="shared" si="139"/>
        <v>0</v>
      </c>
      <c r="I149" s="4">
        <f t="shared" si="139"/>
        <v>3</v>
      </c>
      <c r="J149" s="4">
        <f t="shared" si="139"/>
        <v>6</v>
      </c>
      <c r="K149" s="4">
        <f t="shared" si="139"/>
        <v>6</v>
      </c>
      <c r="L149" s="4">
        <f t="shared" si="139"/>
        <v>6</v>
      </c>
      <c r="M149" s="4">
        <f t="shared" si="139"/>
        <v>6</v>
      </c>
      <c r="N149" s="4">
        <f t="shared" si="139"/>
        <v>6</v>
      </c>
      <c r="O149" s="4">
        <f t="shared" si="139"/>
        <v>6</v>
      </c>
      <c r="P149" s="4">
        <f t="shared" si="139"/>
        <v>6</v>
      </c>
      <c r="Q149" s="4">
        <f t="shared" si="139"/>
        <v>6</v>
      </c>
      <c r="R149" s="1"/>
      <c r="S149" s="1"/>
    </row>
    <row r="150" spans="1:19" x14ac:dyDescent="0.25">
      <c r="A150" t="str">
        <f t="shared" si="118"/>
        <v>NPK 00-00-00</v>
      </c>
      <c r="C150" s="4">
        <f t="shared" ref="C150:Q150" si="140">+C24+C65+C107</f>
        <v>0</v>
      </c>
      <c r="D150" s="4">
        <f t="shared" si="140"/>
        <v>0</v>
      </c>
      <c r="E150" s="4">
        <f t="shared" si="140"/>
        <v>0</v>
      </c>
      <c r="F150" s="4">
        <f t="shared" si="140"/>
        <v>0</v>
      </c>
      <c r="G150" s="4">
        <f t="shared" si="140"/>
        <v>0</v>
      </c>
      <c r="H150" s="4">
        <f t="shared" si="140"/>
        <v>0</v>
      </c>
      <c r="I150" s="4">
        <f t="shared" si="140"/>
        <v>0</v>
      </c>
      <c r="J150" s="4">
        <f t="shared" si="140"/>
        <v>0</v>
      </c>
      <c r="K150" s="4">
        <f t="shared" si="140"/>
        <v>0</v>
      </c>
      <c r="L150" s="4">
        <f t="shared" si="140"/>
        <v>0</v>
      </c>
      <c r="M150" s="4">
        <f t="shared" si="140"/>
        <v>0</v>
      </c>
      <c r="N150" s="4">
        <f t="shared" si="140"/>
        <v>0</v>
      </c>
      <c r="O150" s="4">
        <f t="shared" si="140"/>
        <v>0</v>
      </c>
      <c r="P150" s="4">
        <f t="shared" si="140"/>
        <v>0</v>
      </c>
      <c r="Q150" s="4">
        <f t="shared" si="140"/>
        <v>0</v>
      </c>
      <c r="R150" s="1"/>
      <c r="S150" s="1"/>
    </row>
    <row r="151" spans="1:19" x14ac:dyDescent="0.25">
      <c r="A151" s="26" t="s">
        <v>114</v>
      </c>
      <c r="C151" s="376">
        <f t="shared" ref="C151:F151" si="141">SUM(C140:C148)</f>
        <v>387.34</v>
      </c>
      <c r="D151" s="376">
        <f t="shared" si="141"/>
        <v>229.76000000000002</v>
      </c>
      <c r="E151" s="376">
        <f t="shared" si="141"/>
        <v>464.178</v>
      </c>
      <c r="F151" s="376">
        <f t="shared" si="141"/>
        <v>379.59</v>
      </c>
      <c r="G151" s="376">
        <f>SUM(G140:G150)</f>
        <v>338.4</v>
      </c>
      <c r="H151" s="376">
        <f t="shared" ref="H151:Q151" si="142">SUM(H140:H150)</f>
        <v>381.61886956521738</v>
      </c>
      <c r="I151" s="376">
        <f t="shared" si="142"/>
        <v>437.19386956521737</v>
      </c>
      <c r="J151" s="376">
        <f t="shared" si="142"/>
        <v>490.46786956521737</v>
      </c>
      <c r="K151" s="376">
        <f t="shared" si="142"/>
        <v>490.46786956521737</v>
      </c>
      <c r="L151" s="376">
        <f t="shared" si="142"/>
        <v>490.46786956521737</v>
      </c>
      <c r="M151" s="376">
        <f t="shared" si="142"/>
        <v>490.46786956521737</v>
      </c>
      <c r="N151" s="376">
        <f t="shared" si="142"/>
        <v>490.46786956521743</v>
      </c>
      <c r="O151" s="376">
        <f t="shared" si="142"/>
        <v>490.46786956521737</v>
      </c>
      <c r="P151" s="376">
        <f t="shared" si="142"/>
        <v>490.46786956521737</v>
      </c>
      <c r="Q151" s="376">
        <f t="shared" si="142"/>
        <v>490.46786956521737</v>
      </c>
      <c r="R151" s="8"/>
      <c r="S151" s="8"/>
    </row>
    <row r="153" spans="1:19" x14ac:dyDescent="0.25">
      <c r="A153" s="5" t="s">
        <v>519</v>
      </c>
      <c r="C153" s="5">
        <f>+C$4</f>
        <v>2008</v>
      </c>
      <c r="D153" s="5">
        <f t="shared" ref="D153:Q153" si="143">+D$4</f>
        <v>2009</v>
      </c>
      <c r="E153" s="5">
        <f t="shared" si="143"/>
        <v>2010</v>
      </c>
      <c r="F153" s="5">
        <f t="shared" si="143"/>
        <v>2011</v>
      </c>
      <c r="G153" s="5">
        <f t="shared" si="143"/>
        <v>2012</v>
      </c>
      <c r="H153" s="5">
        <f t="shared" si="143"/>
        <v>2013</v>
      </c>
      <c r="I153" s="5">
        <f t="shared" si="143"/>
        <v>2014</v>
      </c>
      <c r="J153" s="5">
        <f t="shared" si="143"/>
        <v>2015</v>
      </c>
      <c r="K153" s="5">
        <f t="shared" si="143"/>
        <v>2016</v>
      </c>
      <c r="L153" s="5">
        <f t="shared" si="143"/>
        <v>2017</v>
      </c>
      <c r="M153" s="5">
        <f t="shared" si="143"/>
        <v>2018</v>
      </c>
      <c r="N153" s="5">
        <f t="shared" si="143"/>
        <v>2019</v>
      </c>
      <c r="O153" s="5">
        <f t="shared" si="143"/>
        <v>2020</v>
      </c>
      <c r="P153" s="5">
        <f t="shared" si="143"/>
        <v>2021</v>
      </c>
      <c r="Q153" s="5">
        <f t="shared" si="143"/>
        <v>2022</v>
      </c>
      <c r="R153" s="5"/>
      <c r="S153" s="5"/>
    </row>
    <row r="154" spans="1:19" x14ac:dyDescent="0.25">
      <c r="A154" t="str">
        <f t="shared" ref="A154:A164" si="144">+A140</f>
        <v>ammofos</v>
      </c>
      <c r="B154" s="3"/>
      <c r="C154" s="1">
        <f t="shared" ref="C154:N154" si="145">+C41+C83+C125</f>
        <v>67370.542000000001</v>
      </c>
      <c r="D154" s="1">
        <f t="shared" si="145"/>
        <v>32129</v>
      </c>
      <c r="E154" s="1">
        <f t="shared" si="145"/>
        <v>84976.084273558139</v>
      </c>
      <c r="F154" s="1">
        <f t="shared" si="145"/>
        <v>68688.680456000002</v>
      </c>
      <c r="G154" s="1">
        <f t="shared" ca="1" si="145"/>
        <v>92023.819708166979</v>
      </c>
      <c r="H154" s="1">
        <f t="shared" ca="1" si="145"/>
        <v>100054.90365114255</v>
      </c>
      <c r="I154" s="1">
        <f t="shared" ca="1" si="145"/>
        <v>101830.50856882376</v>
      </c>
      <c r="J154" s="1">
        <f t="shared" ca="1" si="145"/>
        <v>99101.958226228075</v>
      </c>
      <c r="K154" s="1">
        <f t="shared" ca="1" si="145"/>
        <v>112315.71091389263</v>
      </c>
      <c r="L154" s="1">
        <f t="shared" ca="1" si="145"/>
        <v>127312.01112795263</v>
      </c>
      <c r="M154" s="1">
        <f t="shared" ca="1" si="145"/>
        <v>144421.10962588125</v>
      </c>
      <c r="N154" s="1">
        <f t="shared" ca="1" si="145"/>
        <v>163923.43759035115</v>
      </c>
      <c r="O154" s="1">
        <f t="shared" ref="O154:Q154" ca="1" si="146">+O41+O83+O125</f>
        <v>186094.45209382652</v>
      </c>
      <c r="P154" s="1">
        <f t="shared" ca="1" si="146"/>
        <v>211284.62421907843</v>
      </c>
      <c r="Q154" s="1">
        <f t="shared" ca="1" si="146"/>
        <v>240343.76903050754</v>
      </c>
      <c r="R154" s="1"/>
      <c r="S154" s="1"/>
    </row>
    <row r="155" spans="1:19" x14ac:dyDescent="0.25">
      <c r="A155" t="str">
        <f t="shared" si="144"/>
        <v>suprefos</v>
      </c>
      <c r="B155" s="3"/>
      <c r="C155" s="1">
        <f t="shared" ref="C155:N155" si="147">+C42+C84+C126</f>
        <v>50513.222359999992</v>
      </c>
      <c r="D155" s="1">
        <f t="shared" si="147"/>
        <v>40702.619372442001</v>
      </c>
      <c r="E155" s="1">
        <f t="shared" si="147"/>
        <v>73548.520012606357</v>
      </c>
      <c r="F155" s="1">
        <f t="shared" si="147"/>
        <v>87895.791752000005</v>
      </c>
      <c r="G155" s="1">
        <f t="shared" si="147"/>
        <v>82435.53</v>
      </c>
      <c r="H155" s="1">
        <f t="shared" ca="1" si="147"/>
        <v>114880.55622932076</v>
      </c>
      <c r="I155" s="1">
        <f t="shared" ca="1" si="147"/>
        <v>120873.68151124674</v>
      </c>
      <c r="J155" s="1">
        <f t="shared" ca="1" si="147"/>
        <v>121655.61687820012</v>
      </c>
      <c r="K155" s="1">
        <f t="shared" ca="1" si="147"/>
        <v>137832.15826364263</v>
      </c>
      <c r="L155" s="1">
        <f t="shared" ca="1" si="147"/>
        <v>156280.5014695166</v>
      </c>
      <c r="M155" s="1">
        <f t="shared" ca="1" si="147"/>
        <v>177353.68433050843</v>
      </c>
      <c r="N155" s="1">
        <f t="shared" ca="1" si="147"/>
        <v>201409.26834626606</v>
      </c>
      <c r="O155" s="1">
        <f t="shared" ref="O155:Q155" ca="1" si="148">+O42+O84+O126</f>
        <v>228834.66329525094</v>
      </c>
      <c r="P155" s="1">
        <f t="shared" ca="1" si="148"/>
        <v>260069.39140276064</v>
      </c>
      <c r="Q155" s="1">
        <f t="shared" ca="1" si="148"/>
        <v>296380.56195375288</v>
      </c>
      <c r="R155" s="1"/>
      <c r="S155" s="1"/>
    </row>
    <row r="156" spans="1:19" x14ac:dyDescent="0.25">
      <c r="A156" t="str">
        <f t="shared" si="144"/>
        <v>ASP</v>
      </c>
      <c r="B156" s="3"/>
      <c r="C156" s="1">
        <f t="shared" ref="C156:N156" si="149">+C43+C85+C127</f>
        <v>16246.0779</v>
      </c>
      <c r="D156" s="1">
        <f t="shared" si="149"/>
        <v>1086</v>
      </c>
      <c r="E156" s="1">
        <f t="shared" si="149"/>
        <v>220.5</v>
      </c>
      <c r="F156" s="1">
        <f t="shared" si="149"/>
        <v>0</v>
      </c>
      <c r="G156" s="1">
        <f t="shared" si="149"/>
        <v>0</v>
      </c>
      <c r="H156" s="1">
        <f t="shared" si="149"/>
        <v>0</v>
      </c>
      <c r="I156" s="1">
        <f t="shared" si="149"/>
        <v>0</v>
      </c>
      <c r="J156" s="1">
        <f t="shared" si="149"/>
        <v>0</v>
      </c>
      <c r="K156" s="1">
        <f t="shared" si="149"/>
        <v>0</v>
      </c>
      <c r="L156" s="1">
        <f t="shared" si="149"/>
        <v>0</v>
      </c>
      <c r="M156" s="1">
        <f t="shared" si="149"/>
        <v>0</v>
      </c>
      <c r="N156" s="1">
        <f t="shared" si="149"/>
        <v>0</v>
      </c>
      <c r="O156" s="1">
        <f t="shared" ref="O156:Q156" si="150">+O43+O85+O127</f>
        <v>0</v>
      </c>
      <c r="P156" s="1">
        <f t="shared" si="150"/>
        <v>0</v>
      </c>
      <c r="Q156" s="1">
        <f t="shared" si="150"/>
        <v>0</v>
      </c>
      <c r="R156" s="1"/>
      <c r="S156" s="1"/>
    </row>
    <row r="157" spans="1:19" x14ac:dyDescent="0.25">
      <c r="A157" t="str">
        <f t="shared" si="144"/>
        <v>MAP</v>
      </c>
      <c r="B157" s="3"/>
      <c r="C157" s="1">
        <f t="shared" ref="C157:N157" si="151">+C44+C86+C128</f>
        <v>0</v>
      </c>
      <c r="D157" s="1">
        <f t="shared" si="151"/>
        <v>0</v>
      </c>
      <c r="E157" s="1">
        <f t="shared" si="151"/>
        <v>8815.0955247399907</v>
      </c>
      <c r="F157" s="1">
        <f t="shared" si="151"/>
        <v>0</v>
      </c>
      <c r="G157" s="1">
        <f t="shared" si="151"/>
        <v>0</v>
      </c>
      <c r="H157" s="1">
        <f t="shared" si="151"/>
        <v>0</v>
      </c>
      <c r="I157" s="1">
        <f t="shared" si="151"/>
        <v>0</v>
      </c>
      <c r="J157" s="1">
        <f t="shared" si="151"/>
        <v>0</v>
      </c>
      <c r="K157" s="1">
        <f t="shared" si="151"/>
        <v>0</v>
      </c>
      <c r="L157" s="1">
        <f t="shared" si="151"/>
        <v>0</v>
      </c>
      <c r="M157" s="1">
        <f t="shared" si="151"/>
        <v>0</v>
      </c>
      <c r="N157" s="1">
        <f t="shared" si="151"/>
        <v>0</v>
      </c>
      <c r="O157" s="1">
        <f t="shared" ref="O157:Q157" si="152">+O44+O86+O128</f>
        <v>0</v>
      </c>
      <c r="P157" s="1">
        <f t="shared" si="152"/>
        <v>0</v>
      </c>
      <c r="Q157" s="1">
        <f t="shared" si="152"/>
        <v>0</v>
      </c>
      <c r="R157" s="1"/>
      <c r="S157" s="1"/>
    </row>
    <row r="158" spans="1:19" x14ac:dyDescent="0.25">
      <c r="A158" t="str">
        <f t="shared" si="144"/>
        <v>SA</v>
      </c>
      <c r="C158" s="1">
        <f t="shared" ref="C158:N158" si="153">+C45+C87+C129</f>
        <v>0</v>
      </c>
      <c r="D158" s="1">
        <f t="shared" si="153"/>
        <v>0</v>
      </c>
      <c r="E158" s="1">
        <f t="shared" si="153"/>
        <v>0</v>
      </c>
      <c r="F158" s="1">
        <f t="shared" si="153"/>
        <v>0</v>
      </c>
      <c r="G158" s="1">
        <f t="shared" si="153"/>
        <v>0</v>
      </c>
      <c r="H158" s="1">
        <f t="shared" si="153"/>
        <v>0</v>
      </c>
      <c r="I158" s="1">
        <f t="shared" si="153"/>
        <v>0</v>
      </c>
      <c r="J158" s="1">
        <f t="shared" si="153"/>
        <v>0</v>
      </c>
      <c r="K158" s="1">
        <f t="shared" si="153"/>
        <v>0</v>
      </c>
      <c r="L158" s="1">
        <f t="shared" si="153"/>
        <v>0</v>
      </c>
      <c r="M158" s="1">
        <f t="shared" si="153"/>
        <v>0</v>
      </c>
      <c r="N158" s="1">
        <f t="shared" si="153"/>
        <v>0</v>
      </c>
      <c r="O158" s="1">
        <f t="shared" ref="O158:Q158" si="154">+O45+O87+O129</f>
        <v>0</v>
      </c>
      <c r="P158" s="1">
        <f t="shared" si="154"/>
        <v>0</v>
      </c>
      <c r="Q158" s="1">
        <f t="shared" si="154"/>
        <v>0</v>
      </c>
      <c r="R158" s="1"/>
      <c r="S158" s="1"/>
    </row>
    <row r="159" spans="1:19" x14ac:dyDescent="0.25">
      <c r="A159" t="str">
        <f t="shared" si="144"/>
        <v>NPK 15-15-15</v>
      </c>
      <c r="C159" s="1">
        <f t="shared" ref="C159:N159" si="155">+C46+C88+C130</f>
        <v>0</v>
      </c>
      <c r="D159" s="1">
        <f t="shared" si="155"/>
        <v>0</v>
      </c>
      <c r="E159" s="1">
        <f t="shared" si="155"/>
        <v>0</v>
      </c>
      <c r="F159" s="1">
        <f t="shared" si="155"/>
        <v>0</v>
      </c>
      <c r="G159" s="1">
        <f t="shared" si="155"/>
        <v>0</v>
      </c>
      <c r="H159" s="1">
        <f t="shared" si="155"/>
        <v>0</v>
      </c>
      <c r="I159" s="1">
        <f t="shared" si="155"/>
        <v>5819.2457400000021</v>
      </c>
      <c r="J159" s="1">
        <f t="shared" si="155"/>
        <v>13168.208037600001</v>
      </c>
      <c r="K159" s="1">
        <f t="shared" si="155"/>
        <v>14932.200119760004</v>
      </c>
      <c r="L159" s="1">
        <f t="shared" si="155"/>
        <v>16917.308537976005</v>
      </c>
      <c r="M159" s="1">
        <f t="shared" si="155"/>
        <v>19150.116638637606</v>
      </c>
      <c r="N159" s="1">
        <f t="shared" si="155"/>
        <v>21719.831771206806</v>
      </c>
      <c r="O159" s="1">
        <f t="shared" ref="O159:Q159" si="156">+O46+O88+O130</f>
        <v>24611.988763903471</v>
      </c>
      <c r="P159" s="1">
        <f t="shared" si="156"/>
        <v>27865.378837427415</v>
      </c>
      <c r="Q159" s="1">
        <f t="shared" si="156"/>
        <v>31602.546157730463</v>
      </c>
      <c r="R159" s="1"/>
      <c r="S159" s="1"/>
    </row>
    <row r="160" spans="1:19" x14ac:dyDescent="0.25">
      <c r="A160" t="str">
        <f t="shared" si="144"/>
        <v>NPK 16-16-16</v>
      </c>
      <c r="C160" s="1">
        <f t="shared" ref="C160:N160" si="157">+C47+C89+C131</f>
        <v>0</v>
      </c>
      <c r="D160" s="1">
        <f t="shared" si="157"/>
        <v>0</v>
      </c>
      <c r="E160" s="1">
        <f t="shared" si="157"/>
        <v>0</v>
      </c>
      <c r="F160" s="1">
        <f t="shared" si="157"/>
        <v>0</v>
      </c>
      <c r="G160" s="1">
        <f t="shared" si="157"/>
        <v>0</v>
      </c>
      <c r="H160" s="1">
        <f t="shared" si="157"/>
        <v>0</v>
      </c>
      <c r="I160" s="1">
        <f t="shared" si="157"/>
        <v>43759.264348800003</v>
      </c>
      <c r="J160" s="1">
        <f t="shared" si="157"/>
        <v>99104.747132160002</v>
      </c>
      <c r="K160" s="1">
        <f t="shared" si="157"/>
        <v>112133.02396665602</v>
      </c>
      <c r="L160" s="1">
        <f t="shared" si="157"/>
        <v>127118.86693007042</v>
      </c>
      <c r="M160" s="1">
        <f t="shared" si="157"/>
        <v>143980.54824650119</v>
      </c>
      <c r="N160" s="1">
        <f t="shared" si="157"/>
        <v>162943.37715691733</v>
      </c>
      <c r="O160" s="1">
        <f t="shared" ref="O160:Q160" si="158">+O47+O89+O131</f>
        <v>184715.44377552834</v>
      </c>
      <c r="P160" s="1">
        <f t="shared" si="158"/>
        <v>209212.48994629236</v>
      </c>
      <c r="Q160" s="1">
        <f t="shared" si="158"/>
        <v>236761.79091345394</v>
      </c>
      <c r="R160" s="1"/>
      <c r="S160" s="1"/>
    </row>
    <row r="161" spans="1:19" x14ac:dyDescent="0.25">
      <c r="A161" t="str">
        <f t="shared" si="144"/>
        <v>NPK 10-26-26</v>
      </c>
      <c r="C161" s="1">
        <f t="shared" ref="C161:N161" si="159">+C48+C90+C132</f>
        <v>0</v>
      </c>
      <c r="D161" s="1">
        <f t="shared" si="159"/>
        <v>0</v>
      </c>
      <c r="E161" s="1">
        <f t="shared" si="159"/>
        <v>0</v>
      </c>
      <c r="F161" s="1">
        <f t="shared" si="159"/>
        <v>0</v>
      </c>
      <c r="G161" s="1">
        <f t="shared" si="159"/>
        <v>0</v>
      </c>
      <c r="H161" s="1">
        <f t="shared" si="159"/>
        <v>0</v>
      </c>
      <c r="I161" s="1">
        <f t="shared" si="159"/>
        <v>8646.622538399999</v>
      </c>
      <c r="J161" s="1">
        <f t="shared" si="159"/>
        <v>19591.857663839997</v>
      </c>
      <c r="K161" s="1">
        <f t="shared" si="159"/>
        <v>22177.260317520002</v>
      </c>
      <c r="L161" s="1">
        <f t="shared" si="159"/>
        <v>25136.812508068808</v>
      </c>
      <c r="M161" s="1">
        <f t="shared" si="159"/>
        <v>28466.502533552171</v>
      </c>
      <c r="N161" s="1">
        <f t="shared" si="159"/>
        <v>32274.877414204664</v>
      </c>
      <c r="O161" s="1">
        <f t="shared" ref="O161:Q161" si="160">+O48+O90+O132</f>
        <v>36560.262245652142</v>
      </c>
      <c r="P161" s="1">
        <f t="shared" si="160"/>
        <v>41457.554389182384</v>
      </c>
      <c r="Q161" s="1">
        <f t="shared" si="160"/>
        <v>46968.702338962161</v>
      </c>
      <c r="R161" s="1"/>
      <c r="S161" s="1"/>
    </row>
    <row r="162" spans="1:19" x14ac:dyDescent="0.25">
      <c r="A162" t="str">
        <f t="shared" si="144"/>
        <v>NPK 10-20-20</v>
      </c>
      <c r="C162" s="1">
        <f t="shared" ref="C162:N162" si="161">+C49+C91+C133</f>
        <v>0</v>
      </c>
      <c r="D162" s="1">
        <f t="shared" si="161"/>
        <v>0</v>
      </c>
      <c r="E162" s="1">
        <f t="shared" si="161"/>
        <v>0</v>
      </c>
      <c r="F162" s="1">
        <f t="shared" si="161"/>
        <v>0</v>
      </c>
      <c r="G162" s="1">
        <f t="shared" si="161"/>
        <v>0</v>
      </c>
      <c r="H162" s="1">
        <f t="shared" si="161"/>
        <v>0</v>
      </c>
      <c r="I162" s="1">
        <f t="shared" si="161"/>
        <v>3537.0338850000012</v>
      </c>
      <c r="J162" s="1">
        <f t="shared" si="161"/>
        <v>8030.5179570000018</v>
      </c>
      <c r="K162" s="1">
        <f t="shared" si="161"/>
        <v>9107.5175037000026</v>
      </c>
      <c r="L162" s="1">
        <f t="shared" si="161"/>
        <v>10319.611780170004</v>
      </c>
      <c r="M162" s="1">
        <f t="shared" si="161"/>
        <v>11683.049736897006</v>
      </c>
      <c r="N162" s="1">
        <f t="shared" si="161"/>
        <v>13249.126845038707</v>
      </c>
      <c r="O162" s="1">
        <f t="shared" ref="O162:Q162" si="162">+O49+O91+O133</f>
        <v>15011.588877439777</v>
      </c>
      <c r="P162" s="1">
        <f t="shared" si="162"/>
        <v>17034.160738094586</v>
      </c>
      <c r="Q162" s="1">
        <f t="shared" si="162"/>
        <v>19311.131082105963</v>
      </c>
      <c r="R162" s="1"/>
      <c r="S162" s="1"/>
    </row>
    <row r="163" spans="1:19" x14ac:dyDescent="0.25">
      <c r="A163" t="str">
        <f t="shared" si="144"/>
        <v>NPK 13-13-21</v>
      </c>
      <c r="C163" s="1">
        <f t="shared" ref="C163:Q163" si="163">+C50+C92+C134</f>
        <v>0</v>
      </c>
      <c r="D163" s="1">
        <f t="shared" si="163"/>
        <v>0</v>
      </c>
      <c r="E163" s="1">
        <f t="shared" si="163"/>
        <v>0</v>
      </c>
      <c r="F163" s="1">
        <f t="shared" si="163"/>
        <v>0</v>
      </c>
      <c r="G163" s="1">
        <f t="shared" si="163"/>
        <v>0</v>
      </c>
      <c r="H163" s="1">
        <f t="shared" si="163"/>
        <v>0</v>
      </c>
      <c r="I163" s="1">
        <f t="shared" si="163"/>
        <v>2253.7399500000001</v>
      </c>
      <c r="J163" s="1">
        <f t="shared" si="163"/>
        <v>5109.1632900000004</v>
      </c>
      <c r="K163" s="1">
        <f t="shared" si="163"/>
        <v>5786.1085590000002</v>
      </c>
      <c r="L163" s="1">
        <f t="shared" si="163"/>
        <v>6547.3512489000013</v>
      </c>
      <c r="M163" s="1">
        <f t="shared" si="163"/>
        <v>7423.0708929300026</v>
      </c>
      <c r="N163" s="1">
        <f t="shared" si="163"/>
        <v>8408.4609532770028</v>
      </c>
      <c r="O163" s="1">
        <f t="shared" si="163"/>
        <v>9516.6983167641029</v>
      </c>
      <c r="P163" s="1">
        <f t="shared" si="163"/>
        <v>10789.237670231794</v>
      </c>
      <c r="Q163" s="1">
        <f t="shared" si="163"/>
        <v>12221.117911225385</v>
      </c>
      <c r="R163" s="1"/>
      <c r="S163" s="1"/>
    </row>
    <row r="164" spans="1:19" x14ac:dyDescent="0.25">
      <c r="A164" t="str">
        <f t="shared" si="144"/>
        <v>NPK 00-00-00</v>
      </c>
      <c r="C164" s="1">
        <f t="shared" ref="C164:Q164" si="164">+C51+C93+C135</f>
        <v>0</v>
      </c>
      <c r="D164" s="1">
        <f t="shared" si="164"/>
        <v>0</v>
      </c>
      <c r="E164" s="1">
        <f t="shared" si="164"/>
        <v>0</v>
      </c>
      <c r="F164" s="1">
        <f t="shared" si="164"/>
        <v>0</v>
      </c>
      <c r="G164" s="1">
        <f t="shared" si="164"/>
        <v>0</v>
      </c>
      <c r="H164" s="1">
        <f t="shared" si="164"/>
        <v>0</v>
      </c>
      <c r="I164" s="1">
        <f t="shared" si="164"/>
        <v>0</v>
      </c>
      <c r="J164" s="1">
        <f t="shared" si="164"/>
        <v>0</v>
      </c>
      <c r="K164" s="1">
        <f t="shared" si="164"/>
        <v>0</v>
      </c>
      <c r="L164" s="1">
        <f t="shared" si="164"/>
        <v>0</v>
      </c>
      <c r="M164" s="1">
        <f t="shared" si="164"/>
        <v>0</v>
      </c>
      <c r="N164" s="1">
        <f t="shared" si="164"/>
        <v>0</v>
      </c>
      <c r="O164" s="1">
        <f t="shared" si="164"/>
        <v>0</v>
      </c>
      <c r="P164" s="1">
        <f t="shared" si="164"/>
        <v>0</v>
      </c>
      <c r="Q164" s="1">
        <f t="shared" si="164"/>
        <v>0</v>
      </c>
      <c r="R164" s="1"/>
      <c r="S164" s="1"/>
    </row>
    <row r="165" spans="1:19" s="5" customFormat="1" x14ac:dyDescent="0.25">
      <c r="A165" s="5" t="s">
        <v>114</v>
      </c>
      <c r="C165" s="119">
        <f>SUM(C154:C162)*0+122720</f>
        <v>122720</v>
      </c>
      <c r="D165" s="119">
        <v>74235</v>
      </c>
      <c r="E165" s="119">
        <v>175240</v>
      </c>
      <c r="F165" s="119">
        <f>SUM(F154:F162)*0+165793</f>
        <v>165793</v>
      </c>
      <c r="G165" s="8">
        <f ca="1">SUM(G154:G164)</f>
        <v>174459.34970816696</v>
      </c>
      <c r="H165" s="8">
        <f t="shared" ref="H165:Q165" ca="1" si="165">SUM(H154:H164)</f>
        <v>214935.45988046331</v>
      </c>
      <c r="I165" s="8">
        <f t="shared" ca="1" si="165"/>
        <v>286720.0965422705</v>
      </c>
      <c r="J165" s="8">
        <f t="shared" ca="1" si="165"/>
        <v>365762.0691850282</v>
      </c>
      <c r="K165" s="8">
        <f t="shared" ca="1" si="165"/>
        <v>414283.97964417131</v>
      </c>
      <c r="L165" s="8">
        <f t="shared" ca="1" si="165"/>
        <v>469632.46360265452</v>
      </c>
      <c r="M165" s="8">
        <f t="shared" ca="1" si="165"/>
        <v>532478.08200490766</v>
      </c>
      <c r="N165" s="8">
        <f t="shared" ca="1" si="165"/>
        <v>603928.38007726171</v>
      </c>
      <c r="O165" s="8">
        <f t="shared" ca="1" si="165"/>
        <v>685345.09736836527</v>
      </c>
      <c r="P165" s="8">
        <f t="shared" ca="1" si="165"/>
        <v>777712.83720306773</v>
      </c>
      <c r="Q165" s="8">
        <f t="shared" ca="1" si="165"/>
        <v>883589.61938773829</v>
      </c>
      <c r="R165" s="8"/>
      <c r="S165" s="8"/>
    </row>
    <row r="168" spans="1:19" x14ac:dyDescent="0.25">
      <c r="A168" s="5" t="s">
        <v>193</v>
      </c>
      <c r="B168" s="5"/>
      <c r="C168" s="5">
        <f>+C139</f>
        <v>2008</v>
      </c>
      <c r="D168" s="5">
        <f>+D139</f>
        <v>2009</v>
      </c>
      <c r="E168" s="5">
        <f t="shared" ref="E168:N168" si="166">+E139</f>
        <v>2010</v>
      </c>
      <c r="F168" s="5">
        <f t="shared" si="166"/>
        <v>2011</v>
      </c>
      <c r="G168" s="5">
        <f t="shared" si="166"/>
        <v>2012</v>
      </c>
      <c r="H168" s="5">
        <f t="shared" si="166"/>
        <v>2013</v>
      </c>
      <c r="I168" s="5">
        <f t="shared" si="166"/>
        <v>2014</v>
      </c>
      <c r="J168" s="5">
        <f t="shared" si="166"/>
        <v>2015</v>
      </c>
      <c r="K168" s="5">
        <f t="shared" si="166"/>
        <v>2016</v>
      </c>
      <c r="L168" s="5">
        <f t="shared" si="166"/>
        <v>2017</v>
      </c>
      <c r="M168" s="5">
        <f t="shared" si="166"/>
        <v>2018</v>
      </c>
      <c r="N168" s="5">
        <f t="shared" si="166"/>
        <v>2019</v>
      </c>
      <c r="O168" s="5">
        <f t="shared" ref="O168:Q168" si="167">+O139</f>
        <v>2020</v>
      </c>
      <c r="P168" s="5">
        <f t="shared" si="167"/>
        <v>2021</v>
      </c>
      <c r="Q168" s="5">
        <f t="shared" si="167"/>
        <v>2022</v>
      </c>
    </row>
    <row r="169" spans="1:19" x14ac:dyDescent="0.25">
      <c r="A169" t="str">
        <f>+A154</f>
        <v>ammofos</v>
      </c>
      <c r="D169" s="3">
        <f>+Assumptions!D21</f>
        <v>0.46</v>
      </c>
      <c r="E169" s="3">
        <f>+Assumptions!E21</f>
        <v>0.46</v>
      </c>
      <c r="F169" s="3">
        <f>+Assumptions!F21</f>
        <v>0.46</v>
      </c>
      <c r="G169" s="3">
        <f>+Assumptions!G21</f>
        <v>0.46</v>
      </c>
      <c r="H169" s="3">
        <f>+Assumptions!H21</f>
        <v>0.46</v>
      </c>
      <c r="I169" s="3">
        <f>+Assumptions!I21</f>
        <v>0.46</v>
      </c>
      <c r="J169" s="3">
        <f>+Assumptions!J21</f>
        <v>0.46</v>
      </c>
      <c r="K169" s="3">
        <f>+Assumptions!K21</f>
        <v>0.46</v>
      </c>
      <c r="L169" s="3">
        <f>+Assumptions!L21</f>
        <v>0.46</v>
      </c>
      <c r="M169" s="3">
        <f>+Assumptions!M21</f>
        <v>0.46</v>
      </c>
      <c r="N169" s="3">
        <f>+Assumptions!N21</f>
        <v>0.46</v>
      </c>
      <c r="O169" s="3">
        <f>+Assumptions!O21</f>
        <v>0.46</v>
      </c>
      <c r="P169" s="3">
        <f>+Assumptions!P21</f>
        <v>0.46</v>
      </c>
      <c r="Q169" s="3">
        <f>+Assumptions!Q21</f>
        <v>0.46</v>
      </c>
    </row>
    <row r="170" spans="1:19" x14ac:dyDescent="0.25">
      <c r="A170" t="str">
        <f>+A155</f>
        <v>suprefos</v>
      </c>
      <c r="D170" s="3">
        <f>+Assumptions!D24</f>
        <v>0.24</v>
      </c>
      <c r="E170" s="3">
        <f>+Assumptions!E24</f>
        <v>0.24</v>
      </c>
      <c r="F170" s="3">
        <f>+Assumptions!F24</f>
        <v>0.24</v>
      </c>
      <c r="G170" s="3">
        <f>+Assumptions!G24</f>
        <v>0.24</v>
      </c>
      <c r="H170" s="3">
        <f>+Assumptions!H24</f>
        <v>0.24</v>
      </c>
      <c r="I170" s="3">
        <f>+Assumptions!I24</f>
        <v>0.24</v>
      </c>
      <c r="J170" s="3">
        <f>+Assumptions!J24</f>
        <v>0.24</v>
      </c>
      <c r="K170" s="3">
        <f>+Assumptions!K24</f>
        <v>0.24</v>
      </c>
      <c r="L170" s="3">
        <f>+Assumptions!L24</f>
        <v>0.24</v>
      </c>
      <c r="M170" s="3">
        <f>+Assumptions!M24</f>
        <v>0.24</v>
      </c>
      <c r="N170" s="3">
        <f>+Assumptions!N24</f>
        <v>0.24</v>
      </c>
      <c r="O170" s="3">
        <f>+Assumptions!O24</f>
        <v>0.24</v>
      </c>
      <c r="P170" s="3">
        <f>+Assumptions!P24</f>
        <v>0.24</v>
      </c>
      <c r="Q170" s="3">
        <f>+Assumptions!Q24</f>
        <v>0.24</v>
      </c>
    </row>
    <row r="171" spans="1:19" x14ac:dyDescent="0.25">
      <c r="A171" t="str">
        <f t="shared" ref="A171:A179" si="168">+A156</f>
        <v>ASP</v>
      </c>
    </row>
    <row r="172" spans="1:19" x14ac:dyDescent="0.25">
      <c r="A172" t="str">
        <f t="shared" si="168"/>
        <v>MAP</v>
      </c>
      <c r="D172" s="7">
        <v>0.52</v>
      </c>
      <c r="E172" s="7">
        <v>0.52</v>
      </c>
      <c r="F172" s="7">
        <v>0.52</v>
      </c>
      <c r="G172" s="7">
        <v>0.52</v>
      </c>
      <c r="H172" s="7">
        <v>0.52</v>
      </c>
      <c r="I172" s="7">
        <v>0.52</v>
      </c>
      <c r="J172" s="7">
        <v>0.52</v>
      </c>
      <c r="K172" s="7">
        <v>0.52</v>
      </c>
      <c r="L172" s="7">
        <v>0.52</v>
      </c>
      <c r="M172" s="7">
        <v>0.52</v>
      </c>
      <c r="N172" s="7">
        <v>0.52</v>
      </c>
      <c r="O172" s="7">
        <v>0.52</v>
      </c>
      <c r="P172" s="7">
        <v>0.52</v>
      </c>
      <c r="Q172" s="7">
        <v>0.52</v>
      </c>
    </row>
    <row r="173" spans="1:19" x14ac:dyDescent="0.25">
      <c r="A173" t="str">
        <f t="shared" si="168"/>
        <v>SA</v>
      </c>
    </row>
    <row r="174" spans="1:19" x14ac:dyDescent="0.25">
      <c r="A174" t="str">
        <f t="shared" si="168"/>
        <v>NPK 15-15-15</v>
      </c>
      <c r="D174" s="7">
        <f>+Assumptions!R52</f>
        <v>0.15</v>
      </c>
      <c r="E174" s="7">
        <f>+D174</f>
        <v>0.15</v>
      </c>
      <c r="F174" s="7">
        <f t="shared" ref="F174:Q174" si="169">+E174</f>
        <v>0.15</v>
      </c>
      <c r="G174" s="7">
        <f t="shared" si="169"/>
        <v>0.15</v>
      </c>
      <c r="H174" s="7">
        <f t="shared" si="169"/>
        <v>0.15</v>
      </c>
      <c r="I174" s="7">
        <f t="shared" si="169"/>
        <v>0.15</v>
      </c>
      <c r="J174" s="7">
        <f t="shared" si="169"/>
        <v>0.15</v>
      </c>
      <c r="K174" s="7">
        <f t="shared" si="169"/>
        <v>0.15</v>
      </c>
      <c r="L174" s="7">
        <f t="shared" si="169"/>
        <v>0.15</v>
      </c>
      <c r="M174" s="7">
        <f t="shared" si="169"/>
        <v>0.15</v>
      </c>
      <c r="N174" s="7">
        <f t="shared" si="169"/>
        <v>0.15</v>
      </c>
      <c r="O174" s="7">
        <f t="shared" si="169"/>
        <v>0.15</v>
      </c>
      <c r="P174" s="7">
        <f t="shared" si="169"/>
        <v>0.15</v>
      </c>
      <c r="Q174" s="7">
        <f t="shared" si="169"/>
        <v>0.15</v>
      </c>
    </row>
    <row r="175" spans="1:19" x14ac:dyDescent="0.25">
      <c r="A175" t="str">
        <f t="shared" si="168"/>
        <v>NPK 16-16-16</v>
      </c>
      <c r="D175" s="7">
        <f>+Assumptions!R53</f>
        <v>0.16</v>
      </c>
      <c r="E175" s="7">
        <f t="shared" ref="E175:Q179" si="170">+D175</f>
        <v>0.16</v>
      </c>
      <c r="F175" s="7">
        <f t="shared" si="170"/>
        <v>0.16</v>
      </c>
      <c r="G175" s="7">
        <f t="shared" si="170"/>
        <v>0.16</v>
      </c>
      <c r="H175" s="7">
        <f t="shared" si="170"/>
        <v>0.16</v>
      </c>
      <c r="I175" s="7">
        <f t="shared" si="170"/>
        <v>0.16</v>
      </c>
      <c r="J175" s="7">
        <f t="shared" si="170"/>
        <v>0.16</v>
      </c>
      <c r="K175" s="7">
        <f t="shared" si="170"/>
        <v>0.16</v>
      </c>
      <c r="L175" s="7">
        <f t="shared" si="170"/>
        <v>0.16</v>
      </c>
      <c r="M175" s="7">
        <f t="shared" si="170"/>
        <v>0.16</v>
      </c>
      <c r="N175" s="7">
        <f t="shared" si="170"/>
        <v>0.16</v>
      </c>
      <c r="O175" s="7">
        <f t="shared" si="170"/>
        <v>0.16</v>
      </c>
      <c r="P175" s="7">
        <f t="shared" si="170"/>
        <v>0.16</v>
      </c>
      <c r="Q175" s="7">
        <f t="shared" si="170"/>
        <v>0.16</v>
      </c>
    </row>
    <row r="176" spans="1:19" x14ac:dyDescent="0.25">
      <c r="A176" t="str">
        <f>+A161</f>
        <v>NPK 10-26-26</v>
      </c>
      <c r="D176" s="7">
        <f>+Assumptions!R54</f>
        <v>0.26</v>
      </c>
      <c r="E176" s="7">
        <f t="shared" si="170"/>
        <v>0.26</v>
      </c>
      <c r="F176" s="7">
        <f t="shared" si="170"/>
        <v>0.26</v>
      </c>
      <c r="G176" s="7">
        <f t="shared" si="170"/>
        <v>0.26</v>
      </c>
      <c r="H176" s="7">
        <f t="shared" si="170"/>
        <v>0.26</v>
      </c>
      <c r="I176" s="7">
        <f t="shared" si="170"/>
        <v>0.26</v>
      </c>
      <c r="J176" s="7">
        <f t="shared" si="170"/>
        <v>0.26</v>
      </c>
      <c r="K176" s="7">
        <f t="shared" si="170"/>
        <v>0.26</v>
      </c>
      <c r="L176" s="7">
        <f t="shared" si="170"/>
        <v>0.26</v>
      </c>
      <c r="M176" s="7">
        <f t="shared" si="170"/>
        <v>0.26</v>
      </c>
      <c r="N176" s="7">
        <f t="shared" si="170"/>
        <v>0.26</v>
      </c>
      <c r="O176" s="7">
        <f t="shared" si="170"/>
        <v>0.26</v>
      </c>
      <c r="P176" s="7">
        <f t="shared" si="170"/>
        <v>0.26</v>
      </c>
      <c r="Q176" s="7">
        <f t="shared" si="170"/>
        <v>0.26</v>
      </c>
    </row>
    <row r="177" spans="1:18" x14ac:dyDescent="0.25">
      <c r="A177" t="str">
        <f t="shared" si="168"/>
        <v>NPK 10-20-20</v>
      </c>
      <c r="D177" s="7">
        <f>+Assumptions!R55</f>
        <v>0.2</v>
      </c>
      <c r="E177" s="7">
        <f t="shared" si="170"/>
        <v>0.2</v>
      </c>
      <c r="F177" s="7">
        <f t="shared" si="170"/>
        <v>0.2</v>
      </c>
      <c r="G177" s="7">
        <f t="shared" si="170"/>
        <v>0.2</v>
      </c>
      <c r="H177" s="7">
        <f t="shared" si="170"/>
        <v>0.2</v>
      </c>
      <c r="I177" s="7">
        <f t="shared" si="170"/>
        <v>0.2</v>
      </c>
      <c r="J177" s="7">
        <f t="shared" si="170"/>
        <v>0.2</v>
      </c>
      <c r="K177" s="7">
        <f t="shared" si="170"/>
        <v>0.2</v>
      </c>
      <c r="L177" s="7">
        <f t="shared" si="170"/>
        <v>0.2</v>
      </c>
      <c r="M177" s="7">
        <f t="shared" si="170"/>
        <v>0.2</v>
      </c>
      <c r="N177" s="7">
        <f t="shared" si="170"/>
        <v>0.2</v>
      </c>
      <c r="O177" s="7">
        <f t="shared" si="170"/>
        <v>0.2</v>
      </c>
      <c r="P177" s="7">
        <f t="shared" si="170"/>
        <v>0.2</v>
      </c>
      <c r="Q177" s="7">
        <f t="shared" si="170"/>
        <v>0.2</v>
      </c>
    </row>
    <row r="178" spans="1:18" x14ac:dyDescent="0.25">
      <c r="A178" t="str">
        <f t="shared" si="168"/>
        <v>NPK 13-13-21</v>
      </c>
      <c r="D178" s="7">
        <f>+Assumptions!R56</f>
        <v>0.13</v>
      </c>
      <c r="E178" s="7">
        <f t="shared" si="170"/>
        <v>0.13</v>
      </c>
      <c r="F178" s="7">
        <f t="shared" si="170"/>
        <v>0.13</v>
      </c>
      <c r="G178" s="7">
        <f t="shared" si="170"/>
        <v>0.13</v>
      </c>
      <c r="H178" s="7">
        <f t="shared" si="170"/>
        <v>0.13</v>
      </c>
      <c r="I178" s="7">
        <f t="shared" si="170"/>
        <v>0.13</v>
      </c>
      <c r="J178" s="7">
        <f t="shared" si="170"/>
        <v>0.13</v>
      </c>
      <c r="K178" s="7">
        <f t="shared" si="170"/>
        <v>0.13</v>
      </c>
      <c r="L178" s="7">
        <f t="shared" si="170"/>
        <v>0.13</v>
      </c>
      <c r="M178" s="7">
        <f t="shared" si="170"/>
        <v>0.13</v>
      </c>
      <c r="N178" s="7">
        <f t="shared" si="170"/>
        <v>0.13</v>
      </c>
      <c r="O178" s="7">
        <f t="shared" si="170"/>
        <v>0.13</v>
      </c>
      <c r="P178" s="7">
        <f t="shared" si="170"/>
        <v>0.13</v>
      </c>
      <c r="Q178" s="7">
        <f t="shared" si="170"/>
        <v>0.13</v>
      </c>
    </row>
    <row r="179" spans="1:18" x14ac:dyDescent="0.25">
      <c r="A179" t="str">
        <f t="shared" si="168"/>
        <v>NPK 00-00-00</v>
      </c>
      <c r="D179" s="7">
        <f>+Assumptions!R57</f>
        <v>0</v>
      </c>
      <c r="E179" s="7">
        <f t="shared" si="170"/>
        <v>0</v>
      </c>
      <c r="F179" s="7">
        <f t="shared" si="170"/>
        <v>0</v>
      </c>
      <c r="G179" s="7">
        <f t="shared" si="170"/>
        <v>0</v>
      </c>
      <c r="H179" s="7">
        <f t="shared" si="170"/>
        <v>0</v>
      </c>
      <c r="I179" s="7">
        <f t="shared" si="170"/>
        <v>0</v>
      </c>
      <c r="J179" s="7">
        <f t="shared" si="170"/>
        <v>0</v>
      </c>
      <c r="K179" s="7">
        <f t="shared" si="170"/>
        <v>0</v>
      </c>
      <c r="L179" s="7">
        <f t="shared" si="170"/>
        <v>0</v>
      </c>
      <c r="M179" s="7">
        <f t="shared" si="170"/>
        <v>0</v>
      </c>
      <c r="N179" s="7">
        <f t="shared" si="170"/>
        <v>0</v>
      </c>
      <c r="O179" s="7">
        <f t="shared" si="170"/>
        <v>0</v>
      </c>
      <c r="P179" s="7">
        <f t="shared" si="170"/>
        <v>0</v>
      </c>
      <c r="Q179" s="7">
        <f t="shared" si="170"/>
        <v>0</v>
      </c>
    </row>
    <row r="180" spans="1:18" x14ac:dyDescent="0.25">
      <c r="A180" t="str">
        <f>+A165</f>
        <v>total</v>
      </c>
      <c r="D180" s="643" t="s">
        <v>195</v>
      </c>
      <c r="E180" s="643" t="s">
        <v>195</v>
      </c>
      <c r="F180" s="643" t="s">
        <v>195</v>
      </c>
      <c r="G180" s="643" t="s">
        <v>195</v>
      </c>
      <c r="H180" s="643" t="s">
        <v>195</v>
      </c>
      <c r="I180" s="643" t="s">
        <v>195</v>
      </c>
      <c r="J180" s="643" t="s">
        <v>195</v>
      </c>
      <c r="K180" s="643" t="s">
        <v>195</v>
      </c>
      <c r="L180" s="643" t="s">
        <v>195</v>
      </c>
      <c r="M180" s="643" t="s">
        <v>195</v>
      </c>
      <c r="N180" s="643" t="s">
        <v>195</v>
      </c>
      <c r="O180" s="643" t="s">
        <v>195</v>
      </c>
      <c r="P180" s="643" t="s">
        <v>195</v>
      </c>
      <c r="Q180" s="643" t="s">
        <v>195</v>
      </c>
    </row>
    <row r="183" spans="1:18" s="5" customFormat="1" x14ac:dyDescent="0.25">
      <c r="A183" s="5" t="s">
        <v>194</v>
      </c>
      <c r="C183" s="5">
        <f>+C168</f>
        <v>2008</v>
      </c>
      <c r="D183" s="5">
        <f>+D168</f>
        <v>2009</v>
      </c>
      <c r="E183" s="5">
        <f t="shared" ref="E183:N183" si="171">+E168</f>
        <v>2010</v>
      </c>
      <c r="F183" s="5">
        <f t="shared" si="171"/>
        <v>2011</v>
      </c>
      <c r="G183" s="5">
        <f t="shared" si="171"/>
        <v>2012</v>
      </c>
      <c r="H183" s="5">
        <f t="shared" si="171"/>
        <v>2013</v>
      </c>
      <c r="I183" s="5">
        <f t="shared" si="171"/>
        <v>2014</v>
      </c>
      <c r="J183" s="5">
        <f t="shared" si="171"/>
        <v>2015</v>
      </c>
      <c r="K183" s="5">
        <f t="shared" si="171"/>
        <v>2016</v>
      </c>
      <c r="L183" s="5">
        <f t="shared" si="171"/>
        <v>2017</v>
      </c>
      <c r="M183" s="5">
        <f t="shared" si="171"/>
        <v>2018</v>
      </c>
      <c r="N183" s="5">
        <f t="shared" si="171"/>
        <v>2019</v>
      </c>
      <c r="O183" s="5">
        <f t="shared" ref="O183:Q183" si="172">+O168</f>
        <v>2020</v>
      </c>
      <c r="P183" s="5">
        <f t="shared" si="172"/>
        <v>2021</v>
      </c>
      <c r="Q183" s="5">
        <f t="shared" si="172"/>
        <v>2022</v>
      </c>
    </row>
    <row r="184" spans="1:18" x14ac:dyDescent="0.25">
      <c r="A184" t="str">
        <f>+A169</f>
        <v>ammofos</v>
      </c>
      <c r="D184" s="100">
        <f>+D169*D140</f>
        <v>41.239000000000004</v>
      </c>
      <c r="E184" s="100">
        <f t="shared" ref="E184:N184" si="173">+E169*E140</f>
        <v>89.688040000000001</v>
      </c>
      <c r="F184" s="100">
        <f t="shared" si="173"/>
        <v>56.612200000000001</v>
      </c>
      <c r="G184" s="100">
        <f t="shared" si="173"/>
        <v>63.25</v>
      </c>
      <c r="H184" s="100">
        <f t="shared" si="173"/>
        <v>59.407100000000021</v>
      </c>
      <c r="I184" s="100">
        <f t="shared" si="173"/>
        <v>54.370100000000008</v>
      </c>
      <c r="J184" s="100">
        <f t="shared" si="173"/>
        <v>48.859760000000009</v>
      </c>
      <c r="K184" s="100">
        <f t="shared" si="173"/>
        <v>48.859760000000009</v>
      </c>
      <c r="L184" s="100">
        <f t="shared" si="173"/>
        <v>48.859760000000009</v>
      </c>
      <c r="M184" s="100">
        <f t="shared" si="173"/>
        <v>48.859760000000009</v>
      </c>
      <c r="N184" s="100">
        <f t="shared" si="173"/>
        <v>48.859760000000009</v>
      </c>
      <c r="O184" s="100">
        <f t="shared" ref="O184:Q184" si="174">+O169*O140</f>
        <v>48.859760000000009</v>
      </c>
      <c r="P184" s="100">
        <f t="shared" si="174"/>
        <v>48.859760000000009</v>
      </c>
      <c r="Q184" s="100">
        <f t="shared" si="174"/>
        <v>48.859760000000009</v>
      </c>
      <c r="R184">
        <v>65</v>
      </c>
    </row>
    <row r="185" spans="1:18" x14ac:dyDescent="0.25">
      <c r="A185" t="str">
        <f t="shared" ref="A185:A194" si="175">+A170</f>
        <v>suprefos</v>
      </c>
      <c r="D185" s="100">
        <f>+D170*D141</f>
        <v>32.767200000000003</v>
      </c>
      <c r="E185" s="100">
        <f t="shared" ref="E185:N185" si="176">+E170*E141</f>
        <v>60.321840000000002</v>
      </c>
      <c r="F185" s="100">
        <f t="shared" si="176"/>
        <v>61.564799999999991</v>
      </c>
      <c r="G185" s="100">
        <f t="shared" si="176"/>
        <v>48.216000000000001</v>
      </c>
      <c r="H185" s="100">
        <f t="shared" si="176"/>
        <v>60.593519999999984</v>
      </c>
      <c r="I185" s="100">
        <f t="shared" si="176"/>
        <v>57.359519999999996</v>
      </c>
      <c r="J185" s="100">
        <f t="shared" si="176"/>
        <v>53.820239999999991</v>
      </c>
      <c r="K185" s="100">
        <f t="shared" si="176"/>
        <v>53.820239999999991</v>
      </c>
      <c r="L185" s="100">
        <f t="shared" si="176"/>
        <v>53.820239999999991</v>
      </c>
      <c r="M185" s="100">
        <f t="shared" si="176"/>
        <v>53.820239999999991</v>
      </c>
      <c r="N185" s="100">
        <f t="shared" si="176"/>
        <v>53.820239999999998</v>
      </c>
      <c r="O185" s="100">
        <f t="shared" ref="O185:Q185" si="177">+O170*O141</f>
        <v>53.820239999999991</v>
      </c>
      <c r="P185" s="100">
        <f t="shared" si="177"/>
        <v>53.820239999999991</v>
      </c>
      <c r="Q185" s="100">
        <f t="shared" si="177"/>
        <v>53.820239999999991</v>
      </c>
      <c r="R185">
        <v>30</v>
      </c>
    </row>
    <row r="186" spans="1:18" x14ac:dyDescent="0.25">
      <c r="A186" t="str">
        <f t="shared" si="175"/>
        <v>ASP</v>
      </c>
      <c r="D186" s="100">
        <f t="shared" ref="D186:N186" si="178">+D171*D142</f>
        <v>0</v>
      </c>
      <c r="E186" s="100">
        <f t="shared" si="178"/>
        <v>0</v>
      </c>
      <c r="F186" s="100">
        <f t="shared" si="178"/>
        <v>0</v>
      </c>
      <c r="G186" s="100">
        <f t="shared" si="178"/>
        <v>0</v>
      </c>
      <c r="H186" s="100">
        <f t="shared" si="178"/>
        <v>0</v>
      </c>
      <c r="I186" s="100">
        <f t="shared" si="178"/>
        <v>0</v>
      </c>
      <c r="J186" s="100">
        <f t="shared" si="178"/>
        <v>0</v>
      </c>
      <c r="K186" s="100">
        <f t="shared" si="178"/>
        <v>0</v>
      </c>
      <c r="L186" s="100">
        <f t="shared" si="178"/>
        <v>0</v>
      </c>
      <c r="M186" s="100">
        <f t="shared" si="178"/>
        <v>0</v>
      </c>
      <c r="N186" s="100">
        <f t="shared" si="178"/>
        <v>0</v>
      </c>
      <c r="O186" s="100">
        <f t="shared" ref="O186:Q186" si="179">+O171*O142</f>
        <v>0</v>
      </c>
      <c r="P186" s="100">
        <f t="shared" si="179"/>
        <v>0</v>
      </c>
      <c r="Q186" s="100">
        <f t="shared" si="179"/>
        <v>0</v>
      </c>
    </row>
    <row r="187" spans="1:18" x14ac:dyDescent="0.25">
      <c r="A187" t="str">
        <f t="shared" si="175"/>
        <v>MAP</v>
      </c>
      <c r="D187" s="100">
        <f t="shared" ref="D187:N187" si="180">+D172*D143</f>
        <v>0</v>
      </c>
      <c r="E187" s="100">
        <f t="shared" si="180"/>
        <v>8.9362000000000013</v>
      </c>
      <c r="F187" s="100">
        <f t="shared" si="180"/>
        <v>0</v>
      </c>
      <c r="G187" s="100">
        <f t="shared" si="180"/>
        <v>0</v>
      </c>
      <c r="H187" s="100">
        <f t="shared" si="180"/>
        <v>0</v>
      </c>
      <c r="I187" s="100">
        <f t="shared" si="180"/>
        <v>0</v>
      </c>
      <c r="J187" s="100">
        <f t="shared" si="180"/>
        <v>0</v>
      </c>
      <c r="K187" s="100">
        <f t="shared" si="180"/>
        <v>0</v>
      </c>
      <c r="L187" s="100">
        <f t="shared" si="180"/>
        <v>0</v>
      </c>
      <c r="M187" s="100">
        <f t="shared" si="180"/>
        <v>0</v>
      </c>
      <c r="N187" s="100">
        <f t="shared" si="180"/>
        <v>0</v>
      </c>
      <c r="O187" s="100">
        <f t="shared" ref="O187:Q187" si="181">+O172*O143</f>
        <v>0</v>
      </c>
      <c r="P187" s="100">
        <f t="shared" si="181"/>
        <v>0</v>
      </c>
      <c r="Q187" s="100">
        <f t="shared" si="181"/>
        <v>0</v>
      </c>
      <c r="R187">
        <v>10</v>
      </c>
    </row>
    <row r="188" spans="1:18" x14ac:dyDescent="0.25">
      <c r="A188" t="str">
        <f t="shared" si="175"/>
        <v>SA</v>
      </c>
      <c r="D188" s="100">
        <f t="shared" ref="D188:N188" si="182">+D173*D144</f>
        <v>0</v>
      </c>
      <c r="E188" s="100">
        <f t="shared" si="182"/>
        <v>0</v>
      </c>
      <c r="F188" s="100">
        <f t="shared" si="182"/>
        <v>0</v>
      </c>
      <c r="G188" s="100">
        <f t="shared" si="182"/>
        <v>0</v>
      </c>
      <c r="H188" s="100">
        <f t="shared" si="182"/>
        <v>0</v>
      </c>
      <c r="I188" s="100">
        <f t="shared" si="182"/>
        <v>0</v>
      </c>
      <c r="J188" s="100">
        <f t="shared" si="182"/>
        <v>0</v>
      </c>
      <c r="K188" s="100">
        <f t="shared" si="182"/>
        <v>0</v>
      </c>
      <c r="L188" s="100">
        <f t="shared" si="182"/>
        <v>0</v>
      </c>
      <c r="M188" s="100">
        <f t="shared" si="182"/>
        <v>0</v>
      </c>
      <c r="N188" s="100">
        <f t="shared" si="182"/>
        <v>0</v>
      </c>
      <c r="O188" s="100">
        <f t="shared" ref="O188:Q188" si="183">+O173*O144</f>
        <v>0</v>
      </c>
      <c r="P188" s="100">
        <f t="shared" si="183"/>
        <v>0</v>
      </c>
      <c r="Q188" s="100">
        <f t="shared" si="183"/>
        <v>0</v>
      </c>
    </row>
    <row r="189" spans="1:18" x14ac:dyDescent="0.25">
      <c r="A189" t="str">
        <f t="shared" si="175"/>
        <v>NPK 15-15-15</v>
      </c>
      <c r="D189" s="100">
        <f t="shared" ref="D189:N189" si="184">+D174*D145</f>
        <v>0</v>
      </c>
      <c r="E189" s="100">
        <f t="shared" si="184"/>
        <v>0</v>
      </c>
      <c r="F189" s="100">
        <f t="shared" si="184"/>
        <v>0</v>
      </c>
      <c r="G189" s="100">
        <f t="shared" si="184"/>
        <v>0</v>
      </c>
      <c r="H189" s="100">
        <f t="shared" si="184"/>
        <v>0</v>
      </c>
      <c r="I189" s="100">
        <f t="shared" si="184"/>
        <v>1.2000000000000002</v>
      </c>
      <c r="J189" s="100">
        <f t="shared" si="184"/>
        <v>2.4000000000000004</v>
      </c>
      <c r="K189" s="100">
        <f t="shared" si="184"/>
        <v>2.4000000000000004</v>
      </c>
      <c r="L189" s="100">
        <f t="shared" si="184"/>
        <v>2.4000000000000004</v>
      </c>
      <c r="M189" s="100">
        <f t="shared" si="184"/>
        <v>2.4000000000000004</v>
      </c>
      <c r="N189" s="100">
        <f t="shared" si="184"/>
        <v>2.4000000000000004</v>
      </c>
      <c r="O189" s="100">
        <f t="shared" ref="O189:Q189" si="185">+O174*O145</f>
        <v>2.4000000000000004</v>
      </c>
      <c r="P189" s="100">
        <f t="shared" si="185"/>
        <v>2.4000000000000004</v>
      </c>
      <c r="Q189" s="100">
        <f t="shared" si="185"/>
        <v>2.4000000000000004</v>
      </c>
      <c r="R189" s="100">
        <f t="shared" ref="R189:R194" si="186">+N189</f>
        <v>2.4000000000000004</v>
      </c>
    </row>
    <row r="190" spans="1:18" x14ac:dyDescent="0.25">
      <c r="A190" t="str">
        <f t="shared" si="175"/>
        <v>NPK 16-16-16</v>
      </c>
      <c r="D190" s="100">
        <f t="shared" ref="D190:N190" si="187">+D175*D146</f>
        <v>0</v>
      </c>
      <c r="E190" s="100">
        <f t="shared" si="187"/>
        <v>0</v>
      </c>
      <c r="F190" s="100">
        <f t="shared" si="187"/>
        <v>0</v>
      </c>
      <c r="G190" s="100">
        <f t="shared" si="187"/>
        <v>0</v>
      </c>
      <c r="H190" s="100">
        <f t="shared" si="187"/>
        <v>0</v>
      </c>
      <c r="I190" s="100">
        <f t="shared" si="187"/>
        <v>8.9600000000000009</v>
      </c>
      <c r="J190" s="100">
        <f t="shared" si="187"/>
        <v>17.920000000000002</v>
      </c>
      <c r="K190" s="100">
        <f t="shared" si="187"/>
        <v>17.920000000000002</v>
      </c>
      <c r="L190" s="100">
        <f t="shared" si="187"/>
        <v>17.920000000000002</v>
      </c>
      <c r="M190" s="100">
        <f t="shared" si="187"/>
        <v>17.920000000000002</v>
      </c>
      <c r="N190" s="100">
        <f t="shared" si="187"/>
        <v>17.920000000000002</v>
      </c>
      <c r="O190" s="100">
        <f t="shared" ref="O190:Q190" si="188">+O175*O146</f>
        <v>17.920000000000002</v>
      </c>
      <c r="P190" s="100">
        <f t="shared" si="188"/>
        <v>17.920000000000002</v>
      </c>
      <c r="Q190" s="100">
        <f t="shared" si="188"/>
        <v>17.920000000000002</v>
      </c>
      <c r="R190" s="100">
        <f t="shared" si="186"/>
        <v>17.920000000000002</v>
      </c>
    </row>
    <row r="191" spans="1:18" x14ac:dyDescent="0.25">
      <c r="A191" t="str">
        <f t="shared" si="175"/>
        <v>NPK 10-26-26</v>
      </c>
      <c r="D191" s="100">
        <f t="shared" ref="D191:N191" si="189">+D176*D147</f>
        <v>0</v>
      </c>
      <c r="E191" s="100">
        <f t="shared" si="189"/>
        <v>0</v>
      </c>
      <c r="F191" s="100">
        <f t="shared" si="189"/>
        <v>0</v>
      </c>
      <c r="G191" s="100">
        <f t="shared" si="189"/>
        <v>0</v>
      </c>
      <c r="H191" s="100">
        <f t="shared" si="189"/>
        <v>0</v>
      </c>
      <c r="I191" s="100">
        <f t="shared" si="189"/>
        <v>2.21</v>
      </c>
      <c r="J191" s="100">
        <f t="shared" si="189"/>
        <v>4.42</v>
      </c>
      <c r="K191" s="100">
        <f t="shared" si="189"/>
        <v>4.42</v>
      </c>
      <c r="L191" s="100">
        <f t="shared" si="189"/>
        <v>4.42</v>
      </c>
      <c r="M191" s="100">
        <f t="shared" si="189"/>
        <v>4.42</v>
      </c>
      <c r="N191" s="100">
        <f t="shared" si="189"/>
        <v>4.42</v>
      </c>
      <c r="O191" s="100">
        <f t="shared" ref="O191:Q191" si="190">+O176*O147</f>
        <v>4.42</v>
      </c>
      <c r="P191" s="100">
        <f t="shared" si="190"/>
        <v>4.42</v>
      </c>
      <c r="Q191" s="100">
        <f t="shared" si="190"/>
        <v>4.42</v>
      </c>
      <c r="R191" s="100">
        <f t="shared" si="186"/>
        <v>4.42</v>
      </c>
    </row>
    <row r="192" spans="1:18" x14ac:dyDescent="0.25">
      <c r="A192" t="str">
        <f t="shared" si="175"/>
        <v>NPK 10-20-20</v>
      </c>
      <c r="D192" s="100">
        <f t="shared" ref="D192:N192" si="191">+D177*D148</f>
        <v>0</v>
      </c>
      <c r="E192" s="100">
        <f t="shared" si="191"/>
        <v>0</v>
      </c>
      <c r="F192" s="100">
        <f t="shared" si="191"/>
        <v>0</v>
      </c>
      <c r="G192" s="100">
        <f t="shared" si="191"/>
        <v>0</v>
      </c>
      <c r="H192" s="100">
        <f t="shared" si="191"/>
        <v>0</v>
      </c>
      <c r="I192" s="100">
        <f t="shared" si="191"/>
        <v>0.90000000000000024</v>
      </c>
      <c r="J192" s="100">
        <f t="shared" si="191"/>
        <v>1.8000000000000005</v>
      </c>
      <c r="K192" s="100">
        <f t="shared" si="191"/>
        <v>1.8000000000000005</v>
      </c>
      <c r="L192" s="100">
        <f t="shared" si="191"/>
        <v>1.8000000000000005</v>
      </c>
      <c r="M192" s="100">
        <f t="shared" si="191"/>
        <v>1.8000000000000005</v>
      </c>
      <c r="N192" s="100">
        <f t="shared" si="191"/>
        <v>1.8000000000000005</v>
      </c>
      <c r="O192" s="100">
        <f t="shared" ref="O192:Q192" si="192">+O177*O148</f>
        <v>1.8000000000000005</v>
      </c>
      <c r="P192" s="100">
        <f t="shared" si="192"/>
        <v>1.8000000000000005</v>
      </c>
      <c r="Q192" s="100">
        <f t="shared" si="192"/>
        <v>1.8000000000000005</v>
      </c>
      <c r="R192" s="100">
        <f t="shared" si="186"/>
        <v>1.8000000000000005</v>
      </c>
    </row>
    <row r="193" spans="1:18" x14ac:dyDescent="0.25">
      <c r="A193" t="str">
        <f t="shared" si="175"/>
        <v>NPK 13-13-21</v>
      </c>
      <c r="D193" s="100">
        <f t="shared" ref="D193:Q193" si="193">+D178*D149</f>
        <v>0</v>
      </c>
      <c r="E193" s="100">
        <f t="shared" si="193"/>
        <v>0</v>
      </c>
      <c r="F193" s="100">
        <f t="shared" si="193"/>
        <v>0</v>
      </c>
      <c r="G193" s="100">
        <f t="shared" si="193"/>
        <v>0</v>
      </c>
      <c r="H193" s="100">
        <f t="shared" si="193"/>
        <v>0</v>
      </c>
      <c r="I193" s="100">
        <f t="shared" si="193"/>
        <v>0.39</v>
      </c>
      <c r="J193" s="100">
        <f t="shared" si="193"/>
        <v>0.78</v>
      </c>
      <c r="K193" s="100">
        <f t="shared" si="193"/>
        <v>0.78</v>
      </c>
      <c r="L193" s="100">
        <f t="shared" si="193"/>
        <v>0.78</v>
      </c>
      <c r="M193" s="100">
        <f t="shared" si="193"/>
        <v>0.78</v>
      </c>
      <c r="N193" s="100">
        <f t="shared" si="193"/>
        <v>0.78</v>
      </c>
      <c r="O193" s="100">
        <f t="shared" si="193"/>
        <v>0.78</v>
      </c>
      <c r="P193" s="100">
        <f t="shared" si="193"/>
        <v>0.78</v>
      </c>
      <c r="Q193" s="100">
        <f t="shared" si="193"/>
        <v>0.78</v>
      </c>
      <c r="R193" s="100">
        <f t="shared" si="186"/>
        <v>0.78</v>
      </c>
    </row>
    <row r="194" spans="1:18" x14ac:dyDescent="0.25">
      <c r="A194" t="str">
        <f t="shared" si="175"/>
        <v>NPK 00-00-00</v>
      </c>
      <c r="D194" s="100">
        <f t="shared" ref="D194:Q194" si="194">+D179*D150</f>
        <v>0</v>
      </c>
      <c r="E194" s="100">
        <f t="shared" si="194"/>
        <v>0</v>
      </c>
      <c r="F194" s="100">
        <f t="shared" si="194"/>
        <v>0</v>
      </c>
      <c r="G194" s="100">
        <f t="shared" si="194"/>
        <v>0</v>
      </c>
      <c r="H194" s="100">
        <f t="shared" si="194"/>
        <v>0</v>
      </c>
      <c r="I194" s="100">
        <f t="shared" si="194"/>
        <v>0</v>
      </c>
      <c r="J194" s="100">
        <f t="shared" si="194"/>
        <v>0</v>
      </c>
      <c r="K194" s="100">
        <f t="shared" si="194"/>
        <v>0</v>
      </c>
      <c r="L194" s="100">
        <f t="shared" si="194"/>
        <v>0</v>
      </c>
      <c r="M194" s="100">
        <f t="shared" si="194"/>
        <v>0</v>
      </c>
      <c r="N194" s="100">
        <f t="shared" si="194"/>
        <v>0</v>
      </c>
      <c r="O194" s="100">
        <f t="shared" si="194"/>
        <v>0</v>
      </c>
      <c r="P194" s="100">
        <f t="shared" si="194"/>
        <v>0</v>
      </c>
      <c r="Q194" s="100">
        <f t="shared" si="194"/>
        <v>0</v>
      </c>
      <c r="R194" s="100">
        <f t="shared" si="186"/>
        <v>0</v>
      </c>
    </row>
    <row r="195" spans="1:18" x14ac:dyDescent="0.25">
      <c r="A195" t="str">
        <f>+A180</f>
        <v>total</v>
      </c>
      <c r="D195" s="100">
        <f>SUM(D184:D194)</f>
        <v>74.006200000000007</v>
      </c>
      <c r="E195" s="100">
        <f t="shared" ref="E195:R195" si="195">SUM(E184:E194)</f>
        <v>158.94608000000002</v>
      </c>
      <c r="F195" s="100">
        <f t="shared" si="195"/>
        <v>118.17699999999999</v>
      </c>
      <c r="G195" s="100">
        <f t="shared" si="195"/>
        <v>111.46600000000001</v>
      </c>
      <c r="H195" s="100">
        <f t="shared" si="195"/>
        <v>120.00062</v>
      </c>
      <c r="I195" s="100">
        <f t="shared" si="195"/>
        <v>125.38962000000001</v>
      </c>
      <c r="J195" s="100">
        <f t="shared" si="195"/>
        <v>130.00000000000003</v>
      </c>
      <c r="K195" s="100">
        <f t="shared" si="195"/>
        <v>130.00000000000003</v>
      </c>
      <c r="L195" s="100">
        <f t="shared" si="195"/>
        <v>130.00000000000003</v>
      </c>
      <c r="M195" s="100">
        <f t="shared" si="195"/>
        <v>130.00000000000003</v>
      </c>
      <c r="N195" s="100">
        <f t="shared" si="195"/>
        <v>130.00000000000003</v>
      </c>
      <c r="O195" s="100">
        <f t="shared" si="195"/>
        <v>130.00000000000003</v>
      </c>
      <c r="P195" s="100">
        <f t="shared" si="195"/>
        <v>130.00000000000003</v>
      </c>
      <c r="Q195" s="100">
        <f t="shared" si="195"/>
        <v>130.00000000000003</v>
      </c>
      <c r="R195" s="100">
        <f t="shared" si="195"/>
        <v>132.32000000000002</v>
      </c>
    </row>
    <row r="196" spans="1:18" x14ac:dyDescent="0.25">
      <c r="A196" s="166" t="s">
        <v>541</v>
      </c>
      <c r="F196" s="100">
        <f>+Assumptions!F42</f>
        <v>113.706</v>
      </c>
      <c r="G196" s="100">
        <f>+Assumptions!G42</f>
        <v>110</v>
      </c>
      <c r="H196" s="100">
        <f>+Assumptions!H42</f>
        <v>120</v>
      </c>
      <c r="I196" s="100">
        <f>+Assumptions!I42</f>
        <v>125</v>
      </c>
      <c r="J196" s="100">
        <f>+Assumptions!J42</f>
        <v>130</v>
      </c>
      <c r="K196" s="100">
        <f>+Assumptions!K42</f>
        <v>130</v>
      </c>
      <c r="L196" s="100">
        <f>+Assumptions!L42</f>
        <v>130</v>
      </c>
      <c r="M196" s="100">
        <f>+Assumptions!M42</f>
        <v>130</v>
      </c>
      <c r="N196" s="100">
        <f>+Assumptions!N42</f>
        <v>130</v>
      </c>
      <c r="O196" s="100">
        <f>+Assumptions!O42</f>
        <v>130</v>
      </c>
      <c r="P196" s="100">
        <f>+Assumptions!P42</f>
        <v>130</v>
      </c>
      <c r="Q196" s="100">
        <f>+Assumptions!Q42</f>
        <v>130</v>
      </c>
    </row>
    <row r="197" spans="1:18" ht="20.25" x14ac:dyDescent="0.3">
      <c r="A197" s="400" t="s">
        <v>542</v>
      </c>
      <c r="B197" s="400"/>
      <c r="C197" s="400"/>
      <c r="D197" s="400"/>
      <c r="E197" s="400"/>
      <c r="F197" s="405">
        <f>ROUND(F195-F196,0)</f>
        <v>4</v>
      </c>
      <c r="G197" s="405">
        <f>ROUND(G195-G196,0)</f>
        <v>1</v>
      </c>
      <c r="H197" s="405">
        <f t="shared" ref="H197:N197" si="196">ROUND(H195-H196,0)</f>
        <v>0</v>
      </c>
      <c r="I197" s="717">
        <f t="shared" si="196"/>
        <v>0</v>
      </c>
      <c r="J197" s="717">
        <f t="shared" si="196"/>
        <v>0</v>
      </c>
      <c r="K197" s="717">
        <f t="shared" si="196"/>
        <v>0</v>
      </c>
      <c r="L197" s="717">
        <f t="shared" si="196"/>
        <v>0</v>
      </c>
      <c r="M197" s="717">
        <f t="shared" si="196"/>
        <v>0</v>
      </c>
      <c r="N197" s="717">
        <f t="shared" si="196"/>
        <v>0</v>
      </c>
      <c r="O197" s="717">
        <f t="shared" ref="O197:Q197" si="197">ROUND(O195-O196,0)</f>
        <v>0</v>
      </c>
      <c r="P197" s="717">
        <f t="shared" si="197"/>
        <v>0</v>
      </c>
      <c r="Q197" s="717">
        <f t="shared" si="197"/>
        <v>0</v>
      </c>
    </row>
    <row r="198" spans="1:18" x14ac:dyDescent="0.25">
      <c r="H198" s="9"/>
      <c r="K198" s="100"/>
      <c r="L198" s="100"/>
      <c r="M198" s="100"/>
      <c r="N198" s="100"/>
      <c r="O198" s="100"/>
      <c r="P198" s="100"/>
      <c r="Q198" s="100"/>
    </row>
    <row r="199" spans="1:18" x14ac:dyDescent="0.25">
      <c r="A199" s="152" t="s">
        <v>520</v>
      </c>
      <c r="B199" s="153"/>
      <c r="C199" s="153">
        <f>+C183</f>
        <v>2008</v>
      </c>
      <c r="D199" s="153">
        <f t="shared" ref="D199:N199" si="198">+D183</f>
        <v>2009</v>
      </c>
      <c r="E199" s="153">
        <f t="shared" si="198"/>
        <v>2010</v>
      </c>
      <c r="F199" s="153">
        <f t="shared" si="198"/>
        <v>2011</v>
      </c>
      <c r="G199" s="153">
        <f t="shared" si="198"/>
        <v>2012</v>
      </c>
      <c r="H199" s="153">
        <f t="shared" si="198"/>
        <v>2013</v>
      </c>
      <c r="I199" s="153">
        <f t="shared" si="198"/>
        <v>2014</v>
      </c>
      <c r="J199" s="153">
        <f t="shared" si="198"/>
        <v>2015</v>
      </c>
      <c r="K199" s="153">
        <f t="shared" si="198"/>
        <v>2016</v>
      </c>
      <c r="L199" s="153">
        <f t="shared" si="198"/>
        <v>2017</v>
      </c>
      <c r="M199" s="153">
        <f t="shared" si="198"/>
        <v>2018</v>
      </c>
      <c r="N199" s="153">
        <f t="shared" si="198"/>
        <v>2019</v>
      </c>
      <c r="O199" s="153">
        <f t="shared" ref="O199:Q199" si="199">+O183</f>
        <v>2020</v>
      </c>
      <c r="P199" s="153">
        <f t="shared" si="199"/>
        <v>2021</v>
      </c>
      <c r="Q199" s="153">
        <f t="shared" si="199"/>
        <v>2022</v>
      </c>
    </row>
    <row r="200" spans="1:18" x14ac:dyDescent="0.25">
      <c r="A200" s="154" t="s">
        <v>271</v>
      </c>
    </row>
    <row r="201" spans="1:18" x14ac:dyDescent="0.25">
      <c r="A201" s="14" t="str">
        <f>+A14</f>
        <v>ammofos</v>
      </c>
      <c r="C201" s="155">
        <v>13630</v>
      </c>
      <c r="D201" s="1">
        <f>+D154-D125</f>
        <v>24165</v>
      </c>
      <c r="E201" s="1">
        <f t="shared" ref="E201:N201" si="200">+E154-E125</f>
        <v>33724.80000000001</v>
      </c>
      <c r="F201" s="1">
        <f t="shared" si="200"/>
        <v>24994.699999999997</v>
      </c>
      <c r="G201" s="1">
        <f t="shared" ca="1" si="200"/>
        <v>40426.819708166979</v>
      </c>
      <c r="H201" s="1">
        <f t="shared" ca="1" si="200"/>
        <v>35384.883082142544</v>
      </c>
      <c r="I201" s="1">
        <f t="shared" ca="1" si="200"/>
        <v>39717.977542123765</v>
      </c>
      <c r="J201" s="1">
        <f t="shared" ca="1" si="200"/>
        <v>42572.610888688068</v>
      </c>
      <c r="K201" s="1">
        <f t="shared" ca="1" si="200"/>
        <v>48236.869192382634</v>
      </c>
      <c r="L201" s="1">
        <f t="shared" ca="1" si="200"/>
        <v>54729.788878022911</v>
      </c>
      <c r="M201" s="1">
        <f t="shared" ca="1" si="200"/>
        <v>62184.834700699925</v>
      </c>
      <c r="N201" s="1">
        <f t="shared" ca="1" si="200"/>
        <v>70758.90564289724</v>
      </c>
      <c r="O201" s="1">
        <f t="shared" ref="O201:Q201" ca="1" si="201">+O154-O125</f>
        <v>80516.172607965607</v>
      </c>
      <c r="P201" s="1">
        <f t="shared" ca="1" si="201"/>
        <v>91657.741604894982</v>
      </c>
      <c r="Q201" s="1">
        <f t="shared" ca="1" si="201"/>
        <v>104807.09571084112</v>
      </c>
    </row>
    <row r="202" spans="1:18" x14ac:dyDescent="0.25">
      <c r="A202" s="14" t="str">
        <f>+A15</f>
        <v>suprefos</v>
      </c>
      <c r="C202" s="155">
        <v>52751</v>
      </c>
      <c r="D202" s="1">
        <f>+D155-D126</f>
        <v>35652.619372442001</v>
      </c>
      <c r="E202" s="1">
        <f t="shared" ref="E202:N202" si="202">+E155-E126</f>
        <v>60022.999999999993</v>
      </c>
      <c r="F202" s="1">
        <f t="shared" si="202"/>
        <v>65122.100000000006</v>
      </c>
      <c r="G202" s="1">
        <f t="shared" si="202"/>
        <v>46147.53</v>
      </c>
      <c r="H202" s="1">
        <f t="shared" ca="1" si="202"/>
        <v>69393.239970320778</v>
      </c>
      <c r="I202" s="1">
        <f t="shared" ca="1" si="202"/>
        <v>77203.521647146728</v>
      </c>
      <c r="J202" s="1">
        <f t="shared" ca="1" si="202"/>
        <v>81955.096225330111</v>
      </c>
      <c r="K202" s="1">
        <f t="shared" ca="1" si="202"/>
        <v>92827.79759029363</v>
      </c>
      <c r="L202" s="1">
        <f t="shared" ca="1" si="202"/>
        <v>105285.08500677199</v>
      </c>
      <c r="M202" s="1">
        <f t="shared" ca="1" si="202"/>
        <v>119580.95483192355</v>
      </c>
      <c r="N202" s="1">
        <f t="shared" ca="1" si="202"/>
        <v>136013.71736930031</v>
      </c>
      <c r="O202" s="1">
        <f t="shared" ref="O202:Q202" ca="1" si="203">+O155-O126</f>
        <v>154702.65840724242</v>
      </c>
      <c r="P202" s="1">
        <f t="shared" ca="1" si="203"/>
        <v>176029.27397230541</v>
      </c>
      <c r="Q202" s="1">
        <f t="shared" ca="1" si="203"/>
        <v>201184.64684832783</v>
      </c>
    </row>
    <row r="203" spans="1:18" x14ac:dyDescent="0.25">
      <c r="A203" s="14" t="str">
        <f>+A16</f>
        <v>ASP</v>
      </c>
      <c r="C203" s="155">
        <v>3137</v>
      </c>
      <c r="D203" s="1">
        <f>+D156-D127</f>
        <v>492</v>
      </c>
      <c r="E203" s="1">
        <f t="shared" ref="E203:N203" si="204">+E156-E127</f>
        <v>220.5</v>
      </c>
      <c r="F203" s="1">
        <f t="shared" si="204"/>
        <v>0</v>
      </c>
      <c r="G203" s="1">
        <f t="shared" si="204"/>
        <v>0</v>
      </c>
      <c r="H203" s="1">
        <f t="shared" si="204"/>
        <v>0</v>
      </c>
      <c r="I203" s="1">
        <f t="shared" si="204"/>
        <v>0</v>
      </c>
      <c r="J203" s="1">
        <f t="shared" si="204"/>
        <v>0</v>
      </c>
      <c r="K203" s="1">
        <f t="shared" si="204"/>
        <v>0</v>
      </c>
      <c r="L203" s="1">
        <f t="shared" si="204"/>
        <v>0</v>
      </c>
      <c r="M203" s="1">
        <f t="shared" si="204"/>
        <v>0</v>
      </c>
      <c r="N203" s="1">
        <f t="shared" si="204"/>
        <v>0</v>
      </c>
      <c r="O203" s="1">
        <f t="shared" ref="O203:Q203" si="205">+O156-O127</f>
        <v>0</v>
      </c>
      <c r="P203" s="1">
        <f t="shared" si="205"/>
        <v>0</v>
      </c>
      <c r="Q203" s="1">
        <f t="shared" si="205"/>
        <v>0</v>
      </c>
    </row>
    <row r="204" spans="1:18" x14ac:dyDescent="0.25">
      <c r="A204" s="168" t="s">
        <v>502</v>
      </c>
      <c r="C204" s="155"/>
      <c r="D204" s="1">
        <f>+D157-D128</f>
        <v>0</v>
      </c>
      <c r="E204" s="1">
        <f t="shared" ref="E204:N204" si="206">+E157-E128</f>
        <v>249.70000000000073</v>
      </c>
      <c r="F204" s="1">
        <f t="shared" si="206"/>
        <v>0</v>
      </c>
      <c r="G204" s="1">
        <f t="shared" si="206"/>
        <v>0</v>
      </c>
      <c r="H204" s="1">
        <f t="shared" si="206"/>
        <v>0</v>
      </c>
      <c r="I204" s="1">
        <f t="shared" si="206"/>
        <v>0</v>
      </c>
      <c r="J204" s="1">
        <f t="shared" si="206"/>
        <v>0</v>
      </c>
      <c r="K204" s="1">
        <f t="shared" si="206"/>
        <v>0</v>
      </c>
      <c r="L204" s="1">
        <f t="shared" si="206"/>
        <v>0</v>
      </c>
      <c r="M204" s="1">
        <f t="shared" si="206"/>
        <v>0</v>
      </c>
      <c r="N204" s="1">
        <f t="shared" si="206"/>
        <v>0</v>
      </c>
      <c r="O204" s="1">
        <f t="shared" ref="O204:Q204" si="207">+O157-O128</f>
        <v>0</v>
      </c>
      <c r="P204" s="1">
        <f t="shared" si="207"/>
        <v>0</v>
      </c>
      <c r="Q204" s="1">
        <f t="shared" si="207"/>
        <v>0</v>
      </c>
    </row>
    <row r="205" spans="1:18" x14ac:dyDescent="0.25">
      <c r="A205" s="168" t="str">
        <f>+A188</f>
        <v>SA</v>
      </c>
      <c r="C205" s="155"/>
      <c r="D205" s="1">
        <f t="shared" ref="D205:N205" si="208">+D158-D129</f>
        <v>0</v>
      </c>
      <c r="E205" s="1">
        <f t="shared" si="208"/>
        <v>0</v>
      </c>
      <c r="F205" s="1">
        <f t="shared" si="208"/>
        <v>0</v>
      </c>
      <c r="G205" s="1">
        <f t="shared" si="208"/>
        <v>0</v>
      </c>
      <c r="H205" s="1">
        <f t="shared" si="208"/>
        <v>0</v>
      </c>
      <c r="I205" s="1">
        <f t="shared" si="208"/>
        <v>0</v>
      </c>
      <c r="J205" s="1">
        <f t="shared" si="208"/>
        <v>0</v>
      </c>
      <c r="K205" s="1">
        <f t="shared" si="208"/>
        <v>0</v>
      </c>
      <c r="L205" s="1">
        <f t="shared" si="208"/>
        <v>0</v>
      </c>
      <c r="M205" s="1">
        <f t="shared" si="208"/>
        <v>0</v>
      </c>
      <c r="N205" s="1">
        <f t="shared" si="208"/>
        <v>0</v>
      </c>
      <c r="O205" s="1">
        <f t="shared" ref="O205:Q205" si="209">+O158-O129</f>
        <v>0</v>
      </c>
      <c r="P205" s="1">
        <f t="shared" si="209"/>
        <v>0</v>
      </c>
      <c r="Q205" s="1">
        <f t="shared" si="209"/>
        <v>0</v>
      </c>
    </row>
    <row r="206" spans="1:18" x14ac:dyDescent="0.25">
      <c r="A206" s="168" t="str">
        <f>+A189</f>
        <v>NPK 15-15-15</v>
      </c>
      <c r="C206" s="155"/>
      <c r="D206" s="1">
        <f t="shared" ref="D206:N206" si="210">+D159-D130</f>
        <v>0</v>
      </c>
      <c r="E206" s="1">
        <f t="shared" si="210"/>
        <v>0</v>
      </c>
      <c r="F206" s="1">
        <f t="shared" si="210"/>
        <v>0</v>
      </c>
      <c r="G206" s="1">
        <f t="shared" si="210"/>
        <v>0</v>
      </c>
      <c r="H206" s="1">
        <f t="shared" si="210"/>
        <v>0</v>
      </c>
      <c r="I206" s="1">
        <f t="shared" si="210"/>
        <v>0</v>
      </c>
      <c r="J206" s="1">
        <f t="shared" si="210"/>
        <v>0</v>
      </c>
      <c r="K206" s="1">
        <f t="shared" si="210"/>
        <v>0</v>
      </c>
      <c r="L206" s="1">
        <f t="shared" si="210"/>
        <v>0</v>
      </c>
      <c r="M206" s="1">
        <f t="shared" si="210"/>
        <v>0</v>
      </c>
      <c r="N206" s="1">
        <f t="shared" si="210"/>
        <v>0</v>
      </c>
      <c r="O206" s="1">
        <f t="shared" ref="O206:Q206" si="211">+O159-O130</f>
        <v>0</v>
      </c>
      <c r="P206" s="1">
        <f t="shared" si="211"/>
        <v>0</v>
      </c>
      <c r="Q206" s="1">
        <f t="shared" si="211"/>
        <v>0</v>
      </c>
    </row>
    <row r="207" spans="1:18" x14ac:dyDescent="0.25">
      <c r="A207" s="168" t="str">
        <f>+A190</f>
        <v>NPK 16-16-16</v>
      </c>
      <c r="C207" s="155"/>
      <c r="D207" s="1">
        <f t="shared" ref="D207:N207" si="212">+D160-D131</f>
        <v>0</v>
      </c>
      <c r="E207" s="1">
        <f t="shared" si="212"/>
        <v>0</v>
      </c>
      <c r="F207" s="1">
        <f t="shared" si="212"/>
        <v>0</v>
      </c>
      <c r="G207" s="1">
        <f t="shared" si="212"/>
        <v>0</v>
      </c>
      <c r="H207" s="1">
        <f t="shared" si="212"/>
        <v>0</v>
      </c>
      <c r="I207" s="1">
        <f t="shared" si="212"/>
        <v>0</v>
      </c>
      <c r="J207" s="1">
        <f t="shared" si="212"/>
        <v>0</v>
      </c>
      <c r="K207" s="1">
        <f t="shared" si="212"/>
        <v>0</v>
      </c>
      <c r="L207" s="1">
        <f t="shared" si="212"/>
        <v>0</v>
      </c>
      <c r="M207" s="1">
        <f t="shared" si="212"/>
        <v>0</v>
      </c>
      <c r="N207" s="1">
        <f t="shared" si="212"/>
        <v>0</v>
      </c>
      <c r="O207" s="1">
        <f t="shared" ref="O207:Q207" si="213">+O160-O131</f>
        <v>0</v>
      </c>
      <c r="P207" s="1">
        <f t="shared" si="213"/>
        <v>0</v>
      </c>
      <c r="Q207" s="1">
        <f t="shared" si="213"/>
        <v>0</v>
      </c>
    </row>
    <row r="208" spans="1:18" x14ac:dyDescent="0.25">
      <c r="A208" s="168" t="str">
        <f>+A191</f>
        <v>NPK 10-26-26</v>
      </c>
      <c r="C208" s="155"/>
      <c r="D208" s="1">
        <f t="shared" ref="D208:N208" si="214">+D161-D132</f>
        <v>0</v>
      </c>
      <c r="E208" s="1">
        <f t="shared" si="214"/>
        <v>0</v>
      </c>
      <c r="F208" s="1">
        <f t="shared" si="214"/>
        <v>0</v>
      </c>
      <c r="G208" s="1">
        <f t="shared" si="214"/>
        <v>0</v>
      </c>
      <c r="H208" s="1">
        <f t="shared" si="214"/>
        <v>0</v>
      </c>
      <c r="I208" s="1">
        <f t="shared" si="214"/>
        <v>0</v>
      </c>
      <c r="J208" s="1">
        <f t="shared" si="214"/>
        <v>0</v>
      </c>
      <c r="K208" s="1">
        <f t="shared" si="214"/>
        <v>0</v>
      </c>
      <c r="L208" s="1">
        <f t="shared" si="214"/>
        <v>0</v>
      </c>
      <c r="M208" s="1">
        <f t="shared" si="214"/>
        <v>0</v>
      </c>
      <c r="N208" s="1">
        <f t="shared" si="214"/>
        <v>0</v>
      </c>
      <c r="O208" s="1">
        <f t="shared" ref="O208:Q208" si="215">+O161-O132</f>
        <v>0</v>
      </c>
      <c r="P208" s="1">
        <f t="shared" si="215"/>
        <v>0</v>
      </c>
      <c r="Q208" s="1">
        <f t="shared" si="215"/>
        <v>0</v>
      </c>
    </row>
    <row r="209" spans="1:17" x14ac:dyDescent="0.25">
      <c r="A209" s="168" t="str">
        <f>+A192</f>
        <v>NPK 10-20-20</v>
      </c>
      <c r="C209" s="155"/>
      <c r="D209" s="1">
        <f t="shared" ref="D209:N209" si="216">+D162-D133</f>
        <v>0</v>
      </c>
      <c r="E209" s="1">
        <f t="shared" si="216"/>
        <v>0</v>
      </c>
      <c r="F209" s="1">
        <f t="shared" si="216"/>
        <v>0</v>
      </c>
      <c r="G209" s="1">
        <f t="shared" si="216"/>
        <v>0</v>
      </c>
      <c r="H209" s="1">
        <f t="shared" si="216"/>
        <v>0</v>
      </c>
      <c r="I209" s="1">
        <f t="shared" si="216"/>
        <v>0</v>
      </c>
      <c r="J209" s="1">
        <f t="shared" si="216"/>
        <v>0</v>
      </c>
      <c r="K209" s="1">
        <f t="shared" si="216"/>
        <v>0</v>
      </c>
      <c r="L209" s="1">
        <f t="shared" si="216"/>
        <v>0</v>
      </c>
      <c r="M209" s="1">
        <f t="shared" si="216"/>
        <v>0</v>
      </c>
      <c r="N209" s="1">
        <f t="shared" si="216"/>
        <v>0</v>
      </c>
      <c r="O209" s="1">
        <f t="shared" ref="O209:Q209" si="217">+O162-O133</f>
        <v>0</v>
      </c>
      <c r="P209" s="1">
        <f t="shared" si="217"/>
        <v>0</v>
      </c>
      <c r="Q209" s="1">
        <f t="shared" si="217"/>
        <v>0</v>
      </c>
    </row>
    <row r="210" spans="1:17" x14ac:dyDescent="0.25">
      <c r="A210" s="168" t="str">
        <f t="shared" ref="A210:A211" si="218">+A193</f>
        <v>NPK 13-13-21</v>
      </c>
      <c r="C210" s="155"/>
      <c r="D210" s="1">
        <f t="shared" ref="D210:Q210" si="219">+D163-D134</f>
        <v>0</v>
      </c>
      <c r="E210" s="1">
        <f t="shared" si="219"/>
        <v>0</v>
      </c>
      <c r="F210" s="1">
        <f t="shared" si="219"/>
        <v>0</v>
      </c>
      <c r="G210" s="1">
        <f t="shared" si="219"/>
        <v>0</v>
      </c>
      <c r="H210" s="1">
        <f t="shared" si="219"/>
        <v>0</v>
      </c>
      <c r="I210" s="1">
        <f t="shared" si="219"/>
        <v>0</v>
      </c>
      <c r="J210" s="1">
        <f t="shared" si="219"/>
        <v>0</v>
      </c>
      <c r="K210" s="1">
        <f t="shared" si="219"/>
        <v>0</v>
      </c>
      <c r="L210" s="1">
        <f t="shared" si="219"/>
        <v>0</v>
      </c>
      <c r="M210" s="1">
        <f t="shared" si="219"/>
        <v>0</v>
      </c>
      <c r="N210" s="1">
        <f t="shared" si="219"/>
        <v>0</v>
      </c>
      <c r="O210" s="1">
        <f t="shared" si="219"/>
        <v>0</v>
      </c>
      <c r="P210" s="1">
        <f t="shared" si="219"/>
        <v>0</v>
      </c>
      <c r="Q210" s="1">
        <f t="shared" si="219"/>
        <v>0</v>
      </c>
    </row>
    <row r="211" spans="1:17" x14ac:dyDescent="0.25">
      <c r="A211" s="168" t="str">
        <f t="shared" si="218"/>
        <v>NPK 00-00-00</v>
      </c>
      <c r="C211" s="155"/>
      <c r="D211" s="1">
        <f t="shared" ref="D211:Q211" si="220">+D164-D135</f>
        <v>0</v>
      </c>
      <c r="E211" s="1">
        <f t="shared" si="220"/>
        <v>0</v>
      </c>
      <c r="F211" s="1">
        <f t="shared" si="220"/>
        <v>0</v>
      </c>
      <c r="G211" s="1">
        <f t="shared" si="220"/>
        <v>0</v>
      </c>
      <c r="H211" s="1">
        <f t="shared" si="220"/>
        <v>0</v>
      </c>
      <c r="I211" s="1">
        <f t="shared" si="220"/>
        <v>0</v>
      </c>
      <c r="J211" s="1">
        <f t="shared" si="220"/>
        <v>0</v>
      </c>
      <c r="K211" s="1">
        <f t="shared" si="220"/>
        <v>0</v>
      </c>
      <c r="L211" s="1">
        <f t="shared" si="220"/>
        <v>0</v>
      </c>
      <c r="M211" s="1">
        <f t="shared" si="220"/>
        <v>0</v>
      </c>
      <c r="N211" s="1">
        <f t="shared" si="220"/>
        <v>0</v>
      </c>
      <c r="O211" s="1">
        <f t="shared" si="220"/>
        <v>0</v>
      </c>
      <c r="P211" s="1">
        <f t="shared" si="220"/>
        <v>0</v>
      </c>
      <c r="Q211" s="1">
        <f t="shared" si="220"/>
        <v>0</v>
      </c>
    </row>
    <row r="212" spans="1:17" x14ac:dyDescent="0.25">
      <c r="A212" s="156" t="s">
        <v>272</v>
      </c>
      <c r="B212" s="362">
        <f>C212/SUM($C$212,$C$225)</f>
        <v>0.55707096608756967</v>
      </c>
      <c r="C212" s="157">
        <f>SUM(C201:C209)</f>
        <v>69518</v>
      </c>
      <c r="D212" s="158">
        <f t="shared" ref="D212:P212" si="221">SUM(D201:D211)</f>
        <v>60309.619372442001</v>
      </c>
      <c r="E212" s="158">
        <f t="shared" si="221"/>
        <v>94218</v>
      </c>
      <c r="F212" s="158">
        <f t="shared" si="221"/>
        <v>90116.800000000003</v>
      </c>
      <c r="G212" s="158">
        <f t="shared" ca="1" si="221"/>
        <v>86574.349708166978</v>
      </c>
      <c r="H212" s="158">
        <f t="shared" ca="1" si="221"/>
        <v>104778.12305246331</v>
      </c>
      <c r="I212" s="158">
        <f t="shared" ca="1" si="221"/>
        <v>116921.49918927049</v>
      </c>
      <c r="J212" s="158">
        <f t="shared" ca="1" si="221"/>
        <v>124527.70711401818</v>
      </c>
      <c r="K212" s="158">
        <f t="shared" ca="1" si="221"/>
        <v>141064.66678267627</v>
      </c>
      <c r="L212" s="158">
        <f t="shared" ca="1" si="221"/>
        <v>160014.87388479488</v>
      </c>
      <c r="M212" s="158">
        <f t="shared" ca="1" si="221"/>
        <v>181765.78953262349</v>
      </c>
      <c r="N212" s="158">
        <f t="shared" ca="1" si="221"/>
        <v>206772.62301219755</v>
      </c>
      <c r="O212" s="158">
        <f t="shared" ca="1" si="221"/>
        <v>235218.83101520804</v>
      </c>
      <c r="P212" s="158">
        <f t="shared" ca="1" si="221"/>
        <v>267687.01557720039</v>
      </c>
      <c r="Q212" s="158">
        <f ca="1">SUM(Q201:Q211)</f>
        <v>305991.74255916895</v>
      </c>
    </row>
    <row r="213" spans="1:17" x14ac:dyDescent="0.25">
      <c r="A213" s="154" t="s">
        <v>40</v>
      </c>
      <c r="C213" s="160"/>
    </row>
    <row r="214" spans="1:17" x14ac:dyDescent="0.25">
      <c r="A214" s="14" t="str">
        <f>+A201</f>
        <v>ammofos</v>
      </c>
      <c r="C214" s="155">
        <v>37817</v>
      </c>
      <c r="D214" s="39">
        <f>+D125</f>
        <v>7964</v>
      </c>
      <c r="E214" s="39">
        <f t="shared" ref="E214:N214" si="222">+E125</f>
        <v>51251.284273558129</v>
      </c>
      <c r="F214" s="39">
        <f t="shared" si="222"/>
        <v>43693.980456000005</v>
      </c>
      <c r="G214" s="39">
        <f t="shared" si="222"/>
        <v>51597</v>
      </c>
      <c r="H214" s="39">
        <f t="shared" si="222"/>
        <v>64670.020569000008</v>
      </c>
      <c r="I214" s="39">
        <f t="shared" si="222"/>
        <v>62112.531026699995</v>
      </c>
      <c r="J214" s="39">
        <f t="shared" si="222"/>
        <v>56529.347337540006</v>
      </c>
      <c r="K214" s="39">
        <f t="shared" si="222"/>
        <v>64078.841721509998</v>
      </c>
      <c r="L214" s="39">
        <f t="shared" si="222"/>
        <v>72582.22224992972</v>
      </c>
      <c r="M214" s="39">
        <f t="shared" si="222"/>
        <v>82236.274925181322</v>
      </c>
      <c r="N214" s="39">
        <f t="shared" si="222"/>
        <v>93164.531947453914</v>
      </c>
      <c r="O214" s="39">
        <f t="shared" ref="O214:Q214" si="223">+O125</f>
        <v>105578.27948586091</v>
      </c>
      <c r="P214" s="39">
        <f t="shared" si="223"/>
        <v>119626.88261418344</v>
      </c>
      <c r="Q214" s="39">
        <f t="shared" si="223"/>
        <v>135536.67331966641</v>
      </c>
    </row>
    <row r="215" spans="1:17" x14ac:dyDescent="0.25">
      <c r="A215" s="14" t="str">
        <f>+A202</f>
        <v>suprefos</v>
      </c>
      <c r="C215" s="155">
        <v>16972</v>
      </c>
      <c r="D215" s="39">
        <f>+D126</f>
        <v>5050</v>
      </c>
      <c r="E215" s="39">
        <f t="shared" ref="E215:N215" si="224">+E126</f>
        <v>13525.520012606363</v>
      </c>
      <c r="F215" s="39">
        <f t="shared" si="224"/>
        <v>22773.691751999999</v>
      </c>
      <c r="G215" s="39">
        <f t="shared" si="224"/>
        <v>36288</v>
      </c>
      <c r="H215" s="39">
        <f t="shared" si="224"/>
        <v>45487.316258999992</v>
      </c>
      <c r="I215" s="39">
        <f t="shared" si="224"/>
        <v>43670.159864100016</v>
      </c>
      <c r="J215" s="39">
        <f t="shared" si="224"/>
        <v>39700.52065287</v>
      </c>
      <c r="K215" s="39">
        <f t="shared" si="224"/>
        <v>45004.360673349009</v>
      </c>
      <c r="L215" s="39">
        <f t="shared" si="224"/>
        <v>50995.416462744608</v>
      </c>
      <c r="M215" s="39">
        <f t="shared" si="224"/>
        <v>57772.729498584886</v>
      </c>
      <c r="N215" s="39">
        <f t="shared" si="224"/>
        <v>65395.550976965766</v>
      </c>
      <c r="O215" s="39">
        <f t="shared" ref="O215:Q215" si="225">+O126</f>
        <v>74132.004888008523</v>
      </c>
      <c r="P215" s="39">
        <f t="shared" si="225"/>
        <v>84040.117430455211</v>
      </c>
      <c r="Q215" s="39">
        <f t="shared" si="225"/>
        <v>95195.915105425054</v>
      </c>
    </row>
    <row r="216" spans="1:17" x14ac:dyDescent="0.25">
      <c r="A216" s="14" t="str">
        <f>+A203</f>
        <v>ASP</v>
      </c>
      <c r="C216" s="155">
        <v>485</v>
      </c>
      <c r="D216" s="39">
        <f>+D127</f>
        <v>594</v>
      </c>
      <c r="E216" s="39">
        <f t="shared" ref="E216:N217" si="226">+E127</f>
        <v>0</v>
      </c>
      <c r="F216" s="39">
        <f t="shared" si="226"/>
        <v>0</v>
      </c>
      <c r="G216" s="39">
        <f t="shared" si="226"/>
        <v>0</v>
      </c>
      <c r="H216" s="39">
        <f t="shared" si="226"/>
        <v>0</v>
      </c>
      <c r="I216" s="39">
        <f t="shared" si="226"/>
        <v>0</v>
      </c>
      <c r="J216" s="39">
        <f t="shared" si="226"/>
        <v>0</v>
      </c>
      <c r="K216" s="39">
        <f t="shared" si="226"/>
        <v>0</v>
      </c>
      <c r="L216" s="39">
        <f t="shared" si="226"/>
        <v>0</v>
      </c>
      <c r="M216" s="39">
        <f t="shared" si="226"/>
        <v>0</v>
      </c>
      <c r="N216" s="39">
        <f t="shared" si="226"/>
        <v>0</v>
      </c>
      <c r="O216" s="39">
        <f t="shared" ref="O216:Q216" si="227">+O127</f>
        <v>0</v>
      </c>
      <c r="P216" s="39">
        <f t="shared" si="227"/>
        <v>0</v>
      </c>
      <c r="Q216" s="39">
        <f t="shared" si="227"/>
        <v>0</v>
      </c>
    </row>
    <row r="217" spans="1:17" x14ac:dyDescent="0.25">
      <c r="A217" s="168" t="s">
        <v>502</v>
      </c>
      <c r="C217" s="155"/>
      <c r="D217" s="39">
        <f>+D128</f>
        <v>0</v>
      </c>
      <c r="E217" s="39">
        <f t="shared" si="226"/>
        <v>8565.3955247399899</v>
      </c>
      <c r="F217" s="39">
        <f t="shared" si="226"/>
        <v>0</v>
      </c>
      <c r="G217" s="39">
        <f t="shared" si="226"/>
        <v>0</v>
      </c>
      <c r="H217" s="39">
        <f t="shared" si="226"/>
        <v>0</v>
      </c>
      <c r="I217" s="39">
        <f t="shared" si="226"/>
        <v>0</v>
      </c>
      <c r="J217" s="39">
        <f t="shared" si="226"/>
        <v>0</v>
      </c>
      <c r="K217" s="39">
        <f t="shared" si="226"/>
        <v>0</v>
      </c>
      <c r="L217" s="39">
        <f t="shared" si="226"/>
        <v>0</v>
      </c>
      <c r="M217" s="39">
        <f t="shared" si="226"/>
        <v>0</v>
      </c>
      <c r="N217" s="39">
        <f t="shared" si="226"/>
        <v>0</v>
      </c>
      <c r="O217" s="39">
        <f t="shared" ref="O217:Q217" si="228">+O128</f>
        <v>0</v>
      </c>
      <c r="P217" s="39">
        <f t="shared" si="228"/>
        <v>0</v>
      </c>
      <c r="Q217" s="39">
        <f t="shared" si="228"/>
        <v>0</v>
      </c>
    </row>
    <row r="218" spans="1:17" x14ac:dyDescent="0.25">
      <c r="A218" s="168" t="str">
        <f>+A205</f>
        <v>SA</v>
      </c>
      <c r="C218" s="155"/>
      <c r="D218" s="39">
        <f t="shared" ref="D218:N218" si="229">+D129</f>
        <v>0</v>
      </c>
      <c r="E218" s="39">
        <f t="shared" si="229"/>
        <v>0</v>
      </c>
      <c r="F218" s="39">
        <f t="shared" si="229"/>
        <v>0</v>
      </c>
      <c r="G218" s="39">
        <f t="shared" si="229"/>
        <v>0</v>
      </c>
      <c r="H218" s="39">
        <f t="shared" si="229"/>
        <v>0</v>
      </c>
      <c r="I218" s="39">
        <f t="shared" si="229"/>
        <v>0</v>
      </c>
      <c r="J218" s="39">
        <f t="shared" si="229"/>
        <v>0</v>
      </c>
      <c r="K218" s="39">
        <f t="shared" si="229"/>
        <v>0</v>
      </c>
      <c r="L218" s="39">
        <f t="shared" si="229"/>
        <v>0</v>
      </c>
      <c r="M218" s="39">
        <f t="shared" si="229"/>
        <v>0</v>
      </c>
      <c r="N218" s="39">
        <f t="shared" si="229"/>
        <v>0</v>
      </c>
      <c r="O218" s="39">
        <f t="shared" ref="O218:Q218" si="230">+O129</f>
        <v>0</v>
      </c>
      <c r="P218" s="39">
        <f t="shared" si="230"/>
        <v>0</v>
      </c>
      <c r="Q218" s="39">
        <f t="shared" si="230"/>
        <v>0</v>
      </c>
    </row>
    <row r="219" spans="1:17" x14ac:dyDescent="0.25">
      <c r="A219" s="168" t="str">
        <f>+A206</f>
        <v>NPK 15-15-15</v>
      </c>
      <c r="C219" s="155"/>
      <c r="D219" s="39">
        <f t="shared" ref="D219:N219" si="231">+D130</f>
        <v>0</v>
      </c>
      <c r="E219" s="39">
        <f t="shared" si="231"/>
        <v>0</v>
      </c>
      <c r="F219" s="39">
        <f t="shared" si="231"/>
        <v>0</v>
      </c>
      <c r="G219" s="39">
        <f t="shared" si="231"/>
        <v>0</v>
      </c>
      <c r="H219" s="39">
        <f t="shared" si="231"/>
        <v>0</v>
      </c>
      <c r="I219" s="39">
        <f t="shared" si="231"/>
        <v>5819.2457400000021</v>
      </c>
      <c r="J219" s="39">
        <f t="shared" si="231"/>
        <v>13168.208037600001</v>
      </c>
      <c r="K219" s="39">
        <f t="shared" si="231"/>
        <v>14932.200119760004</v>
      </c>
      <c r="L219" s="39">
        <f t="shared" si="231"/>
        <v>16917.308537976005</v>
      </c>
      <c r="M219" s="39">
        <f t="shared" si="231"/>
        <v>19150.116638637606</v>
      </c>
      <c r="N219" s="39">
        <f t="shared" si="231"/>
        <v>21719.831771206806</v>
      </c>
      <c r="O219" s="39">
        <f t="shared" ref="O219:Q219" si="232">+O130</f>
        <v>24611.988763903471</v>
      </c>
      <c r="P219" s="39">
        <f t="shared" si="232"/>
        <v>27865.378837427415</v>
      </c>
      <c r="Q219" s="39">
        <f t="shared" si="232"/>
        <v>31602.546157730463</v>
      </c>
    </row>
    <row r="220" spans="1:17" x14ac:dyDescent="0.25">
      <c r="A220" s="168" t="str">
        <f>+A207</f>
        <v>NPK 16-16-16</v>
      </c>
      <c r="C220" s="155"/>
      <c r="D220" s="39">
        <f t="shared" ref="D220:N220" si="233">+D131</f>
        <v>0</v>
      </c>
      <c r="E220" s="39">
        <f t="shared" si="233"/>
        <v>0</v>
      </c>
      <c r="F220" s="39">
        <f t="shared" si="233"/>
        <v>0</v>
      </c>
      <c r="G220" s="39">
        <f t="shared" si="233"/>
        <v>0</v>
      </c>
      <c r="H220" s="39">
        <f t="shared" si="233"/>
        <v>0</v>
      </c>
      <c r="I220" s="39">
        <f t="shared" si="233"/>
        <v>43759.264348800003</v>
      </c>
      <c r="J220" s="39">
        <f t="shared" si="233"/>
        <v>99104.747132160002</v>
      </c>
      <c r="K220" s="39">
        <f t="shared" si="233"/>
        <v>112133.02396665602</v>
      </c>
      <c r="L220" s="39">
        <f t="shared" si="233"/>
        <v>127118.86693007042</v>
      </c>
      <c r="M220" s="39">
        <f t="shared" si="233"/>
        <v>143980.54824650119</v>
      </c>
      <c r="N220" s="39">
        <f t="shared" si="233"/>
        <v>162943.37715691733</v>
      </c>
      <c r="O220" s="39">
        <f t="shared" ref="O220:Q220" si="234">+O131</f>
        <v>184715.44377552834</v>
      </c>
      <c r="P220" s="39">
        <f t="shared" si="234"/>
        <v>209212.48994629236</v>
      </c>
      <c r="Q220" s="39">
        <f t="shared" si="234"/>
        <v>236761.79091345394</v>
      </c>
    </row>
    <row r="221" spans="1:17" x14ac:dyDescent="0.25">
      <c r="A221" s="168" t="str">
        <f>+A208</f>
        <v>NPK 10-26-26</v>
      </c>
      <c r="C221" s="155"/>
      <c r="D221" s="39">
        <f t="shared" ref="D221:N221" si="235">+D132</f>
        <v>0</v>
      </c>
      <c r="E221" s="39">
        <f t="shared" si="235"/>
        <v>0</v>
      </c>
      <c r="F221" s="39">
        <f t="shared" si="235"/>
        <v>0</v>
      </c>
      <c r="G221" s="39">
        <f t="shared" si="235"/>
        <v>0</v>
      </c>
      <c r="H221" s="39">
        <f t="shared" si="235"/>
        <v>0</v>
      </c>
      <c r="I221" s="39">
        <f t="shared" si="235"/>
        <v>8646.622538399999</v>
      </c>
      <c r="J221" s="39">
        <f t="shared" si="235"/>
        <v>19591.857663839997</v>
      </c>
      <c r="K221" s="39">
        <f t="shared" si="235"/>
        <v>22177.260317520002</v>
      </c>
      <c r="L221" s="39">
        <f t="shared" si="235"/>
        <v>25136.812508068808</v>
      </c>
      <c r="M221" s="39">
        <f t="shared" si="235"/>
        <v>28466.502533552171</v>
      </c>
      <c r="N221" s="39">
        <f t="shared" si="235"/>
        <v>32274.877414204664</v>
      </c>
      <c r="O221" s="39">
        <f t="shared" ref="O221:Q221" si="236">+O132</f>
        <v>36560.262245652142</v>
      </c>
      <c r="P221" s="39">
        <f t="shared" si="236"/>
        <v>41457.554389182384</v>
      </c>
      <c r="Q221" s="39">
        <f t="shared" si="236"/>
        <v>46968.702338962161</v>
      </c>
    </row>
    <row r="222" spans="1:17" x14ac:dyDescent="0.25">
      <c r="A222" s="168" t="str">
        <f>+A209</f>
        <v>NPK 10-20-20</v>
      </c>
      <c r="C222" s="155"/>
      <c r="D222" s="39">
        <f t="shared" ref="D222:N222" si="237">+D133</f>
        <v>0</v>
      </c>
      <c r="E222" s="39">
        <f t="shared" si="237"/>
        <v>0</v>
      </c>
      <c r="F222" s="39">
        <f t="shared" si="237"/>
        <v>0</v>
      </c>
      <c r="G222" s="39">
        <f t="shared" si="237"/>
        <v>0</v>
      </c>
      <c r="H222" s="39">
        <f t="shared" si="237"/>
        <v>0</v>
      </c>
      <c r="I222" s="39">
        <f t="shared" si="237"/>
        <v>3537.0338850000012</v>
      </c>
      <c r="J222" s="39">
        <f t="shared" si="237"/>
        <v>8030.5179570000018</v>
      </c>
      <c r="K222" s="39">
        <f t="shared" si="237"/>
        <v>9107.5175037000026</v>
      </c>
      <c r="L222" s="39">
        <f t="shared" si="237"/>
        <v>10319.611780170004</v>
      </c>
      <c r="M222" s="39">
        <f t="shared" si="237"/>
        <v>11683.049736897006</v>
      </c>
      <c r="N222" s="39">
        <f t="shared" si="237"/>
        <v>13249.126845038707</v>
      </c>
      <c r="O222" s="39">
        <f t="shared" ref="O222:Q222" si="238">+O133</f>
        <v>15011.588877439777</v>
      </c>
      <c r="P222" s="39">
        <f t="shared" si="238"/>
        <v>17034.160738094586</v>
      </c>
      <c r="Q222" s="39">
        <f t="shared" si="238"/>
        <v>19311.131082105963</v>
      </c>
    </row>
    <row r="223" spans="1:17" x14ac:dyDescent="0.25">
      <c r="A223" s="168" t="str">
        <f t="shared" ref="A223:A224" si="239">+A210</f>
        <v>NPK 13-13-21</v>
      </c>
      <c r="C223" s="155"/>
      <c r="D223" s="39">
        <f t="shared" ref="D223:Q223" si="240">+D134</f>
        <v>0</v>
      </c>
      <c r="E223" s="39">
        <f t="shared" si="240"/>
        <v>0</v>
      </c>
      <c r="F223" s="39">
        <f t="shared" si="240"/>
        <v>0</v>
      </c>
      <c r="G223" s="39">
        <f t="shared" si="240"/>
        <v>0</v>
      </c>
      <c r="H223" s="39">
        <f t="shared" si="240"/>
        <v>0</v>
      </c>
      <c r="I223" s="39">
        <f t="shared" si="240"/>
        <v>2253.7399500000001</v>
      </c>
      <c r="J223" s="39">
        <f t="shared" si="240"/>
        <v>5109.1632900000004</v>
      </c>
      <c r="K223" s="39">
        <f t="shared" si="240"/>
        <v>5786.1085590000002</v>
      </c>
      <c r="L223" s="39">
        <f t="shared" si="240"/>
        <v>6547.3512489000013</v>
      </c>
      <c r="M223" s="39">
        <f t="shared" si="240"/>
        <v>7423.0708929300026</v>
      </c>
      <c r="N223" s="39">
        <f t="shared" si="240"/>
        <v>8408.4609532770028</v>
      </c>
      <c r="O223" s="39">
        <f t="shared" si="240"/>
        <v>9516.6983167641029</v>
      </c>
      <c r="P223" s="39">
        <f t="shared" si="240"/>
        <v>10789.237670231794</v>
      </c>
      <c r="Q223" s="39">
        <f t="shared" si="240"/>
        <v>12221.117911225385</v>
      </c>
    </row>
    <row r="224" spans="1:17" x14ac:dyDescent="0.25">
      <c r="A224" s="168" t="str">
        <f t="shared" si="239"/>
        <v>NPK 00-00-00</v>
      </c>
      <c r="C224" s="155"/>
      <c r="D224" s="39">
        <f t="shared" ref="D224:Q224" si="241">+D135</f>
        <v>0</v>
      </c>
      <c r="E224" s="39">
        <f t="shared" si="241"/>
        <v>0</v>
      </c>
      <c r="F224" s="39">
        <f t="shared" si="241"/>
        <v>0</v>
      </c>
      <c r="G224" s="39">
        <f t="shared" si="241"/>
        <v>0</v>
      </c>
      <c r="H224" s="39">
        <f t="shared" si="241"/>
        <v>0</v>
      </c>
      <c r="I224" s="39">
        <f t="shared" si="241"/>
        <v>0</v>
      </c>
      <c r="J224" s="39">
        <f t="shared" si="241"/>
        <v>0</v>
      </c>
      <c r="K224" s="39">
        <f t="shared" si="241"/>
        <v>0</v>
      </c>
      <c r="L224" s="39">
        <f t="shared" si="241"/>
        <v>0</v>
      </c>
      <c r="M224" s="39">
        <f t="shared" si="241"/>
        <v>0</v>
      </c>
      <c r="N224" s="39">
        <f t="shared" si="241"/>
        <v>0</v>
      </c>
      <c r="O224" s="39">
        <f t="shared" si="241"/>
        <v>0</v>
      </c>
      <c r="P224" s="39">
        <f t="shared" si="241"/>
        <v>0</v>
      </c>
      <c r="Q224" s="39">
        <f t="shared" si="241"/>
        <v>0</v>
      </c>
    </row>
    <row r="225" spans="1:17" x14ac:dyDescent="0.25">
      <c r="A225" s="156" t="s">
        <v>273</v>
      </c>
      <c r="B225" s="362">
        <f>C225/SUM($C$212,$C$225)</f>
        <v>0.44292903391243027</v>
      </c>
      <c r="C225" s="157">
        <f>SUM(C214:C222)</f>
        <v>55274</v>
      </c>
      <c r="D225" s="158">
        <f t="shared" ref="D225:Q225" si="242">SUM(D214:D224)</f>
        <v>13608</v>
      </c>
      <c r="E225" s="158">
        <f t="shared" si="242"/>
        <v>73342.19981090448</v>
      </c>
      <c r="F225" s="158">
        <f t="shared" si="242"/>
        <v>66467.672208000004</v>
      </c>
      <c r="G225" s="158">
        <f t="shared" si="242"/>
        <v>87885</v>
      </c>
      <c r="H225" s="158">
        <f t="shared" si="242"/>
        <v>110157.336828</v>
      </c>
      <c r="I225" s="158">
        <f t="shared" si="242"/>
        <v>169798.59735300002</v>
      </c>
      <c r="J225" s="158">
        <f t="shared" si="242"/>
        <v>241234.36207101002</v>
      </c>
      <c r="K225" s="158">
        <f t="shared" si="242"/>
        <v>273219.31286149507</v>
      </c>
      <c r="L225" s="158">
        <f t="shared" si="242"/>
        <v>309617.58971785952</v>
      </c>
      <c r="M225" s="158">
        <f t="shared" si="242"/>
        <v>350712.29247228423</v>
      </c>
      <c r="N225" s="158">
        <f t="shared" si="242"/>
        <v>397155.75706506422</v>
      </c>
      <c r="O225" s="158">
        <f t="shared" si="242"/>
        <v>450126.26635315729</v>
      </c>
      <c r="P225" s="158">
        <f t="shared" si="242"/>
        <v>510025.82162586716</v>
      </c>
      <c r="Q225" s="158">
        <f t="shared" si="242"/>
        <v>577597.87682856934</v>
      </c>
    </row>
    <row r="226" spans="1:17" x14ac:dyDescent="0.25">
      <c r="A226" s="14"/>
      <c r="C226" s="155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</row>
    <row r="227" spans="1:17" ht="18.75" x14ac:dyDescent="0.3">
      <c r="A227" s="161" t="s">
        <v>156</v>
      </c>
    </row>
    <row r="228" spans="1:17" x14ac:dyDescent="0.25">
      <c r="A228" s="14" t="str">
        <f>+A201</f>
        <v>ammofos</v>
      </c>
      <c r="C228" s="1">
        <f t="shared" ref="C228:N228" si="243">+C201+C214</f>
        <v>51447</v>
      </c>
      <c r="D228" s="1">
        <f t="shared" si="243"/>
        <v>32129</v>
      </c>
      <c r="E228" s="1">
        <f t="shared" si="243"/>
        <v>84976.084273558139</v>
      </c>
      <c r="F228" s="1">
        <f t="shared" si="243"/>
        <v>68688.680456000002</v>
      </c>
      <c r="G228" s="1">
        <f t="shared" ca="1" si="243"/>
        <v>92023.819708166979</v>
      </c>
      <c r="H228" s="1">
        <f t="shared" ca="1" si="243"/>
        <v>100054.90365114255</v>
      </c>
      <c r="I228" s="1">
        <f t="shared" ca="1" si="243"/>
        <v>101830.50856882376</v>
      </c>
      <c r="J228" s="1">
        <f t="shared" ca="1" si="243"/>
        <v>99101.958226228075</v>
      </c>
      <c r="K228" s="1">
        <f t="shared" ca="1" si="243"/>
        <v>112315.71091389263</v>
      </c>
      <c r="L228" s="1">
        <f t="shared" ca="1" si="243"/>
        <v>127312.01112795263</v>
      </c>
      <c r="M228" s="1">
        <f t="shared" ca="1" si="243"/>
        <v>144421.10962588125</v>
      </c>
      <c r="N228" s="1">
        <f t="shared" ca="1" si="243"/>
        <v>163923.43759035115</v>
      </c>
      <c r="O228" s="1">
        <f t="shared" ref="O228:Q228" ca="1" si="244">+O201+O214</f>
        <v>186094.45209382652</v>
      </c>
      <c r="P228" s="1">
        <f t="shared" ca="1" si="244"/>
        <v>211284.62421907843</v>
      </c>
      <c r="Q228" s="1">
        <f t="shared" ca="1" si="244"/>
        <v>240343.76903050754</v>
      </c>
    </row>
    <row r="229" spans="1:17" x14ac:dyDescent="0.25">
      <c r="A229" s="14" t="str">
        <f>+A202</f>
        <v>suprefos</v>
      </c>
      <c r="C229" s="1">
        <f t="shared" ref="C229:N229" si="245">+C202+C215</f>
        <v>69723</v>
      </c>
      <c r="D229" s="1">
        <f t="shared" si="245"/>
        <v>40702.619372442001</v>
      </c>
      <c r="E229" s="1">
        <f t="shared" si="245"/>
        <v>73548.520012606357</v>
      </c>
      <c r="F229" s="1">
        <f t="shared" si="245"/>
        <v>87895.791752000005</v>
      </c>
      <c r="G229" s="1">
        <f t="shared" si="245"/>
        <v>82435.53</v>
      </c>
      <c r="H229" s="1">
        <f t="shared" ca="1" si="245"/>
        <v>114880.55622932076</v>
      </c>
      <c r="I229" s="1">
        <f t="shared" ca="1" si="245"/>
        <v>120873.68151124674</v>
      </c>
      <c r="J229" s="1">
        <f t="shared" ca="1" si="245"/>
        <v>121655.61687820012</v>
      </c>
      <c r="K229" s="1">
        <f t="shared" ca="1" si="245"/>
        <v>137832.15826364263</v>
      </c>
      <c r="L229" s="1">
        <f t="shared" ca="1" si="245"/>
        <v>156280.5014695166</v>
      </c>
      <c r="M229" s="1">
        <f t="shared" ca="1" si="245"/>
        <v>177353.68433050843</v>
      </c>
      <c r="N229" s="1">
        <f t="shared" ca="1" si="245"/>
        <v>201409.26834626606</v>
      </c>
      <c r="O229" s="1">
        <f t="shared" ref="O229:Q229" ca="1" si="246">+O202+O215</f>
        <v>228834.66329525094</v>
      </c>
      <c r="P229" s="1">
        <f t="shared" ca="1" si="246"/>
        <v>260069.39140276064</v>
      </c>
      <c r="Q229" s="1">
        <f t="shared" ca="1" si="246"/>
        <v>296380.56195375288</v>
      </c>
    </row>
    <row r="230" spans="1:17" x14ac:dyDescent="0.25">
      <c r="A230" s="14" t="str">
        <f>+A203</f>
        <v>ASP</v>
      </c>
      <c r="C230" s="1">
        <f t="shared" ref="C230:N230" si="247">+C203+C216</f>
        <v>3622</v>
      </c>
      <c r="D230" s="1">
        <f t="shared" si="247"/>
        <v>1086</v>
      </c>
      <c r="E230" s="1">
        <f t="shared" si="247"/>
        <v>220.5</v>
      </c>
      <c r="F230" s="1">
        <f t="shared" si="247"/>
        <v>0</v>
      </c>
      <c r="G230" s="1">
        <f t="shared" si="247"/>
        <v>0</v>
      </c>
      <c r="H230" s="1">
        <f t="shared" si="247"/>
        <v>0</v>
      </c>
      <c r="I230" s="1">
        <f t="shared" si="247"/>
        <v>0</v>
      </c>
      <c r="J230" s="1">
        <f t="shared" si="247"/>
        <v>0</v>
      </c>
      <c r="K230" s="1">
        <f t="shared" si="247"/>
        <v>0</v>
      </c>
      <c r="L230" s="1">
        <f t="shared" si="247"/>
        <v>0</v>
      </c>
      <c r="M230" s="1">
        <f t="shared" si="247"/>
        <v>0</v>
      </c>
      <c r="N230" s="1">
        <f t="shared" si="247"/>
        <v>0</v>
      </c>
      <c r="O230" s="1">
        <f t="shared" ref="O230:Q230" si="248">+O203+O216</f>
        <v>0</v>
      </c>
      <c r="P230" s="1">
        <f t="shared" si="248"/>
        <v>0</v>
      </c>
      <c r="Q230" s="1">
        <f t="shared" si="248"/>
        <v>0</v>
      </c>
    </row>
    <row r="231" spans="1:17" x14ac:dyDescent="0.25">
      <c r="A231" s="168" t="s">
        <v>502</v>
      </c>
      <c r="C231" s="1">
        <f t="shared" ref="C231:N231" si="249">+C204+C217</f>
        <v>0</v>
      </c>
      <c r="D231" s="1">
        <f t="shared" si="249"/>
        <v>0</v>
      </c>
      <c r="E231" s="1">
        <f t="shared" si="249"/>
        <v>8815.0955247399907</v>
      </c>
      <c r="F231" s="1">
        <f t="shared" si="249"/>
        <v>0</v>
      </c>
      <c r="G231" s="1">
        <f t="shared" si="249"/>
        <v>0</v>
      </c>
      <c r="H231" s="1">
        <f t="shared" si="249"/>
        <v>0</v>
      </c>
      <c r="I231" s="1">
        <f t="shared" si="249"/>
        <v>0</v>
      </c>
      <c r="J231" s="1">
        <f t="shared" si="249"/>
        <v>0</v>
      </c>
      <c r="K231" s="1">
        <f t="shared" si="249"/>
        <v>0</v>
      </c>
      <c r="L231" s="1">
        <f t="shared" si="249"/>
        <v>0</v>
      </c>
      <c r="M231" s="1">
        <f t="shared" si="249"/>
        <v>0</v>
      </c>
      <c r="N231" s="1">
        <f t="shared" si="249"/>
        <v>0</v>
      </c>
      <c r="O231" s="1">
        <f t="shared" ref="O231:Q231" si="250">+O204+O217</f>
        <v>0</v>
      </c>
      <c r="P231" s="1">
        <f t="shared" si="250"/>
        <v>0</v>
      </c>
      <c r="Q231" s="1">
        <f t="shared" si="250"/>
        <v>0</v>
      </c>
    </row>
    <row r="232" spans="1:17" x14ac:dyDescent="0.25">
      <c r="A232" s="168" t="str">
        <f>+A218</f>
        <v>SA</v>
      </c>
      <c r="C232" s="1">
        <f t="shared" ref="C232:N232" si="251">+C205+C218</f>
        <v>0</v>
      </c>
      <c r="D232" s="1">
        <f t="shared" si="251"/>
        <v>0</v>
      </c>
      <c r="E232" s="1">
        <f t="shared" si="251"/>
        <v>0</v>
      </c>
      <c r="F232" s="1">
        <f t="shared" si="251"/>
        <v>0</v>
      </c>
      <c r="G232" s="1">
        <f t="shared" si="251"/>
        <v>0</v>
      </c>
      <c r="H232" s="1">
        <f t="shared" si="251"/>
        <v>0</v>
      </c>
      <c r="I232" s="1">
        <f t="shared" si="251"/>
        <v>0</v>
      </c>
      <c r="J232" s="1">
        <f t="shared" si="251"/>
        <v>0</v>
      </c>
      <c r="K232" s="1">
        <f t="shared" si="251"/>
        <v>0</v>
      </c>
      <c r="L232" s="1">
        <f t="shared" si="251"/>
        <v>0</v>
      </c>
      <c r="M232" s="1">
        <f t="shared" si="251"/>
        <v>0</v>
      </c>
      <c r="N232" s="1">
        <f t="shared" si="251"/>
        <v>0</v>
      </c>
      <c r="O232" s="1">
        <f t="shared" ref="O232:Q232" si="252">+O205+O218</f>
        <v>0</v>
      </c>
      <c r="P232" s="1">
        <f t="shared" si="252"/>
        <v>0</v>
      </c>
      <c r="Q232" s="1">
        <f t="shared" si="252"/>
        <v>0</v>
      </c>
    </row>
    <row r="233" spans="1:17" x14ac:dyDescent="0.25">
      <c r="A233" s="168" t="str">
        <f>+A219</f>
        <v>NPK 15-15-15</v>
      </c>
      <c r="C233" s="1">
        <f t="shared" ref="C233:N233" si="253">+C206+C219</f>
        <v>0</v>
      </c>
      <c r="D233" s="1">
        <f t="shared" si="253"/>
        <v>0</v>
      </c>
      <c r="E233" s="1">
        <f t="shared" si="253"/>
        <v>0</v>
      </c>
      <c r="F233" s="1">
        <f t="shared" si="253"/>
        <v>0</v>
      </c>
      <c r="G233" s="1">
        <f t="shared" si="253"/>
        <v>0</v>
      </c>
      <c r="H233" s="1">
        <f t="shared" si="253"/>
        <v>0</v>
      </c>
      <c r="I233" s="1">
        <f t="shared" si="253"/>
        <v>5819.2457400000021</v>
      </c>
      <c r="J233" s="1">
        <f t="shared" si="253"/>
        <v>13168.208037600001</v>
      </c>
      <c r="K233" s="1">
        <f t="shared" si="253"/>
        <v>14932.200119760004</v>
      </c>
      <c r="L233" s="1">
        <f t="shared" si="253"/>
        <v>16917.308537976005</v>
      </c>
      <c r="M233" s="1">
        <f t="shared" si="253"/>
        <v>19150.116638637606</v>
      </c>
      <c r="N233" s="1">
        <f t="shared" si="253"/>
        <v>21719.831771206806</v>
      </c>
      <c r="O233" s="1">
        <f t="shared" ref="O233:Q233" si="254">+O206+O219</f>
        <v>24611.988763903471</v>
      </c>
      <c r="P233" s="1">
        <f t="shared" si="254"/>
        <v>27865.378837427415</v>
      </c>
      <c r="Q233" s="1">
        <f t="shared" si="254"/>
        <v>31602.546157730463</v>
      </c>
    </row>
    <row r="234" spans="1:17" x14ac:dyDescent="0.25">
      <c r="A234" s="168" t="str">
        <f>+A220</f>
        <v>NPK 16-16-16</v>
      </c>
      <c r="C234" s="1">
        <f t="shared" ref="C234:N234" si="255">+C207+C220</f>
        <v>0</v>
      </c>
      <c r="D234" s="1">
        <f t="shared" si="255"/>
        <v>0</v>
      </c>
      <c r="E234" s="1">
        <f t="shared" si="255"/>
        <v>0</v>
      </c>
      <c r="F234" s="1">
        <f t="shared" si="255"/>
        <v>0</v>
      </c>
      <c r="G234" s="1">
        <f t="shared" si="255"/>
        <v>0</v>
      </c>
      <c r="H234" s="1">
        <f t="shared" si="255"/>
        <v>0</v>
      </c>
      <c r="I234" s="1">
        <f t="shared" si="255"/>
        <v>43759.264348800003</v>
      </c>
      <c r="J234" s="1">
        <f t="shared" si="255"/>
        <v>99104.747132160002</v>
      </c>
      <c r="K234" s="1">
        <f t="shared" si="255"/>
        <v>112133.02396665602</v>
      </c>
      <c r="L234" s="1">
        <f t="shared" si="255"/>
        <v>127118.86693007042</v>
      </c>
      <c r="M234" s="1">
        <f t="shared" si="255"/>
        <v>143980.54824650119</v>
      </c>
      <c r="N234" s="1">
        <f t="shared" si="255"/>
        <v>162943.37715691733</v>
      </c>
      <c r="O234" s="1">
        <f t="shared" ref="O234:Q234" si="256">+O207+O220</f>
        <v>184715.44377552834</v>
      </c>
      <c r="P234" s="1">
        <f t="shared" si="256"/>
        <v>209212.48994629236</v>
      </c>
      <c r="Q234" s="1">
        <f t="shared" si="256"/>
        <v>236761.79091345394</v>
      </c>
    </row>
    <row r="235" spans="1:17" x14ac:dyDescent="0.25">
      <c r="A235" s="168" t="str">
        <f>+A221</f>
        <v>NPK 10-26-26</v>
      </c>
      <c r="C235" s="1">
        <f t="shared" ref="C235:N235" si="257">+C208+C221</f>
        <v>0</v>
      </c>
      <c r="D235" s="1">
        <f t="shared" si="257"/>
        <v>0</v>
      </c>
      <c r="E235" s="1">
        <f t="shared" si="257"/>
        <v>0</v>
      </c>
      <c r="F235" s="1">
        <f t="shared" si="257"/>
        <v>0</v>
      </c>
      <c r="G235" s="1">
        <f t="shared" si="257"/>
        <v>0</v>
      </c>
      <c r="H235" s="1">
        <f t="shared" si="257"/>
        <v>0</v>
      </c>
      <c r="I235" s="1">
        <f t="shared" si="257"/>
        <v>8646.622538399999</v>
      </c>
      <c r="J235" s="1">
        <f t="shared" si="257"/>
        <v>19591.857663839997</v>
      </c>
      <c r="K235" s="1">
        <f t="shared" si="257"/>
        <v>22177.260317520002</v>
      </c>
      <c r="L235" s="1">
        <f t="shared" si="257"/>
        <v>25136.812508068808</v>
      </c>
      <c r="M235" s="1">
        <f t="shared" si="257"/>
        <v>28466.502533552171</v>
      </c>
      <c r="N235" s="1">
        <f t="shared" si="257"/>
        <v>32274.877414204664</v>
      </c>
      <c r="O235" s="1">
        <f t="shared" ref="O235:Q235" si="258">+O208+O221</f>
        <v>36560.262245652142</v>
      </c>
      <c r="P235" s="1">
        <f t="shared" si="258"/>
        <v>41457.554389182384</v>
      </c>
      <c r="Q235" s="1">
        <f t="shared" si="258"/>
        <v>46968.702338962161</v>
      </c>
    </row>
    <row r="236" spans="1:17" x14ac:dyDescent="0.25">
      <c r="A236" s="168" t="str">
        <f>+A222</f>
        <v>NPK 10-20-20</v>
      </c>
      <c r="C236" s="1">
        <f t="shared" ref="C236:N236" si="259">+C209+C222</f>
        <v>0</v>
      </c>
      <c r="D236" s="1">
        <f t="shared" si="259"/>
        <v>0</v>
      </c>
      <c r="E236" s="1">
        <f t="shared" si="259"/>
        <v>0</v>
      </c>
      <c r="F236" s="1">
        <f t="shared" si="259"/>
        <v>0</v>
      </c>
      <c r="G236" s="1">
        <f t="shared" si="259"/>
        <v>0</v>
      </c>
      <c r="H236" s="1">
        <f t="shared" si="259"/>
        <v>0</v>
      </c>
      <c r="I236" s="1">
        <f t="shared" si="259"/>
        <v>3537.0338850000012</v>
      </c>
      <c r="J236" s="1">
        <f t="shared" si="259"/>
        <v>8030.5179570000018</v>
      </c>
      <c r="K236" s="1">
        <f t="shared" si="259"/>
        <v>9107.5175037000026</v>
      </c>
      <c r="L236" s="1">
        <f t="shared" si="259"/>
        <v>10319.611780170004</v>
      </c>
      <c r="M236" s="1">
        <f t="shared" si="259"/>
        <v>11683.049736897006</v>
      </c>
      <c r="N236" s="1">
        <f t="shared" si="259"/>
        <v>13249.126845038707</v>
      </c>
      <c r="O236" s="1">
        <f t="shared" ref="O236:Q236" si="260">+O209+O222</f>
        <v>15011.588877439777</v>
      </c>
      <c r="P236" s="1">
        <f t="shared" si="260"/>
        <v>17034.160738094586</v>
      </c>
      <c r="Q236" s="1">
        <f t="shared" si="260"/>
        <v>19311.131082105963</v>
      </c>
    </row>
    <row r="237" spans="1:17" x14ac:dyDescent="0.25">
      <c r="A237" s="168" t="str">
        <f t="shared" ref="A237:A238" si="261">+A223</f>
        <v>NPK 13-13-21</v>
      </c>
      <c r="C237" s="1">
        <f t="shared" ref="C237:Q237" si="262">+C210+C223</f>
        <v>0</v>
      </c>
      <c r="D237" s="1">
        <f t="shared" si="262"/>
        <v>0</v>
      </c>
      <c r="E237" s="1">
        <f t="shared" si="262"/>
        <v>0</v>
      </c>
      <c r="F237" s="1">
        <f t="shared" si="262"/>
        <v>0</v>
      </c>
      <c r="G237" s="1">
        <f t="shared" si="262"/>
        <v>0</v>
      </c>
      <c r="H237" s="1">
        <f t="shared" si="262"/>
        <v>0</v>
      </c>
      <c r="I237" s="1">
        <f t="shared" si="262"/>
        <v>2253.7399500000001</v>
      </c>
      <c r="J237" s="1">
        <f t="shared" si="262"/>
        <v>5109.1632900000004</v>
      </c>
      <c r="K237" s="1">
        <f t="shared" si="262"/>
        <v>5786.1085590000002</v>
      </c>
      <c r="L237" s="1">
        <f t="shared" si="262"/>
        <v>6547.3512489000013</v>
      </c>
      <c r="M237" s="1">
        <f t="shared" si="262"/>
        <v>7423.0708929300026</v>
      </c>
      <c r="N237" s="1">
        <f t="shared" si="262"/>
        <v>8408.4609532770028</v>
      </c>
      <c r="O237" s="1">
        <f t="shared" si="262"/>
        <v>9516.6983167641029</v>
      </c>
      <c r="P237" s="1">
        <f t="shared" si="262"/>
        <v>10789.237670231794</v>
      </c>
      <c r="Q237" s="1">
        <f t="shared" si="262"/>
        <v>12221.117911225385</v>
      </c>
    </row>
    <row r="238" spans="1:17" x14ac:dyDescent="0.25">
      <c r="A238" s="168" t="str">
        <f t="shared" si="261"/>
        <v>NPK 00-00-00</v>
      </c>
      <c r="C238" s="1">
        <f t="shared" ref="C238:Q238" si="263">+C211+C224</f>
        <v>0</v>
      </c>
      <c r="D238" s="1">
        <f t="shared" si="263"/>
        <v>0</v>
      </c>
      <c r="E238" s="1">
        <f t="shared" si="263"/>
        <v>0</v>
      </c>
      <c r="F238" s="1">
        <f t="shared" si="263"/>
        <v>0</v>
      </c>
      <c r="G238" s="1">
        <f t="shared" si="263"/>
        <v>0</v>
      </c>
      <c r="H238" s="1">
        <f t="shared" si="263"/>
        <v>0</v>
      </c>
      <c r="I238" s="1">
        <f t="shared" si="263"/>
        <v>0</v>
      </c>
      <c r="J238" s="1">
        <f t="shared" si="263"/>
        <v>0</v>
      </c>
      <c r="K238" s="1">
        <f t="shared" si="263"/>
        <v>0</v>
      </c>
      <c r="L238" s="1">
        <f t="shared" si="263"/>
        <v>0</v>
      </c>
      <c r="M238" s="1">
        <f t="shared" si="263"/>
        <v>0</v>
      </c>
      <c r="N238" s="1">
        <f t="shared" si="263"/>
        <v>0</v>
      </c>
      <c r="O238" s="1">
        <f t="shared" si="263"/>
        <v>0</v>
      </c>
      <c r="P238" s="1">
        <f t="shared" si="263"/>
        <v>0</v>
      </c>
      <c r="Q238" s="1">
        <f t="shared" si="263"/>
        <v>0</v>
      </c>
    </row>
    <row r="239" spans="1:17" x14ac:dyDescent="0.25">
      <c r="A239" s="162" t="s">
        <v>274</v>
      </c>
      <c r="B239" s="163"/>
      <c r="C239" s="164">
        <f t="shared" ref="C239:P239" si="264">SUM(C228:C238)</f>
        <v>124792</v>
      </c>
      <c r="D239" s="164">
        <f t="shared" si="264"/>
        <v>73917.619372442001</v>
      </c>
      <c r="E239" s="164">
        <f t="shared" si="264"/>
        <v>167560.19981090451</v>
      </c>
      <c r="F239" s="164">
        <f t="shared" si="264"/>
        <v>156584.47220800002</v>
      </c>
      <c r="G239" s="164">
        <f t="shared" ca="1" si="264"/>
        <v>174459.34970816696</v>
      </c>
      <c r="H239" s="164">
        <f t="shared" ca="1" si="264"/>
        <v>214935.45988046331</v>
      </c>
      <c r="I239" s="164">
        <f t="shared" ca="1" si="264"/>
        <v>286720.0965422705</v>
      </c>
      <c r="J239" s="164">
        <f t="shared" ca="1" si="264"/>
        <v>365762.0691850282</v>
      </c>
      <c r="K239" s="164">
        <f t="shared" ca="1" si="264"/>
        <v>414283.97964417131</v>
      </c>
      <c r="L239" s="164">
        <f t="shared" ca="1" si="264"/>
        <v>469632.46360265452</v>
      </c>
      <c r="M239" s="164">
        <f t="shared" ca="1" si="264"/>
        <v>532478.08200490766</v>
      </c>
      <c r="N239" s="164">
        <f t="shared" ca="1" si="264"/>
        <v>603928.38007726171</v>
      </c>
      <c r="O239" s="164">
        <f t="shared" ca="1" si="264"/>
        <v>685345.09736836527</v>
      </c>
      <c r="P239" s="164">
        <f t="shared" ca="1" si="264"/>
        <v>777712.83720306773</v>
      </c>
      <c r="Q239" s="164">
        <f ca="1">SUM(Q228:Q238)</f>
        <v>883589.61938773829</v>
      </c>
    </row>
    <row r="242" spans="1:17" x14ac:dyDescent="0.25"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</row>
    <row r="244" spans="1:17" x14ac:dyDescent="0.25">
      <c r="A244" s="166"/>
    </row>
    <row r="245" spans="1:17" x14ac:dyDescent="0.25">
      <c r="A245" s="166"/>
    </row>
    <row r="246" spans="1:17" x14ac:dyDescent="0.25">
      <c r="A246" s="166"/>
    </row>
    <row r="247" spans="1:17" x14ac:dyDescent="0.25">
      <c r="A247" s="166"/>
    </row>
    <row r="251" spans="1:17" x14ac:dyDescent="0.25">
      <c r="I251" s="407"/>
      <c r="N251" s="407"/>
      <c r="O251" s="407"/>
      <c r="P251" s="407"/>
      <c r="Q251" s="407"/>
    </row>
    <row r="253" spans="1:17" x14ac:dyDescent="0.25">
      <c r="I253" s="407"/>
    </row>
  </sheetData>
  <phoneticPr fontId="2" type="noConversion"/>
  <conditionalFormatting sqref="F197:Q197">
    <cfRule type="cellIs" dxfId="1" priority="1" operator="greaterThan">
      <formula>0</formula>
    </cfRule>
  </conditionalFormatting>
  <printOptions horizontalCentered="1" headings="1"/>
  <pageMargins left="0.5" right="0.5" top="0.59055118110236204" bottom="0.59055118110236204" header="0.511811023622047" footer="0.31496062992126"/>
  <pageSetup paperSize="5" scale="54" orientation="portrait" r:id="rId1"/>
  <headerFooter alignWithMargins="0">
    <oddFooter>&amp;L&amp;F -&amp;A&amp;C&amp;P/&amp;N&amp;R&amp;D</oddFooter>
  </headerFooter>
  <rowBreaks count="2" manualBreakCount="2">
    <brk id="94" max="16383" man="1"/>
    <brk id="198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R341"/>
  <sheetViews>
    <sheetView topLeftCell="AK1" workbookViewId="0"/>
  </sheetViews>
  <sheetFormatPr defaultColWidth="7" defaultRowHeight="12" x14ac:dyDescent="0.2"/>
  <cols>
    <col min="1" max="1" width="18.5" style="529" customWidth="1"/>
    <col min="2" max="2" width="10.875" style="529" bestFit="1" customWidth="1"/>
    <col min="3" max="3" width="5.625" style="529" bestFit="1" customWidth="1"/>
    <col min="4" max="4" width="7" style="529" bestFit="1" customWidth="1"/>
    <col min="5" max="5" width="10.25" style="529" customWidth="1"/>
    <col min="6" max="6" width="7.25" style="529" customWidth="1"/>
    <col min="7" max="7" width="7" style="529"/>
    <col min="8" max="8" width="7.875" style="529" customWidth="1"/>
    <col min="9" max="9" width="7.75" style="529" customWidth="1"/>
    <col min="10" max="10" width="7" style="529"/>
    <col min="11" max="11" width="11.25" style="529" customWidth="1"/>
    <col min="12" max="12" width="5.625" style="529" bestFit="1" customWidth="1"/>
    <col min="13" max="13" width="7" style="529" bestFit="1" customWidth="1"/>
    <col min="14" max="14" width="9.75" style="529" customWidth="1"/>
    <col min="15" max="15" width="6.5" style="529" bestFit="1" customWidth="1"/>
    <col min="16" max="16" width="7" style="529" bestFit="1" customWidth="1"/>
    <col min="17" max="17" width="9.75" style="529" customWidth="1"/>
    <col min="18" max="18" width="6.5" style="529" bestFit="1" customWidth="1"/>
    <col min="19" max="19" width="7" style="529" bestFit="1" customWidth="1"/>
    <col min="20" max="20" width="11.375" style="529" customWidth="1"/>
    <col min="21" max="21" width="6.875" style="529" customWidth="1"/>
    <col min="22" max="22" width="7.625" style="626" customWidth="1"/>
    <col min="23" max="23" width="8.625" style="529" bestFit="1" customWidth="1"/>
    <col min="24" max="24" width="6.5" style="529" bestFit="1" customWidth="1"/>
    <col min="25" max="25" width="7" style="529" bestFit="1" customWidth="1"/>
    <col min="26" max="26" width="8.625" style="529" bestFit="1" customWidth="1"/>
    <col min="27" max="27" width="6.75" style="529" bestFit="1" customWidth="1"/>
    <col min="28" max="28" width="7" style="529" bestFit="1" customWidth="1"/>
    <col min="29" max="29" width="8.625" style="529" bestFit="1" customWidth="1"/>
    <col min="30" max="30" width="6.5" style="529" bestFit="1" customWidth="1"/>
    <col min="31" max="31" width="7" style="529" bestFit="1" customWidth="1"/>
    <col min="32" max="32" width="8.625" style="529" bestFit="1" customWidth="1"/>
    <col min="33" max="33" width="6.5" style="529" bestFit="1" customWidth="1"/>
    <col min="34" max="34" width="7" style="529" bestFit="1" customWidth="1"/>
    <col min="35" max="35" width="8.625" style="529" bestFit="1" customWidth="1"/>
    <col min="36" max="36" width="6.5" style="529" bestFit="1" customWidth="1"/>
    <col min="37" max="37" width="7" style="529" bestFit="1" customWidth="1"/>
    <col min="38" max="38" width="8.625" style="529" bestFit="1" customWidth="1"/>
    <col min="39" max="39" width="6.5" style="529" bestFit="1" customWidth="1"/>
    <col min="40" max="40" width="7" style="529" bestFit="1" customWidth="1"/>
    <col min="41" max="41" width="8.625" style="529" bestFit="1" customWidth="1"/>
    <col min="42" max="42" width="6.5" style="529" bestFit="1" customWidth="1"/>
    <col min="43" max="43" width="7" style="529" bestFit="1" customWidth="1"/>
    <col min="44" max="44" width="8.625" style="529" bestFit="1" customWidth="1"/>
    <col min="45" max="45" width="6.5" style="529" bestFit="1" customWidth="1"/>
    <col min="46" max="46" width="7" style="529" bestFit="1" customWidth="1"/>
    <col min="47" max="47" width="8.625" style="529" bestFit="1" customWidth="1"/>
    <col min="48" max="48" width="6.5" style="529" bestFit="1" customWidth="1"/>
    <col min="49" max="49" width="7" style="529" bestFit="1" customWidth="1"/>
    <col min="50" max="50" width="8.625" style="529" bestFit="1" customWidth="1"/>
    <col min="51" max="51" width="6.5" style="529" bestFit="1" customWidth="1"/>
    <col min="52" max="52" width="7" style="529" bestFit="1" customWidth="1"/>
    <col min="53" max="53" width="8.625" style="529" bestFit="1" customWidth="1"/>
    <col min="54" max="55" width="7" style="529"/>
    <col min="56" max="56" width="7" style="729"/>
    <col min="57" max="60" width="7" style="529"/>
    <col min="61" max="61" width="1.75" style="736" customWidth="1"/>
    <col min="62" max="78" width="7" style="529"/>
    <col min="79" max="79" width="7" style="736"/>
    <col min="80" max="16384" width="7" style="529"/>
  </cols>
  <sheetData>
    <row r="1" spans="1:96" x14ac:dyDescent="0.2">
      <c r="A1" s="529" t="s">
        <v>616</v>
      </c>
      <c r="X1" s="644">
        <f>+X174</f>
        <v>1.1059063136456211</v>
      </c>
      <c r="Y1" s="622">
        <f>+Assumptions!H10</f>
        <v>0.03</v>
      </c>
      <c r="AA1" s="644">
        <f>+AA174</f>
        <v>0.84768829527176681</v>
      </c>
      <c r="AB1" s="622">
        <f>+Assumptions!I10</f>
        <v>0.03</v>
      </c>
      <c r="AD1" s="644">
        <f>+AD174</f>
        <v>0.80338909406908543</v>
      </c>
      <c r="AE1" s="622">
        <f>+Assumptions!J10</f>
        <v>0.03</v>
      </c>
      <c r="AG1" s="644">
        <f>+AG174</f>
        <v>1</v>
      </c>
      <c r="AH1" s="622">
        <f>+Assumptions!K10</f>
        <v>0.03</v>
      </c>
      <c r="AJ1" s="644">
        <f>+AJ174</f>
        <v>1</v>
      </c>
      <c r="AK1" s="622">
        <f>+Assumptions!L10</f>
        <v>0.03</v>
      </c>
      <c r="AM1" s="644">
        <f>+AM174</f>
        <v>1</v>
      </c>
      <c r="AN1" s="622">
        <f>+Assumptions!M10</f>
        <v>0.03</v>
      </c>
      <c r="AP1" s="644">
        <f>+AP174</f>
        <v>1</v>
      </c>
      <c r="AQ1" s="622">
        <f>+Assumptions!N10</f>
        <v>0.03</v>
      </c>
      <c r="AS1" s="644">
        <f>+AS174</f>
        <v>1</v>
      </c>
      <c r="AT1" s="622">
        <f>+Assumptions!O10</f>
        <v>0.03</v>
      </c>
      <c r="AV1" s="644">
        <f>+AV174</f>
        <v>1</v>
      </c>
      <c r="AW1" s="622">
        <f>+Assumptions!P10</f>
        <v>0.03</v>
      </c>
      <c r="AY1" s="644">
        <f>+AY174</f>
        <v>1</v>
      </c>
      <c r="AZ1" s="622">
        <f>+Assumptions!Q10</f>
        <v>0.03</v>
      </c>
    </row>
    <row r="2" spans="1:96" x14ac:dyDescent="0.2">
      <c r="A2" s="530" t="s">
        <v>489</v>
      </c>
      <c r="B2" s="530" t="s">
        <v>150</v>
      </c>
      <c r="C2" s="531">
        <v>2006</v>
      </c>
      <c r="D2" s="532"/>
      <c r="E2" s="531">
        <v>2006</v>
      </c>
      <c r="F2" s="531">
        <v>2007</v>
      </c>
      <c r="G2" s="532"/>
      <c r="H2" s="531">
        <v>2007</v>
      </c>
      <c r="I2" s="531">
        <v>2008</v>
      </c>
      <c r="J2" s="532"/>
      <c r="K2" s="531">
        <v>2008</v>
      </c>
      <c r="L2" s="531">
        <v>2009</v>
      </c>
      <c r="M2" s="532"/>
      <c r="N2" s="531">
        <v>2009</v>
      </c>
      <c r="O2" s="531">
        <v>2010</v>
      </c>
      <c r="P2" s="532"/>
      <c r="Q2" s="531">
        <v>2010</v>
      </c>
      <c r="R2" s="531">
        <v>2011</v>
      </c>
      <c r="S2" s="532"/>
      <c r="T2" s="531">
        <v>2011</v>
      </c>
      <c r="U2" s="531">
        <v>2012</v>
      </c>
      <c r="V2" s="627"/>
      <c r="W2" s="531">
        <v>2012</v>
      </c>
      <c r="X2" s="531">
        <v>2013</v>
      </c>
      <c r="Y2" s="532"/>
      <c r="Z2" s="531">
        <v>2013</v>
      </c>
      <c r="AA2" s="531">
        <v>2014</v>
      </c>
      <c r="AB2" s="532"/>
      <c r="AC2" s="531">
        <v>2014</v>
      </c>
      <c r="AD2" s="531">
        <v>2015</v>
      </c>
      <c r="AE2" s="532"/>
      <c r="AF2" s="531">
        <v>2015</v>
      </c>
      <c r="AG2" s="531">
        <v>2016</v>
      </c>
      <c r="AH2" s="532"/>
      <c r="AI2" s="531">
        <v>2016</v>
      </c>
      <c r="AJ2" s="531">
        <v>2017</v>
      </c>
      <c r="AK2" s="532"/>
      <c r="AL2" s="531">
        <v>2017</v>
      </c>
      <c r="AM2" s="531">
        <v>2018</v>
      </c>
      <c r="AN2" s="532"/>
      <c r="AO2" s="531">
        <v>2018</v>
      </c>
      <c r="AP2" s="531">
        <v>2019</v>
      </c>
      <c r="AQ2" s="532"/>
      <c r="AR2" s="531">
        <v>2019</v>
      </c>
      <c r="AS2" s="531">
        <v>2020</v>
      </c>
      <c r="AT2" s="532"/>
      <c r="AU2" s="531">
        <v>2020</v>
      </c>
      <c r="AV2" s="531">
        <v>2021</v>
      </c>
      <c r="AW2" s="532"/>
      <c r="AX2" s="531">
        <v>2021</v>
      </c>
      <c r="AY2" s="531">
        <v>2022</v>
      </c>
      <c r="AZ2" s="532"/>
      <c r="BA2" s="531">
        <v>2022</v>
      </c>
      <c r="BJ2" s="529">
        <f t="shared" ref="BJ2:BJ33" si="0">E2</f>
        <v>2006</v>
      </c>
      <c r="BK2" s="529">
        <f t="shared" ref="BK2:BK33" si="1">H2</f>
        <v>2007</v>
      </c>
      <c r="BL2" s="529">
        <f t="shared" ref="BL2:BL33" si="2">K2</f>
        <v>2008</v>
      </c>
      <c r="BM2" s="529">
        <f t="shared" ref="BM2:BM33" si="3">N2</f>
        <v>2009</v>
      </c>
      <c r="BN2" s="529">
        <f t="shared" ref="BN2:BN33" si="4">Q2</f>
        <v>2010</v>
      </c>
      <c r="BO2" s="529">
        <f t="shared" ref="BO2:BO33" si="5">T2</f>
        <v>2011</v>
      </c>
      <c r="BP2" s="529">
        <f t="shared" ref="BP2:BP33" si="6">W2</f>
        <v>2012</v>
      </c>
      <c r="BQ2" s="529">
        <f t="shared" ref="BQ2:BQ33" si="7">Z2</f>
        <v>2013</v>
      </c>
      <c r="BR2" s="529">
        <f t="shared" ref="BR2:BR33" si="8">AC2</f>
        <v>2014</v>
      </c>
      <c r="BS2" s="529">
        <f t="shared" ref="BS2:BS33" si="9">AF2</f>
        <v>2015</v>
      </c>
      <c r="BT2" s="529">
        <f t="shared" ref="BT2:BT33" si="10">AI2</f>
        <v>2016</v>
      </c>
      <c r="BU2" s="529">
        <f t="shared" ref="BU2:BU33" si="11">AL2</f>
        <v>2017</v>
      </c>
      <c r="BV2" s="529">
        <f t="shared" ref="BV2:BV33" si="12">AO2</f>
        <v>2018</v>
      </c>
      <c r="BW2" s="529">
        <f t="shared" ref="BW2:BW33" si="13">AR2</f>
        <v>2019</v>
      </c>
      <c r="BX2" s="529">
        <f>AU2</f>
        <v>2020</v>
      </c>
      <c r="BY2" s="529">
        <f>AX2</f>
        <v>2021</v>
      </c>
      <c r="BZ2" s="529">
        <f>BA2</f>
        <v>2022</v>
      </c>
      <c r="CB2" s="529">
        <f t="shared" ref="CB2:CB33" si="14">C2</f>
        <v>2006</v>
      </c>
      <c r="CC2" s="529">
        <f t="shared" ref="CC2:CC33" si="15">F2</f>
        <v>2007</v>
      </c>
      <c r="CD2" s="529">
        <f t="shared" ref="CD2:CD33" si="16">I2</f>
        <v>2008</v>
      </c>
      <c r="CE2" s="529">
        <f t="shared" ref="CE2:CE33" si="17">L2</f>
        <v>2009</v>
      </c>
      <c r="CF2" s="529">
        <f t="shared" ref="CF2:CF33" si="18">O2</f>
        <v>2010</v>
      </c>
      <c r="CG2" s="529">
        <f t="shared" ref="CG2:CG33" si="19">R2</f>
        <v>2011</v>
      </c>
      <c r="CH2" s="529">
        <f t="shared" ref="CH2:CH33" si="20">U2</f>
        <v>2012</v>
      </c>
      <c r="CI2" s="529">
        <f t="shared" ref="CI2:CI33" si="21">X2</f>
        <v>2013</v>
      </c>
      <c r="CJ2" s="529">
        <f t="shared" ref="CJ2:CJ33" si="22">AA2</f>
        <v>2014</v>
      </c>
      <c r="CK2" s="529">
        <f t="shared" ref="CK2:CK33" si="23">AD2</f>
        <v>2015</v>
      </c>
      <c r="CL2" s="529">
        <f t="shared" ref="CL2:CL33" si="24">AG2</f>
        <v>2016</v>
      </c>
      <c r="CM2" s="529">
        <f t="shared" ref="CM2:CM33" si="25">AJ2</f>
        <v>2017</v>
      </c>
      <c r="CN2" s="529">
        <f t="shared" ref="CN2:CN33" si="26">AM2</f>
        <v>2018</v>
      </c>
      <c r="CO2" s="529">
        <f t="shared" ref="CO2:CO33" si="27">AP2</f>
        <v>2019</v>
      </c>
      <c r="CP2" s="529">
        <f>AS2</f>
        <v>2020</v>
      </c>
      <c r="CQ2" s="529">
        <f>AV2</f>
        <v>2021</v>
      </c>
      <c r="CR2" s="529">
        <f>AY2</f>
        <v>2022</v>
      </c>
    </row>
    <row r="3" spans="1:96" x14ac:dyDescent="0.2">
      <c r="A3" s="530"/>
      <c r="B3" s="530"/>
      <c r="C3" s="533" t="s">
        <v>491</v>
      </c>
      <c r="D3" s="534" t="s">
        <v>492</v>
      </c>
      <c r="E3" s="535" t="s">
        <v>617</v>
      </c>
      <c r="F3" s="536" t="s">
        <v>491</v>
      </c>
      <c r="G3" s="534" t="s">
        <v>492</v>
      </c>
      <c r="H3" s="535" t="s">
        <v>617</v>
      </c>
      <c r="I3" s="533" t="s">
        <v>491</v>
      </c>
      <c r="J3" s="534" t="s">
        <v>492</v>
      </c>
      <c r="K3" s="535" t="s">
        <v>617</v>
      </c>
      <c r="L3" s="533" t="s">
        <v>491</v>
      </c>
      <c r="M3" s="534" t="s">
        <v>492</v>
      </c>
      <c r="N3" s="535" t="s">
        <v>617</v>
      </c>
      <c r="O3" s="533" t="s">
        <v>491</v>
      </c>
      <c r="P3" s="534" t="s">
        <v>492</v>
      </c>
      <c r="Q3" s="535" t="s">
        <v>617</v>
      </c>
      <c r="R3" s="533" t="s">
        <v>491</v>
      </c>
      <c r="S3" s="534" t="s">
        <v>492</v>
      </c>
      <c r="T3" s="535" t="s">
        <v>617</v>
      </c>
      <c r="U3" s="533" t="s">
        <v>491</v>
      </c>
      <c r="V3" s="628" t="s">
        <v>492</v>
      </c>
      <c r="W3" s="535" t="s">
        <v>617</v>
      </c>
      <c r="X3" s="533" t="s">
        <v>491</v>
      </c>
      <c r="Y3" s="534" t="s">
        <v>492</v>
      </c>
      <c r="Z3" s="535" t="s">
        <v>617</v>
      </c>
      <c r="AA3" s="533" t="s">
        <v>491</v>
      </c>
      <c r="AB3" s="534" t="s">
        <v>492</v>
      </c>
      <c r="AC3" s="535" t="s">
        <v>617</v>
      </c>
      <c r="AD3" s="533" t="s">
        <v>491</v>
      </c>
      <c r="AE3" s="534" t="s">
        <v>492</v>
      </c>
      <c r="AF3" s="535" t="s">
        <v>617</v>
      </c>
      <c r="AG3" s="533" t="s">
        <v>491</v>
      </c>
      <c r="AH3" s="534" t="s">
        <v>492</v>
      </c>
      <c r="AI3" s="535" t="s">
        <v>617</v>
      </c>
      <c r="AJ3" s="533" t="s">
        <v>491</v>
      </c>
      <c r="AK3" s="534" t="s">
        <v>492</v>
      </c>
      <c r="AL3" s="535" t="s">
        <v>617</v>
      </c>
      <c r="AM3" s="533" t="s">
        <v>491</v>
      </c>
      <c r="AN3" s="534" t="s">
        <v>492</v>
      </c>
      <c r="AO3" s="535" t="s">
        <v>617</v>
      </c>
      <c r="AP3" s="536" t="s">
        <v>491</v>
      </c>
      <c r="AQ3" s="534" t="s">
        <v>492</v>
      </c>
      <c r="AR3" s="535" t="s">
        <v>617</v>
      </c>
      <c r="AS3" s="536" t="s">
        <v>491</v>
      </c>
      <c r="AT3" s="534" t="s">
        <v>492</v>
      </c>
      <c r="AU3" s="535" t="s">
        <v>617</v>
      </c>
      <c r="AV3" s="536" t="s">
        <v>491</v>
      </c>
      <c r="AW3" s="534" t="s">
        <v>492</v>
      </c>
      <c r="AX3" s="535" t="s">
        <v>617</v>
      </c>
      <c r="AY3" s="536" t="s">
        <v>491</v>
      </c>
      <c r="AZ3" s="534" t="s">
        <v>492</v>
      </c>
      <c r="BA3" s="535" t="s">
        <v>617</v>
      </c>
      <c r="BJ3" s="529" t="str">
        <f t="shared" si="0"/>
        <v>USD</v>
      </c>
      <c r="BK3" s="529" t="str">
        <f t="shared" si="1"/>
        <v>USD</v>
      </c>
      <c r="BL3" s="529" t="str">
        <f t="shared" si="2"/>
        <v>USD</v>
      </c>
      <c r="BM3" s="529" t="str">
        <f t="shared" si="3"/>
        <v>USD</v>
      </c>
      <c r="BN3" s="529" t="str">
        <f t="shared" si="4"/>
        <v>USD</v>
      </c>
      <c r="BO3" s="529" t="str">
        <f t="shared" si="5"/>
        <v>USD</v>
      </c>
      <c r="BP3" s="529" t="str">
        <f t="shared" si="6"/>
        <v>USD</v>
      </c>
      <c r="BQ3" s="529" t="str">
        <f t="shared" si="7"/>
        <v>USD</v>
      </c>
      <c r="BR3" s="529" t="str">
        <f t="shared" si="8"/>
        <v>USD</v>
      </c>
      <c r="BS3" s="529" t="str">
        <f t="shared" si="9"/>
        <v>USD</v>
      </c>
      <c r="BT3" s="529" t="str">
        <f t="shared" si="10"/>
        <v>USD</v>
      </c>
      <c r="BU3" s="529" t="str">
        <f t="shared" si="11"/>
        <v>USD</v>
      </c>
      <c r="BV3" s="529" t="str">
        <f t="shared" si="12"/>
        <v>USD</v>
      </c>
      <c r="BW3" s="529" t="str">
        <f t="shared" si="13"/>
        <v>USD</v>
      </c>
      <c r="BX3" s="529" t="str">
        <f t="shared" ref="BX3:BX66" si="28">AU3</f>
        <v>USD</v>
      </c>
      <c r="BY3" s="529" t="str">
        <f t="shared" ref="BY3:BY66" si="29">AX3</f>
        <v>USD</v>
      </c>
      <c r="BZ3" s="529" t="str">
        <f t="shared" ref="BZ3:BZ66" si="30">BA3</f>
        <v>USD</v>
      </c>
      <c r="CB3" s="529" t="str">
        <f t="shared" si="14"/>
        <v>TONS</v>
      </c>
      <c r="CC3" s="529" t="str">
        <f t="shared" si="15"/>
        <v>TONS</v>
      </c>
      <c r="CD3" s="529" t="str">
        <f t="shared" si="16"/>
        <v>TONS</v>
      </c>
      <c r="CE3" s="529" t="str">
        <f t="shared" si="17"/>
        <v>TONS</v>
      </c>
      <c r="CF3" s="529" t="str">
        <f t="shared" si="18"/>
        <v>TONS</v>
      </c>
      <c r="CG3" s="529" t="str">
        <f t="shared" si="19"/>
        <v>TONS</v>
      </c>
      <c r="CH3" s="529" t="str">
        <f t="shared" si="20"/>
        <v>TONS</v>
      </c>
      <c r="CI3" s="529" t="str">
        <f t="shared" si="21"/>
        <v>TONS</v>
      </c>
      <c r="CJ3" s="529" t="str">
        <f t="shared" si="22"/>
        <v>TONS</v>
      </c>
      <c r="CK3" s="529" t="str">
        <f t="shared" si="23"/>
        <v>TONS</v>
      </c>
      <c r="CL3" s="529" t="str">
        <f t="shared" si="24"/>
        <v>TONS</v>
      </c>
      <c r="CM3" s="529" t="str">
        <f t="shared" si="25"/>
        <v>TONS</v>
      </c>
      <c r="CN3" s="529" t="str">
        <f t="shared" si="26"/>
        <v>TONS</v>
      </c>
      <c r="CO3" s="529" t="str">
        <f t="shared" si="27"/>
        <v>TONS</v>
      </c>
      <c r="CP3" s="529" t="str">
        <f t="shared" ref="CP3:CP66" si="31">AS3</f>
        <v>TONS</v>
      </c>
      <c r="CQ3" s="529" t="str">
        <f t="shared" ref="CQ3:CQ66" si="32">AV3</f>
        <v>TONS</v>
      </c>
      <c r="CR3" s="529" t="str">
        <f t="shared" ref="CR3:CR66" si="33">AY3</f>
        <v>TONS</v>
      </c>
    </row>
    <row r="4" spans="1:96" s="537" customFormat="1" x14ac:dyDescent="0.2">
      <c r="A4" s="757" t="s">
        <v>493</v>
      </c>
      <c r="B4" s="537" t="s">
        <v>494</v>
      </c>
      <c r="C4" s="538">
        <v>0</v>
      </c>
      <c r="D4" s="539"/>
      <c r="E4" s="540">
        <f>C4*D4/1000000</f>
        <v>0</v>
      </c>
      <c r="F4" s="541"/>
      <c r="G4" s="539"/>
      <c r="H4" s="540">
        <f>F4*G4/1000000</f>
        <v>0</v>
      </c>
      <c r="I4" s="542"/>
      <c r="J4" s="539"/>
      <c r="K4" s="540">
        <f>I4*J4/1000000</f>
        <v>0</v>
      </c>
      <c r="L4" s="538">
        <v>10386</v>
      </c>
      <c r="M4" s="539">
        <v>284</v>
      </c>
      <c r="N4" s="540">
        <f>L4*M4/1000000</f>
        <v>2.949624</v>
      </c>
      <c r="O4" s="538">
        <v>3343</v>
      </c>
      <c r="P4" s="539">
        <v>325</v>
      </c>
      <c r="Q4" s="540">
        <f>O4*P4/1000000</f>
        <v>1.0864750000000001</v>
      </c>
      <c r="R4" s="538">
        <f>500+1811.2+1688.8+1000+2000+1561.8+1438.2</f>
        <v>10000</v>
      </c>
      <c r="S4" s="539">
        <v>423</v>
      </c>
      <c r="T4" s="540">
        <f>R4*S4/1000000</f>
        <v>4.2300000000000004</v>
      </c>
      <c r="U4" s="538">
        <v>4048</v>
      </c>
      <c r="V4" s="629">
        <v>432</v>
      </c>
      <c r="W4" s="540">
        <f>U4*V4/1000000</f>
        <v>1.7487360000000001</v>
      </c>
      <c r="X4" s="538">
        <f>ROUND(+U4*X$1,0)</f>
        <v>4477</v>
      </c>
      <c r="Y4" s="539">
        <f>ROUND(V4*(1+Y$1),0)</f>
        <v>445</v>
      </c>
      <c r="Z4" s="540">
        <f>X4*Y4/1000000</f>
        <v>1.992265</v>
      </c>
      <c r="AA4" s="538">
        <f>ROUND(+X4*AA$1,0)</f>
        <v>3795</v>
      </c>
      <c r="AB4" s="539">
        <f>ROUND(Y4*(1+AB$1),0)</f>
        <v>458</v>
      </c>
      <c r="AC4" s="540">
        <f>AA4*AB4/1000000</f>
        <v>1.73811</v>
      </c>
      <c r="AD4" s="538">
        <f>ROUND(+AA4*AD$1,0)</f>
        <v>3049</v>
      </c>
      <c r="AE4" s="539">
        <f>ROUND(AB4*(1+AE$1),0)</f>
        <v>472</v>
      </c>
      <c r="AF4" s="540">
        <f>AD4*AE4/1000000</f>
        <v>1.439128</v>
      </c>
      <c r="AG4" s="538">
        <f>ROUND(+AD4*AG$1,0)</f>
        <v>3049</v>
      </c>
      <c r="AH4" s="539">
        <f>ROUND(AE4*(1+AH$1),0)</f>
        <v>486</v>
      </c>
      <c r="AI4" s="540">
        <f>AG4*AH4/1000000</f>
        <v>1.481814</v>
      </c>
      <c r="AJ4" s="538">
        <f>ROUND(+AG4*AJ$1,0)</f>
        <v>3049</v>
      </c>
      <c r="AK4" s="539">
        <f>ROUND(AH4*(1+AK$1),0)</f>
        <v>501</v>
      </c>
      <c r="AL4" s="540">
        <f>AJ4*AK4/1000000</f>
        <v>1.527549</v>
      </c>
      <c r="AM4" s="538">
        <f>ROUND(+AJ4*AM$1,0)</f>
        <v>3049</v>
      </c>
      <c r="AN4" s="539">
        <f>ROUND(AK4*(1+AN$1),0)</f>
        <v>516</v>
      </c>
      <c r="AO4" s="540">
        <f>AM4*AN4/1000000</f>
        <v>1.5732839999999999</v>
      </c>
      <c r="AP4" s="538">
        <f>ROUND(+AM4*AP$1,0)</f>
        <v>3049</v>
      </c>
      <c r="AQ4" s="539">
        <f>ROUND(AN4*(1+AQ$1),0)</f>
        <v>531</v>
      </c>
      <c r="AR4" s="540">
        <f>AP4*AQ4/1000000</f>
        <v>1.619019</v>
      </c>
      <c r="AS4" s="538">
        <f>ROUND(+AP4*AS$1,0)</f>
        <v>3049</v>
      </c>
      <c r="AT4" s="539">
        <f>ROUND(AQ4*(1+AT$1),0)</f>
        <v>547</v>
      </c>
      <c r="AU4" s="540">
        <f>AS4*AT4/1000000</f>
        <v>1.6678029999999999</v>
      </c>
      <c r="AV4" s="538">
        <f>ROUND(+AS4*AV$1,0)</f>
        <v>3049</v>
      </c>
      <c r="AW4" s="539">
        <f>ROUND(AT4*(1+AW$1),0)</f>
        <v>563</v>
      </c>
      <c r="AX4" s="540">
        <f>AV4*AW4/1000000</f>
        <v>1.7165870000000001</v>
      </c>
      <c r="AY4" s="538">
        <f>ROUND(+AV4*AY$1,0)</f>
        <v>3049</v>
      </c>
      <c r="AZ4" s="539">
        <f>ROUND(AW4*(1+AZ$1),0)</f>
        <v>580</v>
      </c>
      <c r="BA4" s="540">
        <f>AY4*AZ4/1000000</f>
        <v>1.7684200000000001</v>
      </c>
      <c r="BD4" s="729"/>
      <c r="BI4" s="737"/>
      <c r="BJ4" s="529">
        <f t="shared" si="0"/>
        <v>0</v>
      </c>
      <c r="BK4" s="529">
        <f t="shared" si="1"/>
        <v>0</v>
      </c>
      <c r="BL4" s="529">
        <f t="shared" si="2"/>
        <v>0</v>
      </c>
      <c r="BM4" s="529">
        <f t="shared" si="3"/>
        <v>2.949624</v>
      </c>
      <c r="BN4" s="529">
        <f t="shared" si="4"/>
        <v>1.0864750000000001</v>
      </c>
      <c r="BO4" s="529">
        <f t="shared" si="5"/>
        <v>4.2300000000000004</v>
      </c>
      <c r="BP4" s="529">
        <f t="shared" si="6"/>
        <v>1.7487360000000001</v>
      </c>
      <c r="BQ4" s="529">
        <f t="shared" si="7"/>
        <v>1.992265</v>
      </c>
      <c r="BR4" s="529">
        <f t="shared" si="8"/>
        <v>1.73811</v>
      </c>
      <c r="BS4" s="529">
        <f t="shared" si="9"/>
        <v>1.439128</v>
      </c>
      <c r="BT4" s="529">
        <f t="shared" si="10"/>
        <v>1.481814</v>
      </c>
      <c r="BU4" s="529">
        <f t="shared" si="11"/>
        <v>1.527549</v>
      </c>
      <c r="BV4" s="529">
        <f t="shared" si="12"/>
        <v>1.5732839999999999</v>
      </c>
      <c r="BW4" s="529">
        <f t="shared" si="13"/>
        <v>1.619019</v>
      </c>
      <c r="BX4" s="529">
        <f t="shared" si="28"/>
        <v>1.6678029999999999</v>
      </c>
      <c r="BY4" s="529">
        <f t="shared" si="29"/>
        <v>1.7165870000000001</v>
      </c>
      <c r="BZ4" s="529">
        <f t="shared" si="30"/>
        <v>1.7684200000000001</v>
      </c>
      <c r="CA4" s="737"/>
      <c r="CB4" s="529">
        <f t="shared" si="14"/>
        <v>0</v>
      </c>
      <c r="CC4" s="529">
        <f t="shared" si="15"/>
        <v>0</v>
      </c>
      <c r="CD4" s="529">
        <f t="shared" si="16"/>
        <v>0</v>
      </c>
      <c r="CE4" s="529">
        <f t="shared" si="17"/>
        <v>10386</v>
      </c>
      <c r="CF4" s="529">
        <f t="shared" si="18"/>
        <v>3343</v>
      </c>
      <c r="CG4" s="529">
        <f t="shared" si="19"/>
        <v>10000</v>
      </c>
      <c r="CH4" s="529">
        <f t="shared" si="20"/>
        <v>4048</v>
      </c>
      <c r="CI4" s="529">
        <f t="shared" si="21"/>
        <v>4477</v>
      </c>
      <c r="CJ4" s="529">
        <f t="shared" si="22"/>
        <v>3795</v>
      </c>
      <c r="CK4" s="529">
        <f t="shared" si="23"/>
        <v>3049</v>
      </c>
      <c r="CL4" s="529">
        <f t="shared" si="24"/>
        <v>3049</v>
      </c>
      <c r="CM4" s="529">
        <f t="shared" si="25"/>
        <v>3049</v>
      </c>
      <c r="CN4" s="529">
        <f t="shared" si="26"/>
        <v>3049</v>
      </c>
      <c r="CO4" s="529">
        <f t="shared" si="27"/>
        <v>3049</v>
      </c>
      <c r="CP4" s="529">
        <f t="shared" si="31"/>
        <v>3049</v>
      </c>
      <c r="CQ4" s="529">
        <f t="shared" si="32"/>
        <v>3049</v>
      </c>
      <c r="CR4" s="529">
        <f t="shared" si="33"/>
        <v>3049</v>
      </c>
    </row>
    <row r="5" spans="1:96" s="537" customFormat="1" x14ac:dyDescent="0.2">
      <c r="A5" s="757"/>
      <c r="B5" s="537" t="s">
        <v>618</v>
      </c>
      <c r="C5" s="538"/>
      <c r="D5" s="539"/>
      <c r="E5" s="540">
        <f t="shared" ref="E5:E17" si="34">C5*D5/1000000</f>
        <v>0</v>
      </c>
      <c r="F5" s="541"/>
      <c r="G5" s="539"/>
      <c r="H5" s="540">
        <f t="shared" ref="H5:H17" si="35">F5*G5/1000000</f>
        <v>0</v>
      </c>
      <c r="I5" s="538">
        <v>500</v>
      </c>
      <c r="J5" s="539">
        <v>158</v>
      </c>
      <c r="K5" s="540">
        <f t="shared" ref="K5:K17" si="36">I5*J5/1000000</f>
        <v>7.9000000000000001E-2</v>
      </c>
      <c r="L5" s="538"/>
      <c r="M5" s="539"/>
      <c r="N5" s="540">
        <f t="shared" ref="N5:N17" si="37">L5*M5/1000000</f>
        <v>0</v>
      </c>
      <c r="O5" s="538"/>
      <c r="P5" s="539"/>
      <c r="Q5" s="540">
        <f t="shared" ref="Q5:Q17" si="38">O5*P5/1000000</f>
        <v>0</v>
      </c>
      <c r="R5" s="538">
        <v>1303.8</v>
      </c>
      <c r="S5" s="539">
        <v>296</v>
      </c>
      <c r="T5" s="540">
        <f t="shared" ref="T5:T17" si="39">R5*S5/1000000</f>
        <v>0.38592480000000001</v>
      </c>
      <c r="U5" s="538"/>
      <c r="V5" s="629"/>
      <c r="W5" s="540">
        <f t="shared" ref="W5:W17" si="40">U5*V5/1000000</f>
        <v>0</v>
      </c>
      <c r="X5" s="538"/>
      <c r="Y5" s="539">
        <f t="shared" ref="Y5:Y25" si="41">ROUND(V5*(1+Y$1),0)</f>
        <v>0</v>
      </c>
      <c r="Z5" s="540">
        <f t="shared" ref="Z5:Z17" si="42">X5*Y5/1000000</f>
        <v>0</v>
      </c>
      <c r="AA5" s="538"/>
      <c r="AB5" s="539">
        <f t="shared" ref="AB5:AB7" si="43">ROUND(Y5*(1+AB$1),0)</f>
        <v>0</v>
      </c>
      <c r="AC5" s="540">
        <f t="shared" ref="AC5:AC17" si="44">AA5*AB5/1000000</f>
        <v>0</v>
      </c>
      <c r="AD5" s="538"/>
      <c r="AE5" s="539">
        <f t="shared" ref="AE5:AE7" si="45">ROUND(AB5*(1+AE$1),0)</f>
        <v>0</v>
      </c>
      <c r="AF5" s="540">
        <f t="shared" ref="AF5:AF17" si="46">AD5*AE5/1000000</f>
        <v>0</v>
      </c>
      <c r="AG5" s="538"/>
      <c r="AH5" s="539">
        <f t="shared" ref="AH5:AH7" si="47">ROUND(AE5*(1+AH$1),0)</f>
        <v>0</v>
      </c>
      <c r="AI5" s="540">
        <f t="shared" ref="AI5:AI17" si="48">AG5*AH5/1000000</f>
        <v>0</v>
      </c>
      <c r="AJ5" s="538"/>
      <c r="AK5" s="539">
        <f t="shared" ref="AK5:AK7" si="49">ROUND(AH5*(1+AK$1),0)</f>
        <v>0</v>
      </c>
      <c r="AL5" s="540">
        <f t="shared" ref="AL5:AL17" si="50">AJ5*AK5/1000000</f>
        <v>0</v>
      </c>
      <c r="AM5" s="538"/>
      <c r="AN5" s="539">
        <f t="shared" ref="AN5:AN7" si="51">ROUND(AK5*(1+AN$1),0)</f>
        <v>0</v>
      </c>
      <c r="AO5" s="540">
        <f t="shared" ref="AO5:AO17" si="52">AM5*AN5/1000000</f>
        <v>0</v>
      </c>
      <c r="AP5" s="538"/>
      <c r="AQ5" s="539">
        <f t="shared" ref="AQ5:AQ7" si="53">ROUND(AN5*(1+AQ$1),0)</f>
        <v>0</v>
      </c>
      <c r="AR5" s="540">
        <f t="shared" ref="AR5:AR17" si="54">AP5*AQ5/1000000</f>
        <v>0</v>
      </c>
      <c r="AS5" s="538"/>
      <c r="AT5" s="539">
        <f t="shared" ref="AT5:AT7" si="55">ROUND(AQ5*(1+AT$1),0)</f>
        <v>0</v>
      </c>
      <c r="AU5" s="540">
        <f t="shared" ref="AU5:AU7" si="56">AS5*AT5/1000000</f>
        <v>0</v>
      </c>
      <c r="AV5" s="538"/>
      <c r="AW5" s="539">
        <f t="shared" ref="AW5:AW7" si="57">ROUND(AT5*(1+AW$1),0)</f>
        <v>0</v>
      </c>
      <c r="AX5" s="540">
        <f t="shared" ref="AX5:AX7" si="58">AV5*AW5/1000000</f>
        <v>0</v>
      </c>
      <c r="AY5" s="538"/>
      <c r="AZ5" s="539">
        <f t="shared" ref="AZ5:AZ7" si="59">ROUND(AW5*(1+AZ$1),0)</f>
        <v>0</v>
      </c>
      <c r="BA5" s="540">
        <f t="shared" ref="BA5:BA7" si="60">AY5*AZ5/1000000</f>
        <v>0</v>
      </c>
      <c r="BD5" s="729"/>
      <c r="BI5" s="737"/>
      <c r="BJ5" s="529">
        <f t="shared" si="0"/>
        <v>0</v>
      </c>
      <c r="BK5" s="529">
        <f t="shared" si="1"/>
        <v>0</v>
      </c>
      <c r="BL5" s="529">
        <f t="shared" si="2"/>
        <v>7.9000000000000001E-2</v>
      </c>
      <c r="BM5" s="529">
        <f t="shared" si="3"/>
        <v>0</v>
      </c>
      <c r="BN5" s="529">
        <f t="shared" si="4"/>
        <v>0</v>
      </c>
      <c r="BO5" s="529">
        <f t="shared" si="5"/>
        <v>0.38592480000000001</v>
      </c>
      <c r="BP5" s="529">
        <f t="shared" si="6"/>
        <v>0</v>
      </c>
      <c r="BQ5" s="529">
        <f t="shared" si="7"/>
        <v>0</v>
      </c>
      <c r="BR5" s="529">
        <f t="shared" si="8"/>
        <v>0</v>
      </c>
      <c r="BS5" s="529">
        <f t="shared" si="9"/>
        <v>0</v>
      </c>
      <c r="BT5" s="529">
        <f t="shared" si="10"/>
        <v>0</v>
      </c>
      <c r="BU5" s="529">
        <f t="shared" si="11"/>
        <v>0</v>
      </c>
      <c r="BV5" s="529">
        <f t="shared" si="12"/>
        <v>0</v>
      </c>
      <c r="BW5" s="529">
        <f t="shared" si="13"/>
        <v>0</v>
      </c>
      <c r="BX5" s="529">
        <f t="shared" si="28"/>
        <v>0</v>
      </c>
      <c r="BY5" s="529">
        <f t="shared" si="29"/>
        <v>0</v>
      </c>
      <c r="BZ5" s="529">
        <f t="shared" si="30"/>
        <v>0</v>
      </c>
      <c r="CA5" s="737"/>
      <c r="CB5" s="529">
        <f t="shared" si="14"/>
        <v>0</v>
      </c>
      <c r="CC5" s="529">
        <f t="shared" si="15"/>
        <v>0</v>
      </c>
      <c r="CD5" s="529">
        <f t="shared" si="16"/>
        <v>500</v>
      </c>
      <c r="CE5" s="529">
        <f t="shared" si="17"/>
        <v>0</v>
      </c>
      <c r="CF5" s="529">
        <f t="shared" si="18"/>
        <v>0</v>
      </c>
      <c r="CG5" s="529">
        <f t="shared" si="19"/>
        <v>1303.8</v>
      </c>
      <c r="CH5" s="529">
        <f t="shared" si="20"/>
        <v>0</v>
      </c>
      <c r="CI5" s="529">
        <f t="shared" si="21"/>
        <v>0</v>
      </c>
      <c r="CJ5" s="529">
        <f t="shared" si="22"/>
        <v>0</v>
      </c>
      <c r="CK5" s="529">
        <f t="shared" si="23"/>
        <v>0</v>
      </c>
      <c r="CL5" s="529">
        <f t="shared" si="24"/>
        <v>0</v>
      </c>
      <c r="CM5" s="529">
        <f t="shared" si="25"/>
        <v>0</v>
      </c>
      <c r="CN5" s="529">
        <f t="shared" si="26"/>
        <v>0</v>
      </c>
      <c r="CO5" s="529">
        <f t="shared" si="27"/>
        <v>0</v>
      </c>
      <c r="CP5" s="529">
        <f t="shared" si="31"/>
        <v>0</v>
      </c>
      <c r="CQ5" s="529">
        <f t="shared" si="32"/>
        <v>0</v>
      </c>
      <c r="CR5" s="529">
        <f t="shared" si="33"/>
        <v>0</v>
      </c>
    </row>
    <row r="6" spans="1:96" s="537" customFormat="1" x14ac:dyDescent="0.2">
      <c r="A6" s="757"/>
      <c r="B6" s="537" t="s">
        <v>495</v>
      </c>
      <c r="C6" s="538">
        <v>127</v>
      </c>
      <c r="D6" s="539">
        <v>132</v>
      </c>
      <c r="E6" s="540">
        <f t="shared" si="34"/>
        <v>1.6764000000000001E-2</v>
      </c>
      <c r="F6" s="541">
        <v>8230</v>
      </c>
      <c r="G6" s="539">
        <v>132</v>
      </c>
      <c r="H6" s="540">
        <f t="shared" si="35"/>
        <v>1.08636</v>
      </c>
      <c r="I6" s="538"/>
      <c r="J6" s="539"/>
      <c r="K6" s="540">
        <f t="shared" si="36"/>
        <v>0</v>
      </c>
      <c r="L6" s="538"/>
      <c r="M6" s="539"/>
      <c r="N6" s="540">
        <f t="shared" si="37"/>
        <v>0</v>
      </c>
      <c r="O6" s="538"/>
      <c r="P6" s="539"/>
      <c r="Q6" s="540">
        <f t="shared" si="38"/>
        <v>0</v>
      </c>
      <c r="R6" s="538"/>
      <c r="S6" s="539"/>
      <c r="T6" s="540">
        <f t="shared" si="39"/>
        <v>0</v>
      </c>
      <c r="U6" s="538"/>
      <c r="V6" s="629"/>
      <c r="W6" s="540">
        <f t="shared" si="40"/>
        <v>0</v>
      </c>
      <c r="X6" s="538"/>
      <c r="Y6" s="539">
        <f t="shared" si="41"/>
        <v>0</v>
      </c>
      <c r="Z6" s="540">
        <f t="shared" si="42"/>
        <v>0</v>
      </c>
      <c r="AA6" s="538"/>
      <c r="AB6" s="539">
        <f t="shared" si="43"/>
        <v>0</v>
      </c>
      <c r="AC6" s="540">
        <f t="shared" si="44"/>
        <v>0</v>
      </c>
      <c r="AD6" s="538"/>
      <c r="AE6" s="539">
        <f t="shared" si="45"/>
        <v>0</v>
      </c>
      <c r="AF6" s="540">
        <f t="shared" si="46"/>
        <v>0</v>
      </c>
      <c r="AG6" s="538"/>
      <c r="AH6" s="539">
        <f t="shared" si="47"/>
        <v>0</v>
      </c>
      <c r="AI6" s="540">
        <f t="shared" si="48"/>
        <v>0</v>
      </c>
      <c r="AJ6" s="538"/>
      <c r="AK6" s="539">
        <f t="shared" si="49"/>
        <v>0</v>
      </c>
      <c r="AL6" s="540">
        <f t="shared" si="50"/>
        <v>0</v>
      </c>
      <c r="AM6" s="538"/>
      <c r="AN6" s="539">
        <f t="shared" si="51"/>
        <v>0</v>
      </c>
      <c r="AO6" s="540">
        <f t="shared" si="52"/>
        <v>0</v>
      </c>
      <c r="AP6" s="538"/>
      <c r="AQ6" s="539">
        <f t="shared" si="53"/>
        <v>0</v>
      </c>
      <c r="AR6" s="540">
        <f t="shared" si="54"/>
        <v>0</v>
      </c>
      <c r="AS6" s="538"/>
      <c r="AT6" s="539">
        <f t="shared" si="55"/>
        <v>0</v>
      </c>
      <c r="AU6" s="540">
        <f t="shared" si="56"/>
        <v>0</v>
      </c>
      <c r="AV6" s="538"/>
      <c r="AW6" s="539">
        <f t="shared" si="57"/>
        <v>0</v>
      </c>
      <c r="AX6" s="540">
        <f t="shared" si="58"/>
        <v>0</v>
      </c>
      <c r="AY6" s="538"/>
      <c r="AZ6" s="539">
        <f t="shared" si="59"/>
        <v>0</v>
      </c>
      <c r="BA6" s="540">
        <f t="shared" si="60"/>
        <v>0</v>
      </c>
      <c r="BD6" s="729"/>
      <c r="BI6" s="737"/>
      <c r="BJ6" s="529">
        <f t="shared" si="0"/>
        <v>1.6764000000000001E-2</v>
      </c>
      <c r="BK6" s="529">
        <f t="shared" si="1"/>
        <v>1.08636</v>
      </c>
      <c r="BL6" s="529">
        <f t="shared" si="2"/>
        <v>0</v>
      </c>
      <c r="BM6" s="529">
        <f t="shared" si="3"/>
        <v>0</v>
      </c>
      <c r="BN6" s="529">
        <f t="shared" si="4"/>
        <v>0</v>
      </c>
      <c r="BO6" s="529">
        <f t="shared" si="5"/>
        <v>0</v>
      </c>
      <c r="BP6" s="529">
        <f t="shared" si="6"/>
        <v>0</v>
      </c>
      <c r="BQ6" s="529">
        <f t="shared" si="7"/>
        <v>0</v>
      </c>
      <c r="BR6" s="529">
        <f t="shared" si="8"/>
        <v>0</v>
      </c>
      <c r="BS6" s="529">
        <f t="shared" si="9"/>
        <v>0</v>
      </c>
      <c r="BT6" s="529">
        <f t="shared" si="10"/>
        <v>0</v>
      </c>
      <c r="BU6" s="529">
        <f t="shared" si="11"/>
        <v>0</v>
      </c>
      <c r="BV6" s="529">
        <f t="shared" si="12"/>
        <v>0</v>
      </c>
      <c r="BW6" s="529">
        <f t="shared" si="13"/>
        <v>0</v>
      </c>
      <c r="BX6" s="529">
        <f t="shared" si="28"/>
        <v>0</v>
      </c>
      <c r="BY6" s="529">
        <f t="shared" si="29"/>
        <v>0</v>
      </c>
      <c r="BZ6" s="529">
        <f t="shared" si="30"/>
        <v>0</v>
      </c>
      <c r="CA6" s="737"/>
      <c r="CB6" s="529">
        <f t="shared" si="14"/>
        <v>127</v>
      </c>
      <c r="CC6" s="529">
        <f t="shared" si="15"/>
        <v>8230</v>
      </c>
      <c r="CD6" s="529">
        <f t="shared" si="16"/>
        <v>0</v>
      </c>
      <c r="CE6" s="529">
        <f t="shared" si="17"/>
        <v>0</v>
      </c>
      <c r="CF6" s="529">
        <f t="shared" si="18"/>
        <v>0</v>
      </c>
      <c r="CG6" s="529">
        <f t="shared" si="19"/>
        <v>0</v>
      </c>
      <c r="CH6" s="529">
        <f t="shared" si="20"/>
        <v>0</v>
      </c>
      <c r="CI6" s="529">
        <f t="shared" si="21"/>
        <v>0</v>
      </c>
      <c r="CJ6" s="529">
        <f t="shared" si="22"/>
        <v>0</v>
      </c>
      <c r="CK6" s="529">
        <f t="shared" si="23"/>
        <v>0</v>
      </c>
      <c r="CL6" s="529">
        <f t="shared" si="24"/>
        <v>0</v>
      </c>
      <c r="CM6" s="529">
        <f t="shared" si="25"/>
        <v>0</v>
      </c>
      <c r="CN6" s="529">
        <f t="shared" si="26"/>
        <v>0</v>
      </c>
      <c r="CO6" s="529">
        <f t="shared" si="27"/>
        <v>0</v>
      </c>
      <c r="CP6" s="529">
        <f t="shared" si="31"/>
        <v>0</v>
      </c>
      <c r="CQ6" s="529">
        <f t="shared" si="32"/>
        <v>0</v>
      </c>
      <c r="CR6" s="529">
        <f t="shared" si="33"/>
        <v>0</v>
      </c>
    </row>
    <row r="7" spans="1:96" s="537" customFormat="1" x14ac:dyDescent="0.2">
      <c r="A7" s="757"/>
      <c r="B7" s="537" t="s">
        <v>113</v>
      </c>
      <c r="C7" s="538">
        <v>2969.1</v>
      </c>
      <c r="D7" s="539">
        <v>115</v>
      </c>
      <c r="E7" s="540">
        <f t="shared" si="34"/>
        <v>0.34144649999999999</v>
      </c>
      <c r="F7" s="541"/>
      <c r="G7" s="539"/>
      <c r="H7" s="540">
        <f t="shared" si="35"/>
        <v>0</v>
      </c>
      <c r="I7" s="538"/>
      <c r="J7" s="539"/>
      <c r="K7" s="540">
        <f t="shared" si="36"/>
        <v>0</v>
      </c>
      <c r="L7" s="538">
        <v>2000</v>
      </c>
      <c r="M7" s="539">
        <v>202</v>
      </c>
      <c r="N7" s="540">
        <f t="shared" si="37"/>
        <v>0.40400000000000003</v>
      </c>
      <c r="O7" s="538"/>
      <c r="P7" s="539"/>
      <c r="Q7" s="540">
        <f t="shared" si="38"/>
        <v>0</v>
      </c>
      <c r="R7" s="538"/>
      <c r="S7" s="539"/>
      <c r="T7" s="540">
        <f t="shared" si="39"/>
        <v>0</v>
      </c>
      <c r="U7" s="538"/>
      <c r="V7" s="629"/>
      <c r="W7" s="540">
        <f t="shared" si="40"/>
        <v>0</v>
      </c>
      <c r="X7" s="538"/>
      <c r="Y7" s="539">
        <f t="shared" si="41"/>
        <v>0</v>
      </c>
      <c r="Z7" s="540">
        <f t="shared" si="42"/>
        <v>0</v>
      </c>
      <c r="AA7" s="538"/>
      <c r="AB7" s="539">
        <f t="shared" si="43"/>
        <v>0</v>
      </c>
      <c r="AC7" s="540">
        <f t="shared" si="44"/>
        <v>0</v>
      </c>
      <c r="AD7" s="538"/>
      <c r="AE7" s="539">
        <f t="shared" si="45"/>
        <v>0</v>
      </c>
      <c r="AF7" s="540">
        <f t="shared" si="46"/>
        <v>0</v>
      </c>
      <c r="AG7" s="538"/>
      <c r="AH7" s="539">
        <f t="shared" si="47"/>
        <v>0</v>
      </c>
      <c r="AI7" s="540">
        <f t="shared" si="48"/>
        <v>0</v>
      </c>
      <c r="AJ7" s="538"/>
      <c r="AK7" s="539">
        <f t="shared" si="49"/>
        <v>0</v>
      </c>
      <c r="AL7" s="540">
        <f t="shared" si="50"/>
        <v>0</v>
      </c>
      <c r="AM7" s="538"/>
      <c r="AN7" s="539">
        <f t="shared" si="51"/>
        <v>0</v>
      </c>
      <c r="AO7" s="540">
        <f t="shared" si="52"/>
        <v>0</v>
      </c>
      <c r="AP7" s="538"/>
      <c r="AQ7" s="539">
        <f t="shared" si="53"/>
        <v>0</v>
      </c>
      <c r="AR7" s="540">
        <f t="shared" si="54"/>
        <v>0</v>
      </c>
      <c r="AS7" s="538"/>
      <c r="AT7" s="539">
        <f t="shared" si="55"/>
        <v>0</v>
      </c>
      <c r="AU7" s="540">
        <f t="shared" si="56"/>
        <v>0</v>
      </c>
      <c r="AV7" s="538"/>
      <c r="AW7" s="539">
        <f t="shared" si="57"/>
        <v>0</v>
      </c>
      <c r="AX7" s="540">
        <f t="shared" si="58"/>
        <v>0</v>
      </c>
      <c r="AY7" s="538"/>
      <c r="AZ7" s="539">
        <f t="shared" si="59"/>
        <v>0</v>
      </c>
      <c r="BA7" s="540">
        <f t="shared" si="60"/>
        <v>0</v>
      </c>
      <c r="BD7" s="729"/>
      <c r="BI7" s="737"/>
      <c r="BJ7" s="529">
        <f t="shared" si="0"/>
        <v>0.34144649999999999</v>
      </c>
      <c r="BK7" s="529">
        <f t="shared" si="1"/>
        <v>0</v>
      </c>
      <c r="BL7" s="529">
        <f t="shared" si="2"/>
        <v>0</v>
      </c>
      <c r="BM7" s="529">
        <f t="shared" si="3"/>
        <v>0.40400000000000003</v>
      </c>
      <c r="BN7" s="529">
        <f t="shared" si="4"/>
        <v>0</v>
      </c>
      <c r="BO7" s="529">
        <f t="shared" si="5"/>
        <v>0</v>
      </c>
      <c r="BP7" s="529">
        <f t="shared" si="6"/>
        <v>0</v>
      </c>
      <c r="BQ7" s="529">
        <f t="shared" si="7"/>
        <v>0</v>
      </c>
      <c r="BR7" s="529">
        <f t="shared" si="8"/>
        <v>0</v>
      </c>
      <c r="BS7" s="529">
        <f t="shared" si="9"/>
        <v>0</v>
      </c>
      <c r="BT7" s="529">
        <f t="shared" si="10"/>
        <v>0</v>
      </c>
      <c r="BU7" s="529">
        <f t="shared" si="11"/>
        <v>0</v>
      </c>
      <c r="BV7" s="529">
        <f t="shared" si="12"/>
        <v>0</v>
      </c>
      <c r="BW7" s="529">
        <f t="shared" si="13"/>
        <v>0</v>
      </c>
      <c r="BX7" s="529">
        <f t="shared" si="28"/>
        <v>0</v>
      </c>
      <c r="BY7" s="529">
        <f t="shared" si="29"/>
        <v>0</v>
      </c>
      <c r="BZ7" s="529">
        <f t="shared" si="30"/>
        <v>0</v>
      </c>
      <c r="CA7" s="737"/>
      <c r="CB7" s="529">
        <f t="shared" si="14"/>
        <v>2969.1</v>
      </c>
      <c r="CC7" s="529">
        <f t="shared" si="15"/>
        <v>0</v>
      </c>
      <c r="CD7" s="529">
        <f t="shared" si="16"/>
        <v>0</v>
      </c>
      <c r="CE7" s="529">
        <f t="shared" si="17"/>
        <v>2000</v>
      </c>
      <c r="CF7" s="529">
        <f t="shared" si="18"/>
        <v>0</v>
      </c>
      <c r="CG7" s="529">
        <f t="shared" si="19"/>
        <v>0</v>
      </c>
      <c r="CH7" s="529">
        <f t="shared" si="20"/>
        <v>0</v>
      </c>
      <c r="CI7" s="529">
        <f t="shared" si="21"/>
        <v>0</v>
      </c>
      <c r="CJ7" s="529">
        <f t="shared" si="22"/>
        <v>0</v>
      </c>
      <c r="CK7" s="529">
        <f t="shared" si="23"/>
        <v>0</v>
      </c>
      <c r="CL7" s="529">
        <f t="shared" si="24"/>
        <v>0</v>
      </c>
      <c r="CM7" s="529">
        <f t="shared" si="25"/>
        <v>0</v>
      </c>
      <c r="CN7" s="529">
        <f t="shared" si="26"/>
        <v>0</v>
      </c>
      <c r="CO7" s="529">
        <f t="shared" si="27"/>
        <v>0</v>
      </c>
      <c r="CP7" s="529">
        <f t="shared" si="31"/>
        <v>0</v>
      </c>
      <c r="CQ7" s="529">
        <f t="shared" si="32"/>
        <v>0</v>
      </c>
      <c r="CR7" s="529">
        <f t="shared" si="33"/>
        <v>0</v>
      </c>
    </row>
    <row r="8" spans="1:96" s="537" customFormat="1" ht="13.5" x14ac:dyDescent="0.25">
      <c r="A8" s="757"/>
      <c r="B8" s="537" t="s">
        <v>619</v>
      </c>
      <c r="C8" s="543">
        <f>C4*0.46+C6*0.24+C7*0.24</f>
        <v>743.06399999999996</v>
      </c>
      <c r="D8" s="544"/>
      <c r="E8" s="545">
        <f>SUM(E4:E7)</f>
        <v>0.35821049999999999</v>
      </c>
      <c r="F8" s="543">
        <f>F4*0.46+F6*0.24+F7*0.24</f>
        <v>1975.1999999999998</v>
      </c>
      <c r="G8" s="544"/>
      <c r="H8" s="545">
        <f>SUM(H4:H7)</f>
        <v>1.08636</v>
      </c>
      <c r="I8" s="543">
        <f>I4*0.46+I6*0.24+I7*0.24</f>
        <v>0</v>
      </c>
      <c r="J8" s="544"/>
      <c r="K8" s="545">
        <f>SUM(K4:K7)</f>
        <v>7.9000000000000001E-2</v>
      </c>
      <c r="L8" s="543">
        <f>L4*0.46+L6*0.24+L7*0.24</f>
        <v>5257.56</v>
      </c>
      <c r="M8" s="544"/>
      <c r="N8" s="545">
        <f>SUM(N4:N7)</f>
        <v>3.3536239999999999</v>
      </c>
      <c r="O8" s="543">
        <f>O4*0.46+O6*0.24+O7*0.24</f>
        <v>1537.78</v>
      </c>
      <c r="P8" s="544"/>
      <c r="Q8" s="545">
        <f>SUM(Q4:Q7)</f>
        <v>1.0864750000000001</v>
      </c>
      <c r="R8" s="543">
        <f>R4*0.46+R6*0.24+R7*0.24</f>
        <v>4600</v>
      </c>
      <c r="S8" s="544"/>
      <c r="T8" s="545">
        <f>SUM(T4:T7)</f>
        <v>4.6159248000000002</v>
      </c>
      <c r="U8" s="543">
        <f>U4*0.46+U6*0.24+U7*0.24</f>
        <v>1862.0800000000002</v>
      </c>
      <c r="V8" s="630"/>
      <c r="W8" s="545">
        <f>SUM(W4:W7)</f>
        <v>1.7487360000000001</v>
      </c>
      <c r="X8" s="543">
        <f>X4*0.46+X6*0.24+X7*0.24</f>
        <v>2059.42</v>
      </c>
      <c r="Y8" s="544"/>
      <c r="Z8" s="545">
        <f>SUM(Z4:Z7)</f>
        <v>1.992265</v>
      </c>
      <c r="AA8" s="543">
        <f>AA4*0.46+AA6*0.24+AA7*0.24</f>
        <v>1745.7</v>
      </c>
      <c r="AB8" s="544"/>
      <c r="AC8" s="545">
        <f>SUM(AC4:AC7)</f>
        <v>1.73811</v>
      </c>
      <c r="AD8" s="543">
        <f>AD4*0.46+AD6*0.24+AD7*0.24</f>
        <v>1402.54</v>
      </c>
      <c r="AE8" s="544"/>
      <c r="AF8" s="545">
        <f>SUM(AF4:AF7)</f>
        <v>1.439128</v>
      </c>
      <c r="AG8" s="543">
        <f>AG4*0.46+AG6*0.24+AG7*0.24</f>
        <v>1402.54</v>
      </c>
      <c r="AH8" s="544"/>
      <c r="AI8" s="545">
        <f>SUM(AI4:AI7)</f>
        <v>1.481814</v>
      </c>
      <c r="AJ8" s="543">
        <f>AJ4*0.46+AJ6*0.24+AJ7*0.24</f>
        <v>1402.54</v>
      </c>
      <c r="AK8" s="544"/>
      <c r="AL8" s="545">
        <f>SUM(AL4:AL7)</f>
        <v>1.527549</v>
      </c>
      <c r="AM8" s="543">
        <f>AM4*0.46+AM6*0.24+AM7*0.24</f>
        <v>1402.54</v>
      </c>
      <c r="AN8" s="544"/>
      <c r="AO8" s="545">
        <f>SUM(AO4:AO7)</f>
        <v>1.5732839999999999</v>
      </c>
      <c r="AP8" s="543">
        <f>AP4*0.46+AP6*0.24+AP7*0.24</f>
        <v>1402.54</v>
      </c>
      <c r="AQ8" s="544"/>
      <c r="AR8" s="545">
        <f>SUM(AR4:AR7)</f>
        <v>1.619019</v>
      </c>
      <c r="AS8" s="543">
        <f>AS4*0.46+AS6*0.24+AS7*0.24</f>
        <v>1402.54</v>
      </c>
      <c r="AT8" s="544"/>
      <c r="AU8" s="545">
        <f>SUM(AU4:AU7)</f>
        <v>1.6678029999999999</v>
      </c>
      <c r="AV8" s="543">
        <f>AV4*0.46+AV6*0.24+AV7*0.24</f>
        <v>1402.54</v>
      </c>
      <c r="AW8" s="544"/>
      <c r="AX8" s="545">
        <f>SUM(AX4:AX7)</f>
        <v>1.7165870000000001</v>
      </c>
      <c r="AY8" s="543">
        <f>AY4*0.46+AY6*0.24+AY7*0.24</f>
        <v>1402.54</v>
      </c>
      <c r="AZ8" s="544"/>
      <c r="BA8" s="545">
        <f>SUM(BA4:BA7)</f>
        <v>1.7684200000000001</v>
      </c>
      <c r="BD8" s="729"/>
      <c r="BI8" s="737"/>
      <c r="BJ8" s="529">
        <f t="shared" si="0"/>
        <v>0.35821049999999999</v>
      </c>
      <c r="BK8" s="529">
        <f t="shared" si="1"/>
        <v>1.08636</v>
      </c>
      <c r="BL8" s="529">
        <f t="shared" si="2"/>
        <v>7.9000000000000001E-2</v>
      </c>
      <c r="BM8" s="529">
        <f t="shared" si="3"/>
        <v>3.3536239999999999</v>
      </c>
      <c r="BN8" s="529">
        <f t="shared" si="4"/>
        <v>1.0864750000000001</v>
      </c>
      <c r="BO8" s="529">
        <f t="shared" si="5"/>
        <v>4.6159248000000002</v>
      </c>
      <c r="BP8" s="529">
        <f t="shared" si="6"/>
        <v>1.7487360000000001</v>
      </c>
      <c r="BQ8" s="529">
        <f t="shared" si="7"/>
        <v>1.992265</v>
      </c>
      <c r="BR8" s="529">
        <f t="shared" si="8"/>
        <v>1.73811</v>
      </c>
      <c r="BS8" s="529">
        <f t="shared" si="9"/>
        <v>1.439128</v>
      </c>
      <c r="BT8" s="529">
        <f t="shared" si="10"/>
        <v>1.481814</v>
      </c>
      <c r="BU8" s="529">
        <f t="shared" si="11"/>
        <v>1.527549</v>
      </c>
      <c r="BV8" s="529">
        <f t="shared" si="12"/>
        <v>1.5732839999999999</v>
      </c>
      <c r="BW8" s="529">
        <f t="shared" si="13"/>
        <v>1.619019</v>
      </c>
      <c r="BX8" s="529">
        <f t="shared" si="28"/>
        <v>1.6678029999999999</v>
      </c>
      <c r="BY8" s="529">
        <f t="shared" si="29"/>
        <v>1.7165870000000001</v>
      </c>
      <c r="BZ8" s="529">
        <f t="shared" si="30"/>
        <v>1.7684200000000001</v>
      </c>
      <c r="CA8" s="737"/>
      <c r="CB8" s="529">
        <f t="shared" si="14"/>
        <v>743.06399999999996</v>
      </c>
      <c r="CC8" s="529">
        <f t="shared" si="15"/>
        <v>1975.1999999999998</v>
      </c>
      <c r="CD8" s="529">
        <f t="shared" si="16"/>
        <v>0</v>
      </c>
      <c r="CE8" s="529">
        <f t="shared" si="17"/>
        <v>5257.56</v>
      </c>
      <c r="CF8" s="529">
        <f t="shared" si="18"/>
        <v>1537.78</v>
      </c>
      <c r="CG8" s="529">
        <f t="shared" si="19"/>
        <v>4600</v>
      </c>
      <c r="CH8" s="529">
        <f t="shared" si="20"/>
        <v>1862.0800000000002</v>
      </c>
      <c r="CI8" s="529">
        <f t="shared" si="21"/>
        <v>2059.42</v>
      </c>
      <c r="CJ8" s="529">
        <f t="shared" si="22"/>
        <v>1745.7</v>
      </c>
      <c r="CK8" s="529">
        <f t="shared" si="23"/>
        <v>1402.54</v>
      </c>
      <c r="CL8" s="529">
        <f t="shared" si="24"/>
        <v>1402.54</v>
      </c>
      <c r="CM8" s="529">
        <f t="shared" si="25"/>
        <v>1402.54</v>
      </c>
      <c r="CN8" s="529">
        <f t="shared" si="26"/>
        <v>1402.54</v>
      </c>
      <c r="CO8" s="529">
        <f t="shared" si="27"/>
        <v>1402.54</v>
      </c>
      <c r="CP8" s="529">
        <f t="shared" si="31"/>
        <v>1402.54</v>
      </c>
      <c r="CQ8" s="529">
        <f t="shared" si="32"/>
        <v>1402.54</v>
      </c>
      <c r="CR8" s="529">
        <f t="shared" si="33"/>
        <v>1402.54</v>
      </c>
    </row>
    <row r="9" spans="1:96" s="537" customFormat="1" x14ac:dyDescent="0.2">
      <c r="A9" s="757" t="s">
        <v>496</v>
      </c>
      <c r="B9" s="537" t="s">
        <v>494</v>
      </c>
      <c r="C9" s="538"/>
      <c r="D9" s="539"/>
      <c r="E9" s="540">
        <f>C9*D9/1000000</f>
        <v>0</v>
      </c>
      <c r="F9" s="541">
        <v>4000.1</v>
      </c>
      <c r="G9" s="539">
        <v>246</v>
      </c>
      <c r="H9" s="540">
        <f>F9*G9/1000000</f>
        <v>0.98402460000000003</v>
      </c>
      <c r="I9" s="546">
        <v>11053</v>
      </c>
      <c r="J9" s="539">
        <v>391</v>
      </c>
      <c r="K9" s="540">
        <f>I9*J9/1000000</f>
        <v>4.3217230000000004</v>
      </c>
      <c r="L9" s="538"/>
      <c r="M9" s="539"/>
      <c r="N9" s="540">
        <f>L9*M9/1000000</f>
        <v>0</v>
      </c>
      <c r="O9" s="538"/>
      <c r="P9" s="539"/>
      <c r="Q9" s="540">
        <f>O9*P9/1000000</f>
        <v>0</v>
      </c>
      <c r="R9" s="538">
        <v>1500</v>
      </c>
      <c r="S9" s="539">
        <v>382</v>
      </c>
      <c r="T9" s="540">
        <f>R9*S9/1000000</f>
        <v>0.57299999999999995</v>
      </c>
      <c r="U9" s="538"/>
      <c r="V9" s="629"/>
      <c r="W9" s="540">
        <f>U9*V9/1000000</f>
        <v>0</v>
      </c>
      <c r="X9" s="538"/>
      <c r="Y9" s="539">
        <f t="shared" si="41"/>
        <v>0</v>
      </c>
      <c r="Z9" s="540">
        <f>X9*Y9/1000000</f>
        <v>0</v>
      </c>
      <c r="AA9" s="538"/>
      <c r="AB9" s="539">
        <f t="shared" ref="AB9:AB12" si="61">ROUND(Y9*(1+AB$1),0)</f>
        <v>0</v>
      </c>
      <c r="AC9" s="540">
        <f>AA9*AB9/1000000</f>
        <v>0</v>
      </c>
      <c r="AD9" s="538"/>
      <c r="AE9" s="539">
        <f t="shared" ref="AE9:AE12" si="62">ROUND(AB9*(1+AE$1),0)</f>
        <v>0</v>
      </c>
      <c r="AF9" s="540">
        <f>AD9*AE9/1000000</f>
        <v>0</v>
      </c>
      <c r="AG9" s="538"/>
      <c r="AH9" s="539">
        <f t="shared" ref="AH9:AH12" si="63">ROUND(AE9*(1+AH$1),0)</f>
        <v>0</v>
      </c>
      <c r="AI9" s="540">
        <f>AG9*AH9/1000000</f>
        <v>0</v>
      </c>
      <c r="AJ9" s="538"/>
      <c r="AK9" s="539">
        <f t="shared" ref="AK9:AK12" si="64">ROUND(AH9*(1+AK$1),0)</f>
        <v>0</v>
      </c>
      <c r="AL9" s="540">
        <f>AJ9*AK9/1000000</f>
        <v>0</v>
      </c>
      <c r="AM9" s="538"/>
      <c r="AN9" s="539">
        <f t="shared" ref="AN9:AN12" si="65">ROUND(AK9*(1+AN$1),0)</f>
        <v>0</v>
      </c>
      <c r="AO9" s="540">
        <f>AM9*AN9/1000000</f>
        <v>0</v>
      </c>
      <c r="AP9" s="538"/>
      <c r="AQ9" s="539">
        <f t="shared" ref="AQ9:AQ12" si="66">ROUND(AN9*(1+AQ$1),0)</f>
        <v>0</v>
      </c>
      <c r="AR9" s="540">
        <f>AP9*AQ9/1000000</f>
        <v>0</v>
      </c>
      <c r="AS9" s="538"/>
      <c r="AT9" s="539">
        <f t="shared" ref="AT9:AT12" si="67">ROUND(AQ9*(1+AT$1),0)</f>
        <v>0</v>
      </c>
      <c r="AU9" s="540">
        <f>AS9*AT9/1000000</f>
        <v>0</v>
      </c>
      <c r="AV9" s="538"/>
      <c r="AW9" s="539">
        <f t="shared" ref="AW9:AW12" si="68">ROUND(AT9*(1+AW$1),0)</f>
        <v>0</v>
      </c>
      <c r="AX9" s="540">
        <f>AV9*AW9/1000000</f>
        <v>0</v>
      </c>
      <c r="AY9" s="538"/>
      <c r="AZ9" s="539">
        <f t="shared" ref="AZ9:AZ12" si="69">ROUND(AW9*(1+AZ$1),0)</f>
        <v>0</v>
      </c>
      <c r="BA9" s="540">
        <f>AY9*AZ9/1000000</f>
        <v>0</v>
      </c>
      <c r="BD9" s="729"/>
      <c r="BI9" s="737"/>
      <c r="BJ9" s="529">
        <f t="shared" si="0"/>
        <v>0</v>
      </c>
      <c r="BK9" s="529">
        <f t="shared" si="1"/>
        <v>0.98402460000000003</v>
      </c>
      <c r="BL9" s="529">
        <f t="shared" si="2"/>
        <v>4.3217230000000004</v>
      </c>
      <c r="BM9" s="529">
        <f t="shared" si="3"/>
        <v>0</v>
      </c>
      <c r="BN9" s="529">
        <f t="shared" si="4"/>
        <v>0</v>
      </c>
      <c r="BO9" s="529">
        <f t="shared" si="5"/>
        <v>0.57299999999999995</v>
      </c>
      <c r="BP9" s="529">
        <f t="shared" si="6"/>
        <v>0</v>
      </c>
      <c r="BQ9" s="529">
        <f t="shared" si="7"/>
        <v>0</v>
      </c>
      <c r="BR9" s="529">
        <f t="shared" si="8"/>
        <v>0</v>
      </c>
      <c r="BS9" s="529">
        <f t="shared" si="9"/>
        <v>0</v>
      </c>
      <c r="BT9" s="529">
        <f t="shared" si="10"/>
        <v>0</v>
      </c>
      <c r="BU9" s="529">
        <f t="shared" si="11"/>
        <v>0</v>
      </c>
      <c r="BV9" s="529">
        <f t="shared" si="12"/>
        <v>0</v>
      </c>
      <c r="BW9" s="529">
        <f t="shared" si="13"/>
        <v>0</v>
      </c>
      <c r="BX9" s="529">
        <f t="shared" si="28"/>
        <v>0</v>
      </c>
      <c r="BY9" s="529">
        <f t="shared" si="29"/>
        <v>0</v>
      </c>
      <c r="BZ9" s="529">
        <f t="shared" si="30"/>
        <v>0</v>
      </c>
      <c r="CA9" s="737"/>
      <c r="CB9" s="529">
        <f t="shared" si="14"/>
        <v>0</v>
      </c>
      <c r="CC9" s="529">
        <f t="shared" si="15"/>
        <v>4000.1</v>
      </c>
      <c r="CD9" s="529">
        <f t="shared" si="16"/>
        <v>11053</v>
      </c>
      <c r="CE9" s="529">
        <f t="shared" si="17"/>
        <v>0</v>
      </c>
      <c r="CF9" s="529">
        <f t="shared" si="18"/>
        <v>0</v>
      </c>
      <c r="CG9" s="529">
        <f t="shared" si="19"/>
        <v>1500</v>
      </c>
      <c r="CH9" s="529">
        <f t="shared" si="20"/>
        <v>0</v>
      </c>
      <c r="CI9" s="529">
        <f t="shared" si="21"/>
        <v>0</v>
      </c>
      <c r="CJ9" s="529">
        <f t="shared" si="22"/>
        <v>0</v>
      </c>
      <c r="CK9" s="529">
        <f t="shared" si="23"/>
        <v>0</v>
      </c>
      <c r="CL9" s="529">
        <f t="shared" si="24"/>
        <v>0</v>
      </c>
      <c r="CM9" s="529">
        <f t="shared" si="25"/>
        <v>0</v>
      </c>
      <c r="CN9" s="529">
        <f t="shared" si="26"/>
        <v>0</v>
      </c>
      <c r="CO9" s="529">
        <f t="shared" si="27"/>
        <v>0</v>
      </c>
      <c r="CP9" s="529">
        <f t="shared" si="31"/>
        <v>0</v>
      </c>
      <c r="CQ9" s="529">
        <f t="shared" si="32"/>
        <v>0</v>
      </c>
      <c r="CR9" s="529">
        <f t="shared" si="33"/>
        <v>0</v>
      </c>
    </row>
    <row r="10" spans="1:96" s="537" customFormat="1" x14ac:dyDescent="0.2">
      <c r="A10" s="757"/>
      <c r="B10" s="537" t="s">
        <v>618</v>
      </c>
      <c r="C10" s="538"/>
      <c r="D10" s="539"/>
      <c r="E10" s="540">
        <f t="shared" si="34"/>
        <v>0</v>
      </c>
      <c r="F10" s="541"/>
      <c r="G10" s="539"/>
      <c r="H10" s="540">
        <f t="shared" si="35"/>
        <v>0</v>
      </c>
      <c r="I10" s="538">
        <v>4615.6499999999996</v>
      </c>
      <c r="J10" s="539">
        <v>158</v>
      </c>
      <c r="K10" s="540">
        <f t="shared" si="36"/>
        <v>0.7292727</v>
      </c>
      <c r="L10" s="538"/>
      <c r="M10" s="539"/>
      <c r="N10" s="540">
        <f t="shared" si="37"/>
        <v>0</v>
      </c>
      <c r="O10" s="538"/>
      <c r="P10" s="539"/>
      <c r="Q10" s="540">
        <f t="shared" si="38"/>
        <v>0</v>
      </c>
      <c r="R10" s="538"/>
      <c r="S10" s="539"/>
      <c r="T10" s="540">
        <f t="shared" si="39"/>
        <v>0</v>
      </c>
      <c r="U10" s="538"/>
      <c r="V10" s="629"/>
      <c r="W10" s="540">
        <f t="shared" si="40"/>
        <v>0</v>
      </c>
      <c r="X10" s="538"/>
      <c r="Y10" s="539">
        <f t="shared" si="41"/>
        <v>0</v>
      </c>
      <c r="Z10" s="540">
        <f t="shared" si="42"/>
        <v>0</v>
      </c>
      <c r="AA10" s="538"/>
      <c r="AB10" s="539">
        <f t="shared" si="61"/>
        <v>0</v>
      </c>
      <c r="AC10" s="540">
        <f t="shared" si="44"/>
        <v>0</v>
      </c>
      <c r="AD10" s="538"/>
      <c r="AE10" s="539">
        <f t="shared" si="62"/>
        <v>0</v>
      </c>
      <c r="AF10" s="540">
        <f t="shared" si="46"/>
        <v>0</v>
      </c>
      <c r="AG10" s="538"/>
      <c r="AH10" s="539">
        <f t="shared" si="63"/>
        <v>0</v>
      </c>
      <c r="AI10" s="540">
        <f t="shared" si="48"/>
        <v>0</v>
      </c>
      <c r="AJ10" s="538"/>
      <c r="AK10" s="539">
        <f t="shared" si="64"/>
        <v>0</v>
      </c>
      <c r="AL10" s="540">
        <f t="shared" si="50"/>
        <v>0</v>
      </c>
      <c r="AM10" s="538"/>
      <c r="AN10" s="539">
        <f t="shared" si="65"/>
        <v>0</v>
      </c>
      <c r="AO10" s="540">
        <f t="shared" si="52"/>
        <v>0</v>
      </c>
      <c r="AP10" s="538"/>
      <c r="AQ10" s="539">
        <f t="shared" si="66"/>
        <v>0</v>
      </c>
      <c r="AR10" s="540">
        <f t="shared" si="54"/>
        <v>0</v>
      </c>
      <c r="AS10" s="538"/>
      <c r="AT10" s="539">
        <f t="shared" si="67"/>
        <v>0</v>
      </c>
      <c r="AU10" s="540">
        <f t="shared" ref="AU10:AU12" si="70">AS10*AT10/1000000</f>
        <v>0</v>
      </c>
      <c r="AV10" s="538"/>
      <c r="AW10" s="539">
        <f t="shared" si="68"/>
        <v>0</v>
      </c>
      <c r="AX10" s="540">
        <f t="shared" ref="AX10:AX12" si="71">AV10*AW10/1000000</f>
        <v>0</v>
      </c>
      <c r="AY10" s="538"/>
      <c r="AZ10" s="539">
        <f t="shared" si="69"/>
        <v>0</v>
      </c>
      <c r="BA10" s="540">
        <f t="shared" ref="BA10:BA12" si="72">AY10*AZ10/1000000</f>
        <v>0</v>
      </c>
      <c r="BD10" s="729"/>
      <c r="BI10" s="737"/>
      <c r="BJ10" s="529">
        <f t="shared" si="0"/>
        <v>0</v>
      </c>
      <c r="BK10" s="529">
        <f t="shared" si="1"/>
        <v>0</v>
      </c>
      <c r="BL10" s="529">
        <f t="shared" si="2"/>
        <v>0.7292727</v>
      </c>
      <c r="BM10" s="529">
        <f t="shared" si="3"/>
        <v>0</v>
      </c>
      <c r="BN10" s="529">
        <f t="shared" si="4"/>
        <v>0</v>
      </c>
      <c r="BO10" s="529">
        <f t="shared" si="5"/>
        <v>0</v>
      </c>
      <c r="BP10" s="529">
        <f t="shared" si="6"/>
        <v>0</v>
      </c>
      <c r="BQ10" s="529">
        <f t="shared" si="7"/>
        <v>0</v>
      </c>
      <c r="BR10" s="529">
        <f t="shared" si="8"/>
        <v>0</v>
      </c>
      <c r="BS10" s="529">
        <f t="shared" si="9"/>
        <v>0</v>
      </c>
      <c r="BT10" s="529">
        <f t="shared" si="10"/>
        <v>0</v>
      </c>
      <c r="BU10" s="529">
        <f t="shared" si="11"/>
        <v>0</v>
      </c>
      <c r="BV10" s="529">
        <f t="shared" si="12"/>
        <v>0</v>
      </c>
      <c r="BW10" s="529">
        <f t="shared" si="13"/>
        <v>0</v>
      </c>
      <c r="BX10" s="529">
        <f t="shared" si="28"/>
        <v>0</v>
      </c>
      <c r="BY10" s="529">
        <f t="shared" si="29"/>
        <v>0</v>
      </c>
      <c r="BZ10" s="529">
        <f t="shared" si="30"/>
        <v>0</v>
      </c>
      <c r="CA10" s="737"/>
      <c r="CB10" s="529">
        <f t="shared" si="14"/>
        <v>0</v>
      </c>
      <c r="CC10" s="529">
        <f t="shared" si="15"/>
        <v>0</v>
      </c>
      <c r="CD10" s="529">
        <f t="shared" si="16"/>
        <v>4615.6499999999996</v>
      </c>
      <c r="CE10" s="529">
        <f t="shared" si="17"/>
        <v>0</v>
      </c>
      <c r="CF10" s="529">
        <f t="shared" si="18"/>
        <v>0</v>
      </c>
      <c r="CG10" s="529">
        <f t="shared" si="19"/>
        <v>0</v>
      </c>
      <c r="CH10" s="529">
        <f t="shared" si="20"/>
        <v>0</v>
      </c>
      <c r="CI10" s="529">
        <f t="shared" si="21"/>
        <v>0</v>
      </c>
      <c r="CJ10" s="529">
        <f t="shared" si="22"/>
        <v>0</v>
      </c>
      <c r="CK10" s="529">
        <f t="shared" si="23"/>
        <v>0</v>
      </c>
      <c r="CL10" s="529">
        <f t="shared" si="24"/>
        <v>0</v>
      </c>
      <c r="CM10" s="529">
        <f t="shared" si="25"/>
        <v>0</v>
      </c>
      <c r="CN10" s="529">
        <f t="shared" si="26"/>
        <v>0</v>
      </c>
      <c r="CO10" s="529">
        <f t="shared" si="27"/>
        <v>0</v>
      </c>
      <c r="CP10" s="529">
        <f t="shared" si="31"/>
        <v>0</v>
      </c>
      <c r="CQ10" s="529">
        <f t="shared" si="32"/>
        <v>0</v>
      </c>
      <c r="CR10" s="529">
        <f t="shared" si="33"/>
        <v>0</v>
      </c>
    </row>
    <row r="11" spans="1:96" s="537" customFormat="1" x14ac:dyDescent="0.2">
      <c r="A11" s="757"/>
      <c r="B11" s="537" t="s">
        <v>495</v>
      </c>
      <c r="C11" s="538"/>
      <c r="D11" s="539"/>
      <c r="E11" s="540">
        <f t="shared" si="34"/>
        <v>0</v>
      </c>
      <c r="F11" s="541"/>
      <c r="G11" s="539"/>
      <c r="H11" s="540">
        <f t="shared" si="35"/>
        <v>0</v>
      </c>
      <c r="I11" s="538"/>
      <c r="J11" s="539"/>
      <c r="K11" s="540">
        <f t="shared" si="36"/>
        <v>0</v>
      </c>
      <c r="L11" s="538">
        <v>4983.2</v>
      </c>
      <c r="M11" s="539">
        <v>137</v>
      </c>
      <c r="N11" s="540">
        <f t="shared" si="37"/>
        <v>0.68269840000000004</v>
      </c>
      <c r="O11" s="538">
        <v>14516</v>
      </c>
      <c r="P11" s="539">
        <v>137.96624414439239</v>
      </c>
      <c r="Q11" s="540">
        <f t="shared" si="38"/>
        <v>2.0027180000000002</v>
      </c>
      <c r="R11" s="547"/>
      <c r="S11" s="539"/>
      <c r="T11" s="540">
        <f t="shared" si="39"/>
        <v>0</v>
      </c>
      <c r="U11" s="538">
        <v>13105</v>
      </c>
      <c r="V11" s="629">
        <v>250</v>
      </c>
      <c r="W11" s="540">
        <f t="shared" si="40"/>
        <v>3.2762500000000001</v>
      </c>
      <c r="X11" s="538">
        <f>ROUND(+U11*X$1,0)</f>
        <v>14493</v>
      </c>
      <c r="Y11" s="539">
        <f t="shared" si="41"/>
        <v>258</v>
      </c>
      <c r="Z11" s="540">
        <f t="shared" si="42"/>
        <v>3.7391939999999999</v>
      </c>
      <c r="AA11" s="538">
        <f>ROUND(+X11*AA$1,0)</f>
        <v>12286</v>
      </c>
      <c r="AB11" s="539">
        <f t="shared" si="61"/>
        <v>266</v>
      </c>
      <c r="AC11" s="540">
        <f t="shared" si="44"/>
        <v>3.2680760000000002</v>
      </c>
      <c r="AD11" s="538">
        <f>ROUND(+AA11*AD$1,0)</f>
        <v>9870</v>
      </c>
      <c r="AE11" s="539">
        <f t="shared" si="62"/>
        <v>274</v>
      </c>
      <c r="AF11" s="540">
        <f t="shared" si="46"/>
        <v>2.70438</v>
      </c>
      <c r="AG11" s="538">
        <f>ROUND(+AD11*AG$1,0)</f>
        <v>9870</v>
      </c>
      <c r="AH11" s="539">
        <f t="shared" si="63"/>
        <v>282</v>
      </c>
      <c r="AI11" s="540">
        <f t="shared" si="48"/>
        <v>2.7833399999999999</v>
      </c>
      <c r="AJ11" s="538">
        <f>ROUND(+AG11*AJ$1,0)</f>
        <v>9870</v>
      </c>
      <c r="AK11" s="539">
        <f t="shared" si="64"/>
        <v>290</v>
      </c>
      <c r="AL11" s="540">
        <f t="shared" si="50"/>
        <v>2.8622999999999998</v>
      </c>
      <c r="AM11" s="538">
        <f>ROUND(+AJ11*AM$1,0)</f>
        <v>9870</v>
      </c>
      <c r="AN11" s="539">
        <f t="shared" si="65"/>
        <v>299</v>
      </c>
      <c r="AO11" s="540">
        <f t="shared" si="52"/>
        <v>2.95113</v>
      </c>
      <c r="AP11" s="538">
        <f>ROUND(+AM11*AP$1,0)</f>
        <v>9870</v>
      </c>
      <c r="AQ11" s="539">
        <f t="shared" si="66"/>
        <v>308</v>
      </c>
      <c r="AR11" s="540">
        <f t="shared" si="54"/>
        <v>3.0399600000000002</v>
      </c>
      <c r="AS11" s="538">
        <f>ROUND(+AP11*AS$1,0)</f>
        <v>9870</v>
      </c>
      <c r="AT11" s="539">
        <f t="shared" si="67"/>
        <v>317</v>
      </c>
      <c r="AU11" s="540">
        <f t="shared" si="70"/>
        <v>3.12879</v>
      </c>
      <c r="AV11" s="538">
        <f>ROUND(+AS11*AV$1,0)</f>
        <v>9870</v>
      </c>
      <c r="AW11" s="539">
        <f t="shared" si="68"/>
        <v>327</v>
      </c>
      <c r="AX11" s="540">
        <f t="shared" si="71"/>
        <v>3.22749</v>
      </c>
      <c r="AY11" s="538">
        <f>ROUND(+AV11*AY$1,0)</f>
        <v>9870</v>
      </c>
      <c r="AZ11" s="539">
        <f t="shared" si="69"/>
        <v>337</v>
      </c>
      <c r="BA11" s="540">
        <f t="shared" si="72"/>
        <v>3.32619</v>
      </c>
      <c r="BD11" s="729"/>
      <c r="BI11" s="737"/>
      <c r="BJ11" s="529">
        <f t="shared" si="0"/>
        <v>0</v>
      </c>
      <c r="BK11" s="529">
        <f t="shared" si="1"/>
        <v>0</v>
      </c>
      <c r="BL11" s="529">
        <f t="shared" si="2"/>
        <v>0</v>
      </c>
      <c r="BM11" s="529">
        <f t="shared" si="3"/>
        <v>0.68269840000000004</v>
      </c>
      <c r="BN11" s="529">
        <f t="shared" si="4"/>
        <v>2.0027180000000002</v>
      </c>
      <c r="BO11" s="529">
        <f t="shared" si="5"/>
        <v>0</v>
      </c>
      <c r="BP11" s="529">
        <f t="shared" si="6"/>
        <v>3.2762500000000001</v>
      </c>
      <c r="BQ11" s="529">
        <f t="shared" si="7"/>
        <v>3.7391939999999999</v>
      </c>
      <c r="BR11" s="529">
        <f t="shared" si="8"/>
        <v>3.2680760000000002</v>
      </c>
      <c r="BS11" s="529">
        <f t="shared" si="9"/>
        <v>2.70438</v>
      </c>
      <c r="BT11" s="529">
        <f t="shared" si="10"/>
        <v>2.7833399999999999</v>
      </c>
      <c r="BU11" s="529">
        <f t="shared" si="11"/>
        <v>2.8622999999999998</v>
      </c>
      <c r="BV11" s="529">
        <f t="shared" si="12"/>
        <v>2.95113</v>
      </c>
      <c r="BW11" s="529">
        <f t="shared" si="13"/>
        <v>3.0399600000000002</v>
      </c>
      <c r="BX11" s="529">
        <f t="shared" si="28"/>
        <v>3.12879</v>
      </c>
      <c r="BY11" s="529">
        <f t="shared" si="29"/>
        <v>3.22749</v>
      </c>
      <c r="BZ11" s="529">
        <f t="shared" si="30"/>
        <v>3.32619</v>
      </c>
      <c r="CA11" s="737"/>
      <c r="CB11" s="529">
        <f t="shared" si="14"/>
        <v>0</v>
      </c>
      <c r="CC11" s="529">
        <f t="shared" si="15"/>
        <v>0</v>
      </c>
      <c r="CD11" s="529">
        <f t="shared" si="16"/>
        <v>0</v>
      </c>
      <c r="CE11" s="529">
        <f t="shared" si="17"/>
        <v>4983.2</v>
      </c>
      <c r="CF11" s="529">
        <f t="shared" si="18"/>
        <v>14516</v>
      </c>
      <c r="CG11" s="529">
        <f t="shared" si="19"/>
        <v>0</v>
      </c>
      <c r="CH11" s="529">
        <f t="shared" si="20"/>
        <v>13105</v>
      </c>
      <c r="CI11" s="529">
        <f t="shared" si="21"/>
        <v>14493</v>
      </c>
      <c r="CJ11" s="529">
        <f t="shared" si="22"/>
        <v>12286</v>
      </c>
      <c r="CK11" s="529">
        <f t="shared" si="23"/>
        <v>9870</v>
      </c>
      <c r="CL11" s="529">
        <f t="shared" si="24"/>
        <v>9870</v>
      </c>
      <c r="CM11" s="529">
        <f t="shared" si="25"/>
        <v>9870</v>
      </c>
      <c r="CN11" s="529">
        <f t="shared" si="26"/>
        <v>9870</v>
      </c>
      <c r="CO11" s="529">
        <f t="shared" si="27"/>
        <v>9870</v>
      </c>
      <c r="CP11" s="529">
        <f t="shared" si="31"/>
        <v>9870</v>
      </c>
      <c r="CQ11" s="529">
        <f t="shared" si="32"/>
        <v>9870</v>
      </c>
      <c r="CR11" s="529">
        <f t="shared" si="33"/>
        <v>9870</v>
      </c>
    </row>
    <row r="12" spans="1:96" s="537" customFormat="1" x14ac:dyDescent="0.2">
      <c r="A12" s="757"/>
      <c r="B12" s="537" t="s">
        <v>113</v>
      </c>
      <c r="C12" s="538"/>
      <c r="D12" s="539"/>
      <c r="E12" s="540">
        <f t="shared" si="34"/>
        <v>0</v>
      </c>
      <c r="F12" s="541"/>
      <c r="G12" s="539"/>
      <c r="H12" s="540">
        <f t="shared" si="35"/>
        <v>0</v>
      </c>
      <c r="I12" s="538"/>
      <c r="J12" s="539"/>
      <c r="K12" s="540">
        <f t="shared" si="36"/>
        <v>0</v>
      </c>
      <c r="L12" s="538"/>
      <c r="M12" s="539"/>
      <c r="N12" s="540">
        <f t="shared" si="37"/>
        <v>0</v>
      </c>
      <c r="O12" s="538"/>
      <c r="P12" s="539"/>
      <c r="Q12" s="540">
        <f t="shared" si="38"/>
        <v>0</v>
      </c>
      <c r="R12" s="538"/>
      <c r="S12" s="539"/>
      <c r="T12" s="540">
        <f t="shared" si="39"/>
        <v>0</v>
      </c>
      <c r="U12" s="538"/>
      <c r="V12" s="629"/>
      <c r="W12" s="540">
        <f t="shared" si="40"/>
        <v>0</v>
      </c>
      <c r="X12" s="538"/>
      <c r="Y12" s="539">
        <f t="shared" si="41"/>
        <v>0</v>
      </c>
      <c r="Z12" s="540">
        <f t="shared" si="42"/>
        <v>0</v>
      </c>
      <c r="AA12" s="538"/>
      <c r="AB12" s="539">
        <f t="shared" si="61"/>
        <v>0</v>
      </c>
      <c r="AC12" s="540">
        <f t="shared" si="44"/>
        <v>0</v>
      </c>
      <c r="AD12" s="538"/>
      <c r="AE12" s="539">
        <f t="shared" si="62"/>
        <v>0</v>
      </c>
      <c r="AF12" s="540">
        <f t="shared" si="46"/>
        <v>0</v>
      </c>
      <c r="AG12" s="538"/>
      <c r="AH12" s="539">
        <f t="shared" si="63"/>
        <v>0</v>
      </c>
      <c r="AI12" s="540">
        <f t="shared" si="48"/>
        <v>0</v>
      </c>
      <c r="AJ12" s="538"/>
      <c r="AK12" s="539">
        <f t="shared" si="64"/>
        <v>0</v>
      </c>
      <c r="AL12" s="540">
        <f t="shared" si="50"/>
        <v>0</v>
      </c>
      <c r="AM12" s="538"/>
      <c r="AN12" s="539">
        <f t="shared" si="65"/>
        <v>0</v>
      </c>
      <c r="AO12" s="540">
        <f t="shared" si="52"/>
        <v>0</v>
      </c>
      <c r="AP12" s="538"/>
      <c r="AQ12" s="539">
        <f t="shared" si="66"/>
        <v>0</v>
      </c>
      <c r="AR12" s="540">
        <f t="shared" si="54"/>
        <v>0</v>
      </c>
      <c r="AS12" s="538"/>
      <c r="AT12" s="539">
        <f t="shared" si="67"/>
        <v>0</v>
      </c>
      <c r="AU12" s="540">
        <f t="shared" si="70"/>
        <v>0</v>
      </c>
      <c r="AV12" s="538"/>
      <c r="AW12" s="539">
        <f t="shared" si="68"/>
        <v>0</v>
      </c>
      <c r="AX12" s="540">
        <f t="shared" si="71"/>
        <v>0</v>
      </c>
      <c r="AY12" s="538"/>
      <c r="AZ12" s="539">
        <f t="shared" si="69"/>
        <v>0</v>
      </c>
      <c r="BA12" s="540">
        <f t="shared" si="72"/>
        <v>0</v>
      </c>
      <c r="BD12" s="729"/>
      <c r="BI12" s="737"/>
      <c r="BJ12" s="529">
        <f t="shared" si="0"/>
        <v>0</v>
      </c>
      <c r="BK12" s="529">
        <f t="shared" si="1"/>
        <v>0</v>
      </c>
      <c r="BL12" s="529">
        <f t="shared" si="2"/>
        <v>0</v>
      </c>
      <c r="BM12" s="529">
        <f t="shared" si="3"/>
        <v>0</v>
      </c>
      <c r="BN12" s="529">
        <f t="shared" si="4"/>
        <v>0</v>
      </c>
      <c r="BO12" s="529">
        <f t="shared" si="5"/>
        <v>0</v>
      </c>
      <c r="BP12" s="529">
        <f t="shared" si="6"/>
        <v>0</v>
      </c>
      <c r="BQ12" s="529">
        <f t="shared" si="7"/>
        <v>0</v>
      </c>
      <c r="BR12" s="529">
        <f t="shared" si="8"/>
        <v>0</v>
      </c>
      <c r="BS12" s="529">
        <f t="shared" si="9"/>
        <v>0</v>
      </c>
      <c r="BT12" s="529">
        <f t="shared" si="10"/>
        <v>0</v>
      </c>
      <c r="BU12" s="529">
        <f t="shared" si="11"/>
        <v>0</v>
      </c>
      <c r="BV12" s="529">
        <f t="shared" si="12"/>
        <v>0</v>
      </c>
      <c r="BW12" s="529">
        <f t="shared" si="13"/>
        <v>0</v>
      </c>
      <c r="BX12" s="529">
        <f t="shared" si="28"/>
        <v>0</v>
      </c>
      <c r="BY12" s="529">
        <f t="shared" si="29"/>
        <v>0</v>
      </c>
      <c r="BZ12" s="529">
        <f t="shared" si="30"/>
        <v>0</v>
      </c>
      <c r="CA12" s="737"/>
      <c r="CB12" s="529">
        <f t="shared" si="14"/>
        <v>0</v>
      </c>
      <c r="CC12" s="529">
        <f t="shared" si="15"/>
        <v>0</v>
      </c>
      <c r="CD12" s="529">
        <f t="shared" si="16"/>
        <v>0</v>
      </c>
      <c r="CE12" s="529">
        <f t="shared" si="17"/>
        <v>0</v>
      </c>
      <c r="CF12" s="529">
        <f t="shared" si="18"/>
        <v>0</v>
      </c>
      <c r="CG12" s="529">
        <f t="shared" si="19"/>
        <v>0</v>
      </c>
      <c r="CH12" s="529">
        <f t="shared" si="20"/>
        <v>0</v>
      </c>
      <c r="CI12" s="529">
        <f t="shared" si="21"/>
        <v>0</v>
      </c>
      <c r="CJ12" s="529">
        <f t="shared" si="22"/>
        <v>0</v>
      </c>
      <c r="CK12" s="529">
        <f t="shared" si="23"/>
        <v>0</v>
      </c>
      <c r="CL12" s="529">
        <f t="shared" si="24"/>
        <v>0</v>
      </c>
      <c r="CM12" s="529">
        <f t="shared" si="25"/>
        <v>0</v>
      </c>
      <c r="CN12" s="529">
        <f t="shared" si="26"/>
        <v>0</v>
      </c>
      <c r="CO12" s="529">
        <f t="shared" si="27"/>
        <v>0</v>
      </c>
      <c r="CP12" s="529">
        <f t="shared" si="31"/>
        <v>0</v>
      </c>
      <c r="CQ12" s="529">
        <f t="shared" si="32"/>
        <v>0</v>
      </c>
      <c r="CR12" s="529">
        <f t="shared" si="33"/>
        <v>0</v>
      </c>
    </row>
    <row r="13" spans="1:96" ht="13.5" x14ac:dyDescent="0.25">
      <c r="A13" s="758"/>
      <c r="B13" s="537" t="s">
        <v>619</v>
      </c>
      <c r="C13" s="543">
        <f>C9*0.46+C11*0.24+C12*0.24</f>
        <v>0</v>
      </c>
      <c r="D13" s="548"/>
      <c r="E13" s="545">
        <f>SUM(E9:E12)</f>
        <v>0</v>
      </c>
      <c r="F13" s="543">
        <f>F9*0.46+F11*0.24+F12*0.24</f>
        <v>1840.046</v>
      </c>
      <c r="G13" s="548"/>
      <c r="H13" s="545">
        <f>SUM(H9:H12)</f>
        <v>0.98402460000000003</v>
      </c>
      <c r="I13" s="543">
        <f>I9*0.46+I11*0.24+I12*0.24</f>
        <v>5084.38</v>
      </c>
      <c r="J13" s="548"/>
      <c r="K13" s="545">
        <f>SUM(K9:K12)</f>
        <v>5.0509957000000005</v>
      </c>
      <c r="L13" s="543">
        <f>L9*0.46+L11*0.24+L12*0.24</f>
        <v>1195.9679999999998</v>
      </c>
      <c r="M13" s="548"/>
      <c r="N13" s="545">
        <f>SUM(N9:N12)</f>
        <v>0.68269840000000004</v>
      </c>
      <c r="O13" s="543">
        <f>O9*0.46+O11*0.24+O12*0.24</f>
        <v>3483.8399999999997</v>
      </c>
      <c r="P13" s="548"/>
      <c r="Q13" s="545">
        <f>SUM(Q9:Q12)</f>
        <v>2.0027180000000002</v>
      </c>
      <c r="R13" s="543">
        <f>R9*0.46+R11*0.24+R12*0.24</f>
        <v>690</v>
      </c>
      <c r="S13" s="548"/>
      <c r="T13" s="545">
        <f>SUM(T9:T12)</f>
        <v>0.57299999999999995</v>
      </c>
      <c r="U13" s="543">
        <f>U9*0.46+U11*0.24+U12*0.24</f>
        <v>3145.2</v>
      </c>
      <c r="V13" s="630"/>
      <c r="W13" s="545">
        <f>SUM(W9:W12)</f>
        <v>3.2762500000000001</v>
      </c>
      <c r="X13" s="543">
        <f>X9*0.46+X11*0.24+X12*0.24</f>
        <v>3478.3199999999997</v>
      </c>
      <c r="Y13" s="548"/>
      <c r="Z13" s="545">
        <f>SUM(Z9:Z12)</f>
        <v>3.7391939999999999</v>
      </c>
      <c r="AA13" s="543">
        <f>AA9*0.46+AA11*0.24+AA12*0.24</f>
        <v>2948.64</v>
      </c>
      <c r="AB13" s="548"/>
      <c r="AC13" s="545">
        <f>SUM(AC9:AC12)</f>
        <v>3.2680760000000002</v>
      </c>
      <c r="AD13" s="543">
        <f>AD9*0.46+AD11*0.24+AD12*0.24</f>
        <v>2368.7999999999997</v>
      </c>
      <c r="AE13" s="548"/>
      <c r="AF13" s="545">
        <f>SUM(AF9:AF12)</f>
        <v>2.70438</v>
      </c>
      <c r="AG13" s="543">
        <f>AG9*0.46+AG11*0.24+AG12*0.24</f>
        <v>2368.7999999999997</v>
      </c>
      <c r="AH13" s="548"/>
      <c r="AI13" s="545">
        <f>SUM(AI9:AI12)</f>
        <v>2.7833399999999999</v>
      </c>
      <c r="AJ13" s="543">
        <f>AJ9*0.46+AJ11*0.24+AJ12*0.24</f>
        <v>2368.7999999999997</v>
      </c>
      <c r="AK13" s="548"/>
      <c r="AL13" s="545">
        <f>SUM(AL9:AL12)</f>
        <v>2.8622999999999998</v>
      </c>
      <c r="AM13" s="543">
        <f>AM9*0.46+AM11*0.24+AM12*0.24</f>
        <v>2368.7999999999997</v>
      </c>
      <c r="AN13" s="548"/>
      <c r="AO13" s="545">
        <f>SUM(AO9:AO12)</f>
        <v>2.95113</v>
      </c>
      <c r="AP13" s="543">
        <f>AP9*0.46+AP11*0.24+AP12*0.24</f>
        <v>2368.7999999999997</v>
      </c>
      <c r="AQ13" s="548"/>
      <c r="AR13" s="545">
        <f>SUM(AR9:AR12)</f>
        <v>3.0399600000000002</v>
      </c>
      <c r="AS13" s="543">
        <f>AS9*0.46+AS11*0.24+AS12*0.24</f>
        <v>2368.7999999999997</v>
      </c>
      <c r="AT13" s="548"/>
      <c r="AU13" s="545">
        <f>SUM(AU9:AU12)</f>
        <v>3.12879</v>
      </c>
      <c r="AV13" s="543">
        <f>AV9*0.46+AV11*0.24+AV12*0.24</f>
        <v>2368.7999999999997</v>
      </c>
      <c r="AW13" s="548"/>
      <c r="AX13" s="545">
        <f>SUM(AX9:AX12)</f>
        <v>3.22749</v>
      </c>
      <c r="AY13" s="543">
        <f>AY9*0.46+AY11*0.24+AY12*0.24</f>
        <v>2368.7999999999997</v>
      </c>
      <c r="AZ13" s="548"/>
      <c r="BA13" s="545">
        <f>SUM(BA9:BA12)</f>
        <v>3.32619</v>
      </c>
      <c r="BJ13" s="529">
        <f t="shared" si="0"/>
        <v>0</v>
      </c>
      <c r="BK13" s="529">
        <f t="shared" si="1"/>
        <v>0.98402460000000003</v>
      </c>
      <c r="BL13" s="529">
        <f t="shared" si="2"/>
        <v>5.0509957000000005</v>
      </c>
      <c r="BM13" s="529">
        <f t="shared" si="3"/>
        <v>0.68269840000000004</v>
      </c>
      <c r="BN13" s="529">
        <f t="shared" si="4"/>
        <v>2.0027180000000002</v>
      </c>
      <c r="BO13" s="529">
        <f t="shared" si="5"/>
        <v>0.57299999999999995</v>
      </c>
      <c r="BP13" s="529">
        <f t="shared" si="6"/>
        <v>3.2762500000000001</v>
      </c>
      <c r="BQ13" s="529">
        <f t="shared" si="7"/>
        <v>3.7391939999999999</v>
      </c>
      <c r="BR13" s="529">
        <f t="shared" si="8"/>
        <v>3.2680760000000002</v>
      </c>
      <c r="BS13" s="529">
        <f t="shared" si="9"/>
        <v>2.70438</v>
      </c>
      <c r="BT13" s="529">
        <f t="shared" si="10"/>
        <v>2.7833399999999999</v>
      </c>
      <c r="BU13" s="529">
        <f t="shared" si="11"/>
        <v>2.8622999999999998</v>
      </c>
      <c r="BV13" s="529">
        <f t="shared" si="12"/>
        <v>2.95113</v>
      </c>
      <c r="BW13" s="529">
        <f t="shared" si="13"/>
        <v>3.0399600000000002</v>
      </c>
      <c r="BX13" s="529">
        <f t="shared" si="28"/>
        <v>3.12879</v>
      </c>
      <c r="BY13" s="529">
        <f t="shared" si="29"/>
        <v>3.22749</v>
      </c>
      <c r="BZ13" s="529">
        <f t="shared" si="30"/>
        <v>3.32619</v>
      </c>
      <c r="CB13" s="529">
        <f t="shared" si="14"/>
        <v>0</v>
      </c>
      <c r="CC13" s="529">
        <f t="shared" si="15"/>
        <v>1840.046</v>
      </c>
      <c r="CD13" s="529">
        <f t="shared" si="16"/>
        <v>5084.38</v>
      </c>
      <c r="CE13" s="529">
        <f t="shared" si="17"/>
        <v>1195.9679999999998</v>
      </c>
      <c r="CF13" s="529">
        <f t="shared" si="18"/>
        <v>3483.8399999999997</v>
      </c>
      <c r="CG13" s="529">
        <f t="shared" si="19"/>
        <v>690</v>
      </c>
      <c r="CH13" s="529">
        <f t="shared" si="20"/>
        <v>3145.2</v>
      </c>
      <c r="CI13" s="529">
        <f t="shared" si="21"/>
        <v>3478.3199999999997</v>
      </c>
      <c r="CJ13" s="529">
        <f t="shared" si="22"/>
        <v>2948.64</v>
      </c>
      <c r="CK13" s="529">
        <f t="shared" si="23"/>
        <v>2368.7999999999997</v>
      </c>
      <c r="CL13" s="529">
        <f t="shared" si="24"/>
        <v>2368.7999999999997</v>
      </c>
      <c r="CM13" s="529">
        <f t="shared" si="25"/>
        <v>2368.7999999999997</v>
      </c>
      <c r="CN13" s="529">
        <f t="shared" si="26"/>
        <v>2368.7999999999997</v>
      </c>
      <c r="CO13" s="529">
        <f t="shared" si="27"/>
        <v>2368.7999999999997</v>
      </c>
      <c r="CP13" s="529">
        <f t="shared" si="31"/>
        <v>2368.7999999999997</v>
      </c>
      <c r="CQ13" s="529">
        <f t="shared" si="32"/>
        <v>2368.7999999999997</v>
      </c>
      <c r="CR13" s="529">
        <f t="shared" si="33"/>
        <v>2368.7999999999997</v>
      </c>
    </row>
    <row r="14" spans="1:96" s="537" customFormat="1" x14ac:dyDescent="0.2">
      <c r="A14" s="757" t="s">
        <v>497</v>
      </c>
      <c r="B14" s="537" t="s">
        <v>494</v>
      </c>
      <c r="C14" s="538"/>
      <c r="D14" s="539"/>
      <c r="E14" s="540">
        <f>C14*D14/1000000</f>
        <v>0</v>
      </c>
      <c r="F14" s="541"/>
      <c r="G14" s="539"/>
      <c r="H14" s="540">
        <f>F14*G14/1000000</f>
        <v>0</v>
      </c>
      <c r="I14" s="546">
        <v>1000</v>
      </c>
      <c r="J14" s="539">
        <v>400</v>
      </c>
      <c r="K14" s="540">
        <f>I14*J14/1000000</f>
        <v>0.4</v>
      </c>
      <c r="L14" s="538">
        <v>321.5</v>
      </c>
      <c r="M14" s="539">
        <v>305</v>
      </c>
      <c r="N14" s="540">
        <f>L14*M14/1000000</f>
        <v>9.8057500000000006E-2</v>
      </c>
      <c r="O14" s="538">
        <v>131.5</v>
      </c>
      <c r="P14" s="539">
        <v>304</v>
      </c>
      <c r="Q14" s="540">
        <f>O14*P14/1000000</f>
        <v>3.9975999999999998E-2</v>
      </c>
      <c r="R14" s="538">
        <v>500</v>
      </c>
      <c r="S14" s="539">
        <v>382</v>
      </c>
      <c r="T14" s="540">
        <f>R14*S14/1000000</f>
        <v>0.191</v>
      </c>
      <c r="U14" s="538">
        <v>293</v>
      </c>
      <c r="V14" s="629">
        <v>412</v>
      </c>
      <c r="W14" s="540">
        <f>U14*V14/1000000</f>
        <v>0.120716</v>
      </c>
      <c r="X14" s="538">
        <f>ROUND(+U14*X$1,0)</f>
        <v>324</v>
      </c>
      <c r="Y14" s="539">
        <f t="shared" si="41"/>
        <v>424</v>
      </c>
      <c r="Z14" s="540">
        <f>X14*Y14/1000000</f>
        <v>0.137376</v>
      </c>
      <c r="AA14" s="538">
        <f>ROUND(+X14*AA$1,0)</f>
        <v>275</v>
      </c>
      <c r="AB14" s="539">
        <f t="shared" ref="AB14:AB17" si="73">ROUND(Y14*(1+AB$1),0)</f>
        <v>437</v>
      </c>
      <c r="AC14" s="540">
        <f>AA14*AB14/1000000</f>
        <v>0.120175</v>
      </c>
      <c r="AD14" s="538">
        <f>ROUND(+AA14*AD$1,0)</f>
        <v>221</v>
      </c>
      <c r="AE14" s="539">
        <f t="shared" ref="AE14:AE17" si="74">ROUND(AB14*(1+AE$1),0)</f>
        <v>450</v>
      </c>
      <c r="AF14" s="540">
        <f>AD14*AE14/1000000</f>
        <v>9.9449999999999997E-2</v>
      </c>
      <c r="AG14" s="538">
        <f>ROUND(+AD14*AG$1,0)</f>
        <v>221</v>
      </c>
      <c r="AH14" s="539">
        <f t="shared" ref="AH14:AH17" si="75">ROUND(AE14*(1+AH$1),0)</f>
        <v>464</v>
      </c>
      <c r="AI14" s="540">
        <f>AG14*AH14/1000000</f>
        <v>0.102544</v>
      </c>
      <c r="AJ14" s="538">
        <f>ROUND(+AG14*AJ$1,0)</f>
        <v>221</v>
      </c>
      <c r="AK14" s="539">
        <f t="shared" ref="AK14:AK17" si="76">ROUND(AH14*(1+AK$1),0)</f>
        <v>478</v>
      </c>
      <c r="AL14" s="540">
        <f>AJ14*AK14/1000000</f>
        <v>0.105638</v>
      </c>
      <c r="AM14" s="538">
        <f>ROUND(+AJ14*AM$1,0)</f>
        <v>221</v>
      </c>
      <c r="AN14" s="539">
        <f t="shared" ref="AN14:AN17" si="77">ROUND(AK14*(1+AN$1),0)</f>
        <v>492</v>
      </c>
      <c r="AO14" s="540">
        <f>AM14*AN14/1000000</f>
        <v>0.108732</v>
      </c>
      <c r="AP14" s="538">
        <f>ROUND(+AM14*AP$1,0)</f>
        <v>221</v>
      </c>
      <c r="AQ14" s="539">
        <f t="shared" ref="AQ14:AQ17" si="78">ROUND(AN14*(1+AQ$1),0)</f>
        <v>507</v>
      </c>
      <c r="AR14" s="540">
        <f>AP14*AQ14/1000000</f>
        <v>0.11204699999999999</v>
      </c>
      <c r="AS14" s="538">
        <f>ROUND(+AP14*AS$1,0)</f>
        <v>221</v>
      </c>
      <c r="AT14" s="539">
        <f t="shared" ref="AT14:AT17" si="79">ROUND(AQ14*(1+AT$1),0)</f>
        <v>522</v>
      </c>
      <c r="AU14" s="540">
        <f>AS14*AT14/1000000</f>
        <v>0.11536200000000001</v>
      </c>
      <c r="AV14" s="538">
        <f>ROUND(+AS14*AV$1,0)</f>
        <v>221</v>
      </c>
      <c r="AW14" s="539">
        <f t="shared" ref="AW14:AW17" si="80">ROUND(AT14*(1+AW$1),0)</f>
        <v>538</v>
      </c>
      <c r="AX14" s="540">
        <f>AV14*AW14/1000000</f>
        <v>0.118898</v>
      </c>
      <c r="AY14" s="538">
        <f>ROUND(+AV14*AY$1,0)</f>
        <v>221</v>
      </c>
      <c r="AZ14" s="539">
        <f t="shared" ref="AZ14:AZ17" si="81">ROUND(AW14*(1+AZ$1),0)</f>
        <v>554</v>
      </c>
      <c r="BA14" s="540">
        <f>AY14*AZ14/1000000</f>
        <v>0.122434</v>
      </c>
      <c r="BD14" s="729"/>
      <c r="BI14" s="737"/>
      <c r="BJ14" s="529">
        <f t="shared" si="0"/>
        <v>0</v>
      </c>
      <c r="BK14" s="529">
        <f t="shared" si="1"/>
        <v>0</v>
      </c>
      <c r="BL14" s="529">
        <f t="shared" si="2"/>
        <v>0.4</v>
      </c>
      <c r="BM14" s="529">
        <f t="shared" si="3"/>
        <v>9.8057500000000006E-2</v>
      </c>
      <c r="BN14" s="529">
        <f t="shared" si="4"/>
        <v>3.9975999999999998E-2</v>
      </c>
      <c r="BO14" s="529">
        <f t="shared" si="5"/>
        <v>0.191</v>
      </c>
      <c r="BP14" s="529">
        <f t="shared" si="6"/>
        <v>0.120716</v>
      </c>
      <c r="BQ14" s="529">
        <f t="shared" si="7"/>
        <v>0.137376</v>
      </c>
      <c r="BR14" s="529">
        <f t="shared" si="8"/>
        <v>0.120175</v>
      </c>
      <c r="BS14" s="529">
        <f t="shared" si="9"/>
        <v>9.9449999999999997E-2</v>
      </c>
      <c r="BT14" s="529">
        <f t="shared" si="10"/>
        <v>0.102544</v>
      </c>
      <c r="BU14" s="529">
        <f t="shared" si="11"/>
        <v>0.105638</v>
      </c>
      <c r="BV14" s="529">
        <f t="shared" si="12"/>
        <v>0.108732</v>
      </c>
      <c r="BW14" s="529">
        <f t="shared" si="13"/>
        <v>0.11204699999999999</v>
      </c>
      <c r="BX14" s="529">
        <f t="shared" si="28"/>
        <v>0.11536200000000001</v>
      </c>
      <c r="BY14" s="529">
        <f t="shared" si="29"/>
        <v>0.118898</v>
      </c>
      <c r="BZ14" s="529">
        <f t="shared" si="30"/>
        <v>0.122434</v>
      </c>
      <c r="CA14" s="737"/>
      <c r="CB14" s="529">
        <f t="shared" si="14"/>
        <v>0</v>
      </c>
      <c r="CC14" s="529">
        <f t="shared" si="15"/>
        <v>0</v>
      </c>
      <c r="CD14" s="529">
        <f t="shared" si="16"/>
        <v>1000</v>
      </c>
      <c r="CE14" s="529">
        <f t="shared" si="17"/>
        <v>321.5</v>
      </c>
      <c r="CF14" s="529">
        <f t="shared" si="18"/>
        <v>131.5</v>
      </c>
      <c r="CG14" s="529">
        <f t="shared" si="19"/>
        <v>500</v>
      </c>
      <c r="CH14" s="529">
        <f t="shared" si="20"/>
        <v>293</v>
      </c>
      <c r="CI14" s="529">
        <f t="shared" si="21"/>
        <v>324</v>
      </c>
      <c r="CJ14" s="529">
        <f t="shared" si="22"/>
        <v>275</v>
      </c>
      <c r="CK14" s="529">
        <f t="shared" si="23"/>
        <v>221</v>
      </c>
      <c r="CL14" s="529">
        <f t="shared" si="24"/>
        <v>221</v>
      </c>
      <c r="CM14" s="529">
        <f t="shared" si="25"/>
        <v>221</v>
      </c>
      <c r="CN14" s="529">
        <f t="shared" si="26"/>
        <v>221</v>
      </c>
      <c r="CO14" s="529">
        <f t="shared" si="27"/>
        <v>221</v>
      </c>
      <c r="CP14" s="529">
        <f t="shared" si="31"/>
        <v>221</v>
      </c>
      <c r="CQ14" s="529">
        <f t="shared" si="32"/>
        <v>221</v>
      </c>
      <c r="CR14" s="529">
        <f t="shared" si="33"/>
        <v>221</v>
      </c>
    </row>
    <row r="15" spans="1:96" s="537" customFormat="1" x14ac:dyDescent="0.2">
      <c r="A15" s="757"/>
      <c r="B15" s="537" t="s">
        <v>618</v>
      </c>
      <c r="C15" s="538"/>
      <c r="D15" s="539"/>
      <c r="E15" s="540">
        <f t="shared" si="34"/>
        <v>0</v>
      </c>
      <c r="F15" s="541"/>
      <c r="G15" s="539"/>
      <c r="H15" s="540">
        <f t="shared" si="35"/>
        <v>0</v>
      </c>
      <c r="I15" s="538">
        <v>1421.35</v>
      </c>
      <c r="J15" s="539">
        <v>158</v>
      </c>
      <c r="K15" s="540">
        <f t="shared" si="36"/>
        <v>0.22457329999999998</v>
      </c>
      <c r="L15" s="538"/>
      <c r="M15" s="539"/>
      <c r="N15" s="540">
        <f t="shared" si="37"/>
        <v>0</v>
      </c>
      <c r="O15" s="538"/>
      <c r="P15" s="539"/>
      <c r="Q15" s="540">
        <f t="shared" si="38"/>
        <v>0</v>
      </c>
      <c r="R15" s="538"/>
      <c r="S15" s="539"/>
      <c r="T15" s="540">
        <f t="shared" si="39"/>
        <v>0</v>
      </c>
      <c r="U15" s="538"/>
      <c r="V15" s="629"/>
      <c r="W15" s="540">
        <f t="shared" si="40"/>
        <v>0</v>
      </c>
      <c r="X15" s="538"/>
      <c r="Y15" s="539">
        <f t="shared" si="41"/>
        <v>0</v>
      </c>
      <c r="Z15" s="540">
        <f t="shared" si="42"/>
        <v>0</v>
      </c>
      <c r="AA15" s="538"/>
      <c r="AB15" s="539">
        <f t="shared" si="73"/>
        <v>0</v>
      </c>
      <c r="AC15" s="540">
        <f t="shared" si="44"/>
        <v>0</v>
      </c>
      <c r="AD15" s="538"/>
      <c r="AE15" s="539">
        <f t="shared" si="74"/>
        <v>0</v>
      </c>
      <c r="AF15" s="540">
        <f t="shared" si="46"/>
        <v>0</v>
      </c>
      <c r="AG15" s="538"/>
      <c r="AH15" s="539">
        <f t="shared" si="75"/>
        <v>0</v>
      </c>
      <c r="AI15" s="540">
        <f t="shared" si="48"/>
        <v>0</v>
      </c>
      <c r="AJ15" s="538"/>
      <c r="AK15" s="539">
        <f t="shared" si="76"/>
        <v>0</v>
      </c>
      <c r="AL15" s="540">
        <f t="shared" si="50"/>
        <v>0</v>
      </c>
      <c r="AM15" s="538"/>
      <c r="AN15" s="539">
        <f t="shared" si="77"/>
        <v>0</v>
      </c>
      <c r="AO15" s="540">
        <f t="shared" si="52"/>
        <v>0</v>
      </c>
      <c r="AP15" s="538"/>
      <c r="AQ15" s="539">
        <f t="shared" si="78"/>
        <v>0</v>
      </c>
      <c r="AR15" s="540">
        <f t="shared" si="54"/>
        <v>0</v>
      </c>
      <c r="AS15" s="538"/>
      <c r="AT15" s="539">
        <f t="shared" si="79"/>
        <v>0</v>
      </c>
      <c r="AU15" s="540">
        <f t="shared" ref="AU15:AU17" si="82">AS15*AT15/1000000</f>
        <v>0</v>
      </c>
      <c r="AV15" s="538"/>
      <c r="AW15" s="539">
        <f t="shared" si="80"/>
        <v>0</v>
      </c>
      <c r="AX15" s="540">
        <f t="shared" ref="AX15:AX17" si="83">AV15*AW15/1000000</f>
        <v>0</v>
      </c>
      <c r="AY15" s="538"/>
      <c r="AZ15" s="539">
        <f t="shared" si="81"/>
        <v>0</v>
      </c>
      <c r="BA15" s="540">
        <f t="shared" ref="BA15:BA17" si="84">AY15*AZ15/1000000</f>
        <v>0</v>
      </c>
      <c r="BD15" s="729"/>
      <c r="BI15" s="737"/>
      <c r="BJ15" s="529">
        <f t="shared" si="0"/>
        <v>0</v>
      </c>
      <c r="BK15" s="529">
        <f t="shared" si="1"/>
        <v>0</v>
      </c>
      <c r="BL15" s="529">
        <f t="shared" si="2"/>
        <v>0.22457329999999998</v>
      </c>
      <c r="BM15" s="529">
        <f t="shared" si="3"/>
        <v>0</v>
      </c>
      <c r="BN15" s="529">
        <f t="shared" si="4"/>
        <v>0</v>
      </c>
      <c r="BO15" s="529">
        <f t="shared" si="5"/>
        <v>0</v>
      </c>
      <c r="BP15" s="529">
        <f t="shared" si="6"/>
        <v>0</v>
      </c>
      <c r="BQ15" s="529">
        <f t="shared" si="7"/>
        <v>0</v>
      </c>
      <c r="BR15" s="529">
        <f t="shared" si="8"/>
        <v>0</v>
      </c>
      <c r="BS15" s="529">
        <f t="shared" si="9"/>
        <v>0</v>
      </c>
      <c r="BT15" s="529">
        <f t="shared" si="10"/>
        <v>0</v>
      </c>
      <c r="BU15" s="529">
        <f t="shared" si="11"/>
        <v>0</v>
      </c>
      <c r="BV15" s="529">
        <f t="shared" si="12"/>
        <v>0</v>
      </c>
      <c r="BW15" s="529">
        <f t="shared" si="13"/>
        <v>0</v>
      </c>
      <c r="BX15" s="529">
        <f t="shared" si="28"/>
        <v>0</v>
      </c>
      <c r="BY15" s="529">
        <f t="shared" si="29"/>
        <v>0</v>
      </c>
      <c r="BZ15" s="529">
        <f t="shared" si="30"/>
        <v>0</v>
      </c>
      <c r="CA15" s="737"/>
      <c r="CB15" s="529">
        <f t="shared" si="14"/>
        <v>0</v>
      </c>
      <c r="CC15" s="529">
        <f t="shared" si="15"/>
        <v>0</v>
      </c>
      <c r="CD15" s="529">
        <f t="shared" si="16"/>
        <v>1421.35</v>
      </c>
      <c r="CE15" s="529">
        <f t="shared" si="17"/>
        <v>0</v>
      </c>
      <c r="CF15" s="529">
        <f t="shared" si="18"/>
        <v>0</v>
      </c>
      <c r="CG15" s="529">
        <f t="shared" si="19"/>
        <v>0</v>
      </c>
      <c r="CH15" s="529">
        <f t="shared" si="20"/>
        <v>0</v>
      </c>
      <c r="CI15" s="529">
        <f t="shared" si="21"/>
        <v>0</v>
      </c>
      <c r="CJ15" s="529">
        <f t="shared" si="22"/>
        <v>0</v>
      </c>
      <c r="CK15" s="529">
        <f t="shared" si="23"/>
        <v>0</v>
      </c>
      <c r="CL15" s="529">
        <f t="shared" si="24"/>
        <v>0</v>
      </c>
      <c r="CM15" s="529">
        <f t="shared" si="25"/>
        <v>0</v>
      </c>
      <c r="CN15" s="529">
        <f t="shared" si="26"/>
        <v>0</v>
      </c>
      <c r="CO15" s="529">
        <f t="shared" si="27"/>
        <v>0</v>
      </c>
      <c r="CP15" s="529">
        <f t="shared" si="31"/>
        <v>0</v>
      </c>
      <c r="CQ15" s="529">
        <f t="shared" si="32"/>
        <v>0</v>
      </c>
      <c r="CR15" s="529">
        <f t="shared" si="33"/>
        <v>0</v>
      </c>
    </row>
    <row r="16" spans="1:96" s="537" customFormat="1" x14ac:dyDescent="0.2">
      <c r="A16" s="757"/>
      <c r="B16" s="537" t="s">
        <v>495</v>
      </c>
      <c r="C16" s="538"/>
      <c r="D16" s="539"/>
      <c r="E16" s="540">
        <f t="shared" si="34"/>
        <v>0</v>
      </c>
      <c r="F16" s="541">
        <v>7192.09</v>
      </c>
      <c r="G16" s="539">
        <v>133</v>
      </c>
      <c r="H16" s="540">
        <f t="shared" si="35"/>
        <v>0.95654797000000003</v>
      </c>
      <c r="I16" s="546">
        <v>5014</v>
      </c>
      <c r="J16" s="539">
        <v>285</v>
      </c>
      <c r="K16" s="540">
        <f t="shared" si="36"/>
        <v>1.42899</v>
      </c>
      <c r="L16" s="538">
        <v>828.6</v>
      </c>
      <c r="M16" s="539">
        <v>189</v>
      </c>
      <c r="N16" s="540">
        <f t="shared" si="37"/>
        <v>0.15660540000000001</v>
      </c>
      <c r="O16" s="538">
        <v>255</v>
      </c>
      <c r="P16" s="539">
        <v>191.14901960784314</v>
      </c>
      <c r="Q16" s="540">
        <f t="shared" si="38"/>
        <v>4.8743000000000002E-2</v>
      </c>
      <c r="R16" s="538">
        <f>500+500+1127.6+1312.5+1000+687.5+1000+1103.8</f>
        <v>7231.4000000000005</v>
      </c>
      <c r="S16" s="539">
        <v>228</v>
      </c>
      <c r="T16" s="540">
        <f t="shared" si="39"/>
        <v>1.6487592000000002</v>
      </c>
      <c r="U16" s="538">
        <v>10230</v>
      </c>
      <c r="V16" s="641">
        <v>252.93010752688176</v>
      </c>
      <c r="W16" s="540">
        <f t="shared" si="40"/>
        <v>2.5874750000000004</v>
      </c>
      <c r="X16" s="538">
        <f>ROUND(+U16*X$1,0)</f>
        <v>11313</v>
      </c>
      <c r="Y16" s="539">
        <f t="shared" si="41"/>
        <v>261</v>
      </c>
      <c r="Z16" s="540">
        <f t="shared" si="42"/>
        <v>2.952693</v>
      </c>
      <c r="AA16" s="538">
        <f>ROUND(+X16*AA$1,0)</f>
        <v>9590</v>
      </c>
      <c r="AB16" s="539">
        <f t="shared" si="73"/>
        <v>269</v>
      </c>
      <c r="AC16" s="540">
        <f t="shared" si="44"/>
        <v>2.5797099999999999</v>
      </c>
      <c r="AD16" s="538">
        <f>ROUND(+AA16*AD$1,0)</f>
        <v>7705</v>
      </c>
      <c r="AE16" s="539">
        <f t="shared" si="74"/>
        <v>277</v>
      </c>
      <c r="AF16" s="540">
        <f t="shared" si="46"/>
        <v>2.1342850000000002</v>
      </c>
      <c r="AG16" s="538">
        <f>ROUND(+AD16*AG$1,0)</f>
        <v>7705</v>
      </c>
      <c r="AH16" s="539">
        <f t="shared" si="75"/>
        <v>285</v>
      </c>
      <c r="AI16" s="540">
        <f t="shared" si="48"/>
        <v>2.1959249999999999</v>
      </c>
      <c r="AJ16" s="538">
        <f>ROUND(+AG16*AJ$1,0)</f>
        <v>7705</v>
      </c>
      <c r="AK16" s="539">
        <f t="shared" si="76"/>
        <v>294</v>
      </c>
      <c r="AL16" s="540">
        <f t="shared" si="50"/>
        <v>2.2652700000000001</v>
      </c>
      <c r="AM16" s="538">
        <f>ROUND(+AJ16*AM$1,0)</f>
        <v>7705</v>
      </c>
      <c r="AN16" s="539">
        <f t="shared" si="77"/>
        <v>303</v>
      </c>
      <c r="AO16" s="540">
        <f t="shared" si="52"/>
        <v>2.3346149999999999</v>
      </c>
      <c r="AP16" s="538">
        <f>ROUND(+AM16*AP$1,0)</f>
        <v>7705</v>
      </c>
      <c r="AQ16" s="539">
        <f t="shared" si="78"/>
        <v>312</v>
      </c>
      <c r="AR16" s="540">
        <f t="shared" si="54"/>
        <v>2.4039600000000001</v>
      </c>
      <c r="AS16" s="538">
        <f>ROUND(+AP16*AS$1,0)</f>
        <v>7705</v>
      </c>
      <c r="AT16" s="539">
        <f t="shared" si="79"/>
        <v>321</v>
      </c>
      <c r="AU16" s="540">
        <f t="shared" si="82"/>
        <v>2.4733049999999999</v>
      </c>
      <c r="AV16" s="538">
        <f>ROUND(+AS16*AV$1,0)</f>
        <v>7705</v>
      </c>
      <c r="AW16" s="539">
        <f t="shared" si="80"/>
        <v>331</v>
      </c>
      <c r="AX16" s="540">
        <f t="shared" si="83"/>
        <v>2.5503550000000001</v>
      </c>
      <c r="AY16" s="538">
        <f>ROUND(+AV16*AY$1,0)</f>
        <v>7705</v>
      </c>
      <c r="AZ16" s="539">
        <f t="shared" si="81"/>
        <v>341</v>
      </c>
      <c r="BA16" s="540">
        <f t="shared" si="84"/>
        <v>2.627405</v>
      </c>
      <c r="BD16" s="729"/>
      <c r="BI16" s="737"/>
      <c r="BJ16" s="529">
        <f t="shared" si="0"/>
        <v>0</v>
      </c>
      <c r="BK16" s="529">
        <f t="shared" si="1"/>
        <v>0.95654797000000003</v>
      </c>
      <c r="BL16" s="529">
        <f t="shared" si="2"/>
        <v>1.42899</v>
      </c>
      <c r="BM16" s="529">
        <f t="shared" si="3"/>
        <v>0.15660540000000001</v>
      </c>
      <c r="BN16" s="529">
        <f t="shared" si="4"/>
        <v>4.8743000000000002E-2</v>
      </c>
      <c r="BO16" s="529">
        <f t="shared" si="5"/>
        <v>1.6487592000000002</v>
      </c>
      <c r="BP16" s="529">
        <f t="shared" si="6"/>
        <v>2.5874750000000004</v>
      </c>
      <c r="BQ16" s="529">
        <f t="shared" si="7"/>
        <v>2.952693</v>
      </c>
      <c r="BR16" s="529">
        <f t="shared" si="8"/>
        <v>2.5797099999999999</v>
      </c>
      <c r="BS16" s="529">
        <f t="shared" si="9"/>
        <v>2.1342850000000002</v>
      </c>
      <c r="BT16" s="529">
        <f t="shared" si="10"/>
        <v>2.1959249999999999</v>
      </c>
      <c r="BU16" s="529">
        <f t="shared" si="11"/>
        <v>2.2652700000000001</v>
      </c>
      <c r="BV16" s="529">
        <f t="shared" si="12"/>
        <v>2.3346149999999999</v>
      </c>
      <c r="BW16" s="529">
        <f t="shared" si="13"/>
        <v>2.4039600000000001</v>
      </c>
      <c r="BX16" s="529">
        <f t="shared" si="28"/>
        <v>2.4733049999999999</v>
      </c>
      <c r="BY16" s="529">
        <f t="shared" si="29"/>
        <v>2.5503550000000001</v>
      </c>
      <c r="BZ16" s="529">
        <f t="shared" si="30"/>
        <v>2.627405</v>
      </c>
      <c r="CA16" s="737"/>
      <c r="CB16" s="529">
        <f t="shared" si="14"/>
        <v>0</v>
      </c>
      <c r="CC16" s="529">
        <f t="shared" si="15"/>
        <v>7192.09</v>
      </c>
      <c r="CD16" s="529">
        <f t="shared" si="16"/>
        <v>5014</v>
      </c>
      <c r="CE16" s="529">
        <f t="shared" si="17"/>
        <v>828.6</v>
      </c>
      <c r="CF16" s="529">
        <f t="shared" si="18"/>
        <v>255</v>
      </c>
      <c r="CG16" s="529">
        <f t="shared" si="19"/>
        <v>7231.4000000000005</v>
      </c>
      <c r="CH16" s="529">
        <f t="shared" si="20"/>
        <v>10230</v>
      </c>
      <c r="CI16" s="529">
        <f t="shared" si="21"/>
        <v>11313</v>
      </c>
      <c r="CJ16" s="529">
        <f t="shared" si="22"/>
        <v>9590</v>
      </c>
      <c r="CK16" s="529">
        <f t="shared" si="23"/>
        <v>7705</v>
      </c>
      <c r="CL16" s="529">
        <f t="shared" si="24"/>
        <v>7705</v>
      </c>
      <c r="CM16" s="529">
        <f t="shared" si="25"/>
        <v>7705</v>
      </c>
      <c r="CN16" s="529">
        <f t="shared" si="26"/>
        <v>7705</v>
      </c>
      <c r="CO16" s="529">
        <f t="shared" si="27"/>
        <v>7705</v>
      </c>
      <c r="CP16" s="529">
        <f t="shared" si="31"/>
        <v>7705</v>
      </c>
      <c r="CQ16" s="529">
        <f t="shared" si="32"/>
        <v>7705</v>
      </c>
      <c r="CR16" s="529">
        <f t="shared" si="33"/>
        <v>7705</v>
      </c>
    </row>
    <row r="17" spans="1:96" s="537" customFormat="1" x14ac:dyDescent="0.2">
      <c r="A17" s="757"/>
      <c r="B17" s="537" t="s">
        <v>113</v>
      </c>
      <c r="C17" s="538">
        <v>6239.21</v>
      </c>
      <c r="D17" s="539">
        <v>115</v>
      </c>
      <c r="E17" s="540">
        <f t="shared" si="34"/>
        <v>0.71750915000000004</v>
      </c>
      <c r="F17" s="541">
        <v>5610.5</v>
      </c>
      <c r="G17" s="539">
        <v>129</v>
      </c>
      <c r="H17" s="540">
        <f t="shared" si="35"/>
        <v>0.72375449999999997</v>
      </c>
      <c r="I17" s="538"/>
      <c r="J17" s="539"/>
      <c r="K17" s="540">
        <f t="shared" si="36"/>
        <v>0</v>
      </c>
      <c r="L17" s="538"/>
      <c r="M17" s="539"/>
      <c r="N17" s="540">
        <f t="shared" si="37"/>
        <v>0</v>
      </c>
      <c r="O17" s="538"/>
      <c r="P17" s="539"/>
      <c r="Q17" s="540">
        <f t="shared" si="38"/>
        <v>0</v>
      </c>
      <c r="R17" s="538"/>
      <c r="S17" s="539"/>
      <c r="T17" s="540">
        <f t="shared" si="39"/>
        <v>0</v>
      </c>
      <c r="U17" s="538"/>
      <c r="V17" s="629"/>
      <c r="W17" s="540">
        <f t="shared" si="40"/>
        <v>0</v>
      </c>
      <c r="X17" s="538"/>
      <c r="Y17" s="539">
        <f t="shared" si="41"/>
        <v>0</v>
      </c>
      <c r="Z17" s="540">
        <f t="shared" si="42"/>
        <v>0</v>
      </c>
      <c r="AA17" s="538"/>
      <c r="AB17" s="539">
        <f t="shared" si="73"/>
        <v>0</v>
      </c>
      <c r="AC17" s="540">
        <f t="shared" si="44"/>
        <v>0</v>
      </c>
      <c r="AD17" s="538"/>
      <c r="AE17" s="539">
        <f t="shared" si="74"/>
        <v>0</v>
      </c>
      <c r="AF17" s="540">
        <f t="shared" si="46"/>
        <v>0</v>
      </c>
      <c r="AG17" s="538"/>
      <c r="AH17" s="539">
        <f t="shared" si="75"/>
        <v>0</v>
      </c>
      <c r="AI17" s="540">
        <f t="shared" si="48"/>
        <v>0</v>
      </c>
      <c r="AJ17" s="538"/>
      <c r="AK17" s="539">
        <f t="shared" si="76"/>
        <v>0</v>
      </c>
      <c r="AL17" s="540">
        <f t="shared" si="50"/>
        <v>0</v>
      </c>
      <c r="AM17" s="538"/>
      <c r="AN17" s="539">
        <f t="shared" si="77"/>
        <v>0</v>
      </c>
      <c r="AO17" s="540">
        <f t="shared" si="52"/>
        <v>0</v>
      </c>
      <c r="AP17" s="538"/>
      <c r="AQ17" s="539">
        <f t="shared" si="78"/>
        <v>0</v>
      </c>
      <c r="AR17" s="540">
        <f t="shared" si="54"/>
        <v>0</v>
      </c>
      <c r="AS17" s="538"/>
      <c r="AT17" s="539">
        <f t="shared" si="79"/>
        <v>0</v>
      </c>
      <c r="AU17" s="540">
        <f t="shared" si="82"/>
        <v>0</v>
      </c>
      <c r="AV17" s="538"/>
      <c r="AW17" s="539">
        <f t="shared" si="80"/>
        <v>0</v>
      </c>
      <c r="AX17" s="540">
        <f t="shared" si="83"/>
        <v>0</v>
      </c>
      <c r="AY17" s="538"/>
      <c r="AZ17" s="539">
        <f t="shared" si="81"/>
        <v>0</v>
      </c>
      <c r="BA17" s="540">
        <f t="shared" si="84"/>
        <v>0</v>
      </c>
      <c r="BD17" s="729"/>
      <c r="BI17" s="737"/>
      <c r="BJ17" s="529">
        <f t="shared" si="0"/>
        <v>0.71750915000000004</v>
      </c>
      <c r="BK17" s="529">
        <f t="shared" si="1"/>
        <v>0.72375449999999997</v>
      </c>
      <c r="BL17" s="529">
        <f t="shared" si="2"/>
        <v>0</v>
      </c>
      <c r="BM17" s="529">
        <f t="shared" si="3"/>
        <v>0</v>
      </c>
      <c r="BN17" s="529">
        <f t="shared" si="4"/>
        <v>0</v>
      </c>
      <c r="BO17" s="529">
        <f t="shared" si="5"/>
        <v>0</v>
      </c>
      <c r="BP17" s="529">
        <f t="shared" si="6"/>
        <v>0</v>
      </c>
      <c r="BQ17" s="529">
        <f t="shared" si="7"/>
        <v>0</v>
      </c>
      <c r="BR17" s="529">
        <f t="shared" si="8"/>
        <v>0</v>
      </c>
      <c r="BS17" s="529">
        <f t="shared" si="9"/>
        <v>0</v>
      </c>
      <c r="BT17" s="529">
        <f t="shared" si="10"/>
        <v>0</v>
      </c>
      <c r="BU17" s="529">
        <f t="shared" si="11"/>
        <v>0</v>
      </c>
      <c r="BV17" s="529">
        <f t="shared" si="12"/>
        <v>0</v>
      </c>
      <c r="BW17" s="529">
        <f t="shared" si="13"/>
        <v>0</v>
      </c>
      <c r="BX17" s="529">
        <f t="shared" si="28"/>
        <v>0</v>
      </c>
      <c r="BY17" s="529">
        <f t="shared" si="29"/>
        <v>0</v>
      </c>
      <c r="BZ17" s="529">
        <f t="shared" si="30"/>
        <v>0</v>
      </c>
      <c r="CA17" s="737"/>
      <c r="CB17" s="529">
        <f t="shared" si="14"/>
        <v>6239.21</v>
      </c>
      <c r="CC17" s="529">
        <f t="shared" si="15"/>
        <v>5610.5</v>
      </c>
      <c r="CD17" s="529">
        <f t="shared" si="16"/>
        <v>0</v>
      </c>
      <c r="CE17" s="529">
        <f t="shared" si="17"/>
        <v>0</v>
      </c>
      <c r="CF17" s="529">
        <f t="shared" si="18"/>
        <v>0</v>
      </c>
      <c r="CG17" s="529">
        <f t="shared" si="19"/>
        <v>0</v>
      </c>
      <c r="CH17" s="529">
        <f t="shared" si="20"/>
        <v>0</v>
      </c>
      <c r="CI17" s="529">
        <f t="shared" si="21"/>
        <v>0</v>
      </c>
      <c r="CJ17" s="529">
        <f t="shared" si="22"/>
        <v>0</v>
      </c>
      <c r="CK17" s="529">
        <f t="shared" si="23"/>
        <v>0</v>
      </c>
      <c r="CL17" s="529">
        <f t="shared" si="24"/>
        <v>0</v>
      </c>
      <c r="CM17" s="529">
        <f t="shared" si="25"/>
        <v>0</v>
      </c>
      <c r="CN17" s="529">
        <f t="shared" si="26"/>
        <v>0</v>
      </c>
      <c r="CO17" s="529">
        <f t="shared" si="27"/>
        <v>0</v>
      </c>
      <c r="CP17" s="529">
        <f t="shared" si="31"/>
        <v>0</v>
      </c>
      <c r="CQ17" s="529">
        <f t="shared" si="32"/>
        <v>0</v>
      </c>
      <c r="CR17" s="529">
        <f t="shared" si="33"/>
        <v>0</v>
      </c>
    </row>
    <row r="18" spans="1:96" ht="13.5" x14ac:dyDescent="0.25">
      <c r="A18" s="758"/>
      <c r="B18" s="537" t="s">
        <v>619</v>
      </c>
      <c r="C18" s="543">
        <f>C14*0.46+C16*0.24+C17*0.24</f>
        <v>1497.4104</v>
      </c>
      <c r="D18" s="548"/>
      <c r="E18" s="545">
        <f>SUM(E14:E17)</f>
        <v>0.71750915000000004</v>
      </c>
      <c r="F18" s="543">
        <f>F14*0.46+F16*0.24+F17*0.24</f>
        <v>3072.6215999999999</v>
      </c>
      <c r="G18" s="548"/>
      <c r="H18" s="545">
        <f>SUM(H14:H17)</f>
        <v>1.68030247</v>
      </c>
      <c r="I18" s="543">
        <f>I14*0.46+I16*0.24+I17*0.24</f>
        <v>1663.36</v>
      </c>
      <c r="J18" s="548"/>
      <c r="K18" s="545">
        <f>SUM(K14:K17)</f>
        <v>2.0535633</v>
      </c>
      <c r="L18" s="543">
        <f>L14*0.46+L16*0.24+L17*0.24</f>
        <v>346.75400000000002</v>
      </c>
      <c r="M18" s="548"/>
      <c r="N18" s="545">
        <f>SUM(N14:N17)</f>
        <v>0.25466290000000003</v>
      </c>
      <c r="O18" s="543">
        <f>O14*0.46+O16*0.24+O17*0.24</f>
        <v>121.69</v>
      </c>
      <c r="P18" s="548"/>
      <c r="Q18" s="545">
        <f>SUM(Q14:Q17)</f>
        <v>8.8718999999999992E-2</v>
      </c>
      <c r="R18" s="543">
        <f>R14*0.46+R16*0.24+R17*0.24</f>
        <v>1965.5360000000001</v>
      </c>
      <c r="S18" s="548"/>
      <c r="T18" s="545">
        <f>SUM(T14:T17)</f>
        <v>1.8397592000000003</v>
      </c>
      <c r="U18" s="543">
        <f>U14*0.46+U16*0.24+U17*0.24</f>
        <v>2589.98</v>
      </c>
      <c r="V18" s="630"/>
      <c r="W18" s="545">
        <f>SUM(W14:W17)</f>
        <v>2.7081910000000002</v>
      </c>
      <c r="X18" s="543">
        <f>X14*0.46+X16*0.24+X17*0.24</f>
        <v>2864.16</v>
      </c>
      <c r="Y18" s="548"/>
      <c r="Z18" s="545">
        <f>SUM(Z14:Z17)</f>
        <v>3.0900690000000002</v>
      </c>
      <c r="AA18" s="543">
        <f>AA14*0.46+AA16*0.24+AA17*0.24</f>
        <v>2428.1</v>
      </c>
      <c r="AB18" s="548"/>
      <c r="AC18" s="545">
        <f>SUM(AC14:AC17)</f>
        <v>2.6998850000000001</v>
      </c>
      <c r="AD18" s="543">
        <f>AD14*0.46+AD16*0.24+AD17*0.24</f>
        <v>1950.86</v>
      </c>
      <c r="AE18" s="548"/>
      <c r="AF18" s="545">
        <f>SUM(AF14:AF17)</f>
        <v>2.2337350000000002</v>
      </c>
      <c r="AG18" s="543">
        <f>AG14*0.46+AG16*0.24+AG17*0.24</f>
        <v>1950.86</v>
      </c>
      <c r="AH18" s="548"/>
      <c r="AI18" s="545">
        <f>SUM(AI14:AI17)</f>
        <v>2.2984689999999999</v>
      </c>
      <c r="AJ18" s="543">
        <f>AJ14*0.46+AJ16*0.24+AJ17*0.24</f>
        <v>1950.86</v>
      </c>
      <c r="AK18" s="548"/>
      <c r="AL18" s="545">
        <f>SUM(AL14:AL17)</f>
        <v>2.370908</v>
      </c>
      <c r="AM18" s="543">
        <f>AM14*0.46+AM16*0.24+AM17*0.24</f>
        <v>1950.86</v>
      </c>
      <c r="AN18" s="548"/>
      <c r="AO18" s="545">
        <f>SUM(AO14:AO17)</f>
        <v>2.4433469999999997</v>
      </c>
      <c r="AP18" s="543">
        <f>AP14*0.46+AP16*0.24+AP17*0.24</f>
        <v>1950.86</v>
      </c>
      <c r="AQ18" s="548"/>
      <c r="AR18" s="545">
        <f>SUM(AR14:AR17)</f>
        <v>2.5160070000000001</v>
      </c>
      <c r="AS18" s="543">
        <f>AS14*0.46+AS16*0.24+AS17*0.24</f>
        <v>1950.86</v>
      </c>
      <c r="AT18" s="548"/>
      <c r="AU18" s="545">
        <f>SUM(AU14:AU17)</f>
        <v>2.5886670000000001</v>
      </c>
      <c r="AV18" s="543">
        <f>AV14*0.46+AV16*0.24+AV17*0.24</f>
        <v>1950.86</v>
      </c>
      <c r="AW18" s="548"/>
      <c r="AX18" s="545">
        <f>SUM(AX14:AX17)</f>
        <v>2.6692530000000003</v>
      </c>
      <c r="AY18" s="543">
        <f>AY14*0.46+AY16*0.24+AY17*0.24</f>
        <v>1950.86</v>
      </c>
      <c r="AZ18" s="548"/>
      <c r="BA18" s="545">
        <f>SUM(BA14:BA17)</f>
        <v>2.7498390000000001</v>
      </c>
      <c r="BJ18" s="529">
        <f t="shared" si="0"/>
        <v>0.71750915000000004</v>
      </c>
      <c r="BK18" s="529">
        <f t="shared" si="1"/>
        <v>1.68030247</v>
      </c>
      <c r="BL18" s="529">
        <f t="shared" si="2"/>
        <v>2.0535633</v>
      </c>
      <c r="BM18" s="529">
        <f t="shared" si="3"/>
        <v>0.25466290000000003</v>
      </c>
      <c r="BN18" s="529">
        <f t="shared" si="4"/>
        <v>8.8718999999999992E-2</v>
      </c>
      <c r="BO18" s="529">
        <f t="shared" si="5"/>
        <v>1.8397592000000003</v>
      </c>
      <c r="BP18" s="529">
        <f t="shared" si="6"/>
        <v>2.7081910000000002</v>
      </c>
      <c r="BQ18" s="529">
        <f t="shared" si="7"/>
        <v>3.0900690000000002</v>
      </c>
      <c r="BR18" s="529">
        <f t="shared" si="8"/>
        <v>2.6998850000000001</v>
      </c>
      <c r="BS18" s="529">
        <f t="shared" si="9"/>
        <v>2.2337350000000002</v>
      </c>
      <c r="BT18" s="529">
        <f t="shared" si="10"/>
        <v>2.2984689999999999</v>
      </c>
      <c r="BU18" s="529">
        <f t="shared" si="11"/>
        <v>2.370908</v>
      </c>
      <c r="BV18" s="529">
        <f t="shared" si="12"/>
        <v>2.4433469999999997</v>
      </c>
      <c r="BW18" s="529">
        <f t="shared" si="13"/>
        <v>2.5160070000000001</v>
      </c>
      <c r="BX18" s="529">
        <f t="shared" si="28"/>
        <v>2.5886670000000001</v>
      </c>
      <c r="BY18" s="529">
        <f t="shared" si="29"/>
        <v>2.6692530000000003</v>
      </c>
      <c r="BZ18" s="529">
        <f t="shared" si="30"/>
        <v>2.7498390000000001</v>
      </c>
      <c r="CB18" s="529">
        <f t="shared" si="14"/>
        <v>1497.4104</v>
      </c>
      <c r="CC18" s="529">
        <f t="shared" si="15"/>
        <v>3072.6215999999999</v>
      </c>
      <c r="CD18" s="529">
        <f t="shared" si="16"/>
        <v>1663.36</v>
      </c>
      <c r="CE18" s="529">
        <f t="shared" si="17"/>
        <v>346.75400000000002</v>
      </c>
      <c r="CF18" s="529">
        <f t="shared" si="18"/>
        <v>121.69</v>
      </c>
      <c r="CG18" s="529">
        <f t="shared" si="19"/>
        <v>1965.5360000000001</v>
      </c>
      <c r="CH18" s="529">
        <f t="shared" si="20"/>
        <v>2589.98</v>
      </c>
      <c r="CI18" s="529">
        <f t="shared" si="21"/>
        <v>2864.16</v>
      </c>
      <c r="CJ18" s="529">
        <f t="shared" si="22"/>
        <v>2428.1</v>
      </c>
      <c r="CK18" s="529">
        <f t="shared" si="23"/>
        <v>1950.86</v>
      </c>
      <c r="CL18" s="529">
        <f t="shared" si="24"/>
        <v>1950.86</v>
      </c>
      <c r="CM18" s="529">
        <f t="shared" si="25"/>
        <v>1950.86</v>
      </c>
      <c r="CN18" s="529">
        <f t="shared" si="26"/>
        <v>1950.86</v>
      </c>
      <c r="CO18" s="529">
        <f t="shared" si="27"/>
        <v>1950.86</v>
      </c>
      <c r="CP18" s="529">
        <f t="shared" si="31"/>
        <v>1950.86</v>
      </c>
      <c r="CQ18" s="529">
        <f t="shared" si="32"/>
        <v>1950.86</v>
      </c>
      <c r="CR18" s="529">
        <f t="shared" si="33"/>
        <v>1950.86</v>
      </c>
    </row>
    <row r="19" spans="1:96" s="537" customFormat="1" x14ac:dyDescent="0.2">
      <c r="A19" s="757" t="s">
        <v>620</v>
      </c>
      <c r="B19" s="537" t="s">
        <v>494</v>
      </c>
      <c r="C19" s="538"/>
      <c r="D19" s="539"/>
      <c r="E19" s="540">
        <f>C19*D19/1000000</f>
        <v>0</v>
      </c>
      <c r="F19" s="541"/>
      <c r="G19" s="539"/>
      <c r="H19" s="540">
        <f>F19*G19/1000000</f>
        <v>0</v>
      </c>
      <c r="I19" s="538"/>
      <c r="J19" s="539"/>
      <c r="K19" s="540">
        <f>I19*J19/1000000</f>
        <v>0</v>
      </c>
      <c r="L19" s="538"/>
      <c r="M19" s="539"/>
      <c r="N19" s="540">
        <f>L19*M19/1000000</f>
        <v>0</v>
      </c>
      <c r="O19" s="538"/>
      <c r="P19" s="539"/>
      <c r="Q19" s="540">
        <f>O19*P19/1000000</f>
        <v>0</v>
      </c>
      <c r="R19" s="538"/>
      <c r="S19" s="539"/>
      <c r="T19" s="540">
        <f>R19*S19/1000000</f>
        <v>0</v>
      </c>
      <c r="U19" s="538"/>
      <c r="V19" s="629"/>
      <c r="W19" s="540">
        <f>U19*V19/1000000</f>
        <v>0</v>
      </c>
      <c r="X19" s="538"/>
      <c r="Y19" s="539">
        <f t="shared" si="41"/>
        <v>0</v>
      </c>
      <c r="Z19" s="540">
        <f>X19*Y19/1000000</f>
        <v>0</v>
      </c>
      <c r="AA19" s="538"/>
      <c r="AB19" s="539">
        <f t="shared" ref="AB19:AB21" si="85">ROUND(Y19*(1+AB$1),0)</f>
        <v>0</v>
      </c>
      <c r="AC19" s="540">
        <f>AA19*AB19/1000000</f>
        <v>0</v>
      </c>
      <c r="AD19" s="538"/>
      <c r="AE19" s="539">
        <f t="shared" ref="AE19:AE21" si="86">ROUND(AB19*(1+AE$1),0)</f>
        <v>0</v>
      </c>
      <c r="AF19" s="540">
        <f>AD19*AE19/1000000</f>
        <v>0</v>
      </c>
      <c r="AG19" s="538"/>
      <c r="AH19" s="539">
        <f t="shared" ref="AH19:AH21" si="87">ROUND(AE19*(1+AH$1),0)</f>
        <v>0</v>
      </c>
      <c r="AI19" s="540">
        <f>AG19*AH19/1000000</f>
        <v>0</v>
      </c>
      <c r="AJ19" s="538"/>
      <c r="AK19" s="539">
        <f t="shared" ref="AK19:AK21" si="88">ROUND(AH19*(1+AK$1),0)</f>
        <v>0</v>
      </c>
      <c r="AL19" s="540">
        <f>AJ19*AK19/1000000</f>
        <v>0</v>
      </c>
      <c r="AM19" s="538"/>
      <c r="AN19" s="539">
        <f t="shared" ref="AN19:AN21" si="89">ROUND(AK19*(1+AN$1),0)</f>
        <v>0</v>
      </c>
      <c r="AO19" s="540">
        <f>AM19*AN19/1000000</f>
        <v>0</v>
      </c>
      <c r="AP19" s="538"/>
      <c r="AQ19" s="539">
        <f t="shared" ref="AQ19:AQ21" si="90">ROUND(AN19*(1+AQ$1),0)</f>
        <v>0</v>
      </c>
      <c r="AR19" s="540">
        <f>AP19*AQ19/1000000</f>
        <v>0</v>
      </c>
      <c r="AS19" s="538"/>
      <c r="AT19" s="539">
        <f t="shared" ref="AT19:AT21" si="91">ROUND(AQ19*(1+AT$1),0)</f>
        <v>0</v>
      </c>
      <c r="AU19" s="540">
        <f>AS19*AT19/1000000</f>
        <v>0</v>
      </c>
      <c r="AV19" s="538"/>
      <c r="AW19" s="539">
        <f t="shared" ref="AW19:AW21" si="92">ROUND(AT19*(1+AW$1),0)</f>
        <v>0</v>
      </c>
      <c r="AX19" s="540">
        <f>AV19*AW19/1000000</f>
        <v>0</v>
      </c>
      <c r="AY19" s="538"/>
      <c r="AZ19" s="539">
        <f t="shared" ref="AZ19:AZ21" si="93">ROUND(AW19*(1+AZ$1),0)</f>
        <v>0</v>
      </c>
      <c r="BA19" s="540">
        <f>AY19*AZ19/1000000</f>
        <v>0</v>
      </c>
      <c r="BD19" s="729"/>
      <c r="BI19" s="737"/>
      <c r="BJ19" s="529">
        <f t="shared" si="0"/>
        <v>0</v>
      </c>
      <c r="BK19" s="529">
        <f t="shared" si="1"/>
        <v>0</v>
      </c>
      <c r="BL19" s="529">
        <f t="shared" si="2"/>
        <v>0</v>
      </c>
      <c r="BM19" s="529">
        <f t="shared" si="3"/>
        <v>0</v>
      </c>
      <c r="BN19" s="529">
        <f t="shared" si="4"/>
        <v>0</v>
      </c>
      <c r="BO19" s="529">
        <f t="shared" si="5"/>
        <v>0</v>
      </c>
      <c r="BP19" s="529">
        <f t="shared" si="6"/>
        <v>0</v>
      </c>
      <c r="BQ19" s="529">
        <f t="shared" si="7"/>
        <v>0</v>
      </c>
      <c r="BR19" s="529">
        <f t="shared" si="8"/>
        <v>0</v>
      </c>
      <c r="BS19" s="529">
        <f t="shared" si="9"/>
        <v>0</v>
      </c>
      <c r="BT19" s="529">
        <f t="shared" si="10"/>
        <v>0</v>
      </c>
      <c r="BU19" s="529">
        <f t="shared" si="11"/>
        <v>0</v>
      </c>
      <c r="BV19" s="529">
        <f t="shared" si="12"/>
        <v>0</v>
      </c>
      <c r="BW19" s="529">
        <f t="shared" si="13"/>
        <v>0</v>
      </c>
      <c r="BX19" s="529">
        <f t="shared" si="28"/>
        <v>0</v>
      </c>
      <c r="BY19" s="529">
        <f t="shared" si="29"/>
        <v>0</v>
      </c>
      <c r="BZ19" s="529">
        <f t="shared" si="30"/>
        <v>0</v>
      </c>
      <c r="CA19" s="737"/>
      <c r="CB19" s="529">
        <f t="shared" si="14"/>
        <v>0</v>
      </c>
      <c r="CC19" s="529">
        <f t="shared" si="15"/>
        <v>0</v>
      </c>
      <c r="CD19" s="529">
        <f t="shared" si="16"/>
        <v>0</v>
      </c>
      <c r="CE19" s="529">
        <f t="shared" si="17"/>
        <v>0</v>
      </c>
      <c r="CF19" s="529">
        <f t="shared" si="18"/>
        <v>0</v>
      </c>
      <c r="CG19" s="529">
        <f t="shared" si="19"/>
        <v>0</v>
      </c>
      <c r="CH19" s="529">
        <f t="shared" si="20"/>
        <v>0</v>
      </c>
      <c r="CI19" s="529">
        <f t="shared" si="21"/>
        <v>0</v>
      </c>
      <c r="CJ19" s="529">
        <f t="shared" si="22"/>
        <v>0</v>
      </c>
      <c r="CK19" s="529">
        <f t="shared" si="23"/>
        <v>0</v>
      </c>
      <c r="CL19" s="529">
        <f t="shared" si="24"/>
        <v>0</v>
      </c>
      <c r="CM19" s="529">
        <f t="shared" si="25"/>
        <v>0</v>
      </c>
      <c r="CN19" s="529">
        <f t="shared" si="26"/>
        <v>0</v>
      </c>
      <c r="CO19" s="529">
        <f t="shared" si="27"/>
        <v>0</v>
      </c>
      <c r="CP19" s="529">
        <f t="shared" si="31"/>
        <v>0</v>
      </c>
      <c r="CQ19" s="529">
        <f t="shared" si="32"/>
        <v>0</v>
      </c>
      <c r="CR19" s="529">
        <f t="shared" si="33"/>
        <v>0</v>
      </c>
    </row>
    <row r="20" spans="1:96" s="537" customFormat="1" x14ac:dyDescent="0.2">
      <c r="A20" s="757"/>
      <c r="B20" s="537" t="s">
        <v>495</v>
      </c>
      <c r="C20" s="538"/>
      <c r="D20" s="539"/>
      <c r="E20" s="540">
        <f t="shared" ref="E20:E25" si="94">C20*D20/1000000</f>
        <v>0</v>
      </c>
      <c r="F20" s="541"/>
      <c r="G20" s="539"/>
      <c r="H20" s="540">
        <f t="shared" ref="H20:H25" si="95">F20*G20/1000000</f>
        <v>0</v>
      </c>
      <c r="I20" s="538"/>
      <c r="J20" s="539"/>
      <c r="K20" s="540">
        <f t="shared" ref="K20:K25" si="96">I20*J20/1000000</f>
        <v>0</v>
      </c>
      <c r="L20" s="538">
        <v>3000</v>
      </c>
      <c r="M20" s="539">
        <v>202</v>
      </c>
      <c r="N20" s="540">
        <f t="shared" ref="N20:N25" si="97">L20*M20/1000000</f>
        <v>0.60599999999999998</v>
      </c>
      <c r="O20" s="538"/>
      <c r="P20" s="539"/>
      <c r="Q20" s="540">
        <f t="shared" ref="Q20:Q25" si="98">O20*P20/1000000</f>
        <v>0</v>
      </c>
      <c r="R20" s="538"/>
      <c r="S20" s="539"/>
      <c r="T20" s="540">
        <f t="shared" ref="T20:T25" si="99">R20*S20/1000000</f>
        <v>0</v>
      </c>
      <c r="U20" s="538"/>
      <c r="V20" s="629"/>
      <c r="W20" s="540">
        <f t="shared" ref="W20:W25" si="100">U20*V20/1000000</f>
        <v>0</v>
      </c>
      <c r="X20" s="538"/>
      <c r="Y20" s="539">
        <f t="shared" si="41"/>
        <v>0</v>
      </c>
      <c r="Z20" s="540">
        <f t="shared" ref="Z20:Z25" si="101">X20*Y20/1000000</f>
        <v>0</v>
      </c>
      <c r="AA20" s="538"/>
      <c r="AB20" s="539">
        <f t="shared" si="85"/>
        <v>0</v>
      </c>
      <c r="AC20" s="540">
        <f t="shared" ref="AC20:AC25" si="102">AA20*AB20/1000000</f>
        <v>0</v>
      </c>
      <c r="AD20" s="538"/>
      <c r="AE20" s="539">
        <f t="shared" si="86"/>
        <v>0</v>
      </c>
      <c r="AF20" s="540">
        <f t="shared" ref="AF20:AF25" si="103">AD20*AE20/1000000</f>
        <v>0</v>
      </c>
      <c r="AG20" s="538"/>
      <c r="AH20" s="539">
        <f t="shared" si="87"/>
        <v>0</v>
      </c>
      <c r="AI20" s="540">
        <f t="shared" ref="AI20:AI25" si="104">AG20*AH20/1000000</f>
        <v>0</v>
      </c>
      <c r="AJ20" s="538"/>
      <c r="AK20" s="539">
        <f t="shared" si="88"/>
        <v>0</v>
      </c>
      <c r="AL20" s="540">
        <f t="shared" ref="AL20:AL25" si="105">AJ20*AK20/1000000</f>
        <v>0</v>
      </c>
      <c r="AM20" s="538"/>
      <c r="AN20" s="539">
        <f t="shared" si="89"/>
        <v>0</v>
      </c>
      <c r="AO20" s="540">
        <f t="shared" ref="AO20:AO25" si="106">AM20*AN20/1000000</f>
        <v>0</v>
      </c>
      <c r="AP20" s="538"/>
      <c r="AQ20" s="539">
        <f t="shared" si="90"/>
        <v>0</v>
      </c>
      <c r="AR20" s="540">
        <f t="shared" ref="AR20:AR25" si="107">AP20*AQ20/1000000</f>
        <v>0</v>
      </c>
      <c r="AS20" s="538"/>
      <c r="AT20" s="539">
        <f t="shared" si="91"/>
        <v>0</v>
      </c>
      <c r="AU20" s="540">
        <f t="shared" ref="AU20:AU21" si="108">AS20*AT20/1000000</f>
        <v>0</v>
      </c>
      <c r="AV20" s="538"/>
      <c r="AW20" s="539">
        <f t="shared" si="92"/>
        <v>0</v>
      </c>
      <c r="AX20" s="540">
        <f t="shared" ref="AX20:AX21" si="109">AV20*AW20/1000000</f>
        <v>0</v>
      </c>
      <c r="AY20" s="538"/>
      <c r="AZ20" s="539">
        <f t="shared" si="93"/>
        <v>0</v>
      </c>
      <c r="BA20" s="540">
        <f t="shared" ref="BA20:BA21" si="110">AY20*AZ20/1000000</f>
        <v>0</v>
      </c>
      <c r="BD20" s="729"/>
      <c r="BI20" s="737"/>
      <c r="BJ20" s="529">
        <f t="shared" si="0"/>
        <v>0</v>
      </c>
      <c r="BK20" s="529">
        <f t="shared" si="1"/>
        <v>0</v>
      </c>
      <c r="BL20" s="529">
        <f t="shared" si="2"/>
        <v>0</v>
      </c>
      <c r="BM20" s="529">
        <f t="shared" si="3"/>
        <v>0.60599999999999998</v>
      </c>
      <c r="BN20" s="529">
        <f t="shared" si="4"/>
        <v>0</v>
      </c>
      <c r="BO20" s="529">
        <f t="shared" si="5"/>
        <v>0</v>
      </c>
      <c r="BP20" s="529">
        <f t="shared" si="6"/>
        <v>0</v>
      </c>
      <c r="BQ20" s="529">
        <f t="shared" si="7"/>
        <v>0</v>
      </c>
      <c r="BR20" s="529">
        <f t="shared" si="8"/>
        <v>0</v>
      </c>
      <c r="BS20" s="529">
        <f t="shared" si="9"/>
        <v>0</v>
      </c>
      <c r="BT20" s="529">
        <f t="shared" si="10"/>
        <v>0</v>
      </c>
      <c r="BU20" s="529">
        <f t="shared" si="11"/>
        <v>0</v>
      </c>
      <c r="BV20" s="529">
        <f t="shared" si="12"/>
        <v>0</v>
      </c>
      <c r="BW20" s="529">
        <f t="shared" si="13"/>
        <v>0</v>
      </c>
      <c r="BX20" s="529">
        <f t="shared" si="28"/>
        <v>0</v>
      </c>
      <c r="BY20" s="529">
        <f t="shared" si="29"/>
        <v>0</v>
      </c>
      <c r="BZ20" s="529">
        <f t="shared" si="30"/>
        <v>0</v>
      </c>
      <c r="CA20" s="737"/>
      <c r="CB20" s="529">
        <f t="shared" si="14"/>
        <v>0</v>
      </c>
      <c r="CC20" s="529">
        <f t="shared" si="15"/>
        <v>0</v>
      </c>
      <c r="CD20" s="529">
        <f t="shared" si="16"/>
        <v>0</v>
      </c>
      <c r="CE20" s="529">
        <f t="shared" si="17"/>
        <v>3000</v>
      </c>
      <c r="CF20" s="529">
        <f t="shared" si="18"/>
        <v>0</v>
      </c>
      <c r="CG20" s="529">
        <f t="shared" si="19"/>
        <v>0</v>
      </c>
      <c r="CH20" s="529">
        <f t="shared" si="20"/>
        <v>0</v>
      </c>
      <c r="CI20" s="529">
        <f t="shared" si="21"/>
        <v>0</v>
      </c>
      <c r="CJ20" s="529">
        <f t="shared" si="22"/>
        <v>0</v>
      </c>
      <c r="CK20" s="529">
        <f t="shared" si="23"/>
        <v>0</v>
      </c>
      <c r="CL20" s="529">
        <f t="shared" si="24"/>
        <v>0</v>
      </c>
      <c r="CM20" s="529">
        <f t="shared" si="25"/>
        <v>0</v>
      </c>
      <c r="CN20" s="529">
        <f t="shared" si="26"/>
        <v>0</v>
      </c>
      <c r="CO20" s="529">
        <f t="shared" si="27"/>
        <v>0</v>
      </c>
      <c r="CP20" s="529">
        <f t="shared" si="31"/>
        <v>0</v>
      </c>
      <c r="CQ20" s="529">
        <f t="shared" si="32"/>
        <v>0</v>
      </c>
      <c r="CR20" s="529">
        <f t="shared" si="33"/>
        <v>0</v>
      </c>
    </row>
    <row r="21" spans="1:96" s="537" customFormat="1" x14ac:dyDescent="0.2">
      <c r="A21" s="757"/>
      <c r="B21" s="537" t="s">
        <v>113</v>
      </c>
      <c r="C21" s="538">
        <v>6973.75</v>
      </c>
      <c r="D21" s="539">
        <v>115</v>
      </c>
      <c r="E21" s="540">
        <f t="shared" si="94"/>
        <v>0.80198124999999998</v>
      </c>
      <c r="F21" s="541">
        <v>6293.65</v>
      </c>
      <c r="G21" s="539">
        <v>110</v>
      </c>
      <c r="H21" s="540">
        <f t="shared" si="95"/>
        <v>0.69230150000000001</v>
      </c>
      <c r="I21" s="538"/>
      <c r="J21" s="539"/>
      <c r="K21" s="540">
        <f t="shared" si="96"/>
        <v>0</v>
      </c>
      <c r="L21" s="538"/>
      <c r="M21" s="539"/>
      <c r="N21" s="540">
        <f t="shared" si="97"/>
        <v>0</v>
      </c>
      <c r="O21" s="538"/>
      <c r="P21" s="539"/>
      <c r="Q21" s="540">
        <f t="shared" si="98"/>
        <v>0</v>
      </c>
      <c r="R21" s="538"/>
      <c r="S21" s="539"/>
      <c r="T21" s="540">
        <f t="shared" si="99"/>
        <v>0</v>
      </c>
      <c r="U21" s="538"/>
      <c r="V21" s="629"/>
      <c r="W21" s="540">
        <f t="shared" si="100"/>
        <v>0</v>
      </c>
      <c r="X21" s="538"/>
      <c r="Y21" s="539">
        <f t="shared" si="41"/>
        <v>0</v>
      </c>
      <c r="Z21" s="540">
        <f t="shared" si="101"/>
        <v>0</v>
      </c>
      <c r="AA21" s="538"/>
      <c r="AB21" s="539">
        <f t="shared" si="85"/>
        <v>0</v>
      </c>
      <c r="AC21" s="540">
        <f t="shared" si="102"/>
        <v>0</v>
      </c>
      <c r="AD21" s="538"/>
      <c r="AE21" s="539">
        <f t="shared" si="86"/>
        <v>0</v>
      </c>
      <c r="AF21" s="540">
        <f t="shared" si="103"/>
        <v>0</v>
      </c>
      <c r="AG21" s="538"/>
      <c r="AH21" s="539">
        <f t="shared" si="87"/>
        <v>0</v>
      </c>
      <c r="AI21" s="540">
        <f t="shared" si="104"/>
        <v>0</v>
      </c>
      <c r="AJ21" s="538"/>
      <c r="AK21" s="539">
        <f t="shared" si="88"/>
        <v>0</v>
      </c>
      <c r="AL21" s="540">
        <f t="shared" si="105"/>
        <v>0</v>
      </c>
      <c r="AM21" s="538"/>
      <c r="AN21" s="539">
        <f t="shared" si="89"/>
        <v>0</v>
      </c>
      <c r="AO21" s="540">
        <f t="shared" si="106"/>
        <v>0</v>
      </c>
      <c r="AP21" s="538"/>
      <c r="AQ21" s="539">
        <f t="shared" si="90"/>
        <v>0</v>
      </c>
      <c r="AR21" s="540">
        <f t="shared" si="107"/>
        <v>0</v>
      </c>
      <c r="AS21" s="538"/>
      <c r="AT21" s="539">
        <f t="shared" si="91"/>
        <v>0</v>
      </c>
      <c r="AU21" s="540">
        <f t="shared" si="108"/>
        <v>0</v>
      </c>
      <c r="AV21" s="538"/>
      <c r="AW21" s="539">
        <f t="shared" si="92"/>
        <v>0</v>
      </c>
      <c r="AX21" s="540">
        <f t="shared" si="109"/>
        <v>0</v>
      </c>
      <c r="AY21" s="538"/>
      <c r="AZ21" s="539">
        <f t="shared" si="93"/>
        <v>0</v>
      </c>
      <c r="BA21" s="540">
        <f t="shared" si="110"/>
        <v>0</v>
      </c>
      <c r="BD21" s="729"/>
      <c r="BI21" s="737"/>
      <c r="BJ21" s="529">
        <f t="shared" si="0"/>
        <v>0.80198124999999998</v>
      </c>
      <c r="BK21" s="529">
        <f t="shared" si="1"/>
        <v>0.69230150000000001</v>
      </c>
      <c r="BL21" s="529">
        <f t="shared" si="2"/>
        <v>0</v>
      </c>
      <c r="BM21" s="529">
        <f t="shared" si="3"/>
        <v>0</v>
      </c>
      <c r="BN21" s="529">
        <f t="shared" si="4"/>
        <v>0</v>
      </c>
      <c r="BO21" s="529">
        <f t="shared" si="5"/>
        <v>0</v>
      </c>
      <c r="BP21" s="529">
        <f t="shared" si="6"/>
        <v>0</v>
      </c>
      <c r="BQ21" s="529">
        <f t="shared" si="7"/>
        <v>0</v>
      </c>
      <c r="BR21" s="529">
        <f t="shared" si="8"/>
        <v>0</v>
      </c>
      <c r="BS21" s="529">
        <f t="shared" si="9"/>
        <v>0</v>
      </c>
      <c r="BT21" s="529">
        <f t="shared" si="10"/>
        <v>0</v>
      </c>
      <c r="BU21" s="529">
        <f t="shared" si="11"/>
        <v>0</v>
      </c>
      <c r="BV21" s="529">
        <f t="shared" si="12"/>
        <v>0</v>
      </c>
      <c r="BW21" s="529">
        <f t="shared" si="13"/>
        <v>0</v>
      </c>
      <c r="BX21" s="529">
        <f t="shared" si="28"/>
        <v>0</v>
      </c>
      <c r="BY21" s="529">
        <f t="shared" si="29"/>
        <v>0</v>
      </c>
      <c r="BZ21" s="529">
        <f t="shared" si="30"/>
        <v>0</v>
      </c>
      <c r="CA21" s="737"/>
      <c r="CB21" s="529">
        <f t="shared" si="14"/>
        <v>6973.75</v>
      </c>
      <c r="CC21" s="529">
        <f t="shared" si="15"/>
        <v>6293.65</v>
      </c>
      <c r="CD21" s="529">
        <f t="shared" si="16"/>
        <v>0</v>
      </c>
      <c r="CE21" s="529">
        <f t="shared" si="17"/>
        <v>0</v>
      </c>
      <c r="CF21" s="529">
        <f t="shared" si="18"/>
        <v>0</v>
      </c>
      <c r="CG21" s="529">
        <f t="shared" si="19"/>
        <v>0</v>
      </c>
      <c r="CH21" s="529">
        <f t="shared" si="20"/>
        <v>0</v>
      </c>
      <c r="CI21" s="529">
        <f t="shared" si="21"/>
        <v>0</v>
      </c>
      <c r="CJ21" s="529">
        <f t="shared" si="22"/>
        <v>0</v>
      </c>
      <c r="CK21" s="529">
        <f t="shared" si="23"/>
        <v>0</v>
      </c>
      <c r="CL21" s="529">
        <f t="shared" si="24"/>
        <v>0</v>
      </c>
      <c r="CM21" s="529">
        <f t="shared" si="25"/>
        <v>0</v>
      </c>
      <c r="CN21" s="529">
        <f t="shared" si="26"/>
        <v>0</v>
      </c>
      <c r="CO21" s="529">
        <f t="shared" si="27"/>
        <v>0</v>
      </c>
      <c r="CP21" s="529">
        <f t="shared" si="31"/>
        <v>0</v>
      </c>
      <c r="CQ21" s="529">
        <f t="shared" si="32"/>
        <v>0</v>
      </c>
      <c r="CR21" s="529">
        <f t="shared" si="33"/>
        <v>0</v>
      </c>
    </row>
    <row r="22" spans="1:96" ht="13.5" x14ac:dyDescent="0.25">
      <c r="A22" s="758"/>
      <c r="B22" s="537" t="s">
        <v>619</v>
      </c>
      <c r="C22" s="543">
        <f>C19*0.46+C20*0.24+C21*0.24</f>
        <v>1673.7</v>
      </c>
      <c r="D22" s="548"/>
      <c r="E22" s="545">
        <f>SUM(E19:E21)</f>
        <v>0.80198124999999998</v>
      </c>
      <c r="F22" s="543">
        <f>F19*0.46+F20*0.24+F21*0.24</f>
        <v>1510.4759999999999</v>
      </c>
      <c r="G22" s="548"/>
      <c r="H22" s="545">
        <f>SUM(H19:H21)</f>
        <v>0.69230150000000001</v>
      </c>
      <c r="I22" s="543">
        <f>I19*0.46+I20*0.24+I21*0.24</f>
        <v>0</v>
      </c>
      <c r="J22" s="548"/>
      <c r="K22" s="545">
        <f>SUM(K19:K21)</f>
        <v>0</v>
      </c>
      <c r="L22" s="543">
        <f>L19*0.46+L20*0.24+L21*0.24</f>
        <v>720</v>
      </c>
      <c r="M22" s="548"/>
      <c r="N22" s="545">
        <f>SUM(N19:N21)</f>
        <v>0.60599999999999998</v>
      </c>
      <c r="O22" s="543">
        <f>O19*0.46+O20*0.24+O21*0.24</f>
        <v>0</v>
      </c>
      <c r="P22" s="548"/>
      <c r="Q22" s="545">
        <f>SUM(Q19:Q21)</f>
        <v>0</v>
      </c>
      <c r="R22" s="543">
        <f>R19*0.46+R20*0.24+R21*0.24</f>
        <v>0</v>
      </c>
      <c r="S22" s="548"/>
      <c r="T22" s="545">
        <f>SUM(T19:T21)</f>
        <v>0</v>
      </c>
      <c r="U22" s="543">
        <f>U19*0.46+U20*0.24+U21*0.24</f>
        <v>0</v>
      </c>
      <c r="V22" s="630"/>
      <c r="W22" s="545">
        <f>SUM(W19:W21)</f>
        <v>0</v>
      </c>
      <c r="X22" s="543">
        <f>X19*0.46+X20*0.24+X21*0.24</f>
        <v>0</v>
      </c>
      <c r="Y22" s="548"/>
      <c r="Z22" s="545">
        <f>SUM(Z19:Z21)</f>
        <v>0</v>
      </c>
      <c r="AA22" s="543">
        <f>AA19*0.46+AA20*0.24+AA21*0.24</f>
        <v>0</v>
      </c>
      <c r="AB22" s="548"/>
      <c r="AC22" s="545">
        <f>SUM(AC19:AC21)</f>
        <v>0</v>
      </c>
      <c r="AD22" s="543">
        <f>AD19*0.46+AD20*0.24+AD21*0.24</f>
        <v>0</v>
      </c>
      <c r="AE22" s="548"/>
      <c r="AF22" s="545">
        <f>SUM(AF19:AF21)</f>
        <v>0</v>
      </c>
      <c r="AG22" s="543">
        <f>AG19*0.46+AG20*0.24+AG21*0.24</f>
        <v>0</v>
      </c>
      <c r="AH22" s="548"/>
      <c r="AI22" s="545">
        <f>SUM(AI19:AI21)</f>
        <v>0</v>
      </c>
      <c r="AJ22" s="543">
        <f>AJ19*0.46+AJ20*0.24+AJ21*0.24</f>
        <v>0</v>
      </c>
      <c r="AK22" s="548"/>
      <c r="AL22" s="545">
        <f>SUM(AL19:AL21)</f>
        <v>0</v>
      </c>
      <c r="AM22" s="543">
        <f>AM19*0.46+AM20*0.24+AM21*0.24</f>
        <v>0</v>
      </c>
      <c r="AN22" s="548"/>
      <c r="AO22" s="545">
        <f>SUM(AO19:AO21)</f>
        <v>0</v>
      </c>
      <c r="AP22" s="543">
        <f>AP19*0.46+AP20*0.24+AP21*0.24</f>
        <v>0</v>
      </c>
      <c r="AQ22" s="548"/>
      <c r="AR22" s="545">
        <f>SUM(AR19:AR21)</f>
        <v>0</v>
      </c>
      <c r="AS22" s="543">
        <f>AS19*0.46+AS20*0.24+AS21*0.24</f>
        <v>0</v>
      </c>
      <c r="AT22" s="548"/>
      <c r="AU22" s="545">
        <f>SUM(AU19:AU21)</f>
        <v>0</v>
      </c>
      <c r="AV22" s="543">
        <f>AV19*0.46+AV20*0.24+AV21*0.24</f>
        <v>0</v>
      </c>
      <c r="AW22" s="548"/>
      <c r="AX22" s="545">
        <f>SUM(AX19:AX21)</f>
        <v>0</v>
      </c>
      <c r="AY22" s="543">
        <f>AY19*0.46+AY20*0.24+AY21*0.24</f>
        <v>0</v>
      </c>
      <c r="AZ22" s="548"/>
      <c r="BA22" s="545">
        <f>SUM(BA19:BA21)</f>
        <v>0</v>
      </c>
      <c r="BJ22" s="529">
        <f t="shared" si="0"/>
        <v>0.80198124999999998</v>
      </c>
      <c r="BK22" s="529">
        <f t="shared" si="1"/>
        <v>0.69230150000000001</v>
      </c>
      <c r="BL22" s="529">
        <f t="shared" si="2"/>
        <v>0</v>
      </c>
      <c r="BM22" s="529">
        <f t="shared" si="3"/>
        <v>0.60599999999999998</v>
      </c>
      <c r="BN22" s="529">
        <f t="shared" si="4"/>
        <v>0</v>
      </c>
      <c r="BO22" s="529">
        <f t="shared" si="5"/>
        <v>0</v>
      </c>
      <c r="BP22" s="529">
        <f t="shared" si="6"/>
        <v>0</v>
      </c>
      <c r="BQ22" s="529">
        <f t="shared" si="7"/>
        <v>0</v>
      </c>
      <c r="BR22" s="529">
        <f t="shared" si="8"/>
        <v>0</v>
      </c>
      <c r="BS22" s="529">
        <f t="shared" si="9"/>
        <v>0</v>
      </c>
      <c r="BT22" s="529">
        <f t="shared" si="10"/>
        <v>0</v>
      </c>
      <c r="BU22" s="529">
        <f t="shared" si="11"/>
        <v>0</v>
      </c>
      <c r="BV22" s="529">
        <f t="shared" si="12"/>
        <v>0</v>
      </c>
      <c r="BW22" s="529">
        <f t="shared" si="13"/>
        <v>0</v>
      </c>
      <c r="BX22" s="529">
        <f t="shared" si="28"/>
        <v>0</v>
      </c>
      <c r="BY22" s="529">
        <f t="shared" si="29"/>
        <v>0</v>
      </c>
      <c r="BZ22" s="529">
        <f t="shared" si="30"/>
        <v>0</v>
      </c>
      <c r="CB22" s="529">
        <f t="shared" si="14"/>
        <v>1673.7</v>
      </c>
      <c r="CC22" s="529">
        <f t="shared" si="15"/>
        <v>1510.4759999999999</v>
      </c>
      <c r="CD22" s="529">
        <f t="shared" si="16"/>
        <v>0</v>
      </c>
      <c r="CE22" s="529">
        <f t="shared" si="17"/>
        <v>720</v>
      </c>
      <c r="CF22" s="529">
        <f t="shared" si="18"/>
        <v>0</v>
      </c>
      <c r="CG22" s="529">
        <f t="shared" si="19"/>
        <v>0</v>
      </c>
      <c r="CH22" s="529">
        <f t="shared" si="20"/>
        <v>0</v>
      </c>
      <c r="CI22" s="529">
        <f t="shared" si="21"/>
        <v>0</v>
      </c>
      <c r="CJ22" s="529">
        <f t="shared" si="22"/>
        <v>0</v>
      </c>
      <c r="CK22" s="529">
        <f t="shared" si="23"/>
        <v>0</v>
      </c>
      <c r="CL22" s="529">
        <f t="shared" si="24"/>
        <v>0</v>
      </c>
      <c r="CM22" s="529">
        <f t="shared" si="25"/>
        <v>0</v>
      </c>
      <c r="CN22" s="529">
        <f t="shared" si="26"/>
        <v>0</v>
      </c>
      <c r="CO22" s="529">
        <f t="shared" si="27"/>
        <v>0</v>
      </c>
      <c r="CP22" s="529">
        <f t="shared" si="31"/>
        <v>0</v>
      </c>
      <c r="CQ22" s="529">
        <f t="shared" si="32"/>
        <v>0</v>
      </c>
      <c r="CR22" s="529">
        <f t="shared" si="33"/>
        <v>0</v>
      </c>
    </row>
    <row r="23" spans="1:96" s="537" customFormat="1" x14ac:dyDescent="0.2">
      <c r="A23" s="757" t="s">
        <v>499</v>
      </c>
      <c r="B23" s="537" t="s">
        <v>494</v>
      </c>
      <c r="C23" s="538"/>
      <c r="D23" s="539"/>
      <c r="E23" s="540">
        <f>C23*D23/1000000</f>
        <v>0</v>
      </c>
      <c r="F23" s="541">
        <v>386.5</v>
      </c>
      <c r="G23" s="539">
        <v>216</v>
      </c>
      <c r="H23" s="540">
        <f>F23*G23/1000000</f>
        <v>8.3484000000000003E-2</v>
      </c>
      <c r="I23" s="547"/>
      <c r="J23" s="539"/>
      <c r="K23" s="540">
        <f>I23*J23/1000000</f>
        <v>0</v>
      </c>
      <c r="L23" s="538">
        <v>1289.5999999999999</v>
      </c>
      <c r="M23" s="539">
        <v>327</v>
      </c>
      <c r="N23" s="540">
        <f>L23*M23/1000000</f>
        <v>0.42169919999999994</v>
      </c>
      <c r="O23" s="538"/>
      <c r="P23" s="539"/>
      <c r="Q23" s="540">
        <f>O23*P23/1000000</f>
        <v>0</v>
      </c>
      <c r="R23" s="538"/>
      <c r="S23" s="539"/>
      <c r="T23" s="540">
        <f>R23*S23/1000000</f>
        <v>0</v>
      </c>
      <c r="U23" s="538"/>
      <c r="V23" s="629"/>
      <c r="W23" s="540">
        <f>U23*V23/1000000</f>
        <v>0</v>
      </c>
      <c r="X23" s="538"/>
      <c r="Y23" s="539">
        <f t="shared" si="41"/>
        <v>0</v>
      </c>
      <c r="Z23" s="540">
        <f>X23*Y23/1000000</f>
        <v>0</v>
      </c>
      <c r="AA23" s="538"/>
      <c r="AB23" s="539">
        <f t="shared" ref="AB23:AB25" si="111">ROUND(Y23*(1+AB$1),0)</f>
        <v>0</v>
      </c>
      <c r="AC23" s="540">
        <f>AA23*AB23/1000000</f>
        <v>0</v>
      </c>
      <c r="AD23" s="538"/>
      <c r="AE23" s="539">
        <f t="shared" ref="AE23:AE25" si="112">ROUND(AB23*(1+AE$1),0)</f>
        <v>0</v>
      </c>
      <c r="AF23" s="540">
        <f>AD23*AE23/1000000</f>
        <v>0</v>
      </c>
      <c r="AG23" s="538"/>
      <c r="AH23" s="539">
        <f t="shared" ref="AH23:AH25" si="113">ROUND(AE23*(1+AH$1),0)</f>
        <v>0</v>
      </c>
      <c r="AI23" s="540">
        <f>AG23*AH23/1000000</f>
        <v>0</v>
      </c>
      <c r="AJ23" s="538"/>
      <c r="AK23" s="539">
        <f t="shared" ref="AK23:AK25" si="114">ROUND(AH23*(1+AK$1),0)</f>
        <v>0</v>
      </c>
      <c r="AL23" s="540">
        <f>AJ23*AK23/1000000</f>
        <v>0</v>
      </c>
      <c r="AM23" s="538"/>
      <c r="AN23" s="539">
        <f t="shared" ref="AN23:AN25" si="115">ROUND(AK23*(1+AN$1),0)</f>
        <v>0</v>
      </c>
      <c r="AO23" s="540">
        <f>AM23*AN23/1000000</f>
        <v>0</v>
      </c>
      <c r="AP23" s="538"/>
      <c r="AQ23" s="539">
        <f t="shared" ref="AQ23:AQ25" si="116">ROUND(AN23*(1+AQ$1),0)</f>
        <v>0</v>
      </c>
      <c r="AR23" s="540">
        <f>AP23*AQ23/1000000</f>
        <v>0</v>
      </c>
      <c r="AS23" s="538"/>
      <c r="AT23" s="539">
        <f t="shared" ref="AT23:AT25" si="117">ROUND(AQ23*(1+AT$1),0)</f>
        <v>0</v>
      </c>
      <c r="AU23" s="540">
        <f>AS23*AT23/1000000</f>
        <v>0</v>
      </c>
      <c r="AV23" s="538"/>
      <c r="AW23" s="539">
        <f t="shared" ref="AW23:AW25" si="118">ROUND(AT23*(1+AW$1),0)</f>
        <v>0</v>
      </c>
      <c r="AX23" s="540">
        <f>AV23*AW23/1000000</f>
        <v>0</v>
      </c>
      <c r="AY23" s="538"/>
      <c r="AZ23" s="539">
        <f t="shared" ref="AZ23:AZ25" si="119">ROUND(AW23*(1+AZ$1),0)</f>
        <v>0</v>
      </c>
      <c r="BA23" s="540">
        <f>AY23*AZ23/1000000</f>
        <v>0</v>
      </c>
      <c r="BD23" s="729"/>
      <c r="BI23" s="737"/>
      <c r="BJ23" s="529">
        <f t="shared" si="0"/>
        <v>0</v>
      </c>
      <c r="BK23" s="529">
        <f t="shared" si="1"/>
        <v>8.3484000000000003E-2</v>
      </c>
      <c r="BL23" s="529">
        <f t="shared" si="2"/>
        <v>0</v>
      </c>
      <c r="BM23" s="529">
        <f t="shared" si="3"/>
        <v>0.42169919999999994</v>
      </c>
      <c r="BN23" s="529">
        <f t="shared" si="4"/>
        <v>0</v>
      </c>
      <c r="BO23" s="529">
        <f t="shared" si="5"/>
        <v>0</v>
      </c>
      <c r="BP23" s="529">
        <f t="shared" si="6"/>
        <v>0</v>
      </c>
      <c r="BQ23" s="529">
        <f t="shared" si="7"/>
        <v>0</v>
      </c>
      <c r="BR23" s="529">
        <f t="shared" si="8"/>
        <v>0</v>
      </c>
      <c r="BS23" s="529">
        <f t="shared" si="9"/>
        <v>0</v>
      </c>
      <c r="BT23" s="529">
        <f t="shared" si="10"/>
        <v>0</v>
      </c>
      <c r="BU23" s="529">
        <f t="shared" si="11"/>
        <v>0</v>
      </c>
      <c r="BV23" s="529">
        <f t="shared" si="12"/>
        <v>0</v>
      </c>
      <c r="BW23" s="529">
        <f t="shared" si="13"/>
        <v>0</v>
      </c>
      <c r="BX23" s="529">
        <f t="shared" si="28"/>
        <v>0</v>
      </c>
      <c r="BY23" s="529">
        <f t="shared" si="29"/>
        <v>0</v>
      </c>
      <c r="BZ23" s="529">
        <f t="shared" si="30"/>
        <v>0</v>
      </c>
      <c r="CA23" s="737"/>
      <c r="CB23" s="529">
        <f t="shared" si="14"/>
        <v>0</v>
      </c>
      <c r="CC23" s="529">
        <f t="shared" si="15"/>
        <v>386.5</v>
      </c>
      <c r="CD23" s="529">
        <f t="shared" si="16"/>
        <v>0</v>
      </c>
      <c r="CE23" s="529">
        <f t="shared" si="17"/>
        <v>1289.5999999999999</v>
      </c>
      <c r="CF23" s="529">
        <f t="shared" si="18"/>
        <v>0</v>
      </c>
      <c r="CG23" s="529">
        <f t="shared" si="19"/>
        <v>0</v>
      </c>
      <c r="CH23" s="529">
        <f t="shared" si="20"/>
        <v>0</v>
      </c>
      <c r="CI23" s="529">
        <f t="shared" si="21"/>
        <v>0</v>
      </c>
      <c r="CJ23" s="529">
        <f t="shared" si="22"/>
        <v>0</v>
      </c>
      <c r="CK23" s="529">
        <f t="shared" si="23"/>
        <v>0</v>
      </c>
      <c r="CL23" s="529">
        <f t="shared" si="24"/>
        <v>0</v>
      </c>
      <c r="CM23" s="529">
        <f t="shared" si="25"/>
        <v>0</v>
      </c>
      <c r="CN23" s="529">
        <f t="shared" si="26"/>
        <v>0</v>
      </c>
      <c r="CO23" s="529">
        <f t="shared" si="27"/>
        <v>0</v>
      </c>
      <c r="CP23" s="529">
        <f t="shared" si="31"/>
        <v>0</v>
      </c>
      <c r="CQ23" s="529">
        <f t="shared" si="32"/>
        <v>0</v>
      </c>
      <c r="CR23" s="529">
        <f t="shared" si="33"/>
        <v>0</v>
      </c>
    </row>
    <row r="24" spans="1:96" s="537" customFormat="1" x14ac:dyDescent="0.2">
      <c r="A24" s="757"/>
      <c r="B24" s="537" t="s">
        <v>495</v>
      </c>
      <c r="C24" s="538"/>
      <c r="D24" s="539"/>
      <c r="E24" s="540">
        <f t="shared" si="94"/>
        <v>0</v>
      </c>
      <c r="F24" s="541">
        <v>966.5</v>
      </c>
      <c r="G24" s="539">
        <v>144</v>
      </c>
      <c r="H24" s="540">
        <f t="shared" si="95"/>
        <v>0.13917599999999999</v>
      </c>
      <c r="I24" s="538">
        <v>191.25</v>
      </c>
      <c r="J24" s="539">
        <v>190</v>
      </c>
      <c r="K24" s="540">
        <f t="shared" si="96"/>
        <v>3.6337500000000002E-2</v>
      </c>
      <c r="L24" s="538">
        <v>1560.8</v>
      </c>
      <c r="M24" s="539">
        <v>212</v>
      </c>
      <c r="N24" s="540">
        <f t="shared" si="97"/>
        <v>0.33088959999999995</v>
      </c>
      <c r="O24" s="538"/>
      <c r="P24" s="539"/>
      <c r="Q24" s="540">
        <f t="shared" si="98"/>
        <v>0</v>
      </c>
      <c r="R24" s="538"/>
      <c r="S24" s="539"/>
      <c r="T24" s="540">
        <f t="shared" si="99"/>
        <v>0</v>
      </c>
      <c r="U24" s="538"/>
      <c r="V24" s="629"/>
      <c r="W24" s="540">
        <f t="shared" si="100"/>
        <v>0</v>
      </c>
      <c r="X24" s="538"/>
      <c r="Y24" s="539">
        <f t="shared" si="41"/>
        <v>0</v>
      </c>
      <c r="Z24" s="540">
        <f t="shared" si="101"/>
        <v>0</v>
      </c>
      <c r="AA24" s="538"/>
      <c r="AB24" s="539">
        <f t="shared" si="111"/>
        <v>0</v>
      </c>
      <c r="AC24" s="540">
        <f t="shared" si="102"/>
        <v>0</v>
      </c>
      <c r="AD24" s="538"/>
      <c r="AE24" s="539">
        <f t="shared" si="112"/>
        <v>0</v>
      </c>
      <c r="AF24" s="540">
        <f t="shared" si="103"/>
        <v>0</v>
      </c>
      <c r="AG24" s="538"/>
      <c r="AH24" s="539">
        <f t="shared" si="113"/>
        <v>0</v>
      </c>
      <c r="AI24" s="540">
        <f t="shared" si="104"/>
        <v>0</v>
      </c>
      <c r="AJ24" s="538"/>
      <c r="AK24" s="539">
        <f t="shared" si="114"/>
        <v>0</v>
      </c>
      <c r="AL24" s="540">
        <f t="shared" si="105"/>
        <v>0</v>
      </c>
      <c r="AM24" s="538"/>
      <c r="AN24" s="539">
        <f t="shared" si="115"/>
        <v>0</v>
      </c>
      <c r="AO24" s="540">
        <f t="shared" si="106"/>
        <v>0</v>
      </c>
      <c r="AP24" s="538"/>
      <c r="AQ24" s="539">
        <f t="shared" si="116"/>
        <v>0</v>
      </c>
      <c r="AR24" s="540">
        <f t="shared" si="107"/>
        <v>0</v>
      </c>
      <c r="AS24" s="538"/>
      <c r="AT24" s="539">
        <f t="shared" si="117"/>
        <v>0</v>
      </c>
      <c r="AU24" s="540">
        <f t="shared" ref="AU24:AU25" si="120">AS24*AT24/1000000</f>
        <v>0</v>
      </c>
      <c r="AV24" s="538"/>
      <c r="AW24" s="539">
        <f t="shared" si="118"/>
        <v>0</v>
      </c>
      <c r="AX24" s="540">
        <f t="shared" ref="AX24:AX25" si="121">AV24*AW24/1000000</f>
        <v>0</v>
      </c>
      <c r="AY24" s="538"/>
      <c r="AZ24" s="539">
        <f t="shared" si="119"/>
        <v>0</v>
      </c>
      <c r="BA24" s="540">
        <f t="shared" ref="BA24:BA25" si="122">AY24*AZ24/1000000</f>
        <v>0</v>
      </c>
      <c r="BD24" s="729"/>
      <c r="BI24" s="737"/>
      <c r="BJ24" s="529">
        <f t="shared" si="0"/>
        <v>0</v>
      </c>
      <c r="BK24" s="529">
        <f t="shared" si="1"/>
        <v>0.13917599999999999</v>
      </c>
      <c r="BL24" s="529">
        <f t="shared" si="2"/>
        <v>3.6337500000000002E-2</v>
      </c>
      <c r="BM24" s="529">
        <f t="shared" si="3"/>
        <v>0.33088959999999995</v>
      </c>
      <c r="BN24" s="529">
        <f t="shared" si="4"/>
        <v>0</v>
      </c>
      <c r="BO24" s="529">
        <f t="shared" si="5"/>
        <v>0</v>
      </c>
      <c r="BP24" s="529">
        <f t="shared" si="6"/>
        <v>0</v>
      </c>
      <c r="BQ24" s="529">
        <f t="shared" si="7"/>
        <v>0</v>
      </c>
      <c r="BR24" s="529">
        <f t="shared" si="8"/>
        <v>0</v>
      </c>
      <c r="BS24" s="529">
        <f t="shared" si="9"/>
        <v>0</v>
      </c>
      <c r="BT24" s="529">
        <f t="shared" si="10"/>
        <v>0</v>
      </c>
      <c r="BU24" s="529">
        <f t="shared" si="11"/>
        <v>0</v>
      </c>
      <c r="BV24" s="529">
        <f t="shared" si="12"/>
        <v>0</v>
      </c>
      <c r="BW24" s="529">
        <f t="shared" si="13"/>
        <v>0</v>
      </c>
      <c r="BX24" s="529">
        <f t="shared" si="28"/>
        <v>0</v>
      </c>
      <c r="BY24" s="529">
        <f t="shared" si="29"/>
        <v>0</v>
      </c>
      <c r="BZ24" s="529">
        <f t="shared" si="30"/>
        <v>0</v>
      </c>
      <c r="CA24" s="737"/>
      <c r="CB24" s="529">
        <f t="shared" si="14"/>
        <v>0</v>
      </c>
      <c r="CC24" s="529">
        <f t="shared" si="15"/>
        <v>966.5</v>
      </c>
      <c r="CD24" s="529">
        <f t="shared" si="16"/>
        <v>191.25</v>
      </c>
      <c r="CE24" s="529">
        <f t="shared" si="17"/>
        <v>1560.8</v>
      </c>
      <c r="CF24" s="529">
        <f t="shared" si="18"/>
        <v>0</v>
      </c>
      <c r="CG24" s="529">
        <f t="shared" si="19"/>
        <v>0</v>
      </c>
      <c r="CH24" s="529">
        <f t="shared" si="20"/>
        <v>0</v>
      </c>
      <c r="CI24" s="529">
        <f t="shared" si="21"/>
        <v>0</v>
      </c>
      <c r="CJ24" s="529">
        <f t="shared" si="22"/>
        <v>0</v>
      </c>
      <c r="CK24" s="529">
        <f t="shared" si="23"/>
        <v>0</v>
      </c>
      <c r="CL24" s="529">
        <f t="shared" si="24"/>
        <v>0</v>
      </c>
      <c r="CM24" s="529">
        <f t="shared" si="25"/>
        <v>0</v>
      </c>
      <c r="CN24" s="529">
        <f t="shared" si="26"/>
        <v>0</v>
      </c>
      <c r="CO24" s="529">
        <f t="shared" si="27"/>
        <v>0</v>
      </c>
      <c r="CP24" s="529">
        <f t="shared" si="31"/>
        <v>0</v>
      </c>
      <c r="CQ24" s="529">
        <f t="shared" si="32"/>
        <v>0</v>
      </c>
      <c r="CR24" s="529">
        <f t="shared" si="33"/>
        <v>0</v>
      </c>
    </row>
    <row r="25" spans="1:96" s="537" customFormat="1" x14ac:dyDescent="0.2">
      <c r="A25" s="757"/>
      <c r="B25" s="537" t="s">
        <v>113</v>
      </c>
      <c r="C25" s="538">
        <v>2559.0500000000002</v>
      </c>
      <c r="D25" s="539">
        <v>115</v>
      </c>
      <c r="E25" s="540">
        <f t="shared" si="94"/>
        <v>0.29429074999999999</v>
      </c>
      <c r="F25" s="541"/>
      <c r="G25" s="539"/>
      <c r="H25" s="540">
        <f t="shared" si="95"/>
        <v>0</v>
      </c>
      <c r="I25" s="538"/>
      <c r="J25" s="539"/>
      <c r="K25" s="540">
        <f t="shared" si="96"/>
        <v>0</v>
      </c>
      <c r="L25" s="538"/>
      <c r="M25" s="539"/>
      <c r="N25" s="540">
        <f t="shared" si="97"/>
        <v>0</v>
      </c>
      <c r="O25" s="538"/>
      <c r="P25" s="539"/>
      <c r="Q25" s="540">
        <f t="shared" si="98"/>
        <v>0</v>
      </c>
      <c r="R25" s="538"/>
      <c r="S25" s="539"/>
      <c r="T25" s="540">
        <f t="shared" si="99"/>
        <v>0</v>
      </c>
      <c r="U25" s="538"/>
      <c r="V25" s="629"/>
      <c r="W25" s="540">
        <f t="shared" si="100"/>
        <v>0</v>
      </c>
      <c r="X25" s="538"/>
      <c r="Y25" s="539">
        <f t="shared" si="41"/>
        <v>0</v>
      </c>
      <c r="Z25" s="540">
        <f t="shared" si="101"/>
        <v>0</v>
      </c>
      <c r="AA25" s="538"/>
      <c r="AB25" s="539">
        <f t="shared" si="111"/>
        <v>0</v>
      </c>
      <c r="AC25" s="540">
        <f t="shared" si="102"/>
        <v>0</v>
      </c>
      <c r="AD25" s="538"/>
      <c r="AE25" s="539">
        <f t="shared" si="112"/>
        <v>0</v>
      </c>
      <c r="AF25" s="540">
        <f t="shared" si="103"/>
        <v>0</v>
      </c>
      <c r="AG25" s="538"/>
      <c r="AH25" s="539">
        <f t="shared" si="113"/>
        <v>0</v>
      </c>
      <c r="AI25" s="540">
        <f t="shared" si="104"/>
        <v>0</v>
      </c>
      <c r="AJ25" s="538"/>
      <c r="AK25" s="539">
        <f t="shared" si="114"/>
        <v>0</v>
      </c>
      <c r="AL25" s="540">
        <f t="shared" si="105"/>
        <v>0</v>
      </c>
      <c r="AM25" s="538"/>
      <c r="AN25" s="539">
        <f t="shared" si="115"/>
        <v>0</v>
      </c>
      <c r="AO25" s="540">
        <f t="shared" si="106"/>
        <v>0</v>
      </c>
      <c r="AP25" s="538"/>
      <c r="AQ25" s="539">
        <f t="shared" si="116"/>
        <v>0</v>
      </c>
      <c r="AR25" s="540">
        <f t="shared" si="107"/>
        <v>0</v>
      </c>
      <c r="AS25" s="538"/>
      <c r="AT25" s="539">
        <f t="shared" si="117"/>
        <v>0</v>
      </c>
      <c r="AU25" s="540">
        <f t="shared" si="120"/>
        <v>0</v>
      </c>
      <c r="AV25" s="538"/>
      <c r="AW25" s="539">
        <f t="shared" si="118"/>
        <v>0</v>
      </c>
      <c r="AX25" s="540">
        <f t="shared" si="121"/>
        <v>0</v>
      </c>
      <c r="AY25" s="538"/>
      <c r="AZ25" s="539">
        <f t="shared" si="119"/>
        <v>0</v>
      </c>
      <c r="BA25" s="540">
        <f t="shared" si="122"/>
        <v>0</v>
      </c>
      <c r="BD25" s="729"/>
      <c r="BI25" s="737"/>
      <c r="BJ25" s="529">
        <f t="shared" si="0"/>
        <v>0.29429074999999999</v>
      </c>
      <c r="BK25" s="529">
        <f t="shared" si="1"/>
        <v>0</v>
      </c>
      <c r="BL25" s="529">
        <f t="shared" si="2"/>
        <v>0</v>
      </c>
      <c r="BM25" s="529">
        <f t="shared" si="3"/>
        <v>0</v>
      </c>
      <c r="BN25" s="529">
        <f t="shared" si="4"/>
        <v>0</v>
      </c>
      <c r="BO25" s="529">
        <f t="shared" si="5"/>
        <v>0</v>
      </c>
      <c r="BP25" s="529">
        <f t="shared" si="6"/>
        <v>0</v>
      </c>
      <c r="BQ25" s="529">
        <f t="shared" si="7"/>
        <v>0</v>
      </c>
      <c r="BR25" s="529">
        <f t="shared" si="8"/>
        <v>0</v>
      </c>
      <c r="BS25" s="529">
        <f t="shared" si="9"/>
        <v>0</v>
      </c>
      <c r="BT25" s="529">
        <f t="shared" si="10"/>
        <v>0</v>
      </c>
      <c r="BU25" s="529">
        <f t="shared" si="11"/>
        <v>0</v>
      </c>
      <c r="BV25" s="529">
        <f t="shared" si="12"/>
        <v>0</v>
      </c>
      <c r="BW25" s="529">
        <f t="shared" si="13"/>
        <v>0</v>
      </c>
      <c r="BX25" s="529">
        <f t="shared" si="28"/>
        <v>0</v>
      </c>
      <c r="BY25" s="529">
        <f t="shared" si="29"/>
        <v>0</v>
      </c>
      <c r="BZ25" s="529">
        <f t="shared" si="30"/>
        <v>0</v>
      </c>
      <c r="CA25" s="737"/>
      <c r="CB25" s="529">
        <f t="shared" si="14"/>
        <v>2559.0500000000002</v>
      </c>
      <c r="CC25" s="529">
        <f t="shared" si="15"/>
        <v>0</v>
      </c>
      <c r="CD25" s="529">
        <f t="shared" si="16"/>
        <v>0</v>
      </c>
      <c r="CE25" s="529">
        <f t="shared" si="17"/>
        <v>0</v>
      </c>
      <c r="CF25" s="529">
        <f t="shared" si="18"/>
        <v>0</v>
      </c>
      <c r="CG25" s="529">
        <f t="shared" si="19"/>
        <v>0</v>
      </c>
      <c r="CH25" s="529">
        <f t="shared" si="20"/>
        <v>0</v>
      </c>
      <c r="CI25" s="529">
        <f t="shared" si="21"/>
        <v>0</v>
      </c>
      <c r="CJ25" s="529">
        <f t="shared" si="22"/>
        <v>0</v>
      </c>
      <c r="CK25" s="529">
        <f t="shared" si="23"/>
        <v>0</v>
      </c>
      <c r="CL25" s="529">
        <f t="shared" si="24"/>
        <v>0</v>
      </c>
      <c r="CM25" s="529">
        <f t="shared" si="25"/>
        <v>0</v>
      </c>
      <c r="CN25" s="529">
        <f t="shared" si="26"/>
        <v>0</v>
      </c>
      <c r="CO25" s="529">
        <f t="shared" si="27"/>
        <v>0</v>
      </c>
      <c r="CP25" s="529">
        <f t="shared" si="31"/>
        <v>0</v>
      </c>
      <c r="CQ25" s="529">
        <f t="shared" si="32"/>
        <v>0</v>
      </c>
      <c r="CR25" s="529">
        <f t="shared" si="33"/>
        <v>0</v>
      </c>
    </row>
    <row r="26" spans="1:96" ht="14.25" thickBot="1" x14ac:dyDescent="0.3">
      <c r="A26" s="758"/>
      <c r="B26" s="537" t="s">
        <v>619</v>
      </c>
      <c r="C26" s="538">
        <f>C23*0.46+C24*0.24+C25*0.24</f>
        <v>614.17200000000003</v>
      </c>
      <c r="D26" s="549"/>
      <c r="E26" s="545">
        <f>SUM(E23:E25)</f>
        <v>0.29429074999999999</v>
      </c>
      <c r="F26" s="538">
        <f>F23*0.46+F24*0.24+F25*0.24</f>
        <v>409.75</v>
      </c>
      <c r="G26" s="549"/>
      <c r="H26" s="545">
        <f>SUM(H23:H25)</f>
        <v>0.22266</v>
      </c>
      <c r="I26" s="538">
        <f>I23*0.46+I24*0.24+I25*0.24</f>
        <v>45.9</v>
      </c>
      <c r="J26" s="549"/>
      <c r="K26" s="545">
        <f>SUM(K23:K25)</f>
        <v>3.6337500000000002E-2</v>
      </c>
      <c r="L26" s="538">
        <f>L23*0.46+L24*0.24+L25*0.24</f>
        <v>967.80799999999999</v>
      </c>
      <c r="M26" s="549"/>
      <c r="N26" s="545">
        <f>SUM(N23:N25)</f>
        <v>0.75258879999999984</v>
      </c>
      <c r="O26" s="538">
        <f>O23*0.46+O24*0.24+O25*0.24</f>
        <v>0</v>
      </c>
      <c r="P26" s="549"/>
      <c r="Q26" s="545">
        <f>SUM(Q23:Q25)</f>
        <v>0</v>
      </c>
      <c r="R26" s="538">
        <f>R23*0.46+R24*0.24+R25*0.24</f>
        <v>0</v>
      </c>
      <c r="S26" s="549"/>
      <c r="T26" s="545">
        <f>SUM(T23:T25)</f>
        <v>0</v>
      </c>
      <c r="U26" s="538">
        <f>U23*0.46+U24*0.24+U25*0.24</f>
        <v>0</v>
      </c>
      <c r="V26" s="629"/>
      <c r="W26" s="545">
        <f>SUM(W23:W25)</f>
        <v>0</v>
      </c>
      <c r="X26" s="538">
        <f>X23*0.46+X24*0.24+X25*0.24</f>
        <v>0</v>
      </c>
      <c r="Y26" s="549"/>
      <c r="Z26" s="545">
        <f>SUM(Z23:Z25)</f>
        <v>0</v>
      </c>
      <c r="AA26" s="538">
        <f>AA23*0.46+AA24*0.24+AA25*0.24</f>
        <v>0</v>
      </c>
      <c r="AB26" s="549"/>
      <c r="AC26" s="545">
        <f>SUM(AC23:AC25)</f>
        <v>0</v>
      </c>
      <c r="AD26" s="538">
        <f>AD23*0.46+AD24*0.24+AD25*0.24</f>
        <v>0</v>
      </c>
      <c r="AE26" s="549"/>
      <c r="AF26" s="545">
        <f>SUM(AF23:AF25)</f>
        <v>0</v>
      </c>
      <c r="AG26" s="538">
        <f>AG23*0.46+AG24*0.24+AG25*0.24</f>
        <v>0</v>
      </c>
      <c r="AH26" s="549"/>
      <c r="AI26" s="545">
        <f>SUM(AI23:AI25)</f>
        <v>0</v>
      </c>
      <c r="AJ26" s="538">
        <f>AJ23*0.46+AJ24*0.24+AJ25*0.24</f>
        <v>0</v>
      </c>
      <c r="AK26" s="549"/>
      <c r="AL26" s="545">
        <f>SUM(AL23:AL25)</f>
        <v>0</v>
      </c>
      <c r="AM26" s="538">
        <f>AM23*0.46+AM24*0.24+AM25*0.24</f>
        <v>0</v>
      </c>
      <c r="AN26" s="549"/>
      <c r="AO26" s="545">
        <f>SUM(AO23:AO25)</f>
        <v>0</v>
      </c>
      <c r="AP26" s="538">
        <f>AP23*0.46+AP24*0.24+AP25*0.24</f>
        <v>0</v>
      </c>
      <c r="AQ26" s="549"/>
      <c r="AR26" s="545">
        <f>SUM(AR23:AR25)</f>
        <v>0</v>
      </c>
      <c r="AS26" s="538">
        <f>AS23*0.46+AS24*0.24+AS25*0.24</f>
        <v>0</v>
      </c>
      <c r="AT26" s="549"/>
      <c r="AU26" s="545">
        <f>SUM(AU23:AU25)</f>
        <v>0</v>
      </c>
      <c r="AV26" s="538">
        <f>AV23*0.46+AV24*0.24+AV25*0.24</f>
        <v>0</v>
      </c>
      <c r="AW26" s="549"/>
      <c r="AX26" s="545">
        <f>SUM(AX23:AX25)</f>
        <v>0</v>
      </c>
      <c r="AY26" s="538">
        <f>AY23*0.46+AY24*0.24+AY25*0.24</f>
        <v>0</v>
      </c>
      <c r="AZ26" s="549"/>
      <c r="BA26" s="545">
        <f>SUM(BA23:BA25)</f>
        <v>0</v>
      </c>
      <c r="BJ26" s="529">
        <f t="shared" si="0"/>
        <v>0.29429074999999999</v>
      </c>
      <c r="BK26" s="529">
        <f t="shared" si="1"/>
        <v>0.22266</v>
      </c>
      <c r="BL26" s="529">
        <f t="shared" si="2"/>
        <v>3.6337500000000002E-2</v>
      </c>
      <c r="BM26" s="529">
        <f t="shared" si="3"/>
        <v>0.75258879999999984</v>
      </c>
      <c r="BN26" s="529">
        <f t="shared" si="4"/>
        <v>0</v>
      </c>
      <c r="BO26" s="529">
        <f t="shared" si="5"/>
        <v>0</v>
      </c>
      <c r="BP26" s="529">
        <f t="shared" si="6"/>
        <v>0</v>
      </c>
      <c r="BQ26" s="529">
        <f t="shared" si="7"/>
        <v>0</v>
      </c>
      <c r="BR26" s="529">
        <f t="shared" si="8"/>
        <v>0</v>
      </c>
      <c r="BS26" s="529">
        <f t="shared" si="9"/>
        <v>0</v>
      </c>
      <c r="BT26" s="529">
        <f t="shared" si="10"/>
        <v>0</v>
      </c>
      <c r="BU26" s="529">
        <f t="shared" si="11"/>
        <v>0</v>
      </c>
      <c r="BV26" s="529">
        <f t="shared" si="12"/>
        <v>0</v>
      </c>
      <c r="BW26" s="529">
        <f t="shared" si="13"/>
        <v>0</v>
      </c>
      <c r="BX26" s="529">
        <f t="shared" si="28"/>
        <v>0</v>
      </c>
      <c r="BY26" s="529">
        <f t="shared" si="29"/>
        <v>0</v>
      </c>
      <c r="BZ26" s="529">
        <f t="shared" si="30"/>
        <v>0</v>
      </c>
      <c r="CB26" s="529">
        <f t="shared" si="14"/>
        <v>614.17200000000003</v>
      </c>
      <c r="CC26" s="529">
        <f t="shared" si="15"/>
        <v>409.75</v>
      </c>
      <c r="CD26" s="529">
        <f t="shared" si="16"/>
        <v>45.9</v>
      </c>
      <c r="CE26" s="529">
        <f t="shared" si="17"/>
        <v>967.80799999999999</v>
      </c>
      <c r="CF26" s="529">
        <f t="shared" si="18"/>
        <v>0</v>
      </c>
      <c r="CG26" s="529">
        <f t="shared" si="19"/>
        <v>0</v>
      </c>
      <c r="CH26" s="529">
        <f t="shared" si="20"/>
        <v>0</v>
      </c>
      <c r="CI26" s="529">
        <f t="shared" si="21"/>
        <v>0</v>
      </c>
      <c r="CJ26" s="529">
        <f t="shared" si="22"/>
        <v>0</v>
      </c>
      <c r="CK26" s="529">
        <f t="shared" si="23"/>
        <v>0</v>
      </c>
      <c r="CL26" s="529">
        <f t="shared" si="24"/>
        <v>0</v>
      </c>
      <c r="CM26" s="529">
        <f t="shared" si="25"/>
        <v>0</v>
      </c>
      <c r="CN26" s="529">
        <f t="shared" si="26"/>
        <v>0</v>
      </c>
      <c r="CO26" s="529">
        <f t="shared" si="27"/>
        <v>0</v>
      </c>
      <c r="CP26" s="529">
        <f t="shared" si="31"/>
        <v>0</v>
      </c>
      <c r="CQ26" s="529">
        <f t="shared" si="32"/>
        <v>0</v>
      </c>
      <c r="CR26" s="529">
        <f t="shared" si="33"/>
        <v>0</v>
      </c>
    </row>
    <row r="27" spans="1:96" s="555" customFormat="1" x14ac:dyDescent="0.2">
      <c r="A27" s="754" t="s">
        <v>621</v>
      </c>
      <c r="B27" s="550" t="s">
        <v>494</v>
      </c>
      <c r="C27" s="551">
        <f>SUMIF($B$4:$B$26,$B27,C$4:C$26)</f>
        <v>0</v>
      </c>
      <c r="D27" s="552"/>
      <c r="E27" s="553">
        <f>SUMIF($B$4:$B$26,$B27,E$4:E$26)</f>
        <v>0</v>
      </c>
      <c r="F27" s="554">
        <f>SUMIF($B$4:$B$26,$B27,F$4:F$26)</f>
        <v>4386.6000000000004</v>
      </c>
      <c r="G27" s="552"/>
      <c r="H27" s="553">
        <f>SUMIF($B$4:$B$26,$B27,H$4:H$26)</f>
        <v>1.0675086</v>
      </c>
      <c r="I27" s="551">
        <f>SUMIF($B$4:$B$26,$B27,I$4:I$26)</f>
        <v>12053</v>
      </c>
      <c r="J27" s="552"/>
      <c r="K27" s="553">
        <f>SUMIF($B$4:$B$26,$B27,K$4:K$26)</f>
        <v>4.7217230000000008</v>
      </c>
      <c r="L27" s="551">
        <f>SUMIF($B$4:$B$26,$B27,L$4:L$26)</f>
        <v>11997.1</v>
      </c>
      <c r="M27" s="552"/>
      <c r="N27" s="553">
        <f>SUMIF($B$4:$B$26,$B27,N$4:N$26)</f>
        <v>3.4693806999999999</v>
      </c>
      <c r="O27" s="551">
        <f>SUMIF($B$4:$B$26,$B27,O$4:O$26)</f>
        <v>3474.5</v>
      </c>
      <c r="P27" s="552"/>
      <c r="Q27" s="553">
        <f>SUMIF($B$4:$B$26,$B27,Q$4:Q$26)</f>
        <v>1.1264510000000001</v>
      </c>
      <c r="R27" s="551">
        <f>SUMIF($B$4:$B$26,$B27,R$4:R$26)</f>
        <v>12000</v>
      </c>
      <c r="S27" s="552"/>
      <c r="T27" s="553">
        <f>SUMIF($B$4:$B$26,$B27,T$4:T$26)</f>
        <v>4.9940000000000007</v>
      </c>
      <c r="U27" s="551">
        <f>SUMIF($B$4:$B$26,$B27,U$4:U$26)</f>
        <v>4341</v>
      </c>
      <c r="V27" s="631">
        <f>IFERROR(+W27*1000000/U27,0)</f>
        <v>430.65008062658376</v>
      </c>
      <c r="W27" s="553">
        <f>SUMIF($B$4:$B$26,$B27,W$4:W$26)</f>
        <v>1.8694520000000001</v>
      </c>
      <c r="X27" s="551">
        <f>SUMIF($B$4:$B$26,$B27,X$4:X$26)</f>
        <v>4801</v>
      </c>
      <c r="Y27" s="552">
        <f>+Z27/X27*1000000</f>
        <v>443.58279525098936</v>
      </c>
      <c r="Z27" s="553">
        <f>SUMIF($B$4:$B$26,$B27,Z$4:Z$26)</f>
        <v>2.1296409999999999</v>
      </c>
      <c r="AA27" s="551">
        <f>SUMIF($B$4:$B$26,$B27,AA$4:AA$26)</f>
        <v>4070</v>
      </c>
      <c r="AB27" s="552"/>
      <c r="AC27" s="553">
        <f>SUMIF($B$4:$B$26,$B27,AC$4:AC$26)</f>
        <v>1.858285</v>
      </c>
      <c r="AD27" s="551">
        <f>SUMIF($B$4:$B$26,$B27,AD$4:AD$26)</f>
        <v>3270</v>
      </c>
      <c r="AE27" s="552"/>
      <c r="AF27" s="553">
        <f>SUMIF($B$4:$B$26,$B27,AF$4:AF$26)</f>
        <v>1.538578</v>
      </c>
      <c r="AG27" s="551">
        <f>SUMIF($B$4:$B$26,$B27,AG$4:AG$26)</f>
        <v>3270</v>
      </c>
      <c r="AH27" s="552"/>
      <c r="AI27" s="553">
        <f>SUMIF($B$4:$B$26,$B27,AI$4:AI$26)</f>
        <v>1.5843579999999999</v>
      </c>
      <c r="AJ27" s="551">
        <f>SUMIF($B$4:$B$26,$B27,AJ$4:AJ$26)</f>
        <v>3270</v>
      </c>
      <c r="AK27" s="552"/>
      <c r="AL27" s="553">
        <f>SUMIF($B$4:$B$26,$B27,AL$4:AL$26)</f>
        <v>1.6331869999999999</v>
      </c>
      <c r="AM27" s="551">
        <f>SUMIF($B$4:$B$26,$B27,AM$4:AM$26)</f>
        <v>3270</v>
      </c>
      <c r="AN27" s="552"/>
      <c r="AO27" s="553">
        <f>SUMIF($B$4:$B$26,$B27,AO$4:AO$26)</f>
        <v>1.682016</v>
      </c>
      <c r="AP27" s="551">
        <f>SUMIF($B$4:$B$26,$B27,AP$4:AP$26)</f>
        <v>3270</v>
      </c>
      <c r="AQ27" s="552"/>
      <c r="AR27" s="553">
        <f>SUMIF($B$4:$B$26,$B27,AR$4:AR$26)</f>
        <v>1.731066</v>
      </c>
      <c r="AS27" s="551">
        <f>SUMIF($B$4:$B$26,$B27,AS$4:AS$26)</f>
        <v>3270</v>
      </c>
      <c r="AT27" s="552"/>
      <c r="AU27" s="553">
        <f>SUMIF($B$4:$B$26,$B27,AU$4:AU$26)</f>
        <v>1.7831649999999999</v>
      </c>
      <c r="AV27" s="551">
        <f>SUMIF($B$4:$B$26,$B27,AV$4:AV$26)</f>
        <v>3270</v>
      </c>
      <c r="AW27" s="552"/>
      <c r="AX27" s="553">
        <f>SUMIF($B$4:$B$26,$B27,AX$4:AX$26)</f>
        <v>1.835485</v>
      </c>
      <c r="AY27" s="551">
        <f>SUMIF($B$4:$B$26,$B27,AY$4:AY$26)</f>
        <v>3270</v>
      </c>
      <c r="AZ27" s="552"/>
      <c r="BA27" s="553">
        <f>SUMIF($B$4:$B$26,$B27,BA$4:BA$26)</f>
        <v>1.890854</v>
      </c>
      <c r="BD27" s="731"/>
      <c r="BI27" s="738"/>
      <c r="BJ27" s="529">
        <f t="shared" si="0"/>
        <v>0</v>
      </c>
      <c r="BK27" s="529">
        <f t="shared" si="1"/>
        <v>1.0675086</v>
      </c>
      <c r="BL27" s="529">
        <f t="shared" si="2"/>
        <v>4.7217230000000008</v>
      </c>
      <c r="BM27" s="529">
        <f t="shared" si="3"/>
        <v>3.4693806999999999</v>
      </c>
      <c r="BN27" s="529">
        <f t="shared" si="4"/>
        <v>1.1264510000000001</v>
      </c>
      <c r="BO27" s="529">
        <f t="shared" si="5"/>
        <v>4.9940000000000007</v>
      </c>
      <c r="BP27" s="529">
        <f t="shared" si="6"/>
        <v>1.8694520000000001</v>
      </c>
      <c r="BQ27" s="529">
        <f t="shared" si="7"/>
        <v>2.1296409999999999</v>
      </c>
      <c r="BR27" s="529">
        <f t="shared" si="8"/>
        <v>1.858285</v>
      </c>
      <c r="BS27" s="529">
        <f t="shared" si="9"/>
        <v>1.538578</v>
      </c>
      <c r="BT27" s="529">
        <f t="shared" si="10"/>
        <v>1.5843579999999999</v>
      </c>
      <c r="BU27" s="529">
        <f t="shared" si="11"/>
        <v>1.6331869999999999</v>
      </c>
      <c r="BV27" s="529">
        <f t="shared" si="12"/>
        <v>1.682016</v>
      </c>
      <c r="BW27" s="529">
        <f t="shared" si="13"/>
        <v>1.731066</v>
      </c>
      <c r="BX27" s="529">
        <f t="shared" si="28"/>
        <v>1.7831649999999999</v>
      </c>
      <c r="BY27" s="529">
        <f t="shared" si="29"/>
        <v>1.835485</v>
      </c>
      <c r="BZ27" s="529">
        <f t="shared" si="30"/>
        <v>1.890854</v>
      </c>
      <c r="CA27" s="738"/>
      <c r="CB27" s="529">
        <f t="shared" si="14"/>
        <v>0</v>
      </c>
      <c r="CC27" s="529">
        <f t="shared" si="15"/>
        <v>4386.6000000000004</v>
      </c>
      <c r="CD27" s="529">
        <f t="shared" si="16"/>
        <v>12053</v>
      </c>
      <c r="CE27" s="529">
        <f t="shared" si="17"/>
        <v>11997.1</v>
      </c>
      <c r="CF27" s="529">
        <f t="shared" si="18"/>
        <v>3474.5</v>
      </c>
      <c r="CG27" s="529">
        <f t="shared" si="19"/>
        <v>12000</v>
      </c>
      <c r="CH27" s="529">
        <f t="shared" si="20"/>
        <v>4341</v>
      </c>
      <c r="CI27" s="529">
        <f t="shared" si="21"/>
        <v>4801</v>
      </c>
      <c r="CJ27" s="529">
        <f t="shared" si="22"/>
        <v>4070</v>
      </c>
      <c r="CK27" s="529">
        <f t="shared" si="23"/>
        <v>3270</v>
      </c>
      <c r="CL27" s="529">
        <f t="shared" si="24"/>
        <v>3270</v>
      </c>
      <c r="CM27" s="529">
        <f t="shared" si="25"/>
        <v>3270</v>
      </c>
      <c r="CN27" s="529">
        <f t="shared" si="26"/>
        <v>3270</v>
      </c>
      <c r="CO27" s="529">
        <f t="shared" si="27"/>
        <v>3270</v>
      </c>
      <c r="CP27" s="529">
        <f t="shared" si="31"/>
        <v>3270</v>
      </c>
      <c r="CQ27" s="529">
        <f t="shared" si="32"/>
        <v>3270</v>
      </c>
      <c r="CR27" s="529">
        <f t="shared" si="33"/>
        <v>3270</v>
      </c>
    </row>
    <row r="28" spans="1:96" s="555" customFormat="1" x14ac:dyDescent="0.2">
      <c r="A28" s="755"/>
      <c r="B28" s="555" t="s">
        <v>618</v>
      </c>
      <c r="C28" s="556">
        <f>SUMIF($B$4:$B$26,$B28,C$4:C$26)</f>
        <v>0</v>
      </c>
      <c r="D28" s="557"/>
      <c r="E28" s="558">
        <f t="shared" ref="E28:E31" si="123">SUMIF($B$4:$B$26,$B28,E$4:E$26)</f>
        <v>0</v>
      </c>
      <c r="F28" s="556">
        <f>SUMIF($B$4:$B$26,$B28,F$4:F$26)</f>
        <v>0</v>
      </c>
      <c r="G28" s="557"/>
      <c r="H28" s="558">
        <f t="shared" ref="H28:H31" si="124">SUMIF($B$4:$B$26,$B28,H$4:H$26)</f>
        <v>0</v>
      </c>
      <c r="I28" s="559">
        <f>SUMIF($B$4:$B$26,$B28,I$4:I$26)</f>
        <v>6537</v>
      </c>
      <c r="J28" s="557"/>
      <c r="K28" s="558">
        <f t="shared" ref="K28:K31" si="125">SUMIF($B$4:$B$26,$B28,K$4:K$26)</f>
        <v>1.0328459999999999</v>
      </c>
      <c r="L28" s="559">
        <f>SUMIF($B$4:$B$26,$B28,L$4:L$26)</f>
        <v>0</v>
      </c>
      <c r="M28" s="557"/>
      <c r="N28" s="558">
        <f t="shared" ref="N28:N31" si="126">SUMIF($B$4:$B$26,$B28,N$4:N$26)</f>
        <v>0</v>
      </c>
      <c r="O28" s="559">
        <f>SUMIF($B$4:$B$26,$B28,O$4:O$26)</f>
        <v>0</v>
      </c>
      <c r="P28" s="557"/>
      <c r="Q28" s="558">
        <f t="shared" ref="Q28:Q31" si="127">SUMIF($B$4:$B$26,$B28,Q$4:Q$26)</f>
        <v>0</v>
      </c>
      <c r="R28" s="559">
        <f>SUMIF($B$4:$B$26,$B28,R$4:R$26)</f>
        <v>1303.8</v>
      </c>
      <c r="S28" s="557"/>
      <c r="T28" s="558">
        <f t="shared" ref="T28:T31" si="128">SUMIF($B$4:$B$26,$B28,T$4:T$26)</f>
        <v>0.38592480000000001</v>
      </c>
      <c r="U28" s="559">
        <f>SUMIF($B$4:$B$26,$B28,U$4:U$26)</f>
        <v>0</v>
      </c>
      <c r="V28" s="632">
        <f t="shared" ref="V28:V31" si="129">IFERROR(+W28*1000000/U28,0)</f>
        <v>0</v>
      </c>
      <c r="W28" s="558">
        <f t="shared" ref="W28:W31" si="130">SUMIF($B$4:$B$26,$B28,W$4:W$26)</f>
        <v>0</v>
      </c>
      <c r="X28" s="559">
        <f>SUMIF($B$4:$B$26,$B28,X$4:X$26)</f>
        <v>0</v>
      </c>
      <c r="Y28" s="557"/>
      <c r="Z28" s="558">
        <f t="shared" ref="Z28:Z31" si="131">SUMIF($B$4:$B$26,$B28,Z$4:Z$26)</f>
        <v>0</v>
      </c>
      <c r="AA28" s="559">
        <f>SUMIF($B$4:$B$26,$B28,AA$4:AA$26)</f>
        <v>0</v>
      </c>
      <c r="AB28" s="557"/>
      <c r="AC28" s="558">
        <f t="shared" ref="AC28:AC31" si="132">SUMIF($B$4:$B$26,$B28,AC$4:AC$26)</f>
        <v>0</v>
      </c>
      <c r="AD28" s="559">
        <f>SUMIF($B$4:$B$26,$B28,AD$4:AD$26)</f>
        <v>0</v>
      </c>
      <c r="AE28" s="557"/>
      <c r="AF28" s="558">
        <f t="shared" ref="AF28:AF31" si="133">SUMIF($B$4:$B$26,$B28,AF$4:AF$26)</f>
        <v>0</v>
      </c>
      <c r="AG28" s="559">
        <f>SUMIF($B$4:$B$26,$B28,AG$4:AG$26)</f>
        <v>0</v>
      </c>
      <c r="AH28" s="557"/>
      <c r="AI28" s="558">
        <f t="shared" ref="AI28:AI31" si="134">SUMIF($B$4:$B$26,$B28,AI$4:AI$26)</f>
        <v>0</v>
      </c>
      <c r="AJ28" s="559">
        <f>SUMIF($B$4:$B$26,$B28,AJ$4:AJ$26)</f>
        <v>0</v>
      </c>
      <c r="AK28" s="557"/>
      <c r="AL28" s="558">
        <f t="shared" ref="AL28:AL31" si="135">SUMIF($B$4:$B$26,$B28,AL$4:AL$26)</f>
        <v>0</v>
      </c>
      <c r="AM28" s="559">
        <f>SUMIF($B$4:$B$26,$B28,AM$4:AM$26)</f>
        <v>0</v>
      </c>
      <c r="AN28" s="557"/>
      <c r="AO28" s="558">
        <f t="shared" ref="AO28:AO31" si="136">SUMIF($B$4:$B$26,$B28,AO$4:AO$26)</f>
        <v>0</v>
      </c>
      <c r="AP28" s="559">
        <f>SUMIF($B$4:$B$26,$B28,AP$4:AP$26)</f>
        <v>0</v>
      </c>
      <c r="AQ28" s="557"/>
      <c r="AR28" s="558">
        <f t="shared" ref="AR28:AR31" si="137">SUMIF($B$4:$B$26,$B28,AR$4:AR$26)</f>
        <v>0</v>
      </c>
      <c r="AS28" s="559">
        <f>SUMIF($B$4:$B$26,$B28,AS$4:AS$26)</f>
        <v>0</v>
      </c>
      <c r="AT28" s="557"/>
      <c r="AU28" s="558">
        <f t="shared" ref="AU28:AU31" si="138">SUMIF($B$4:$B$26,$B28,AU$4:AU$26)</f>
        <v>0</v>
      </c>
      <c r="AV28" s="559">
        <f>SUMIF($B$4:$B$26,$B28,AV$4:AV$26)</f>
        <v>0</v>
      </c>
      <c r="AW28" s="557"/>
      <c r="AX28" s="558">
        <f t="shared" ref="AX28:AX31" si="139">SUMIF($B$4:$B$26,$B28,AX$4:AX$26)</f>
        <v>0</v>
      </c>
      <c r="AY28" s="559">
        <f>SUMIF($B$4:$B$26,$B28,AY$4:AY$26)</f>
        <v>0</v>
      </c>
      <c r="AZ28" s="557"/>
      <c r="BA28" s="558">
        <f t="shared" ref="BA28:BA31" si="140">SUMIF($B$4:$B$26,$B28,BA$4:BA$26)</f>
        <v>0</v>
      </c>
      <c r="BD28" s="731"/>
      <c r="BI28" s="738"/>
      <c r="BJ28" s="529">
        <f t="shared" si="0"/>
        <v>0</v>
      </c>
      <c r="BK28" s="529">
        <f t="shared" si="1"/>
        <v>0</v>
      </c>
      <c r="BL28" s="529">
        <f t="shared" si="2"/>
        <v>1.0328459999999999</v>
      </c>
      <c r="BM28" s="529">
        <f t="shared" si="3"/>
        <v>0</v>
      </c>
      <c r="BN28" s="529">
        <f t="shared" si="4"/>
        <v>0</v>
      </c>
      <c r="BO28" s="529">
        <f t="shared" si="5"/>
        <v>0.38592480000000001</v>
      </c>
      <c r="BP28" s="529">
        <f t="shared" si="6"/>
        <v>0</v>
      </c>
      <c r="BQ28" s="529">
        <f t="shared" si="7"/>
        <v>0</v>
      </c>
      <c r="BR28" s="529">
        <f t="shared" si="8"/>
        <v>0</v>
      </c>
      <c r="BS28" s="529">
        <f t="shared" si="9"/>
        <v>0</v>
      </c>
      <c r="BT28" s="529">
        <f t="shared" si="10"/>
        <v>0</v>
      </c>
      <c r="BU28" s="529">
        <f t="shared" si="11"/>
        <v>0</v>
      </c>
      <c r="BV28" s="529">
        <f t="shared" si="12"/>
        <v>0</v>
      </c>
      <c r="BW28" s="529">
        <f t="shared" si="13"/>
        <v>0</v>
      </c>
      <c r="BX28" s="529">
        <f t="shared" si="28"/>
        <v>0</v>
      </c>
      <c r="BY28" s="529">
        <f t="shared" si="29"/>
        <v>0</v>
      </c>
      <c r="BZ28" s="529">
        <f t="shared" si="30"/>
        <v>0</v>
      </c>
      <c r="CA28" s="738"/>
      <c r="CB28" s="529">
        <f t="shared" si="14"/>
        <v>0</v>
      </c>
      <c r="CC28" s="529">
        <f t="shared" si="15"/>
        <v>0</v>
      </c>
      <c r="CD28" s="529">
        <f t="shared" si="16"/>
        <v>6537</v>
      </c>
      <c r="CE28" s="529">
        <f t="shared" si="17"/>
        <v>0</v>
      </c>
      <c r="CF28" s="529">
        <f t="shared" si="18"/>
        <v>0</v>
      </c>
      <c r="CG28" s="529">
        <f t="shared" si="19"/>
        <v>1303.8</v>
      </c>
      <c r="CH28" s="529">
        <f t="shared" si="20"/>
        <v>0</v>
      </c>
      <c r="CI28" s="529">
        <f t="shared" si="21"/>
        <v>0</v>
      </c>
      <c r="CJ28" s="529">
        <f t="shared" si="22"/>
        <v>0</v>
      </c>
      <c r="CK28" s="529">
        <f t="shared" si="23"/>
        <v>0</v>
      </c>
      <c r="CL28" s="529">
        <f t="shared" si="24"/>
        <v>0</v>
      </c>
      <c r="CM28" s="529">
        <f t="shared" si="25"/>
        <v>0</v>
      </c>
      <c r="CN28" s="529">
        <f t="shared" si="26"/>
        <v>0</v>
      </c>
      <c r="CO28" s="529">
        <f t="shared" si="27"/>
        <v>0</v>
      </c>
      <c r="CP28" s="529">
        <f t="shared" si="31"/>
        <v>0</v>
      </c>
      <c r="CQ28" s="529">
        <f t="shared" si="32"/>
        <v>0</v>
      </c>
      <c r="CR28" s="529">
        <f t="shared" si="33"/>
        <v>0</v>
      </c>
    </row>
    <row r="29" spans="1:96" s="555" customFormat="1" x14ac:dyDescent="0.2">
      <c r="A29" s="755"/>
      <c r="B29" s="555" t="s">
        <v>495</v>
      </c>
      <c r="C29" s="559">
        <f>SUMIF($B$4:$B$26,$B29,C$4:C$26)</f>
        <v>127</v>
      </c>
      <c r="D29" s="557"/>
      <c r="E29" s="558">
        <f t="shared" si="123"/>
        <v>1.6764000000000001E-2</v>
      </c>
      <c r="F29" s="556">
        <f>SUMIF($B$4:$B$26,$B29,F$4:F$26)</f>
        <v>16388.59</v>
      </c>
      <c r="G29" s="557"/>
      <c r="H29" s="558">
        <f t="shared" si="124"/>
        <v>2.1820839699999999</v>
      </c>
      <c r="I29" s="559">
        <f>SUMIF($B$4:$B$26,$B29,I$4:I$26)</f>
        <v>5205.25</v>
      </c>
      <c r="J29" s="557"/>
      <c r="K29" s="558">
        <f t="shared" si="125"/>
        <v>1.4653274999999999</v>
      </c>
      <c r="L29" s="559">
        <f>SUMIF($B$4:$B$26,$B29,L$4:L$26)</f>
        <v>10372.599999999999</v>
      </c>
      <c r="M29" s="557"/>
      <c r="N29" s="558">
        <f t="shared" si="126"/>
        <v>1.7761933999999999</v>
      </c>
      <c r="O29" s="559">
        <f>SUMIF($B$4:$B$26,$B29,O$4:O$26)</f>
        <v>14771</v>
      </c>
      <c r="P29" s="557"/>
      <c r="Q29" s="558">
        <f t="shared" si="127"/>
        <v>2.0514610000000002</v>
      </c>
      <c r="R29" s="559">
        <f>SUMIF($B$4:$B$26,$B29,R$4:R$26)</f>
        <v>7231.4000000000005</v>
      </c>
      <c r="S29" s="557"/>
      <c r="T29" s="558">
        <f t="shared" si="128"/>
        <v>1.6487592000000002</v>
      </c>
      <c r="U29" s="559">
        <f>SUMIF($B$4:$B$26,$B29,U$4:U$26)</f>
        <v>23335</v>
      </c>
      <c r="V29" s="632">
        <f t="shared" si="129"/>
        <v>251.28455110349265</v>
      </c>
      <c r="W29" s="558">
        <f t="shared" si="130"/>
        <v>5.8637250000000005</v>
      </c>
      <c r="X29" s="559">
        <f>SUMIF($B$4:$B$26,$B29,X$4:X$26)</f>
        <v>25806</v>
      </c>
      <c r="Y29" s="557"/>
      <c r="Z29" s="558">
        <f t="shared" si="131"/>
        <v>6.6918869999999995</v>
      </c>
      <c r="AA29" s="559">
        <f>SUMIF($B$4:$B$26,$B29,AA$4:AA$26)</f>
        <v>21876</v>
      </c>
      <c r="AB29" s="557"/>
      <c r="AC29" s="558">
        <f t="shared" si="132"/>
        <v>5.8477860000000002</v>
      </c>
      <c r="AD29" s="559">
        <f>SUMIF($B$4:$B$26,$B29,AD$4:AD$26)</f>
        <v>17575</v>
      </c>
      <c r="AE29" s="557"/>
      <c r="AF29" s="558">
        <f t="shared" si="133"/>
        <v>4.8386650000000007</v>
      </c>
      <c r="AG29" s="559">
        <f>SUMIF($B$4:$B$26,$B29,AG$4:AG$26)</f>
        <v>17575</v>
      </c>
      <c r="AH29" s="557"/>
      <c r="AI29" s="558">
        <f t="shared" si="134"/>
        <v>4.9792649999999998</v>
      </c>
      <c r="AJ29" s="559">
        <f>SUMIF($B$4:$B$26,$B29,AJ$4:AJ$26)</f>
        <v>17575</v>
      </c>
      <c r="AK29" s="557"/>
      <c r="AL29" s="558">
        <f t="shared" si="135"/>
        <v>5.1275700000000004</v>
      </c>
      <c r="AM29" s="559">
        <f>SUMIF($B$4:$B$26,$B29,AM$4:AM$26)</f>
        <v>17575</v>
      </c>
      <c r="AN29" s="557"/>
      <c r="AO29" s="558">
        <f t="shared" si="136"/>
        <v>5.2857450000000004</v>
      </c>
      <c r="AP29" s="559">
        <f>SUMIF($B$4:$B$26,$B29,AP$4:AP$26)</f>
        <v>17575</v>
      </c>
      <c r="AQ29" s="557"/>
      <c r="AR29" s="558">
        <f t="shared" si="137"/>
        <v>5.4439200000000003</v>
      </c>
      <c r="AS29" s="559">
        <f>SUMIF($B$4:$B$26,$B29,AS$4:AS$26)</f>
        <v>17575</v>
      </c>
      <c r="AT29" s="557"/>
      <c r="AU29" s="558">
        <f t="shared" si="138"/>
        <v>5.6020950000000003</v>
      </c>
      <c r="AV29" s="559">
        <f>SUMIF($B$4:$B$26,$B29,AV$4:AV$26)</f>
        <v>17575</v>
      </c>
      <c r="AW29" s="557"/>
      <c r="AX29" s="558">
        <f t="shared" si="139"/>
        <v>5.7778450000000001</v>
      </c>
      <c r="AY29" s="559">
        <f>SUMIF($B$4:$B$26,$B29,AY$4:AY$26)</f>
        <v>17575</v>
      </c>
      <c r="AZ29" s="557"/>
      <c r="BA29" s="558">
        <f t="shared" si="140"/>
        <v>5.953595</v>
      </c>
      <c r="BD29" s="731"/>
      <c r="BI29" s="738"/>
      <c r="BJ29" s="529">
        <f t="shared" si="0"/>
        <v>1.6764000000000001E-2</v>
      </c>
      <c r="BK29" s="529">
        <f t="shared" si="1"/>
        <v>2.1820839699999999</v>
      </c>
      <c r="BL29" s="529">
        <f t="shared" si="2"/>
        <v>1.4653274999999999</v>
      </c>
      <c r="BM29" s="529">
        <f t="shared" si="3"/>
        <v>1.7761933999999999</v>
      </c>
      <c r="BN29" s="529">
        <f t="shared" si="4"/>
        <v>2.0514610000000002</v>
      </c>
      <c r="BO29" s="529">
        <f t="shared" si="5"/>
        <v>1.6487592000000002</v>
      </c>
      <c r="BP29" s="529">
        <f t="shared" si="6"/>
        <v>5.8637250000000005</v>
      </c>
      <c r="BQ29" s="529">
        <f t="shared" si="7"/>
        <v>6.6918869999999995</v>
      </c>
      <c r="BR29" s="529">
        <f t="shared" si="8"/>
        <v>5.8477860000000002</v>
      </c>
      <c r="BS29" s="529">
        <f t="shared" si="9"/>
        <v>4.8386650000000007</v>
      </c>
      <c r="BT29" s="529">
        <f t="shared" si="10"/>
        <v>4.9792649999999998</v>
      </c>
      <c r="BU29" s="529">
        <f t="shared" si="11"/>
        <v>5.1275700000000004</v>
      </c>
      <c r="BV29" s="529">
        <f t="shared" si="12"/>
        <v>5.2857450000000004</v>
      </c>
      <c r="BW29" s="529">
        <f t="shared" si="13"/>
        <v>5.4439200000000003</v>
      </c>
      <c r="BX29" s="529">
        <f t="shared" si="28"/>
        <v>5.6020950000000003</v>
      </c>
      <c r="BY29" s="529">
        <f t="shared" si="29"/>
        <v>5.7778450000000001</v>
      </c>
      <c r="BZ29" s="529">
        <f t="shared" si="30"/>
        <v>5.953595</v>
      </c>
      <c r="CA29" s="738"/>
      <c r="CB29" s="529">
        <f t="shared" si="14"/>
        <v>127</v>
      </c>
      <c r="CC29" s="529">
        <f t="shared" si="15"/>
        <v>16388.59</v>
      </c>
      <c r="CD29" s="529">
        <f t="shared" si="16"/>
        <v>5205.25</v>
      </c>
      <c r="CE29" s="529">
        <f t="shared" si="17"/>
        <v>10372.599999999999</v>
      </c>
      <c r="CF29" s="529">
        <f t="shared" si="18"/>
        <v>14771</v>
      </c>
      <c r="CG29" s="529">
        <f t="shared" si="19"/>
        <v>7231.4000000000005</v>
      </c>
      <c r="CH29" s="529">
        <f t="shared" si="20"/>
        <v>23335</v>
      </c>
      <c r="CI29" s="529">
        <f t="shared" si="21"/>
        <v>25806</v>
      </c>
      <c r="CJ29" s="529">
        <f t="shared" si="22"/>
        <v>21876</v>
      </c>
      <c r="CK29" s="529">
        <f t="shared" si="23"/>
        <v>17575</v>
      </c>
      <c r="CL29" s="529">
        <f t="shared" si="24"/>
        <v>17575</v>
      </c>
      <c r="CM29" s="529">
        <f t="shared" si="25"/>
        <v>17575</v>
      </c>
      <c r="CN29" s="529">
        <f t="shared" si="26"/>
        <v>17575</v>
      </c>
      <c r="CO29" s="529">
        <f t="shared" si="27"/>
        <v>17575</v>
      </c>
      <c r="CP29" s="529">
        <f t="shared" si="31"/>
        <v>17575</v>
      </c>
      <c r="CQ29" s="529">
        <f t="shared" si="32"/>
        <v>17575</v>
      </c>
      <c r="CR29" s="529">
        <f t="shared" si="33"/>
        <v>17575</v>
      </c>
    </row>
    <row r="30" spans="1:96" s="555" customFormat="1" x14ac:dyDescent="0.2">
      <c r="A30" s="755"/>
      <c r="B30" s="555" t="s">
        <v>113</v>
      </c>
      <c r="C30" s="559">
        <f>SUMIF($B$4:$B$26,$B30,C$4:C$26)</f>
        <v>18741.11</v>
      </c>
      <c r="D30" s="557"/>
      <c r="E30" s="558">
        <f t="shared" si="123"/>
        <v>2.1552276500000001</v>
      </c>
      <c r="F30" s="556">
        <f>SUMIF($B$4:$B$26,$B30,F$4:F$26)</f>
        <v>11904.15</v>
      </c>
      <c r="G30" s="557"/>
      <c r="H30" s="558">
        <f t="shared" si="124"/>
        <v>1.416056</v>
      </c>
      <c r="I30" s="559">
        <f>SUMIF($B$4:$B$26,$B30,I$4:I$26)</f>
        <v>0</v>
      </c>
      <c r="J30" s="557"/>
      <c r="K30" s="558">
        <f t="shared" si="125"/>
        <v>0</v>
      </c>
      <c r="L30" s="559">
        <f>SUMIF($B$4:$B$26,$B30,L$4:L$26)</f>
        <v>2000</v>
      </c>
      <c r="M30" s="557"/>
      <c r="N30" s="558">
        <f t="shared" si="126"/>
        <v>0.40400000000000003</v>
      </c>
      <c r="O30" s="559">
        <f>SUMIF($B$4:$B$26,$B30,O$4:O$26)</f>
        <v>0</v>
      </c>
      <c r="P30" s="557"/>
      <c r="Q30" s="558">
        <f t="shared" si="127"/>
        <v>0</v>
      </c>
      <c r="R30" s="559">
        <f>SUMIF($B$4:$B$26,$B30,R$4:R$26)</f>
        <v>0</v>
      </c>
      <c r="S30" s="557"/>
      <c r="T30" s="558">
        <f t="shared" si="128"/>
        <v>0</v>
      </c>
      <c r="U30" s="559">
        <f>SUMIF($B$4:$B$26,$B30,U$4:U$26)</f>
        <v>0</v>
      </c>
      <c r="V30" s="632">
        <f t="shared" si="129"/>
        <v>0</v>
      </c>
      <c r="W30" s="558">
        <f t="shared" si="130"/>
        <v>0</v>
      </c>
      <c r="X30" s="559">
        <f>SUMIF($B$4:$B$26,$B30,X$4:X$26)</f>
        <v>0</v>
      </c>
      <c r="Y30" s="557"/>
      <c r="Z30" s="558">
        <f t="shared" si="131"/>
        <v>0</v>
      </c>
      <c r="AA30" s="559">
        <f>SUMIF($B$4:$B$26,$B30,AA$4:AA$26)</f>
        <v>0</v>
      </c>
      <c r="AB30" s="557"/>
      <c r="AC30" s="558">
        <f t="shared" si="132"/>
        <v>0</v>
      </c>
      <c r="AD30" s="559">
        <f>SUMIF($B$4:$B$26,$B30,AD$4:AD$26)</f>
        <v>0</v>
      </c>
      <c r="AE30" s="557"/>
      <c r="AF30" s="558">
        <f t="shared" si="133"/>
        <v>0</v>
      </c>
      <c r="AG30" s="559">
        <f>SUMIF($B$4:$B$26,$B30,AG$4:AG$26)</f>
        <v>0</v>
      </c>
      <c r="AH30" s="557"/>
      <c r="AI30" s="558">
        <f t="shared" si="134"/>
        <v>0</v>
      </c>
      <c r="AJ30" s="559">
        <f>SUMIF($B$4:$B$26,$B30,AJ$4:AJ$26)</f>
        <v>0</v>
      </c>
      <c r="AK30" s="557"/>
      <c r="AL30" s="558">
        <f t="shared" si="135"/>
        <v>0</v>
      </c>
      <c r="AM30" s="559">
        <f>SUMIF($B$4:$B$26,$B30,AM$4:AM$26)</f>
        <v>0</v>
      </c>
      <c r="AN30" s="557"/>
      <c r="AO30" s="558">
        <f t="shared" si="136"/>
        <v>0</v>
      </c>
      <c r="AP30" s="559">
        <f>SUMIF($B$4:$B$26,$B30,AP$4:AP$26)</f>
        <v>0</v>
      </c>
      <c r="AQ30" s="557"/>
      <c r="AR30" s="558">
        <f t="shared" si="137"/>
        <v>0</v>
      </c>
      <c r="AS30" s="559">
        <f>SUMIF($B$4:$B$26,$B30,AS$4:AS$26)</f>
        <v>0</v>
      </c>
      <c r="AT30" s="557"/>
      <c r="AU30" s="558">
        <f t="shared" si="138"/>
        <v>0</v>
      </c>
      <c r="AV30" s="559">
        <f>SUMIF($B$4:$B$26,$B30,AV$4:AV$26)</f>
        <v>0</v>
      </c>
      <c r="AW30" s="557"/>
      <c r="AX30" s="558">
        <f t="shared" si="139"/>
        <v>0</v>
      </c>
      <c r="AY30" s="559">
        <f>SUMIF($B$4:$B$26,$B30,AY$4:AY$26)</f>
        <v>0</v>
      </c>
      <c r="AZ30" s="557"/>
      <c r="BA30" s="558">
        <f t="shared" si="140"/>
        <v>0</v>
      </c>
      <c r="BD30" s="731"/>
      <c r="BI30" s="738"/>
      <c r="BJ30" s="529">
        <f t="shared" si="0"/>
        <v>2.1552276500000001</v>
      </c>
      <c r="BK30" s="529">
        <f t="shared" si="1"/>
        <v>1.416056</v>
      </c>
      <c r="BL30" s="529">
        <f t="shared" si="2"/>
        <v>0</v>
      </c>
      <c r="BM30" s="529">
        <f t="shared" si="3"/>
        <v>0.40400000000000003</v>
      </c>
      <c r="BN30" s="529">
        <f t="shared" si="4"/>
        <v>0</v>
      </c>
      <c r="BO30" s="529">
        <f t="shared" si="5"/>
        <v>0</v>
      </c>
      <c r="BP30" s="529">
        <f t="shared" si="6"/>
        <v>0</v>
      </c>
      <c r="BQ30" s="529">
        <f t="shared" si="7"/>
        <v>0</v>
      </c>
      <c r="BR30" s="529">
        <f t="shared" si="8"/>
        <v>0</v>
      </c>
      <c r="BS30" s="529">
        <f t="shared" si="9"/>
        <v>0</v>
      </c>
      <c r="BT30" s="529">
        <f t="shared" si="10"/>
        <v>0</v>
      </c>
      <c r="BU30" s="529">
        <f t="shared" si="11"/>
        <v>0</v>
      </c>
      <c r="BV30" s="529">
        <f t="shared" si="12"/>
        <v>0</v>
      </c>
      <c r="BW30" s="529">
        <f t="shared" si="13"/>
        <v>0</v>
      </c>
      <c r="BX30" s="529">
        <f t="shared" si="28"/>
        <v>0</v>
      </c>
      <c r="BY30" s="529">
        <f t="shared" si="29"/>
        <v>0</v>
      </c>
      <c r="BZ30" s="529">
        <f t="shared" si="30"/>
        <v>0</v>
      </c>
      <c r="CA30" s="738"/>
      <c r="CB30" s="529">
        <f t="shared" si="14"/>
        <v>18741.11</v>
      </c>
      <c r="CC30" s="529">
        <f t="shared" si="15"/>
        <v>11904.15</v>
      </c>
      <c r="CD30" s="529">
        <f t="shared" si="16"/>
        <v>0</v>
      </c>
      <c r="CE30" s="529">
        <f t="shared" si="17"/>
        <v>2000</v>
      </c>
      <c r="CF30" s="529">
        <f t="shared" si="18"/>
        <v>0</v>
      </c>
      <c r="CG30" s="529">
        <f t="shared" si="19"/>
        <v>0</v>
      </c>
      <c r="CH30" s="529">
        <f t="shared" si="20"/>
        <v>0</v>
      </c>
      <c r="CI30" s="529">
        <f t="shared" si="21"/>
        <v>0</v>
      </c>
      <c r="CJ30" s="529">
        <f t="shared" si="22"/>
        <v>0</v>
      </c>
      <c r="CK30" s="529">
        <f t="shared" si="23"/>
        <v>0</v>
      </c>
      <c r="CL30" s="529">
        <f t="shared" si="24"/>
        <v>0</v>
      </c>
      <c r="CM30" s="529">
        <f t="shared" si="25"/>
        <v>0</v>
      </c>
      <c r="CN30" s="529">
        <f t="shared" si="26"/>
        <v>0</v>
      </c>
      <c r="CO30" s="529">
        <f t="shared" si="27"/>
        <v>0</v>
      </c>
      <c r="CP30" s="529">
        <f t="shared" si="31"/>
        <v>0</v>
      </c>
      <c r="CQ30" s="529">
        <f t="shared" si="32"/>
        <v>0</v>
      </c>
      <c r="CR30" s="529">
        <f t="shared" si="33"/>
        <v>0</v>
      </c>
    </row>
    <row r="31" spans="1:96" s="565" customFormat="1" ht="14.25" thickBot="1" x14ac:dyDescent="0.3">
      <c r="A31" s="756"/>
      <c r="B31" s="560" t="s">
        <v>622</v>
      </c>
      <c r="C31" s="561">
        <f>SUMIF($B$4:$B$26,$B31,C$4:C$26)</f>
        <v>4528.3464000000004</v>
      </c>
      <c r="D31" s="562"/>
      <c r="E31" s="563">
        <f t="shared" si="123"/>
        <v>2.1719916499999998</v>
      </c>
      <c r="F31" s="564">
        <f>SUMIF($B$4:$B$26,$B31,F$4:F$26)</f>
        <v>8808.0936000000002</v>
      </c>
      <c r="G31" s="562"/>
      <c r="H31" s="563">
        <f t="shared" si="124"/>
        <v>4.6656485700000001</v>
      </c>
      <c r="I31" s="561">
        <f>SUMIF($B$4:$B$26,$B31,I$4:I$26)</f>
        <v>6793.6399999999994</v>
      </c>
      <c r="J31" s="562"/>
      <c r="K31" s="563">
        <f t="shared" si="125"/>
        <v>7.2198965000000008</v>
      </c>
      <c r="L31" s="561">
        <f>SUMIF($B$4:$B$26,$B31,L$4:L$26)</f>
        <v>8488.09</v>
      </c>
      <c r="M31" s="562"/>
      <c r="N31" s="563">
        <f t="shared" si="126"/>
        <v>5.6495740999999988</v>
      </c>
      <c r="O31" s="561">
        <f>SUMIF($B$4:$B$26,$B31,O$4:O$26)</f>
        <v>5143.3099999999995</v>
      </c>
      <c r="P31" s="562"/>
      <c r="Q31" s="563">
        <f t="shared" si="127"/>
        <v>3.1779120000000001</v>
      </c>
      <c r="R31" s="561">
        <f>SUMIF($B$4:$B$26,$B31,R$4:R$26)</f>
        <v>7255.5360000000001</v>
      </c>
      <c r="S31" s="562"/>
      <c r="T31" s="563">
        <f t="shared" si="128"/>
        <v>7.028684000000001</v>
      </c>
      <c r="U31" s="561">
        <f>SUMIF($B$4:$B$26,$B31,U$4:U$26)</f>
        <v>7597.26</v>
      </c>
      <c r="V31" s="625">
        <f t="shared" si="129"/>
        <v>1017.8902657010553</v>
      </c>
      <c r="W31" s="563">
        <f t="shared" si="130"/>
        <v>7.7331770000000004</v>
      </c>
      <c r="X31" s="561">
        <f>SUMIF($B$4:$B$26,$B31,X$4:X$26)</f>
        <v>8401.9</v>
      </c>
      <c r="Y31" s="562"/>
      <c r="Z31" s="563">
        <f t="shared" si="131"/>
        <v>8.8215280000000007</v>
      </c>
      <c r="AA31" s="561">
        <f>SUMIF($B$4:$B$26,$B31,AA$4:AA$26)</f>
        <v>7122.4400000000005</v>
      </c>
      <c r="AB31" s="562"/>
      <c r="AC31" s="563">
        <f t="shared" si="132"/>
        <v>7.7060710000000006</v>
      </c>
      <c r="AD31" s="561">
        <f>SUMIF($B$4:$B$26,$B31,AD$4:AD$26)</f>
        <v>5722.2</v>
      </c>
      <c r="AE31" s="562"/>
      <c r="AF31" s="563">
        <f t="shared" si="133"/>
        <v>6.377243</v>
      </c>
      <c r="AG31" s="561">
        <f>SUMIF($B$4:$B$26,$B31,AG$4:AG$26)</f>
        <v>5722.2</v>
      </c>
      <c r="AH31" s="562"/>
      <c r="AI31" s="563">
        <f t="shared" si="134"/>
        <v>6.5636229999999998</v>
      </c>
      <c r="AJ31" s="561">
        <f>SUMIF($B$4:$B$26,$B31,AJ$4:AJ$26)</f>
        <v>5722.2</v>
      </c>
      <c r="AK31" s="562"/>
      <c r="AL31" s="563">
        <f t="shared" si="135"/>
        <v>6.7607569999999999</v>
      </c>
      <c r="AM31" s="561">
        <f>SUMIF($B$4:$B$26,$B31,AM$4:AM$26)</f>
        <v>5722.2</v>
      </c>
      <c r="AN31" s="562"/>
      <c r="AO31" s="563">
        <f t="shared" si="136"/>
        <v>6.9677609999999994</v>
      </c>
      <c r="AP31" s="561">
        <f>SUMIF($B$4:$B$26,$B31,AP$4:AP$26)</f>
        <v>5722.2</v>
      </c>
      <c r="AQ31" s="562"/>
      <c r="AR31" s="563">
        <f t="shared" si="137"/>
        <v>7.1749860000000005</v>
      </c>
      <c r="AS31" s="561">
        <f>SUMIF($B$4:$B$26,$B31,AS$4:AS$26)</f>
        <v>5722.2</v>
      </c>
      <c r="AT31" s="562"/>
      <c r="AU31" s="563">
        <f t="shared" si="138"/>
        <v>7.3852599999999997</v>
      </c>
      <c r="AV31" s="561">
        <f>SUMIF($B$4:$B$26,$B31,AV$4:AV$26)</f>
        <v>5722.2</v>
      </c>
      <c r="AW31" s="562"/>
      <c r="AX31" s="563">
        <f t="shared" si="139"/>
        <v>7.6133300000000004</v>
      </c>
      <c r="AY31" s="561">
        <f>SUMIF($B$4:$B$26,$B31,AY$4:AY$26)</f>
        <v>5722.2</v>
      </c>
      <c r="AZ31" s="562"/>
      <c r="BA31" s="563">
        <f t="shared" si="140"/>
        <v>7.8444490000000009</v>
      </c>
      <c r="BD31" s="731"/>
      <c r="BI31" s="739"/>
      <c r="BJ31" s="529">
        <f t="shared" si="0"/>
        <v>2.1719916499999998</v>
      </c>
      <c r="BK31" s="529">
        <f t="shared" si="1"/>
        <v>4.6656485700000001</v>
      </c>
      <c r="BL31" s="529">
        <f t="shared" si="2"/>
        <v>7.2198965000000008</v>
      </c>
      <c r="BM31" s="529">
        <f t="shared" si="3"/>
        <v>5.6495740999999988</v>
      </c>
      <c r="BN31" s="529">
        <f t="shared" si="4"/>
        <v>3.1779120000000001</v>
      </c>
      <c r="BO31" s="529">
        <f t="shared" si="5"/>
        <v>7.028684000000001</v>
      </c>
      <c r="BP31" s="529">
        <f t="shared" si="6"/>
        <v>7.7331770000000004</v>
      </c>
      <c r="BQ31" s="529">
        <f t="shared" si="7"/>
        <v>8.8215280000000007</v>
      </c>
      <c r="BR31" s="529">
        <f t="shared" si="8"/>
        <v>7.7060710000000006</v>
      </c>
      <c r="BS31" s="529">
        <f t="shared" si="9"/>
        <v>6.377243</v>
      </c>
      <c r="BT31" s="529">
        <f t="shared" si="10"/>
        <v>6.5636229999999998</v>
      </c>
      <c r="BU31" s="529">
        <f t="shared" si="11"/>
        <v>6.7607569999999999</v>
      </c>
      <c r="BV31" s="529">
        <f t="shared" si="12"/>
        <v>6.9677609999999994</v>
      </c>
      <c r="BW31" s="529">
        <f t="shared" si="13"/>
        <v>7.1749860000000005</v>
      </c>
      <c r="BX31" s="529">
        <f t="shared" si="28"/>
        <v>7.3852599999999997</v>
      </c>
      <c r="BY31" s="529">
        <f t="shared" si="29"/>
        <v>7.6133300000000004</v>
      </c>
      <c r="BZ31" s="529">
        <f t="shared" si="30"/>
        <v>7.8444490000000009</v>
      </c>
      <c r="CA31" s="739"/>
      <c r="CB31" s="529">
        <f t="shared" si="14"/>
        <v>4528.3464000000004</v>
      </c>
      <c r="CC31" s="529">
        <f t="shared" si="15"/>
        <v>8808.0936000000002</v>
      </c>
      <c r="CD31" s="529">
        <f t="shared" si="16"/>
        <v>6793.6399999999994</v>
      </c>
      <c r="CE31" s="529">
        <f t="shared" si="17"/>
        <v>8488.09</v>
      </c>
      <c r="CF31" s="529">
        <f t="shared" si="18"/>
        <v>5143.3099999999995</v>
      </c>
      <c r="CG31" s="529">
        <f t="shared" si="19"/>
        <v>7255.5360000000001</v>
      </c>
      <c r="CH31" s="529">
        <f t="shared" si="20"/>
        <v>7597.26</v>
      </c>
      <c r="CI31" s="529">
        <f t="shared" si="21"/>
        <v>8401.9</v>
      </c>
      <c r="CJ31" s="529">
        <f t="shared" si="22"/>
        <v>7122.4400000000005</v>
      </c>
      <c r="CK31" s="529">
        <f t="shared" si="23"/>
        <v>5722.2</v>
      </c>
      <c r="CL31" s="529">
        <f t="shared" si="24"/>
        <v>5722.2</v>
      </c>
      <c r="CM31" s="529">
        <f t="shared" si="25"/>
        <v>5722.2</v>
      </c>
      <c r="CN31" s="529">
        <f t="shared" si="26"/>
        <v>5722.2</v>
      </c>
      <c r="CO31" s="529">
        <f t="shared" si="27"/>
        <v>5722.2</v>
      </c>
      <c r="CP31" s="529">
        <f t="shared" si="31"/>
        <v>5722.2</v>
      </c>
      <c r="CQ31" s="529">
        <f t="shared" si="32"/>
        <v>5722.2</v>
      </c>
      <c r="CR31" s="529">
        <f t="shared" si="33"/>
        <v>5722.2</v>
      </c>
    </row>
    <row r="32" spans="1:96" s="537" customFormat="1" x14ac:dyDescent="0.2">
      <c r="A32" s="759" t="s">
        <v>498</v>
      </c>
      <c r="B32" s="555" t="s">
        <v>494</v>
      </c>
      <c r="C32" s="559"/>
      <c r="D32" s="557"/>
      <c r="E32" s="558">
        <f>C32*D32/1000000</f>
        <v>0</v>
      </c>
      <c r="F32" s="556"/>
      <c r="G32" s="557"/>
      <c r="H32" s="558">
        <f>F32*G32/1000000</f>
        <v>0</v>
      </c>
      <c r="I32" s="566">
        <f>3856.75</f>
        <v>3856.75</v>
      </c>
      <c r="J32" s="557">
        <v>342</v>
      </c>
      <c r="K32" s="558">
        <f>I32*J32/1000000</f>
        <v>1.3190085</v>
      </c>
      <c r="L32" s="559"/>
      <c r="M32" s="557"/>
      <c r="N32" s="558">
        <f>L32*M32/1000000</f>
        <v>0</v>
      </c>
      <c r="O32" s="559"/>
      <c r="P32" s="557"/>
      <c r="Q32" s="558">
        <f>O32*P32/1000000</f>
        <v>0</v>
      </c>
      <c r="R32" s="559">
        <f>500+500</f>
        <v>1000</v>
      </c>
      <c r="S32" s="557">
        <v>422</v>
      </c>
      <c r="T32" s="558">
        <f>R32*S32/1000000</f>
        <v>0.42199999999999999</v>
      </c>
      <c r="U32" s="559"/>
      <c r="V32" s="632"/>
      <c r="W32" s="558">
        <f>U32*V32/1000000</f>
        <v>0</v>
      </c>
      <c r="X32" s="559"/>
      <c r="Y32" s="539">
        <f t="shared" ref="Y32:Y35" si="141">ROUND(V32*(1+Y$1),0)</f>
        <v>0</v>
      </c>
      <c r="Z32" s="558">
        <f>X32*Y32/1000000</f>
        <v>0</v>
      </c>
      <c r="AA32" s="559"/>
      <c r="AB32" s="539">
        <f t="shared" ref="AB32:AB35" si="142">ROUND(Y32*(1+AB$1),0)</f>
        <v>0</v>
      </c>
      <c r="AC32" s="558">
        <f>AA32*AB32/1000000</f>
        <v>0</v>
      </c>
      <c r="AD32" s="559"/>
      <c r="AE32" s="539">
        <f t="shared" ref="AE32:AE35" si="143">ROUND(AB32*(1+AE$1),0)</f>
        <v>0</v>
      </c>
      <c r="AF32" s="558">
        <f>AD32*AE32/1000000</f>
        <v>0</v>
      </c>
      <c r="AG32" s="559"/>
      <c r="AH32" s="539">
        <f t="shared" ref="AH32:AH35" si="144">ROUND(AE32*(1+AH$1),0)</f>
        <v>0</v>
      </c>
      <c r="AI32" s="558">
        <f>AG32*AH32/1000000</f>
        <v>0</v>
      </c>
      <c r="AJ32" s="559"/>
      <c r="AK32" s="539">
        <f t="shared" ref="AK32:AK35" si="145">ROUND(AH32*(1+AK$1),0)</f>
        <v>0</v>
      </c>
      <c r="AL32" s="558">
        <f>AJ32*AK32/1000000</f>
        <v>0</v>
      </c>
      <c r="AM32" s="559"/>
      <c r="AN32" s="539">
        <f t="shared" ref="AN32:AN35" si="146">ROUND(AK32*(1+AN$1),0)</f>
        <v>0</v>
      </c>
      <c r="AO32" s="558">
        <f>AM32*AN32/1000000</f>
        <v>0</v>
      </c>
      <c r="AP32" s="559"/>
      <c r="AQ32" s="539">
        <f t="shared" ref="AQ32:AQ35" si="147">ROUND(AN32*(1+AQ$1),0)</f>
        <v>0</v>
      </c>
      <c r="AR32" s="558">
        <f>AP32*AQ32/1000000</f>
        <v>0</v>
      </c>
      <c r="AS32" s="559"/>
      <c r="AT32" s="539">
        <f t="shared" ref="AT32:AT35" si="148">ROUND(AQ32*(1+AT$1),0)</f>
        <v>0</v>
      </c>
      <c r="AU32" s="558">
        <f>AS32*AT32/1000000</f>
        <v>0</v>
      </c>
      <c r="AV32" s="559"/>
      <c r="AW32" s="539">
        <f t="shared" ref="AW32:AW35" si="149">ROUND(AT32*(1+AW$1),0)</f>
        <v>0</v>
      </c>
      <c r="AX32" s="558">
        <f>AV32*AW32/1000000</f>
        <v>0</v>
      </c>
      <c r="AY32" s="559"/>
      <c r="AZ32" s="539">
        <f t="shared" ref="AZ32:AZ35" si="150">ROUND(AW32*(1+AZ$1),0)</f>
        <v>0</v>
      </c>
      <c r="BA32" s="558">
        <f>AY32*AZ32/1000000</f>
        <v>0</v>
      </c>
      <c r="BD32" s="729"/>
      <c r="BI32" s="737"/>
      <c r="BJ32" s="529">
        <f t="shared" si="0"/>
        <v>0</v>
      </c>
      <c r="BK32" s="529">
        <f t="shared" si="1"/>
        <v>0</v>
      </c>
      <c r="BL32" s="529">
        <f t="shared" si="2"/>
        <v>1.3190085</v>
      </c>
      <c r="BM32" s="529">
        <f t="shared" si="3"/>
        <v>0</v>
      </c>
      <c r="BN32" s="529">
        <f t="shared" si="4"/>
        <v>0</v>
      </c>
      <c r="BO32" s="529">
        <f t="shared" si="5"/>
        <v>0.42199999999999999</v>
      </c>
      <c r="BP32" s="529">
        <f t="shared" si="6"/>
        <v>0</v>
      </c>
      <c r="BQ32" s="529">
        <f t="shared" si="7"/>
        <v>0</v>
      </c>
      <c r="BR32" s="529">
        <f t="shared" si="8"/>
        <v>0</v>
      </c>
      <c r="BS32" s="529">
        <f t="shared" si="9"/>
        <v>0</v>
      </c>
      <c r="BT32" s="529">
        <f t="shared" si="10"/>
        <v>0</v>
      </c>
      <c r="BU32" s="529">
        <f t="shared" si="11"/>
        <v>0</v>
      </c>
      <c r="BV32" s="529">
        <f t="shared" si="12"/>
        <v>0</v>
      </c>
      <c r="BW32" s="529">
        <f t="shared" si="13"/>
        <v>0</v>
      </c>
      <c r="BX32" s="529">
        <f t="shared" si="28"/>
        <v>0</v>
      </c>
      <c r="BY32" s="529">
        <f t="shared" si="29"/>
        <v>0</v>
      </c>
      <c r="BZ32" s="529">
        <f t="shared" si="30"/>
        <v>0</v>
      </c>
      <c r="CA32" s="737"/>
      <c r="CB32" s="529">
        <f t="shared" si="14"/>
        <v>0</v>
      </c>
      <c r="CC32" s="529">
        <f t="shared" si="15"/>
        <v>0</v>
      </c>
      <c r="CD32" s="529">
        <f t="shared" si="16"/>
        <v>3856.75</v>
      </c>
      <c r="CE32" s="529">
        <f t="shared" si="17"/>
        <v>0</v>
      </c>
      <c r="CF32" s="529">
        <f t="shared" si="18"/>
        <v>0</v>
      </c>
      <c r="CG32" s="529">
        <f t="shared" si="19"/>
        <v>1000</v>
      </c>
      <c r="CH32" s="529">
        <f t="shared" si="20"/>
        <v>0</v>
      </c>
      <c r="CI32" s="529">
        <f t="shared" si="21"/>
        <v>0</v>
      </c>
      <c r="CJ32" s="529">
        <f t="shared" si="22"/>
        <v>0</v>
      </c>
      <c r="CK32" s="529">
        <f t="shared" si="23"/>
        <v>0</v>
      </c>
      <c r="CL32" s="529">
        <f t="shared" si="24"/>
        <v>0</v>
      </c>
      <c r="CM32" s="529">
        <f t="shared" si="25"/>
        <v>0</v>
      </c>
      <c r="CN32" s="529">
        <f t="shared" si="26"/>
        <v>0</v>
      </c>
      <c r="CO32" s="529">
        <f t="shared" si="27"/>
        <v>0</v>
      </c>
      <c r="CP32" s="529">
        <f t="shared" si="31"/>
        <v>0</v>
      </c>
      <c r="CQ32" s="529">
        <f t="shared" si="32"/>
        <v>0</v>
      </c>
      <c r="CR32" s="529">
        <f t="shared" si="33"/>
        <v>0</v>
      </c>
    </row>
    <row r="33" spans="1:96" s="537" customFormat="1" x14ac:dyDescent="0.2">
      <c r="A33" s="759"/>
      <c r="B33" s="555" t="s">
        <v>618</v>
      </c>
      <c r="C33" s="559"/>
      <c r="D33" s="557"/>
      <c r="E33" s="558">
        <f>C33*D33/1000000</f>
        <v>0</v>
      </c>
      <c r="F33" s="556"/>
      <c r="G33" s="557"/>
      <c r="H33" s="558">
        <f>F33*G33/1000000</f>
        <v>0</v>
      </c>
      <c r="I33" s="556">
        <v>2904.6</v>
      </c>
      <c r="J33" s="557">
        <v>158</v>
      </c>
      <c r="K33" s="558">
        <f>I33*J33/1000000</f>
        <v>0.45892679999999997</v>
      </c>
      <c r="L33" s="556"/>
      <c r="M33" s="557"/>
      <c r="N33" s="558">
        <f>L33*M33/1000000</f>
        <v>0</v>
      </c>
      <c r="O33" s="556"/>
      <c r="P33" s="557"/>
      <c r="Q33" s="558">
        <f>O33*P33/1000000</f>
        <v>0</v>
      </c>
      <c r="R33" s="556"/>
      <c r="S33" s="557"/>
      <c r="T33" s="558">
        <f>R33*S33/1000000</f>
        <v>0</v>
      </c>
      <c r="U33" s="556"/>
      <c r="V33" s="632"/>
      <c r="W33" s="558">
        <f>U33*V33/1000000</f>
        <v>0</v>
      </c>
      <c r="X33" s="556"/>
      <c r="Y33" s="539">
        <f t="shared" si="141"/>
        <v>0</v>
      </c>
      <c r="Z33" s="558">
        <f>X33*Y33/1000000</f>
        <v>0</v>
      </c>
      <c r="AA33" s="556"/>
      <c r="AB33" s="539">
        <f t="shared" si="142"/>
        <v>0</v>
      </c>
      <c r="AC33" s="558">
        <f>AA33*AB33/1000000</f>
        <v>0</v>
      </c>
      <c r="AD33" s="556"/>
      <c r="AE33" s="539">
        <f t="shared" si="143"/>
        <v>0</v>
      </c>
      <c r="AF33" s="558">
        <f>AD33*AE33/1000000</f>
        <v>0</v>
      </c>
      <c r="AG33" s="556"/>
      <c r="AH33" s="539">
        <f t="shared" si="144"/>
        <v>0</v>
      </c>
      <c r="AI33" s="558">
        <f>AG33*AH33/1000000</f>
        <v>0</v>
      </c>
      <c r="AJ33" s="556"/>
      <c r="AK33" s="539">
        <f t="shared" si="145"/>
        <v>0</v>
      </c>
      <c r="AL33" s="558">
        <f>AJ33*AK33/1000000</f>
        <v>0</v>
      </c>
      <c r="AM33" s="556"/>
      <c r="AN33" s="539">
        <f t="shared" si="146"/>
        <v>0</v>
      </c>
      <c r="AO33" s="558">
        <f>AM33*AN33/1000000</f>
        <v>0</v>
      </c>
      <c r="AP33" s="556"/>
      <c r="AQ33" s="539">
        <f t="shared" si="147"/>
        <v>0</v>
      </c>
      <c r="AR33" s="558">
        <f>AP33*AQ33/1000000</f>
        <v>0</v>
      </c>
      <c r="AS33" s="556"/>
      <c r="AT33" s="539">
        <f t="shared" si="148"/>
        <v>0</v>
      </c>
      <c r="AU33" s="558">
        <f>AS33*AT33/1000000</f>
        <v>0</v>
      </c>
      <c r="AV33" s="556"/>
      <c r="AW33" s="539">
        <f t="shared" si="149"/>
        <v>0</v>
      </c>
      <c r="AX33" s="558">
        <f>AV33*AW33/1000000</f>
        <v>0</v>
      </c>
      <c r="AY33" s="556"/>
      <c r="AZ33" s="539">
        <f t="shared" si="150"/>
        <v>0</v>
      </c>
      <c r="BA33" s="558">
        <f>AY33*AZ33/1000000</f>
        <v>0</v>
      </c>
      <c r="BD33" s="729"/>
      <c r="BI33" s="737"/>
      <c r="BJ33" s="529">
        <f t="shared" si="0"/>
        <v>0</v>
      </c>
      <c r="BK33" s="529">
        <f t="shared" si="1"/>
        <v>0</v>
      </c>
      <c r="BL33" s="529">
        <f t="shared" si="2"/>
        <v>0.45892679999999997</v>
      </c>
      <c r="BM33" s="529">
        <f t="shared" si="3"/>
        <v>0</v>
      </c>
      <c r="BN33" s="529">
        <f t="shared" si="4"/>
        <v>0</v>
      </c>
      <c r="BO33" s="529">
        <f t="shared" si="5"/>
        <v>0</v>
      </c>
      <c r="BP33" s="529">
        <f t="shared" si="6"/>
        <v>0</v>
      </c>
      <c r="BQ33" s="529">
        <f t="shared" si="7"/>
        <v>0</v>
      </c>
      <c r="BR33" s="529">
        <f t="shared" si="8"/>
        <v>0</v>
      </c>
      <c r="BS33" s="529">
        <f t="shared" si="9"/>
        <v>0</v>
      </c>
      <c r="BT33" s="529">
        <f t="shared" si="10"/>
        <v>0</v>
      </c>
      <c r="BU33" s="529">
        <f t="shared" si="11"/>
        <v>0</v>
      </c>
      <c r="BV33" s="529">
        <f t="shared" si="12"/>
        <v>0</v>
      </c>
      <c r="BW33" s="529">
        <f t="shared" si="13"/>
        <v>0</v>
      </c>
      <c r="BX33" s="529">
        <f t="shared" si="28"/>
        <v>0</v>
      </c>
      <c r="BY33" s="529">
        <f t="shared" si="29"/>
        <v>0</v>
      </c>
      <c r="BZ33" s="529">
        <f t="shared" si="30"/>
        <v>0</v>
      </c>
      <c r="CA33" s="737"/>
      <c r="CB33" s="529">
        <f t="shared" si="14"/>
        <v>0</v>
      </c>
      <c r="CC33" s="529">
        <f t="shared" si="15"/>
        <v>0</v>
      </c>
      <c r="CD33" s="529">
        <f t="shared" si="16"/>
        <v>2904.6</v>
      </c>
      <c r="CE33" s="529">
        <f t="shared" si="17"/>
        <v>0</v>
      </c>
      <c r="CF33" s="529">
        <f t="shared" si="18"/>
        <v>0</v>
      </c>
      <c r="CG33" s="529">
        <f t="shared" si="19"/>
        <v>0</v>
      </c>
      <c r="CH33" s="529">
        <f t="shared" si="20"/>
        <v>0</v>
      </c>
      <c r="CI33" s="529">
        <f t="shared" si="21"/>
        <v>0</v>
      </c>
      <c r="CJ33" s="529">
        <f t="shared" si="22"/>
        <v>0</v>
      </c>
      <c r="CK33" s="529">
        <f t="shared" si="23"/>
        <v>0</v>
      </c>
      <c r="CL33" s="529">
        <f t="shared" si="24"/>
        <v>0</v>
      </c>
      <c r="CM33" s="529">
        <f t="shared" si="25"/>
        <v>0</v>
      </c>
      <c r="CN33" s="529">
        <f t="shared" si="26"/>
        <v>0</v>
      </c>
      <c r="CO33" s="529">
        <f t="shared" si="27"/>
        <v>0</v>
      </c>
      <c r="CP33" s="529">
        <f t="shared" si="31"/>
        <v>0</v>
      </c>
      <c r="CQ33" s="529">
        <f t="shared" si="32"/>
        <v>0</v>
      </c>
      <c r="CR33" s="529">
        <f t="shared" si="33"/>
        <v>0</v>
      </c>
    </row>
    <row r="34" spans="1:96" s="537" customFormat="1" x14ac:dyDescent="0.2">
      <c r="A34" s="759"/>
      <c r="B34" s="555" t="s">
        <v>495</v>
      </c>
      <c r="C34" s="559"/>
      <c r="D34" s="557"/>
      <c r="E34" s="558">
        <f>C34*D34/1000000</f>
        <v>0</v>
      </c>
      <c r="F34" s="556"/>
      <c r="G34" s="557"/>
      <c r="H34" s="558">
        <f>F34*G34/1000000</f>
        <v>0</v>
      </c>
      <c r="I34" s="566">
        <v>3769.5</v>
      </c>
      <c r="J34" s="557">
        <v>275</v>
      </c>
      <c r="K34" s="558">
        <f>I34*J34/1000000</f>
        <v>1.0366124999999999</v>
      </c>
      <c r="L34" s="559">
        <v>12937.4</v>
      </c>
      <c r="M34" s="557">
        <v>127</v>
      </c>
      <c r="N34" s="558">
        <f>L34*M34/1000000</f>
        <v>1.6430498</v>
      </c>
      <c r="O34" s="559">
        <v>20116</v>
      </c>
      <c r="P34" s="557">
        <v>190</v>
      </c>
      <c r="Q34" s="558">
        <f>O34*P34/1000000</f>
        <v>3.8220399999999999</v>
      </c>
      <c r="R34" s="559">
        <v>41308.800000000003</v>
      </c>
      <c r="S34" s="557">
        <v>215</v>
      </c>
      <c r="T34" s="558">
        <f>R34*S34/1000000</f>
        <v>8.881392</v>
      </c>
      <c r="U34" s="559">
        <v>43960</v>
      </c>
      <c r="V34" s="632">
        <v>235</v>
      </c>
      <c r="W34" s="558">
        <f>U34*V34/1000000</f>
        <v>10.3306</v>
      </c>
      <c r="X34" s="538">
        <f>ROUND(+U34*X$1,0)</f>
        <v>48616</v>
      </c>
      <c r="Y34" s="539">
        <f t="shared" si="141"/>
        <v>242</v>
      </c>
      <c r="Z34" s="558">
        <f>X34*Y34/1000000</f>
        <v>11.765072</v>
      </c>
      <c r="AA34" s="538">
        <f>ROUND(+X34*AA$1,0)</f>
        <v>41211</v>
      </c>
      <c r="AB34" s="539">
        <f t="shared" si="142"/>
        <v>249</v>
      </c>
      <c r="AC34" s="558">
        <f>AA34*AB34/1000000</f>
        <v>10.261539000000001</v>
      </c>
      <c r="AD34" s="538">
        <f>ROUND(+AA34*AD$1,0)</f>
        <v>33108</v>
      </c>
      <c r="AE34" s="539">
        <f t="shared" si="143"/>
        <v>256</v>
      </c>
      <c r="AF34" s="558">
        <f>AD34*AE34/1000000</f>
        <v>8.4756479999999996</v>
      </c>
      <c r="AG34" s="538">
        <f>ROUND(+AD34*AG$1,0)</f>
        <v>33108</v>
      </c>
      <c r="AH34" s="539">
        <f t="shared" si="144"/>
        <v>264</v>
      </c>
      <c r="AI34" s="558">
        <f>AG34*AH34/1000000</f>
        <v>8.7405120000000007</v>
      </c>
      <c r="AJ34" s="538">
        <f>ROUND(+AG34*AJ$1,0)</f>
        <v>33108</v>
      </c>
      <c r="AK34" s="539">
        <f t="shared" si="145"/>
        <v>272</v>
      </c>
      <c r="AL34" s="558">
        <f>AJ34*AK34/1000000</f>
        <v>9.005376</v>
      </c>
      <c r="AM34" s="538">
        <f>ROUND(+AJ34*AM$1,0)</f>
        <v>33108</v>
      </c>
      <c r="AN34" s="539">
        <f t="shared" si="146"/>
        <v>280</v>
      </c>
      <c r="AO34" s="558">
        <f>AM34*AN34/1000000</f>
        <v>9.2702399999999994</v>
      </c>
      <c r="AP34" s="538">
        <f>ROUND(+AM34*AP$1,0)</f>
        <v>33108</v>
      </c>
      <c r="AQ34" s="539">
        <f t="shared" si="147"/>
        <v>288</v>
      </c>
      <c r="AR34" s="558">
        <f>AP34*AQ34/1000000</f>
        <v>9.5351040000000005</v>
      </c>
      <c r="AS34" s="538">
        <f>ROUND(+AP34*AS$1,0)</f>
        <v>33108</v>
      </c>
      <c r="AT34" s="539">
        <f t="shared" si="148"/>
        <v>297</v>
      </c>
      <c r="AU34" s="558">
        <f>AS34*AT34/1000000</f>
        <v>9.8330760000000001</v>
      </c>
      <c r="AV34" s="538">
        <f>ROUND(+AS34*AV$1,0)</f>
        <v>33108</v>
      </c>
      <c r="AW34" s="539">
        <f t="shared" si="149"/>
        <v>306</v>
      </c>
      <c r="AX34" s="558">
        <f>AV34*AW34/1000000</f>
        <v>10.131048</v>
      </c>
      <c r="AY34" s="538">
        <f>ROUND(+AV34*AY$1,0)</f>
        <v>33108</v>
      </c>
      <c r="AZ34" s="539">
        <f t="shared" si="150"/>
        <v>315</v>
      </c>
      <c r="BA34" s="558">
        <f>AY34*AZ34/1000000</f>
        <v>10.42902</v>
      </c>
      <c r="BD34" s="729"/>
      <c r="BI34" s="737"/>
      <c r="BJ34" s="529">
        <f t="shared" ref="BJ34:BJ65" si="151">E34</f>
        <v>0</v>
      </c>
      <c r="BK34" s="529">
        <f t="shared" ref="BK34:BK65" si="152">H34</f>
        <v>0</v>
      </c>
      <c r="BL34" s="529">
        <f t="shared" ref="BL34:BL65" si="153">K34</f>
        <v>1.0366124999999999</v>
      </c>
      <c r="BM34" s="529">
        <f t="shared" ref="BM34:BM65" si="154">N34</f>
        <v>1.6430498</v>
      </c>
      <c r="BN34" s="529">
        <f t="shared" ref="BN34:BN65" si="155">Q34</f>
        <v>3.8220399999999999</v>
      </c>
      <c r="BO34" s="529">
        <f t="shared" ref="BO34:BO65" si="156">T34</f>
        <v>8.881392</v>
      </c>
      <c r="BP34" s="529">
        <f t="shared" ref="BP34:BP65" si="157">W34</f>
        <v>10.3306</v>
      </c>
      <c r="BQ34" s="529">
        <f t="shared" ref="BQ34:BQ65" si="158">Z34</f>
        <v>11.765072</v>
      </c>
      <c r="BR34" s="529">
        <f t="shared" ref="BR34:BR65" si="159">AC34</f>
        <v>10.261539000000001</v>
      </c>
      <c r="BS34" s="529">
        <f t="shared" ref="BS34:BS65" si="160">AF34</f>
        <v>8.4756479999999996</v>
      </c>
      <c r="BT34" s="529">
        <f t="shared" ref="BT34:BT65" si="161">AI34</f>
        <v>8.7405120000000007</v>
      </c>
      <c r="BU34" s="529">
        <f t="shared" ref="BU34:BU65" si="162">AL34</f>
        <v>9.005376</v>
      </c>
      <c r="BV34" s="529">
        <f t="shared" ref="BV34:BV65" si="163">AO34</f>
        <v>9.2702399999999994</v>
      </c>
      <c r="BW34" s="529">
        <f t="shared" ref="BW34:BW65" si="164">AR34</f>
        <v>9.5351040000000005</v>
      </c>
      <c r="BX34" s="529">
        <f t="shared" si="28"/>
        <v>9.8330760000000001</v>
      </c>
      <c r="BY34" s="529">
        <f t="shared" si="29"/>
        <v>10.131048</v>
      </c>
      <c r="BZ34" s="529">
        <f t="shared" si="30"/>
        <v>10.42902</v>
      </c>
      <c r="CA34" s="737"/>
      <c r="CB34" s="529">
        <f t="shared" ref="CB34:CB65" si="165">C34</f>
        <v>0</v>
      </c>
      <c r="CC34" s="529">
        <f t="shared" ref="CC34:CC65" si="166">F34</f>
        <v>0</v>
      </c>
      <c r="CD34" s="529">
        <f t="shared" ref="CD34:CD65" si="167">I34</f>
        <v>3769.5</v>
      </c>
      <c r="CE34" s="529">
        <f t="shared" ref="CE34:CE65" si="168">L34</f>
        <v>12937.4</v>
      </c>
      <c r="CF34" s="529">
        <f t="shared" ref="CF34:CF65" si="169">O34</f>
        <v>20116</v>
      </c>
      <c r="CG34" s="529">
        <f t="shared" ref="CG34:CG65" si="170">R34</f>
        <v>41308.800000000003</v>
      </c>
      <c r="CH34" s="529">
        <f t="shared" ref="CH34:CH65" si="171">U34</f>
        <v>43960</v>
      </c>
      <c r="CI34" s="529">
        <f t="shared" ref="CI34:CI65" si="172">X34</f>
        <v>48616</v>
      </c>
      <c r="CJ34" s="529">
        <f t="shared" ref="CJ34:CJ65" si="173">AA34</f>
        <v>41211</v>
      </c>
      <c r="CK34" s="529">
        <f t="shared" ref="CK34:CK65" si="174">AD34</f>
        <v>33108</v>
      </c>
      <c r="CL34" s="529">
        <f t="shared" ref="CL34:CL65" si="175">AG34</f>
        <v>33108</v>
      </c>
      <c r="CM34" s="529">
        <f t="shared" ref="CM34:CM65" si="176">AJ34</f>
        <v>33108</v>
      </c>
      <c r="CN34" s="529">
        <f t="shared" ref="CN34:CN65" si="177">AM34</f>
        <v>33108</v>
      </c>
      <c r="CO34" s="529">
        <f t="shared" ref="CO34:CO65" si="178">AP34</f>
        <v>33108</v>
      </c>
      <c r="CP34" s="529">
        <f t="shared" si="31"/>
        <v>33108</v>
      </c>
      <c r="CQ34" s="529">
        <f t="shared" si="32"/>
        <v>33108</v>
      </c>
      <c r="CR34" s="529">
        <f t="shared" si="33"/>
        <v>33108</v>
      </c>
    </row>
    <row r="35" spans="1:96" s="537" customFormat="1" x14ac:dyDescent="0.2">
      <c r="A35" s="759"/>
      <c r="B35" s="555" t="s">
        <v>113</v>
      </c>
      <c r="C35" s="559"/>
      <c r="D35" s="557"/>
      <c r="E35" s="558">
        <f>C35*D35/1000000</f>
        <v>0</v>
      </c>
      <c r="F35" s="556"/>
      <c r="G35" s="557"/>
      <c r="H35" s="558">
        <f>F35*G35/1000000</f>
        <v>0</v>
      </c>
      <c r="I35" s="559"/>
      <c r="J35" s="557"/>
      <c r="K35" s="558">
        <f>I35*J35/1000000</f>
        <v>0</v>
      </c>
      <c r="L35" s="559"/>
      <c r="M35" s="557"/>
      <c r="N35" s="558">
        <f>L35*M35/1000000</f>
        <v>0</v>
      </c>
      <c r="O35" s="559"/>
      <c r="P35" s="557"/>
      <c r="Q35" s="558">
        <f>O35*P35/1000000</f>
        <v>0</v>
      </c>
      <c r="R35" s="559"/>
      <c r="S35" s="557"/>
      <c r="T35" s="558">
        <f>R35*S35/1000000</f>
        <v>0</v>
      </c>
      <c r="U35" s="559"/>
      <c r="V35" s="632"/>
      <c r="W35" s="558">
        <f>U35*V35/1000000</f>
        <v>0</v>
      </c>
      <c r="X35" s="559"/>
      <c r="Y35" s="539">
        <f t="shared" si="141"/>
        <v>0</v>
      </c>
      <c r="Z35" s="558">
        <f>X35*Y35/1000000</f>
        <v>0</v>
      </c>
      <c r="AA35" s="559"/>
      <c r="AB35" s="539">
        <f t="shared" si="142"/>
        <v>0</v>
      </c>
      <c r="AC35" s="558">
        <f>AA35*AB35/1000000</f>
        <v>0</v>
      </c>
      <c r="AD35" s="559"/>
      <c r="AE35" s="539">
        <f t="shared" si="143"/>
        <v>0</v>
      </c>
      <c r="AF35" s="558">
        <f>AD35*AE35/1000000</f>
        <v>0</v>
      </c>
      <c r="AG35" s="559"/>
      <c r="AH35" s="539">
        <f t="shared" si="144"/>
        <v>0</v>
      </c>
      <c r="AI35" s="558">
        <f>AG35*AH35/1000000</f>
        <v>0</v>
      </c>
      <c r="AJ35" s="559"/>
      <c r="AK35" s="539">
        <f t="shared" si="145"/>
        <v>0</v>
      </c>
      <c r="AL35" s="558">
        <f>AJ35*AK35/1000000</f>
        <v>0</v>
      </c>
      <c r="AM35" s="559"/>
      <c r="AN35" s="539">
        <f t="shared" si="146"/>
        <v>0</v>
      </c>
      <c r="AO35" s="558">
        <f>AM35*AN35/1000000</f>
        <v>0</v>
      </c>
      <c r="AP35" s="559"/>
      <c r="AQ35" s="539">
        <f t="shared" si="147"/>
        <v>0</v>
      </c>
      <c r="AR35" s="558">
        <f>AP35*AQ35/1000000</f>
        <v>0</v>
      </c>
      <c r="AS35" s="559"/>
      <c r="AT35" s="539">
        <f t="shared" si="148"/>
        <v>0</v>
      </c>
      <c r="AU35" s="558">
        <f>AS35*AT35/1000000</f>
        <v>0</v>
      </c>
      <c r="AV35" s="559"/>
      <c r="AW35" s="539">
        <f t="shared" si="149"/>
        <v>0</v>
      </c>
      <c r="AX35" s="558">
        <f>AV35*AW35/1000000</f>
        <v>0</v>
      </c>
      <c r="AY35" s="559"/>
      <c r="AZ35" s="539">
        <f t="shared" si="150"/>
        <v>0</v>
      </c>
      <c r="BA35" s="558">
        <f>AY35*AZ35/1000000</f>
        <v>0</v>
      </c>
      <c r="BD35" s="729"/>
      <c r="BI35" s="737"/>
      <c r="BJ35" s="529">
        <f t="shared" si="151"/>
        <v>0</v>
      </c>
      <c r="BK35" s="529">
        <f t="shared" si="152"/>
        <v>0</v>
      </c>
      <c r="BL35" s="529">
        <f t="shared" si="153"/>
        <v>0</v>
      </c>
      <c r="BM35" s="529">
        <f t="shared" si="154"/>
        <v>0</v>
      </c>
      <c r="BN35" s="529">
        <f t="shared" si="155"/>
        <v>0</v>
      </c>
      <c r="BO35" s="529">
        <f t="shared" si="156"/>
        <v>0</v>
      </c>
      <c r="BP35" s="529">
        <f t="shared" si="157"/>
        <v>0</v>
      </c>
      <c r="BQ35" s="529">
        <f t="shared" si="158"/>
        <v>0</v>
      </c>
      <c r="BR35" s="529">
        <f t="shared" si="159"/>
        <v>0</v>
      </c>
      <c r="BS35" s="529">
        <f t="shared" si="160"/>
        <v>0</v>
      </c>
      <c r="BT35" s="529">
        <f t="shared" si="161"/>
        <v>0</v>
      </c>
      <c r="BU35" s="529">
        <f t="shared" si="162"/>
        <v>0</v>
      </c>
      <c r="BV35" s="529">
        <f t="shared" si="163"/>
        <v>0</v>
      </c>
      <c r="BW35" s="529">
        <f t="shared" si="164"/>
        <v>0</v>
      </c>
      <c r="BX35" s="529">
        <f t="shared" si="28"/>
        <v>0</v>
      </c>
      <c r="BY35" s="529">
        <f t="shared" si="29"/>
        <v>0</v>
      </c>
      <c r="BZ35" s="529">
        <f t="shared" si="30"/>
        <v>0</v>
      </c>
      <c r="CA35" s="737"/>
      <c r="CB35" s="529">
        <f t="shared" si="165"/>
        <v>0</v>
      </c>
      <c r="CC35" s="529">
        <f t="shared" si="166"/>
        <v>0</v>
      </c>
      <c r="CD35" s="529">
        <f t="shared" si="167"/>
        <v>0</v>
      </c>
      <c r="CE35" s="529">
        <f t="shared" si="168"/>
        <v>0</v>
      </c>
      <c r="CF35" s="529">
        <f t="shared" si="169"/>
        <v>0</v>
      </c>
      <c r="CG35" s="529">
        <f t="shared" si="170"/>
        <v>0</v>
      </c>
      <c r="CH35" s="529">
        <f t="shared" si="171"/>
        <v>0</v>
      </c>
      <c r="CI35" s="529">
        <f t="shared" si="172"/>
        <v>0</v>
      </c>
      <c r="CJ35" s="529">
        <f t="shared" si="173"/>
        <v>0</v>
      </c>
      <c r="CK35" s="529">
        <f t="shared" si="174"/>
        <v>0</v>
      </c>
      <c r="CL35" s="529">
        <f t="shared" si="175"/>
        <v>0</v>
      </c>
      <c r="CM35" s="529">
        <f t="shared" si="176"/>
        <v>0</v>
      </c>
      <c r="CN35" s="529">
        <f t="shared" si="177"/>
        <v>0</v>
      </c>
      <c r="CO35" s="529">
        <f t="shared" si="178"/>
        <v>0</v>
      </c>
      <c r="CP35" s="529">
        <f t="shared" si="31"/>
        <v>0</v>
      </c>
      <c r="CQ35" s="529">
        <f t="shared" si="32"/>
        <v>0</v>
      </c>
      <c r="CR35" s="529">
        <f t="shared" si="33"/>
        <v>0</v>
      </c>
    </row>
    <row r="36" spans="1:96" ht="14.25" thickBot="1" x14ac:dyDescent="0.3">
      <c r="A36" s="760"/>
      <c r="B36" s="560" t="s">
        <v>622</v>
      </c>
      <c r="C36" s="561">
        <f>C32*0.46+C33*0.46+C34*0.24+C35*0.24</f>
        <v>0</v>
      </c>
      <c r="D36" s="562"/>
      <c r="E36" s="563">
        <f>SUM(E32:E35)</f>
        <v>0</v>
      </c>
      <c r="F36" s="561">
        <f>F32*0.46+F33*0.46+F34*0.24+F35*0.24</f>
        <v>0</v>
      </c>
      <c r="G36" s="567"/>
      <c r="H36" s="563">
        <f>SUM(H32:H35)</f>
        <v>0</v>
      </c>
      <c r="I36" s="561">
        <f>I32*0.46+I33*0.46+I34*0.24+I35*0.24</f>
        <v>4014.9009999999998</v>
      </c>
      <c r="J36" s="567"/>
      <c r="K36" s="563">
        <f>SUM(K32:K35)</f>
        <v>2.8145477999999997</v>
      </c>
      <c r="L36" s="561">
        <f>L32*0.46+L33*0.46+L34*0.24+L35*0.24</f>
        <v>3104.9759999999997</v>
      </c>
      <c r="M36" s="562"/>
      <c r="N36" s="563">
        <f>SUM(N32:N35)</f>
        <v>1.6430498</v>
      </c>
      <c r="O36" s="561">
        <f>O32*0.46+O33*0.46+O34*0.24+O35*0.24</f>
        <v>4827.84</v>
      </c>
      <c r="P36" s="567"/>
      <c r="Q36" s="563">
        <f>SUM(Q32:Q35)</f>
        <v>3.8220399999999999</v>
      </c>
      <c r="R36" s="561">
        <f>R32*0.46+R33*0.46+R34*0.24+R35*0.24</f>
        <v>10374.112000000001</v>
      </c>
      <c r="S36" s="562"/>
      <c r="T36" s="563">
        <f>SUM(T32:T35)</f>
        <v>9.3033920000000006</v>
      </c>
      <c r="U36" s="561">
        <f>U32*0.46+U33*0.46+U34*0.24+U35*0.24</f>
        <v>10550.4</v>
      </c>
      <c r="V36" s="625"/>
      <c r="W36" s="563">
        <f>SUM(W32:W35)</f>
        <v>10.3306</v>
      </c>
      <c r="X36" s="561">
        <f>X32*0.46+X33*0.46+X34*0.24+X35*0.24</f>
        <v>11667.84</v>
      </c>
      <c r="Y36" s="562"/>
      <c r="Z36" s="563">
        <f>SUM(Z32:Z35)</f>
        <v>11.765072</v>
      </c>
      <c r="AA36" s="561">
        <f>AA32*0.46+AA33*0.46+AA34*0.24+AA35*0.24</f>
        <v>9890.64</v>
      </c>
      <c r="AB36" s="562"/>
      <c r="AC36" s="563">
        <f>SUM(AC32:AC35)</f>
        <v>10.261539000000001</v>
      </c>
      <c r="AD36" s="561">
        <f>AD32*0.46+AD33*0.46+AD34*0.24+AD35*0.24</f>
        <v>7945.92</v>
      </c>
      <c r="AE36" s="562"/>
      <c r="AF36" s="563">
        <f>SUM(AF32:AF35)</f>
        <v>8.4756479999999996</v>
      </c>
      <c r="AG36" s="561">
        <f>AG32*0.46+AG33*0.46+AG34*0.24+AG35*0.24</f>
        <v>7945.92</v>
      </c>
      <c r="AH36" s="562"/>
      <c r="AI36" s="563">
        <f>SUM(AI32:AI35)</f>
        <v>8.7405120000000007</v>
      </c>
      <c r="AJ36" s="561">
        <f>AJ32*0.46+AJ33*0.46+AJ34*0.24+AJ35*0.24</f>
        <v>7945.92</v>
      </c>
      <c r="AK36" s="562"/>
      <c r="AL36" s="563">
        <f>SUM(AL32:AL35)</f>
        <v>9.005376</v>
      </c>
      <c r="AM36" s="561">
        <f>AM32*0.46+AM33*0.46+AM34*0.24+AM35*0.24</f>
        <v>7945.92</v>
      </c>
      <c r="AN36" s="562"/>
      <c r="AO36" s="563">
        <f>SUM(AO32:AO35)</f>
        <v>9.2702399999999994</v>
      </c>
      <c r="AP36" s="561">
        <f>AP32*0.46+AP33*0.46+AP34*0.24+AP35*0.24</f>
        <v>7945.92</v>
      </c>
      <c r="AQ36" s="562"/>
      <c r="AR36" s="563">
        <f>SUM(AR32:AR35)</f>
        <v>9.5351040000000005</v>
      </c>
      <c r="AS36" s="561">
        <f>AS32*0.46+AS33*0.46+AS34*0.24+AS35*0.24</f>
        <v>7945.92</v>
      </c>
      <c r="AT36" s="562"/>
      <c r="AU36" s="563">
        <f>SUM(AU32:AU35)</f>
        <v>9.8330760000000001</v>
      </c>
      <c r="AV36" s="561">
        <f>AV32*0.46+AV33*0.46+AV34*0.24+AV35*0.24</f>
        <v>7945.92</v>
      </c>
      <c r="AW36" s="562"/>
      <c r="AX36" s="563">
        <f>SUM(AX32:AX35)</f>
        <v>10.131048</v>
      </c>
      <c r="AY36" s="561">
        <f>AY32*0.46+AY33*0.46+AY34*0.24+AY35*0.24</f>
        <v>7945.92</v>
      </c>
      <c r="AZ36" s="562"/>
      <c r="BA36" s="563">
        <f>SUM(BA32:BA35)</f>
        <v>10.42902</v>
      </c>
      <c r="BB36" s="537"/>
      <c r="BJ36" s="529">
        <f t="shared" si="151"/>
        <v>0</v>
      </c>
      <c r="BK36" s="529">
        <f t="shared" si="152"/>
        <v>0</v>
      </c>
      <c r="BL36" s="529">
        <f t="shared" si="153"/>
        <v>2.8145477999999997</v>
      </c>
      <c r="BM36" s="529">
        <f t="shared" si="154"/>
        <v>1.6430498</v>
      </c>
      <c r="BN36" s="529">
        <f t="shared" si="155"/>
        <v>3.8220399999999999</v>
      </c>
      <c r="BO36" s="529">
        <f t="shared" si="156"/>
        <v>9.3033920000000006</v>
      </c>
      <c r="BP36" s="529">
        <f t="shared" si="157"/>
        <v>10.3306</v>
      </c>
      <c r="BQ36" s="529">
        <f t="shared" si="158"/>
        <v>11.765072</v>
      </c>
      <c r="BR36" s="529">
        <f t="shared" si="159"/>
        <v>10.261539000000001</v>
      </c>
      <c r="BS36" s="529">
        <f t="shared" si="160"/>
        <v>8.4756479999999996</v>
      </c>
      <c r="BT36" s="529">
        <f t="shared" si="161"/>
        <v>8.7405120000000007</v>
      </c>
      <c r="BU36" s="529">
        <f t="shared" si="162"/>
        <v>9.005376</v>
      </c>
      <c r="BV36" s="529">
        <f t="shared" si="163"/>
        <v>9.2702399999999994</v>
      </c>
      <c r="BW36" s="529">
        <f t="shared" si="164"/>
        <v>9.5351040000000005</v>
      </c>
      <c r="BX36" s="529">
        <f t="shared" si="28"/>
        <v>9.8330760000000001</v>
      </c>
      <c r="BY36" s="529">
        <f t="shared" si="29"/>
        <v>10.131048</v>
      </c>
      <c r="BZ36" s="529">
        <f t="shared" si="30"/>
        <v>10.42902</v>
      </c>
      <c r="CB36" s="529">
        <f t="shared" si="165"/>
        <v>0</v>
      </c>
      <c r="CC36" s="529">
        <f t="shared" si="166"/>
        <v>0</v>
      </c>
      <c r="CD36" s="529">
        <f t="shared" si="167"/>
        <v>4014.9009999999998</v>
      </c>
      <c r="CE36" s="529">
        <f t="shared" si="168"/>
        <v>3104.9759999999997</v>
      </c>
      <c r="CF36" s="529">
        <f t="shared" si="169"/>
        <v>4827.84</v>
      </c>
      <c r="CG36" s="529">
        <f t="shared" si="170"/>
        <v>10374.112000000001</v>
      </c>
      <c r="CH36" s="529">
        <f t="shared" si="171"/>
        <v>10550.4</v>
      </c>
      <c r="CI36" s="529">
        <f t="shared" si="172"/>
        <v>11667.84</v>
      </c>
      <c r="CJ36" s="529">
        <f t="shared" si="173"/>
        <v>9890.64</v>
      </c>
      <c r="CK36" s="529">
        <f t="shared" si="174"/>
        <v>7945.92</v>
      </c>
      <c r="CL36" s="529">
        <f t="shared" si="175"/>
        <v>7945.92</v>
      </c>
      <c r="CM36" s="529">
        <f t="shared" si="176"/>
        <v>7945.92</v>
      </c>
      <c r="CN36" s="529">
        <f t="shared" si="177"/>
        <v>7945.92</v>
      </c>
      <c r="CO36" s="529">
        <f t="shared" si="178"/>
        <v>7945.92</v>
      </c>
      <c r="CP36" s="529">
        <f t="shared" si="31"/>
        <v>7945.92</v>
      </c>
      <c r="CQ36" s="529">
        <f t="shared" si="32"/>
        <v>7945.92</v>
      </c>
      <c r="CR36" s="529">
        <f t="shared" si="33"/>
        <v>7945.92</v>
      </c>
    </row>
    <row r="37" spans="1:96" x14ac:dyDescent="0.2">
      <c r="A37" s="761" t="s">
        <v>623</v>
      </c>
      <c r="B37" s="537" t="s">
        <v>494</v>
      </c>
      <c r="C37" s="538"/>
      <c r="D37" s="549"/>
      <c r="E37" s="540">
        <f>C37*D37/1000000</f>
        <v>0</v>
      </c>
      <c r="F37" s="541"/>
      <c r="G37" s="539"/>
      <c r="H37" s="540">
        <f>F37*G37/1000000</f>
        <v>0</v>
      </c>
      <c r="I37" s="538"/>
      <c r="J37" s="539"/>
      <c r="K37" s="540">
        <f>I37*J37/1000000</f>
        <v>0</v>
      </c>
      <c r="L37" s="538"/>
      <c r="M37" s="539"/>
      <c r="N37" s="540">
        <f>L37*M37/1000000</f>
        <v>0</v>
      </c>
      <c r="O37" s="538">
        <v>20255.099999999999</v>
      </c>
      <c r="P37" s="539">
        <v>285</v>
      </c>
      <c r="Q37" s="540">
        <f>O37*P37/1000000</f>
        <v>5.7727035000000004</v>
      </c>
      <c r="R37" s="538">
        <f>1541.2+3444.3</f>
        <v>4985.5</v>
      </c>
      <c r="S37" s="539">
        <v>350</v>
      </c>
      <c r="T37" s="540">
        <f>R37*S37/1000000</f>
        <v>1.7449250000000001</v>
      </c>
      <c r="U37" s="538"/>
      <c r="V37" s="629">
        <v>375</v>
      </c>
      <c r="W37" s="540">
        <f>U37*V37/1000000</f>
        <v>0</v>
      </c>
      <c r="X37" s="538">
        <f>ROUND(+U37*X$1,0)</f>
        <v>0</v>
      </c>
      <c r="Y37" s="539">
        <f t="shared" ref="Y37:Y40" si="179">ROUND(V37*(1+Y$1),0)</f>
        <v>386</v>
      </c>
      <c r="Z37" s="540">
        <f>X37*Y37/1000000</f>
        <v>0</v>
      </c>
      <c r="AA37" s="538">
        <f>ROUND(+X37*AA$1,0)</f>
        <v>0</v>
      </c>
      <c r="AB37" s="539">
        <f t="shared" ref="AB37:AB40" si="180">ROUND(Y37*(1+AB$1),0)</f>
        <v>398</v>
      </c>
      <c r="AC37" s="540">
        <f>AA37*AB37/1000000</f>
        <v>0</v>
      </c>
      <c r="AD37" s="538">
        <f>ROUND(+AA37*AD$1,0)</f>
        <v>0</v>
      </c>
      <c r="AE37" s="539">
        <f t="shared" ref="AE37:AE40" si="181">ROUND(AB37*(1+AE$1),0)</f>
        <v>410</v>
      </c>
      <c r="AF37" s="540">
        <f>AD37*AE37/1000000</f>
        <v>0</v>
      </c>
      <c r="AG37" s="538">
        <f>ROUND(+AD37*AG$1,0)</f>
        <v>0</v>
      </c>
      <c r="AH37" s="539">
        <f t="shared" ref="AH37:AH40" si="182">ROUND(AE37*(1+AH$1),0)</f>
        <v>422</v>
      </c>
      <c r="AI37" s="540">
        <f>AG37*AH37/1000000</f>
        <v>0</v>
      </c>
      <c r="AJ37" s="538">
        <f>ROUND(+AG37*AJ$1,0)</f>
        <v>0</v>
      </c>
      <c r="AK37" s="539">
        <f t="shared" ref="AK37:AK40" si="183">ROUND(AH37*(1+AK$1),0)</f>
        <v>435</v>
      </c>
      <c r="AL37" s="540">
        <f>AJ37*AK37/1000000</f>
        <v>0</v>
      </c>
      <c r="AM37" s="538">
        <f>ROUND(+AJ37*AM$1,0)</f>
        <v>0</v>
      </c>
      <c r="AN37" s="539">
        <f t="shared" ref="AN37:AN40" si="184">ROUND(AK37*(1+AN$1),0)</f>
        <v>448</v>
      </c>
      <c r="AO37" s="540">
        <f>AM37*AN37/1000000</f>
        <v>0</v>
      </c>
      <c r="AP37" s="538">
        <f>ROUND(+AM37*AP$1,0)</f>
        <v>0</v>
      </c>
      <c r="AQ37" s="539">
        <f t="shared" ref="AQ37:AQ40" si="185">ROUND(AN37*(1+AQ$1),0)</f>
        <v>461</v>
      </c>
      <c r="AR37" s="540">
        <f>AP37*AQ37/1000000</f>
        <v>0</v>
      </c>
      <c r="AS37" s="538">
        <f>ROUND(+AP37*AS$1,0)</f>
        <v>0</v>
      </c>
      <c r="AT37" s="539">
        <f t="shared" ref="AT37:AT40" si="186">ROUND(AQ37*(1+AT$1),0)</f>
        <v>475</v>
      </c>
      <c r="AU37" s="540">
        <f>AS37*AT37/1000000</f>
        <v>0</v>
      </c>
      <c r="AV37" s="538">
        <f>ROUND(+AS37*AV$1,0)</f>
        <v>0</v>
      </c>
      <c r="AW37" s="539">
        <f t="shared" ref="AW37:AW40" si="187">ROUND(AT37*(1+AW$1),0)</f>
        <v>489</v>
      </c>
      <c r="AX37" s="540">
        <f>AV37*AW37/1000000</f>
        <v>0</v>
      </c>
      <c r="AY37" s="538">
        <f>ROUND(+AV37*AY$1,0)</f>
        <v>0</v>
      </c>
      <c r="AZ37" s="539">
        <f t="shared" ref="AZ37:AZ40" si="188">ROUND(AW37*(1+AZ$1),0)</f>
        <v>504</v>
      </c>
      <c r="BA37" s="540">
        <f>AY37*AZ37/1000000</f>
        <v>0</v>
      </c>
      <c r="BJ37" s="529">
        <f t="shared" si="151"/>
        <v>0</v>
      </c>
      <c r="BK37" s="529">
        <f t="shared" si="152"/>
        <v>0</v>
      </c>
      <c r="BL37" s="529">
        <f t="shared" si="153"/>
        <v>0</v>
      </c>
      <c r="BM37" s="529">
        <f t="shared" si="154"/>
        <v>0</v>
      </c>
      <c r="BN37" s="529">
        <f t="shared" si="155"/>
        <v>5.7727035000000004</v>
      </c>
      <c r="BO37" s="529">
        <f t="shared" si="156"/>
        <v>1.7449250000000001</v>
      </c>
      <c r="BP37" s="529">
        <f t="shared" si="157"/>
        <v>0</v>
      </c>
      <c r="BQ37" s="529">
        <f t="shared" si="158"/>
        <v>0</v>
      </c>
      <c r="BR37" s="529">
        <f t="shared" si="159"/>
        <v>0</v>
      </c>
      <c r="BS37" s="529">
        <f t="shared" si="160"/>
        <v>0</v>
      </c>
      <c r="BT37" s="529">
        <f t="shared" si="161"/>
        <v>0</v>
      </c>
      <c r="BU37" s="529">
        <f t="shared" si="162"/>
        <v>0</v>
      </c>
      <c r="BV37" s="529">
        <f t="shared" si="163"/>
        <v>0</v>
      </c>
      <c r="BW37" s="529">
        <f t="shared" si="164"/>
        <v>0</v>
      </c>
      <c r="BX37" s="529">
        <f t="shared" si="28"/>
        <v>0</v>
      </c>
      <c r="BY37" s="529">
        <f t="shared" si="29"/>
        <v>0</v>
      </c>
      <c r="BZ37" s="529">
        <f t="shared" si="30"/>
        <v>0</v>
      </c>
      <c r="CB37" s="529">
        <f t="shared" si="165"/>
        <v>0</v>
      </c>
      <c r="CC37" s="529">
        <f t="shared" si="166"/>
        <v>0</v>
      </c>
      <c r="CD37" s="529">
        <f t="shared" si="167"/>
        <v>0</v>
      </c>
      <c r="CE37" s="529">
        <f t="shared" si="168"/>
        <v>0</v>
      </c>
      <c r="CF37" s="529">
        <f t="shared" si="169"/>
        <v>20255.099999999999</v>
      </c>
      <c r="CG37" s="529">
        <f t="shared" si="170"/>
        <v>4985.5</v>
      </c>
      <c r="CH37" s="529">
        <f t="shared" si="171"/>
        <v>0</v>
      </c>
      <c r="CI37" s="529">
        <f t="shared" si="172"/>
        <v>0</v>
      </c>
      <c r="CJ37" s="529">
        <f t="shared" si="173"/>
        <v>0</v>
      </c>
      <c r="CK37" s="529">
        <f t="shared" si="174"/>
        <v>0</v>
      </c>
      <c r="CL37" s="529">
        <f t="shared" si="175"/>
        <v>0</v>
      </c>
      <c r="CM37" s="529">
        <f t="shared" si="176"/>
        <v>0</v>
      </c>
      <c r="CN37" s="529">
        <f t="shared" si="177"/>
        <v>0</v>
      </c>
      <c r="CO37" s="529">
        <f t="shared" si="178"/>
        <v>0</v>
      </c>
      <c r="CP37" s="529">
        <f t="shared" si="31"/>
        <v>0</v>
      </c>
      <c r="CQ37" s="529">
        <f t="shared" si="32"/>
        <v>0</v>
      </c>
      <c r="CR37" s="529">
        <f t="shared" si="33"/>
        <v>0</v>
      </c>
    </row>
    <row r="38" spans="1:96" x14ac:dyDescent="0.2">
      <c r="A38" s="761"/>
      <c r="B38" s="537" t="s">
        <v>618</v>
      </c>
      <c r="C38" s="538"/>
      <c r="D38" s="549"/>
      <c r="E38" s="540">
        <f t="shared" ref="E38:E65" si="189">C38*D38/1000000</f>
        <v>0</v>
      </c>
      <c r="F38" s="541"/>
      <c r="G38" s="539"/>
      <c r="H38" s="540">
        <f t="shared" ref="H38:H65" si="190">F38*G38/1000000</f>
        <v>0</v>
      </c>
      <c r="I38" s="538">
        <v>1952.2</v>
      </c>
      <c r="J38" s="539">
        <v>158</v>
      </c>
      <c r="K38" s="540">
        <f t="shared" ref="K38:K65" si="191">I38*J38/1000000</f>
        <v>0.30844760000000004</v>
      </c>
      <c r="L38" s="538"/>
      <c r="M38" s="539"/>
      <c r="N38" s="540">
        <f t="shared" ref="N38:N65" si="192">L38*M38/1000000</f>
        <v>0</v>
      </c>
      <c r="O38" s="538"/>
      <c r="P38" s="539"/>
      <c r="Q38" s="540">
        <f t="shared" ref="Q38:Q65" si="193">O38*P38/1000000</f>
        <v>0</v>
      </c>
      <c r="R38" s="538">
        <f>3498+2479.8</f>
        <v>5977.8</v>
      </c>
      <c r="S38" s="539">
        <v>195</v>
      </c>
      <c r="T38" s="540">
        <f t="shared" ref="T38:T65" si="194">R38*S38/1000000</f>
        <v>1.1656709999999999</v>
      </c>
      <c r="U38" s="538">
        <v>10870</v>
      </c>
      <c r="V38" s="629"/>
      <c r="W38" s="540">
        <f t="shared" ref="W38:W65" si="195">U38*V38/1000000</f>
        <v>0</v>
      </c>
      <c r="X38" s="538"/>
      <c r="Y38" s="539">
        <f t="shared" si="179"/>
        <v>0</v>
      </c>
      <c r="Z38" s="540">
        <f t="shared" ref="Z38:Z65" si="196">X38*Y38/1000000</f>
        <v>0</v>
      </c>
      <c r="AA38" s="538"/>
      <c r="AB38" s="539">
        <f t="shared" si="180"/>
        <v>0</v>
      </c>
      <c r="AC38" s="540">
        <f t="shared" ref="AC38:AC65" si="197">AA38*AB38/1000000</f>
        <v>0</v>
      </c>
      <c r="AD38" s="538"/>
      <c r="AE38" s="539">
        <f t="shared" si="181"/>
        <v>0</v>
      </c>
      <c r="AF38" s="540">
        <f t="shared" ref="AF38:AF65" si="198">AD38*AE38/1000000</f>
        <v>0</v>
      </c>
      <c r="AG38" s="538"/>
      <c r="AH38" s="539">
        <f t="shared" si="182"/>
        <v>0</v>
      </c>
      <c r="AI38" s="540">
        <f t="shared" ref="AI38:AI65" si="199">AG38*AH38/1000000</f>
        <v>0</v>
      </c>
      <c r="AJ38" s="538"/>
      <c r="AK38" s="539">
        <f t="shared" si="183"/>
        <v>0</v>
      </c>
      <c r="AL38" s="540">
        <f t="shared" ref="AL38:AL65" si="200">AJ38*AK38/1000000</f>
        <v>0</v>
      </c>
      <c r="AM38" s="538"/>
      <c r="AN38" s="539">
        <f t="shared" si="184"/>
        <v>0</v>
      </c>
      <c r="AO38" s="540">
        <f t="shared" ref="AO38:AO65" si="201">AM38*AN38/1000000</f>
        <v>0</v>
      </c>
      <c r="AP38" s="538"/>
      <c r="AQ38" s="539">
        <f t="shared" si="185"/>
        <v>0</v>
      </c>
      <c r="AR38" s="540">
        <f t="shared" ref="AR38:AR65" si="202">AP38*AQ38/1000000</f>
        <v>0</v>
      </c>
      <c r="AS38" s="538"/>
      <c r="AT38" s="539">
        <f t="shared" si="186"/>
        <v>0</v>
      </c>
      <c r="AU38" s="540">
        <f t="shared" ref="AU38:AU40" si="203">AS38*AT38/1000000</f>
        <v>0</v>
      </c>
      <c r="AV38" s="538"/>
      <c r="AW38" s="539">
        <f t="shared" si="187"/>
        <v>0</v>
      </c>
      <c r="AX38" s="540">
        <f t="shared" ref="AX38:AX40" si="204">AV38*AW38/1000000</f>
        <v>0</v>
      </c>
      <c r="AY38" s="538"/>
      <c r="AZ38" s="539">
        <f t="shared" si="188"/>
        <v>0</v>
      </c>
      <c r="BA38" s="540">
        <f t="shared" ref="BA38:BA40" si="205">AY38*AZ38/1000000</f>
        <v>0</v>
      </c>
      <c r="BJ38" s="529">
        <f t="shared" si="151"/>
        <v>0</v>
      </c>
      <c r="BK38" s="529">
        <f t="shared" si="152"/>
        <v>0</v>
      </c>
      <c r="BL38" s="529">
        <f t="shared" si="153"/>
        <v>0.30844760000000004</v>
      </c>
      <c r="BM38" s="529">
        <f t="shared" si="154"/>
        <v>0</v>
      </c>
      <c r="BN38" s="529">
        <f t="shared" si="155"/>
        <v>0</v>
      </c>
      <c r="BO38" s="529">
        <f t="shared" si="156"/>
        <v>1.1656709999999999</v>
      </c>
      <c r="BP38" s="529">
        <f t="shared" si="157"/>
        <v>0</v>
      </c>
      <c r="BQ38" s="529">
        <f t="shared" si="158"/>
        <v>0</v>
      </c>
      <c r="BR38" s="529">
        <f t="shared" si="159"/>
        <v>0</v>
      </c>
      <c r="BS38" s="529">
        <f t="shared" si="160"/>
        <v>0</v>
      </c>
      <c r="BT38" s="529">
        <f t="shared" si="161"/>
        <v>0</v>
      </c>
      <c r="BU38" s="529">
        <f t="shared" si="162"/>
        <v>0</v>
      </c>
      <c r="BV38" s="529">
        <f t="shared" si="163"/>
        <v>0</v>
      </c>
      <c r="BW38" s="529">
        <f t="shared" si="164"/>
        <v>0</v>
      </c>
      <c r="BX38" s="529">
        <f t="shared" si="28"/>
        <v>0</v>
      </c>
      <c r="BY38" s="529">
        <f t="shared" si="29"/>
        <v>0</v>
      </c>
      <c r="BZ38" s="529">
        <f t="shared" si="30"/>
        <v>0</v>
      </c>
      <c r="CB38" s="529">
        <f t="shared" si="165"/>
        <v>0</v>
      </c>
      <c r="CC38" s="529">
        <f t="shared" si="166"/>
        <v>0</v>
      </c>
      <c r="CD38" s="529">
        <f t="shared" si="167"/>
        <v>1952.2</v>
      </c>
      <c r="CE38" s="529">
        <f t="shared" si="168"/>
        <v>0</v>
      </c>
      <c r="CF38" s="529">
        <f t="shared" si="169"/>
        <v>0</v>
      </c>
      <c r="CG38" s="529">
        <f t="shared" si="170"/>
        <v>5977.8</v>
      </c>
      <c r="CH38" s="529">
        <f t="shared" si="171"/>
        <v>10870</v>
      </c>
      <c r="CI38" s="529">
        <f t="shared" si="172"/>
        <v>0</v>
      </c>
      <c r="CJ38" s="529">
        <f t="shared" si="173"/>
        <v>0</v>
      </c>
      <c r="CK38" s="529">
        <f t="shared" si="174"/>
        <v>0</v>
      </c>
      <c r="CL38" s="529">
        <f t="shared" si="175"/>
        <v>0</v>
      </c>
      <c r="CM38" s="529">
        <f t="shared" si="176"/>
        <v>0</v>
      </c>
      <c r="CN38" s="529">
        <f t="shared" si="177"/>
        <v>0</v>
      </c>
      <c r="CO38" s="529">
        <f t="shared" si="178"/>
        <v>0</v>
      </c>
      <c r="CP38" s="529">
        <f t="shared" si="31"/>
        <v>0</v>
      </c>
      <c r="CQ38" s="529">
        <f t="shared" si="32"/>
        <v>0</v>
      </c>
      <c r="CR38" s="529">
        <f t="shared" si="33"/>
        <v>0</v>
      </c>
    </row>
    <row r="39" spans="1:96" x14ac:dyDescent="0.2">
      <c r="A39" s="761"/>
      <c r="B39" s="537" t="s">
        <v>495</v>
      </c>
      <c r="C39" s="538"/>
      <c r="D39" s="549"/>
      <c r="E39" s="540">
        <f t="shared" si="189"/>
        <v>0</v>
      </c>
      <c r="F39" s="541"/>
      <c r="G39" s="539"/>
      <c r="H39" s="540">
        <f t="shared" si="190"/>
        <v>0</v>
      </c>
      <c r="I39" s="538"/>
      <c r="J39" s="539"/>
      <c r="K39" s="540">
        <f t="shared" si="191"/>
        <v>0</v>
      </c>
      <c r="L39" s="538"/>
      <c r="M39" s="539"/>
      <c r="N39" s="540">
        <f t="shared" si="192"/>
        <v>0</v>
      </c>
      <c r="O39" s="538"/>
      <c r="P39" s="539"/>
      <c r="Q39" s="540">
        <f t="shared" si="193"/>
        <v>0</v>
      </c>
      <c r="R39" s="538"/>
      <c r="S39" s="539"/>
      <c r="T39" s="540">
        <f t="shared" si="194"/>
        <v>0</v>
      </c>
      <c r="U39" s="538"/>
      <c r="V39" s="629"/>
      <c r="W39" s="540">
        <f t="shared" si="195"/>
        <v>0</v>
      </c>
      <c r="X39" s="538"/>
      <c r="Y39" s="539">
        <f t="shared" si="179"/>
        <v>0</v>
      </c>
      <c r="Z39" s="540">
        <f t="shared" si="196"/>
        <v>0</v>
      </c>
      <c r="AA39" s="538"/>
      <c r="AB39" s="539">
        <f t="shared" si="180"/>
        <v>0</v>
      </c>
      <c r="AC39" s="540">
        <f t="shared" si="197"/>
        <v>0</v>
      </c>
      <c r="AD39" s="538"/>
      <c r="AE39" s="539">
        <f t="shared" si="181"/>
        <v>0</v>
      </c>
      <c r="AF39" s="540">
        <f t="shared" si="198"/>
        <v>0</v>
      </c>
      <c r="AG39" s="538"/>
      <c r="AH39" s="539">
        <f t="shared" si="182"/>
        <v>0</v>
      </c>
      <c r="AI39" s="540">
        <f t="shared" si="199"/>
        <v>0</v>
      </c>
      <c r="AJ39" s="538"/>
      <c r="AK39" s="539">
        <f t="shared" si="183"/>
        <v>0</v>
      </c>
      <c r="AL39" s="540">
        <f t="shared" si="200"/>
        <v>0</v>
      </c>
      <c r="AM39" s="538"/>
      <c r="AN39" s="539">
        <f t="shared" si="184"/>
        <v>0</v>
      </c>
      <c r="AO39" s="540">
        <f t="shared" si="201"/>
        <v>0</v>
      </c>
      <c r="AP39" s="538"/>
      <c r="AQ39" s="539">
        <f t="shared" si="185"/>
        <v>0</v>
      </c>
      <c r="AR39" s="540">
        <f t="shared" si="202"/>
        <v>0</v>
      </c>
      <c r="AS39" s="538"/>
      <c r="AT39" s="539">
        <f t="shared" si="186"/>
        <v>0</v>
      </c>
      <c r="AU39" s="540">
        <f t="shared" si="203"/>
        <v>0</v>
      </c>
      <c r="AV39" s="538"/>
      <c r="AW39" s="539">
        <f t="shared" si="187"/>
        <v>0</v>
      </c>
      <c r="AX39" s="540">
        <f t="shared" si="204"/>
        <v>0</v>
      </c>
      <c r="AY39" s="538"/>
      <c r="AZ39" s="539">
        <f t="shared" si="188"/>
        <v>0</v>
      </c>
      <c r="BA39" s="540">
        <f t="shared" si="205"/>
        <v>0</v>
      </c>
      <c r="BJ39" s="529">
        <f t="shared" si="151"/>
        <v>0</v>
      </c>
      <c r="BK39" s="529">
        <f t="shared" si="152"/>
        <v>0</v>
      </c>
      <c r="BL39" s="529">
        <f t="shared" si="153"/>
        <v>0</v>
      </c>
      <c r="BM39" s="529">
        <f t="shared" si="154"/>
        <v>0</v>
      </c>
      <c r="BN39" s="529">
        <f t="shared" si="155"/>
        <v>0</v>
      </c>
      <c r="BO39" s="529">
        <f t="shared" si="156"/>
        <v>0</v>
      </c>
      <c r="BP39" s="529">
        <f t="shared" si="157"/>
        <v>0</v>
      </c>
      <c r="BQ39" s="529">
        <f t="shared" si="158"/>
        <v>0</v>
      </c>
      <c r="BR39" s="529">
        <f t="shared" si="159"/>
        <v>0</v>
      </c>
      <c r="BS39" s="529">
        <f t="shared" si="160"/>
        <v>0</v>
      </c>
      <c r="BT39" s="529">
        <f t="shared" si="161"/>
        <v>0</v>
      </c>
      <c r="BU39" s="529">
        <f t="shared" si="162"/>
        <v>0</v>
      </c>
      <c r="BV39" s="529">
        <f t="shared" si="163"/>
        <v>0</v>
      </c>
      <c r="BW39" s="529">
        <f t="shared" si="164"/>
        <v>0</v>
      </c>
      <c r="BX39" s="529">
        <f t="shared" si="28"/>
        <v>0</v>
      </c>
      <c r="BY39" s="529">
        <f t="shared" si="29"/>
        <v>0</v>
      </c>
      <c r="BZ39" s="529">
        <f t="shared" si="30"/>
        <v>0</v>
      </c>
      <c r="CB39" s="529">
        <f t="shared" si="165"/>
        <v>0</v>
      </c>
      <c r="CC39" s="529">
        <f t="shared" si="166"/>
        <v>0</v>
      </c>
      <c r="CD39" s="529">
        <f t="shared" si="167"/>
        <v>0</v>
      </c>
      <c r="CE39" s="529">
        <f t="shared" si="168"/>
        <v>0</v>
      </c>
      <c r="CF39" s="529">
        <f t="shared" si="169"/>
        <v>0</v>
      </c>
      <c r="CG39" s="529">
        <f t="shared" si="170"/>
        <v>0</v>
      </c>
      <c r="CH39" s="529">
        <f t="shared" si="171"/>
        <v>0</v>
      </c>
      <c r="CI39" s="529">
        <f t="shared" si="172"/>
        <v>0</v>
      </c>
      <c r="CJ39" s="529">
        <f t="shared" si="173"/>
        <v>0</v>
      </c>
      <c r="CK39" s="529">
        <f t="shared" si="174"/>
        <v>0</v>
      </c>
      <c r="CL39" s="529">
        <f t="shared" si="175"/>
        <v>0</v>
      </c>
      <c r="CM39" s="529">
        <f t="shared" si="176"/>
        <v>0</v>
      </c>
      <c r="CN39" s="529">
        <f t="shared" si="177"/>
        <v>0</v>
      </c>
      <c r="CO39" s="529">
        <f t="shared" si="178"/>
        <v>0</v>
      </c>
      <c r="CP39" s="529">
        <f t="shared" si="31"/>
        <v>0</v>
      </c>
      <c r="CQ39" s="529">
        <f t="shared" si="32"/>
        <v>0</v>
      </c>
      <c r="CR39" s="529">
        <f t="shared" si="33"/>
        <v>0</v>
      </c>
    </row>
    <row r="40" spans="1:96" x14ac:dyDescent="0.2">
      <c r="A40" s="761"/>
      <c r="B40" s="537" t="s">
        <v>113</v>
      </c>
      <c r="C40" s="538"/>
      <c r="D40" s="549"/>
      <c r="E40" s="540">
        <f t="shared" si="189"/>
        <v>0</v>
      </c>
      <c r="F40" s="541"/>
      <c r="G40" s="539"/>
      <c r="H40" s="540">
        <f t="shared" si="190"/>
        <v>0</v>
      </c>
      <c r="I40" s="538"/>
      <c r="J40" s="539"/>
      <c r="K40" s="540">
        <f t="shared" si="191"/>
        <v>0</v>
      </c>
      <c r="L40" s="538"/>
      <c r="M40" s="539"/>
      <c r="N40" s="540">
        <f t="shared" si="192"/>
        <v>0</v>
      </c>
      <c r="O40" s="538"/>
      <c r="P40" s="539"/>
      <c r="Q40" s="540">
        <f t="shared" si="193"/>
        <v>0</v>
      </c>
      <c r="R40" s="538"/>
      <c r="S40" s="539"/>
      <c r="T40" s="540">
        <f t="shared" si="194"/>
        <v>0</v>
      </c>
      <c r="U40" s="538"/>
      <c r="V40" s="629"/>
      <c r="W40" s="540">
        <f t="shared" si="195"/>
        <v>0</v>
      </c>
      <c r="X40" s="538"/>
      <c r="Y40" s="539">
        <f t="shared" si="179"/>
        <v>0</v>
      </c>
      <c r="Z40" s="540">
        <f t="shared" si="196"/>
        <v>0</v>
      </c>
      <c r="AA40" s="538"/>
      <c r="AB40" s="539">
        <f t="shared" si="180"/>
        <v>0</v>
      </c>
      <c r="AC40" s="540">
        <f t="shared" si="197"/>
        <v>0</v>
      </c>
      <c r="AD40" s="538"/>
      <c r="AE40" s="539">
        <f t="shared" si="181"/>
        <v>0</v>
      </c>
      <c r="AF40" s="540">
        <f t="shared" si="198"/>
        <v>0</v>
      </c>
      <c r="AG40" s="538"/>
      <c r="AH40" s="539">
        <f t="shared" si="182"/>
        <v>0</v>
      </c>
      <c r="AI40" s="540">
        <f t="shared" si="199"/>
        <v>0</v>
      </c>
      <c r="AJ40" s="538"/>
      <c r="AK40" s="539">
        <f t="shared" si="183"/>
        <v>0</v>
      </c>
      <c r="AL40" s="540">
        <f t="shared" si="200"/>
        <v>0</v>
      </c>
      <c r="AM40" s="538"/>
      <c r="AN40" s="539">
        <f t="shared" si="184"/>
        <v>0</v>
      </c>
      <c r="AO40" s="540">
        <f t="shared" si="201"/>
        <v>0</v>
      </c>
      <c r="AP40" s="538"/>
      <c r="AQ40" s="539">
        <f t="shared" si="185"/>
        <v>0</v>
      </c>
      <c r="AR40" s="540">
        <f t="shared" si="202"/>
        <v>0</v>
      </c>
      <c r="AS40" s="538"/>
      <c r="AT40" s="539">
        <f t="shared" si="186"/>
        <v>0</v>
      </c>
      <c r="AU40" s="540">
        <f t="shared" si="203"/>
        <v>0</v>
      </c>
      <c r="AV40" s="538"/>
      <c r="AW40" s="539">
        <f t="shared" si="187"/>
        <v>0</v>
      </c>
      <c r="AX40" s="540">
        <f t="shared" si="204"/>
        <v>0</v>
      </c>
      <c r="AY40" s="538"/>
      <c r="AZ40" s="539">
        <f t="shared" si="188"/>
        <v>0</v>
      </c>
      <c r="BA40" s="540">
        <f t="shared" si="205"/>
        <v>0</v>
      </c>
      <c r="BJ40" s="529">
        <f t="shared" si="151"/>
        <v>0</v>
      </c>
      <c r="BK40" s="529">
        <f t="shared" si="152"/>
        <v>0</v>
      </c>
      <c r="BL40" s="529">
        <f t="shared" si="153"/>
        <v>0</v>
      </c>
      <c r="BM40" s="529">
        <f t="shared" si="154"/>
        <v>0</v>
      </c>
      <c r="BN40" s="529">
        <f t="shared" si="155"/>
        <v>0</v>
      </c>
      <c r="BO40" s="529">
        <f t="shared" si="156"/>
        <v>0</v>
      </c>
      <c r="BP40" s="529">
        <f t="shared" si="157"/>
        <v>0</v>
      </c>
      <c r="BQ40" s="529">
        <f t="shared" si="158"/>
        <v>0</v>
      </c>
      <c r="BR40" s="529">
        <f t="shared" si="159"/>
        <v>0</v>
      </c>
      <c r="BS40" s="529">
        <f t="shared" si="160"/>
        <v>0</v>
      </c>
      <c r="BT40" s="529">
        <f t="shared" si="161"/>
        <v>0</v>
      </c>
      <c r="BU40" s="529">
        <f t="shared" si="162"/>
        <v>0</v>
      </c>
      <c r="BV40" s="529">
        <f t="shared" si="163"/>
        <v>0</v>
      </c>
      <c r="BW40" s="529">
        <f t="shared" si="164"/>
        <v>0</v>
      </c>
      <c r="BX40" s="529">
        <f t="shared" si="28"/>
        <v>0</v>
      </c>
      <c r="BY40" s="529">
        <f t="shared" si="29"/>
        <v>0</v>
      </c>
      <c r="BZ40" s="529">
        <f t="shared" si="30"/>
        <v>0</v>
      </c>
      <c r="CB40" s="529">
        <f t="shared" si="165"/>
        <v>0</v>
      </c>
      <c r="CC40" s="529">
        <f t="shared" si="166"/>
        <v>0</v>
      </c>
      <c r="CD40" s="529">
        <f t="shared" si="167"/>
        <v>0</v>
      </c>
      <c r="CE40" s="529">
        <f t="shared" si="168"/>
        <v>0</v>
      </c>
      <c r="CF40" s="529">
        <f t="shared" si="169"/>
        <v>0</v>
      </c>
      <c r="CG40" s="529">
        <f t="shared" si="170"/>
        <v>0</v>
      </c>
      <c r="CH40" s="529">
        <f t="shared" si="171"/>
        <v>0</v>
      </c>
      <c r="CI40" s="529">
        <f t="shared" si="172"/>
        <v>0</v>
      </c>
      <c r="CJ40" s="529">
        <f t="shared" si="173"/>
        <v>0</v>
      </c>
      <c r="CK40" s="529">
        <f t="shared" si="174"/>
        <v>0</v>
      </c>
      <c r="CL40" s="529">
        <f t="shared" si="175"/>
        <v>0</v>
      </c>
      <c r="CM40" s="529">
        <f t="shared" si="176"/>
        <v>0</v>
      </c>
      <c r="CN40" s="529">
        <f t="shared" si="177"/>
        <v>0</v>
      </c>
      <c r="CO40" s="529">
        <f t="shared" si="178"/>
        <v>0</v>
      </c>
      <c r="CP40" s="529">
        <f t="shared" si="31"/>
        <v>0</v>
      </c>
      <c r="CQ40" s="529">
        <f t="shared" si="32"/>
        <v>0</v>
      </c>
      <c r="CR40" s="529">
        <f t="shared" si="33"/>
        <v>0</v>
      </c>
    </row>
    <row r="41" spans="1:96" ht="13.5" x14ac:dyDescent="0.25">
      <c r="A41" s="761"/>
      <c r="B41" s="537" t="s">
        <v>619</v>
      </c>
      <c r="C41" s="543">
        <f>C37*0.46+C38*0.46+C39*0.24+C40*0.24</f>
        <v>0</v>
      </c>
      <c r="D41" s="548"/>
      <c r="E41" s="545">
        <f>SUM(E37:E40)</f>
        <v>0</v>
      </c>
      <c r="F41" s="543">
        <f>F37*0.46+F38*0.46+F39*0.24+F40*0.24</f>
        <v>0</v>
      </c>
      <c r="G41" s="544"/>
      <c r="H41" s="545">
        <f>SUM(H37:H40)</f>
        <v>0</v>
      </c>
      <c r="I41" s="543">
        <f>I37*0.46+I38*0.46+I39*0.24+I40*0.24</f>
        <v>898.01200000000006</v>
      </c>
      <c r="J41" s="544"/>
      <c r="K41" s="545">
        <f>SUM(K37:K40)</f>
        <v>0.30844760000000004</v>
      </c>
      <c r="L41" s="543">
        <f>L37*0.46+L38*0.46+L39*0.24+L40*0.24</f>
        <v>0</v>
      </c>
      <c r="M41" s="544"/>
      <c r="N41" s="545">
        <f>SUM(N37:N40)</f>
        <v>0</v>
      </c>
      <c r="O41" s="543">
        <f>O37*0.46+O38*0.46+O39*0.24+O40*0.24</f>
        <v>9317.3459999999995</v>
      </c>
      <c r="P41" s="544"/>
      <c r="Q41" s="545">
        <f>SUM(Q37:Q40)</f>
        <v>5.7727035000000004</v>
      </c>
      <c r="R41" s="543">
        <f>R37*0.46+R38*0.46+R39*0.24+R40*0.24</f>
        <v>5043.1180000000004</v>
      </c>
      <c r="S41" s="544"/>
      <c r="T41" s="545">
        <f>SUM(T37:T40)</f>
        <v>2.910596</v>
      </c>
      <c r="U41" s="543">
        <f>U37*0.46+U38*0.46+U39*0.24+U40*0.24</f>
        <v>5000.2</v>
      </c>
      <c r="V41" s="630"/>
      <c r="W41" s="545">
        <f>SUM(W37:W40)</f>
        <v>0</v>
      </c>
      <c r="X41" s="543">
        <f>X37*0.46+X38*0.46+X39*0.24+X40*0.24</f>
        <v>0</v>
      </c>
      <c r="Y41" s="548"/>
      <c r="Z41" s="545">
        <f>SUM(Z37:Z40)</f>
        <v>0</v>
      </c>
      <c r="AA41" s="543">
        <f>AA37*0.46+AA38*0.46+AA39*0.24+AA40*0.24</f>
        <v>0</v>
      </c>
      <c r="AB41" s="548"/>
      <c r="AC41" s="545">
        <f>SUM(AC37:AC40)</f>
        <v>0</v>
      </c>
      <c r="AD41" s="543">
        <f>AD37*0.46+AD38*0.46+AD39*0.24+AD40*0.24</f>
        <v>0</v>
      </c>
      <c r="AE41" s="548"/>
      <c r="AF41" s="545">
        <f>SUM(AF37:AF40)</f>
        <v>0</v>
      </c>
      <c r="AG41" s="543">
        <f>AG37*0.46+AG38*0.46+AG39*0.24+AG40*0.24</f>
        <v>0</v>
      </c>
      <c r="AH41" s="548"/>
      <c r="AI41" s="545">
        <f>SUM(AI37:AI40)</f>
        <v>0</v>
      </c>
      <c r="AJ41" s="543">
        <f>AJ37*0.46+AJ38*0.46+AJ39*0.24+AJ40*0.24</f>
        <v>0</v>
      </c>
      <c r="AK41" s="548"/>
      <c r="AL41" s="545">
        <f>SUM(AL37:AL40)</f>
        <v>0</v>
      </c>
      <c r="AM41" s="543">
        <f>AM37*0.46+AM38*0.46+AM39*0.24+AM40*0.24</f>
        <v>0</v>
      </c>
      <c r="AN41" s="548"/>
      <c r="AO41" s="545">
        <f>SUM(AO37:AO40)</f>
        <v>0</v>
      </c>
      <c r="AP41" s="543">
        <f>AP37*0.46+AP38*0.46+AP39*0.24+AP40*0.24</f>
        <v>0</v>
      </c>
      <c r="AQ41" s="548"/>
      <c r="AR41" s="545">
        <f>SUM(AR37:AR40)</f>
        <v>0</v>
      </c>
      <c r="AS41" s="543">
        <f>AS37*0.46+AS38*0.46+AS39*0.24+AS40*0.24</f>
        <v>0</v>
      </c>
      <c r="AT41" s="548"/>
      <c r="AU41" s="545">
        <f>SUM(AU37:AU40)</f>
        <v>0</v>
      </c>
      <c r="AV41" s="543">
        <f>AV37*0.46+AV38*0.46+AV39*0.24+AV40*0.24</f>
        <v>0</v>
      </c>
      <c r="AW41" s="548"/>
      <c r="AX41" s="545">
        <f>SUM(AX37:AX40)</f>
        <v>0</v>
      </c>
      <c r="AY41" s="543">
        <f>AY37*0.46+AY38*0.46+AY39*0.24+AY40*0.24</f>
        <v>0</v>
      </c>
      <c r="AZ41" s="548"/>
      <c r="BA41" s="545">
        <f>SUM(BA37:BA40)</f>
        <v>0</v>
      </c>
      <c r="BJ41" s="529">
        <f t="shared" si="151"/>
        <v>0</v>
      </c>
      <c r="BK41" s="529">
        <f t="shared" si="152"/>
        <v>0</v>
      </c>
      <c r="BL41" s="529">
        <f t="shared" si="153"/>
        <v>0.30844760000000004</v>
      </c>
      <c r="BM41" s="529">
        <f t="shared" si="154"/>
        <v>0</v>
      </c>
      <c r="BN41" s="529">
        <f t="shared" si="155"/>
        <v>5.7727035000000004</v>
      </c>
      <c r="BO41" s="529">
        <f t="shared" si="156"/>
        <v>2.910596</v>
      </c>
      <c r="BP41" s="529">
        <f t="shared" si="157"/>
        <v>0</v>
      </c>
      <c r="BQ41" s="529">
        <f t="shared" si="158"/>
        <v>0</v>
      </c>
      <c r="BR41" s="529">
        <f t="shared" si="159"/>
        <v>0</v>
      </c>
      <c r="BS41" s="529">
        <f t="shared" si="160"/>
        <v>0</v>
      </c>
      <c r="BT41" s="529">
        <f t="shared" si="161"/>
        <v>0</v>
      </c>
      <c r="BU41" s="529">
        <f t="shared" si="162"/>
        <v>0</v>
      </c>
      <c r="BV41" s="529">
        <f t="shared" si="163"/>
        <v>0</v>
      </c>
      <c r="BW41" s="529">
        <f t="shared" si="164"/>
        <v>0</v>
      </c>
      <c r="BX41" s="529">
        <f t="shared" si="28"/>
        <v>0</v>
      </c>
      <c r="BY41" s="529">
        <f t="shared" si="29"/>
        <v>0</v>
      </c>
      <c r="BZ41" s="529">
        <f t="shared" si="30"/>
        <v>0</v>
      </c>
      <c r="CB41" s="529">
        <f t="shared" si="165"/>
        <v>0</v>
      </c>
      <c r="CC41" s="529">
        <f t="shared" si="166"/>
        <v>0</v>
      </c>
      <c r="CD41" s="529">
        <f t="shared" si="167"/>
        <v>898.01200000000006</v>
      </c>
      <c r="CE41" s="529">
        <f t="shared" si="168"/>
        <v>0</v>
      </c>
      <c r="CF41" s="529">
        <f t="shared" si="169"/>
        <v>9317.3459999999995</v>
      </c>
      <c r="CG41" s="529">
        <f t="shared" si="170"/>
        <v>5043.1180000000004</v>
      </c>
      <c r="CH41" s="529">
        <f t="shared" si="171"/>
        <v>5000.2</v>
      </c>
      <c r="CI41" s="529">
        <f t="shared" si="172"/>
        <v>0</v>
      </c>
      <c r="CJ41" s="529">
        <f t="shared" si="173"/>
        <v>0</v>
      </c>
      <c r="CK41" s="529">
        <f t="shared" si="174"/>
        <v>0</v>
      </c>
      <c r="CL41" s="529">
        <f t="shared" si="175"/>
        <v>0</v>
      </c>
      <c r="CM41" s="529">
        <f t="shared" si="176"/>
        <v>0</v>
      </c>
      <c r="CN41" s="529">
        <f t="shared" si="177"/>
        <v>0</v>
      </c>
      <c r="CO41" s="529">
        <f t="shared" si="178"/>
        <v>0</v>
      </c>
      <c r="CP41" s="529">
        <f t="shared" si="31"/>
        <v>0</v>
      </c>
      <c r="CQ41" s="529">
        <f t="shared" si="32"/>
        <v>0</v>
      </c>
      <c r="CR41" s="529">
        <f t="shared" si="33"/>
        <v>0</v>
      </c>
    </row>
    <row r="42" spans="1:96" x14ac:dyDescent="0.2">
      <c r="A42" s="761" t="s">
        <v>624</v>
      </c>
      <c r="B42" s="537" t="s">
        <v>494</v>
      </c>
      <c r="C42" s="538"/>
      <c r="D42" s="549"/>
      <c r="E42" s="540">
        <f>C42*D42/1000000</f>
        <v>0</v>
      </c>
      <c r="F42" s="541"/>
      <c r="G42" s="539"/>
      <c r="H42" s="540">
        <f>F42*G42/1000000</f>
        <v>0</v>
      </c>
      <c r="I42" s="538"/>
      <c r="J42" s="539"/>
      <c r="K42" s="540">
        <f>I42*J42/1000000</f>
        <v>0</v>
      </c>
      <c r="L42" s="538"/>
      <c r="M42" s="539"/>
      <c r="N42" s="540">
        <f>L42*M42/1000000</f>
        <v>0</v>
      </c>
      <c r="O42" s="538"/>
      <c r="P42" s="539"/>
      <c r="Q42" s="540">
        <f>O42*P42/1000000</f>
        <v>0</v>
      </c>
      <c r="R42" s="538">
        <f>500+500+750</f>
        <v>1750</v>
      </c>
      <c r="S42" s="539">
        <v>423</v>
      </c>
      <c r="T42" s="540">
        <f>R42*S42/1000000</f>
        <v>0.74024999999999996</v>
      </c>
      <c r="U42" s="538">
        <v>2000</v>
      </c>
      <c r="V42" s="632">
        <v>423</v>
      </c>
      <c r="W42" s="540">
        <f>U42*V42/1000000</f>
        <v>0.84599999999999997</v>
      </c>
      <c r="X42" s="538">
        <f>ROUND(+U42*X$1,0)</f>
        <v>2212</v>
      </c>
      <c r="Y42" s="539">
        <f t="shared" ref="Y42:Y45" si="206">ROUND(V42*(1+Y$1),0)</f>
        <v>436</v>
      </c>
      <c r="Z42" s="540">
        <f>X42*Y42/1000000</f>
        <v>0.96443199999999996</v>
      </c>
      <c r="AA42" s="538">
        <f>ROUND(+X42*AA$1,0)</f>
        <v>1875</v>
      </c>
      <c r="AB42" s="539">
        <f t="shared" ref="AB42:AB45" si="207">ROUND(Y42*(1+AB$1),0)</f>
        <v>449</v>
      </c>
      <c r="AC42" s="540">
        <f>AA42*AB42/1000000</f>
        <v>0.84187500000000004</v>
      </c>
      <c r="AD42" s="538">
        <f>ROUND(+AA42*AD$1,0)</f>
        <v>1506</v>
      </c>
      <c r="AE42" s="539">
        <f t="shared" ref="AE42:AE45" si="208">ROUND(AB42*(1+AE$1),0)</f>
        <v>462</v>
      </c>
      <c r="AF42" s="540">
        <f>AD42*AE42/1000000</f>
        <v>0.69577199999999995</v>
      </c>
      <c r="AG42" s="538">
        <f>ROUND(+AD42*AG$1,0)</f>
        <v>1506</v>
      </c>
      <c r="AH42" s="539">
        <f t="shared" ref="AH42:AH45" si="209">ROUND(AE42*(1+AH$1),0)</f>
        <v>476</v>
      </c>
      <c r="AI42" s="540">
        <f>AG42*AH42/1000000</f>
        <v>0.71685600000000005</v>
      </c>
      <c r="AJ42" s="538">
        <f>ROUND(+AG42*AJ$1,0)</f>
        <v>1506</v>
      </c>
      <c r="AK42" s="539">
        <f t="shared" ref="AK42:AK45" si="210">ROUND(AH42*(1+AK$1),0)</f>
        <v>490</v>
      </c>
      <c r="AL42" s="540">
        <f>AJ42*AK42/1000000</f>
        <v>0.73794000000000004</v>
      </c>
      <c r="AM42" s="538">
        <f>ROUND(+AJ42*AM$1,0)</f>
        <v>1506</v>
      </c>
      <c r="AN42" s="539">
        <f t="shared" ref="AN42:AN45" si="211">ROUND(AK42*(1+AN$1),0)</f>
        <v>505</v>
      </c>
      <c r="AO42" s="540">
        <f>AM42*AN42/1000000</f>
        <v>0.76053000000000004</v>
      </c>
      <c r="AP42" s="538">
        <f>ROUND(+AM42*AP$1,0)</f>
        <v>1506</v>
      </c>
      <c r="AQ42" s="539">
        <f t="shared" ref="AQ42:AQ45" si="212">ROUND(AN42*(1+AQ$1),0)</f>
        <v>520</v>
      </c>
      <c r="AR42" s="540">
        <f>AP42*AQ42/1000000</f>
        <v>0.78312000000000004</v>
      </c>
      <c r="AS42" s="538">
        <f>ROUND(+AP42*AS$1,0)</f>
        <v>1506</v>
      </c>
      <c r="AT42" s="539">
        <f t="shared" ref="AT42:AT45" si="213">ROUND(AQ42*(1+AT$1),0)</f>
        <v>536</v>
      </c>
      <c r="AU42" s="540">
        <f>AS42*AT42/1000000</f>
        <v>0.80721600000000004</v>
      </c>
      <c r="AV42" s="538">
        <f>ROUND(+AS42*AV$1,0)</f>
        <v>1506</v>
      </c>
      <c r="AW42" s="539">
        <f t="shared" ref="AW42:AW45" si="214">ROUND(AT42*(1+AW$1),0)</f>
        <v>552</v>
      </c>
      <c r="AX42" s="540">
        <f>AV42*AW42/1000000</f>
        <v>0.83131200000000005</v>
      </c>
      <c r="AY42" s="538">
        <f>ROUND(+AV42*AY$1,0)</f>
        <v>1506</v>
      </c>
      <c r="AZ42" s="539">
        <f t="shared" ref="AZ42:AZ45" si="215">ROUND(AW42*(1+AZ$1),0)</f>
        <v>569</v>
      </c>
      <c r="BA42" s="540">
        <f>AY42*AZ42/1000000</f>
        <v>0.85691399999999995</v>
      </c>
      <c r="BJ42" s="529">
        <f t="shared" si="151"/>
        <v>0</v>
      </c>
      <c r="BK42" s="529">
        <f t="shared" si="152"/>
        <v>0</v>
      </c>
      <c r="BL42" s="529">
        <f t="shared" si="153"/>
        <v>0</v>
      </c>
      <c r="BM42" s="529">
        <f t="shared" si="154"/>
        <v>0</v>
      </c>
      <c r="BN42" s="529">
        <f t="shared" si="155"/>
        <v>0</v>
      </c>
      <c r="BO42" s="529">
        <f t="shared" si="156"/>
        <v>0.74024999999999996</v>
      </c>
      <c r="BP42" s="529">
        <f t="shared" si="157"/>
        <v>0.84599999999999997</v>
      </c>
      <c r="BQ42" s="529">
        <f t="shared" si="158"/>
        <v>0.96443199999999996</v>
      </c>
      <c r="BR42" s="529">
        <f t="shared" si="159"/>
        <v>0.84187500000000004</v>
      </c>
      <c r="BS42" s="529">
        <f t="shared" si="160"/>
        <v>0.69577199999999995</v>
      </c>
      <c r="BT42" s="529">
        <f t="shared" si="161"/>
        <v>0.71685600000000005</v>
      </c>
      <c r="BU42" s="529">
        <f t="shared" si="162"/>
        <v>0.73794000000000004</v>
      </c>
      <c r="BV42" s="529">
        <f t="shared" si="163"/>
        <v>0.76053000000000004</v>
      </c>
      <c r="BW42" s="529">
        <f t="shared" si="164"/>
        <v>0.78312000000000004</v>
      </c>
      <c r="BX42" s="529">
        <f t="shared" si="28"/>
        <v>0.80721600000000004</v>
      </c>
      <c r="BY42" s="529">
        <f t="shared" si="29"/>
        <v>0.83131200000000005</v>
      </c>
      <c r="BZ42" s="529">
        <f t="shared" si="30"/>
        <v>0.85691399999999995</v>
      </c>
      <c r="CB42" s="529">
        <f t="shared" si="165"/>
        <v>0</v>
      </c>
      <c r="CC42" s="529">
        <f t="shared" si="166"/>
        <v>0</v>
      </c>
      <c r="CD42" s="529">
        <f t="shared" si="167"/>
        <v>0</v>
      </c>
      <c r="CE42" s="529">
        <f t="shared" si="168"/>
        <v>0</v>
      </c>
      <c r="CF42" s="529">
        <f t="shared" si="169"/>
        <v>0</v>
      </c>
      <c r="CG42" s="529">
        <f t="shared" si="170"/>
        <v>1750</v>
      </c>
      <c r="CH42" s="529">
        <f t="shared" si="171"/>
        <v>2000</v>
      </c>
      <c r="CI42" s="529">
        <f t="shared" si="172"/>
        <v>2212</v>
      </c>
      <c r="CJ42" s="529">
        <f t="shared" si="173"/>
        <v>1875</v>
      </c>
      <c r="CK42" s="529">
        <f t="shared" si="174"/>
        <v>1506</v>
      </c>
      <c r="CL42" s="529">
        <f t="shared" si="175"/>
        <v>1506</v>
      </c>
      <c r="CM42" s="529">
        <f t="shared" si="176"/>
        <v>1506</v>
      </c>
      <c r="CN42" s="529">
        <f t="shared" si="177"/>
        <v>1506</v>
      </c>
      <c r="CO42" s="529">
        <f t="shared" si="178"/>
        <v>1506</v>
      </c>
      <c r="CP42" s="529">
        <f t="shared" si="31"/>
        <v>1506</v>
      </c>
      <c r="CQ42" s="529">
        <f t="shared" si="32"/>
        <v>1506</v>
      </c>
      <c r="CR42" s="529">
        <f t="shared" si="33"/>
        <v>1506</v>
      </c>
    </row>
    <row r="43" spans="1:96" x14ac:dyDescent="0.2">
      <c r="A43" s="761"/>
      <c r="B43" s="537" t="s">
        <v>618</v>
      </c>
      <c r="C43" s="538"/>
      <c r="D43" s="549"/>
      <c r="E43" s="540">
        <f t="shared" si="189"/>
        <v>0</v>
      </c>
      <c r="F43" s="541"/>
      <c r="G43" s="539"/>
      <c r="H43" s="540">
        <f t="shared" si="190"/>
        <v>0</v>
      </c>
      <c r="I43" s="538"/>
      <c r="J43" s="539"/>
      <c r="K43" s="540">
        <f t="shared" si="191"/>
        <v>0</v>
      </c>
      <c r="L43" s="538"/>
      <c r="M43" s="539"/>
      <c r="N43" s="540">
        <f t="shared" si="192"/>
        <v>0</v>
      </c>
      <c r="O43" s="538"/>
      <c r="P43" s="539"/>
      <c r="Q43" s="540">
        <f t="shared" si="193"/>
        <v>0</v>
      </c>
      <c r="R43" s="538"/>
      <c r="S43" s="539"/>
      <c r="T43" s="540">
        <f t="shared" si="194"/>
        <v>0</v>
      </c>
      <c r="U43" s="538"/>
      <c r="V43" s="629"/>
      <c r="W43" s="540">
        <f t="shared" si="195"/>
        <v>0</v>
      </c>
      <c r="X43" s="538"/>
      <c r="Y43" s="539">
        <f t="shared" si="206"/>
        <v>0</v>
      </c>
      <c r="Z43" s="540">
        <f t="shared" si="196"/>
        <v>0</v>
      </c>
      <c r="AA43" s="538"/>
      <c r="AB43" s="539">
        <f t="shared" si="207"/>
        <v>0</v>
      </c>
      <c r="AC43" s="540">
        <f t="shared" si="197"/>
        <v>0</v>
      </c>
      <c r="AD43" s="538"/>
      <c r="AE43" s="539">
        <f t="shared" si="208"/>
        <v>0</v>
      </c>
      <c r="AF43" s="540">
        <f t="shared" si="198"/>
        <v>0</v>
      </c>
      <c r="AG43" s="538"/>
      <c r="AH43" s="539">
        <f t="shared" si="209"/>
        <v>0</v>
      </c>
      <c r="AI43" s="540">
        <f t="shared" si="199"/>
        <v>0</v>
      </c>
      <c r="AJ43" s="538"/>
      <c r="AK43" s="539">
        <f t="shared" si="210"/>
        <v>0</v>
      </c>
      <c r="AL43" s="540">
        <f t="shared" si="200"/>
        <v>0</v>
      </c>
      <c r="AM43" s="538"/>
      <c r="AN43" s="539">
        <f t="shared" si="211"/>
        <v>0</v>
      </c>
      <c r="AO43" s="540">
        <f t="shared" si="201"/>
        <v>0</v>
      </c>
      <c r="AP43" s="538"/>
      <c r="AQ43" s="539">
        <f t="shared" si="212"/>
        <v>0</v>
      </c>
      <c r="AR43" s="540">
        <f t="shared" si="202"/>
        <v>0</v>
      </c>
      <c r="AS43" s="538"/>
      <c r="AT43" s="539">
        <f t="shared" si="213"/>
        <v>0</v>
      </c>
      <c r="AU43" s="540">
        <f t="shared" ref="AU43:AU45" si="216">AS43*AT43/1000000</f>
        <v>0</v>
      </c>
      <c r="AV43" s="538"/>
      <c r="AW43" s="539">
        <f t="shared" si="214"/>
        <v>0</v>
      </c>
      <c r="AX43" s="540">
        <f t="shared" ref="AX43:AX45" si="217">AV43*AW43/1000000</f>
        <v>0</v>
      </c>
      <c r="AY43" s="538"/>
      <c r="AZ43" s="539">
        <f t="shared" si="215"/>
        <v>0</v>
      </c>
      <c r="BA43" s="540">
        <f t="shared" ref="BA43:BA45" si="218">AY43*AZ43/1000000</f>
        <v>0</v>
      </c>
      <c r="BJ43" s="529">
        <f t="shared" si="151"/>
        <v>0</v>
      </c>
      <c r="BK43" s="529">
        <f t="shared" si="152"/>
        <v>0</v>
      </c>
      <c r="BL43" s="529">
        <f t="shared" si="153"/>
        <v>0</v>
      </c>
      <c r="BM43" s="529">
        <f t="shared" si="154"/>
        <v>0</v>
      </c>
      <c r="BN43" s="529">
        <f t="shared" si="155"/>
        <v>0</v>
      </c>
      <c r="BO43" s="529">
        <f t="shared" si="156"/>
        <v>0</v>
      </c>
      <c r="BP43" s="529">
        <f t="shared" si="157"/>
        <v>0</v>
      </c>
      <c r="BQ43" s="529">
        <f t="shared" si="158"/>
        <v>0</v>
      </c>
      <c r="BR43" s="529">
        <f t="shared" si="159"/>
        <v>0</v>
      </c>
      <c r="BS43" s="529">
        <f t="shared" si="160"/>
        <v>0</v>
      </c>
      <c r="BT43" s="529">
        <f t="shared" si="161"/>
        <v>0</v>
      </c>
      <c r="BU43" s="529">
        <f t="shared" si="162"/>
        <v>0</v>
      </c>
      <c r="BV43" s="529">
        <f t="shared" si="163"/>
        <v>0</v>
      </c>
      <c r="BW43" s="529">
        <f t="shared" si="164"/>
        <v>0</v>
      </c>
      <c r="BX43" s="529">
        <f t="shared" si="28"/>
        <v>0</v>
      </c>
      <c r="BY43" s="529">
        <f t="shared" si="29"/>
        <v>0</v>
      </c>
      <c r="BZ43" s="529">
        <f t="shared" si="30"/>
        <v>0</v>
      </c>
      <c r="CB43" s="529">
        <f t="shared" si="165"/>
        <v>0</v>
      </c>
      <c r="CC43" s="529">
        <f t="shared" si="166"/>
        <v>0</v>
      </c>
      <c r="CD43" s="529">
        <f t="shared" si="167"/>
        <v>0</v>
      </c>
      <c r="CE43" s="529">
        <f t="shared" si="168"/>
        <v>0</v>
      </c>
      <c r="CF43" s="529">
        <f t="shared" si="169"/>
        <v>0</v>
      </c>
      <c r="CG43" s="529">
        <f t="shared" si="170"/>
        <v>0</v>
      </c>
      <c r="CH43" s="529">
        <f t="shared" si="171"/>
        <v>0</v>
      </c>
      <c r="CI43" s="529">
        <f t="shared" si="172"/>
        <v>0</v>
      </c>
      <c r="CJ43" s="529">
        <f t="shared" si="173"/>
        <v>0</v>
      </c>
      <c r="CK43" s="529">
        <f t="shared" si="174"/>
        <v>0</v>
      </c>
      <c r="CL43" s="529">
        <f t="shared" si="175"/>
        <v>0</v>
      </c>
      <c r="CM43" s="529">
        <f t="shared" si="176"/>
        <v>0</v>
      </c>
      <c r="CN43" s="529">
        <f t="shared" si="177"/>
        <v>0</v>
      </c>
      <c r="CO43" s="529">
        <f t="shared" si="178"/>
        <v>0</v>
      </c>
      <c r="CP43" s="529">
        <f t="shared" si="31"/>
        <v>0</v>
      </c>
      <c r="CQ43" s="529">
        <f t="shared" si="32"/>
        <v>0</v>
      </c>
      <c r="CR43" s="529">
        <f t="shared" si="33"/>
        <v>0</v>
      </c>
    </row>
    <row r="44" spans="1:96" x14ac:dyDescent="0.2">
      <c r="A44" s="761"/>
      <c r="B44" s="537" t="s">
        <v>495</v>
      </c>
      <c r="C44" s="538"/>
      <c r="D44" s="549"/>
      <c r="E44" s="540">
        <f t="shared" si="189"/>
        <v>0</v>
      </c>
      <c r="F44" s="538">
        <v>829.4</v>
      </c>
      <c r="G44" s="539">
        <v>135</v>
      </c>
      <c r="H44" s="540">
        <f t="shared" si="190"/>
        <v>0.111969</v>
      </c>
      <c r="I44" s="538">
        <v>2966.9</v>
      </c>
      <c r="J44" s="539">
        <v>433</v>
      </c>
      <c r="K44" s="540">
        <f t="shared" si="191"/>
        <v>1.2846677</v>
      </c>
      <c r="L44" s="538"/>
      <c r="M44" s="539"/>
      <c r="N44" s="540">
        <f t="shared" si="192"/>
        <v>0</v>
      </c>
      <c r="O44" s="538"/>
      <c r="P44" s="539"/>
      <c r="Q44" s="540">
        <f t="shared" si="193"/>
        <v>0</v>
      </c>
      <c r="R44" s="538">
        <f>1062.5+1000+500+625+1437.5</f>
        <v>4625</v>
      </c>
      <c r="S44" s="539">
        <v>209</v>
      </c>
      <c r="T44" s="540">
        <f t="shared" si="194"/>
        <v>0.96662499999999996</v>
      </c>
      <c r="U44" s="538">
        <v>5000</v>
      </c>
      <c r="V44" s="629">
        <v>235</v>
      </c>
      <c r="W44" s="540">
        <f t="shared" si="195"/>
        <v>1.175</v>
      </c>
      <c r="X44" s="538">
        <f>ROUND(+U44*X$1,0)</f>
        <v>5530</v>
      </c>
      <c r="Y44" s="539">
        <f t="shared" si="206"/>
        <v>242</v>
      </c>
      <c r="Z44" s="540">
        <f t="shared" si="196"/>
        <v>1.33826</v>
      </c>
      <c r="AA44" s="538">
        <f>ROUND(+X44*AA$1,0)</f>
        <v>4688</v>
      </c>
      <c r="AB44" s="539">
        <f t="shared" si="207"/>
        <v>249</v>
      </c>
      <c r="AC44" s="540">
        <f t="shared" si="197"/>
        <v>1.1673119999999999</v>
      </c>
      <c r="AD44" s="538">
        <f>ROUND(+AA44*AD$1,0)</f>
        <v>3766</v>
      </c>
      <c r="AE44" s="539">
        <f t="shared" si="208"/>
        <v>256</v>
      </c>
      <c r="AF44" s="540">
        <f t="shared" si="198"/>
        <v>0.96409599999999995</v>
      </c>
      <c r="AG44" s="538">
        <f>ROUND(+AD44*AG$1,0)</f>
        <v>3766</v>
      </c>
      <c r="AH44" s="539">
        <f t="shared" si="209"/>
        <v>264</v>
      </c>
      <c r="AI44" s="540">
        <f t="shared" si="199"/>
        <v>0.994224</v>
      </c>
      <c r="AJ44" s="538">
        <f>ROUND(+AG44*AJ$1,0)</f>
        <v>3766</v>
      </c>
      <c r="AK44" s="539">
        <f t="shared" si="210"/>
        <v>272</v>
      </c>
      <c r="AL44" s="540">
        <f t="shared" si="200"/>
        <v>1.0243519999999999</v>
      </c>
      <c r="AM44" s="538">
        <f>ROUND(+AJ44*AM$1,0)</f>
        <v>3766</v>
      </c>
      <c r="AN44" s="539">
        <f t="shared" si="211"/>
        <v>280</v>
      </c>
      <c r="AO44" s="540">
        <f t="shared" si="201"/>
        <v>1.0544800000000001</v>
      </c>
      <c r="AP44" s="538">
        <f>ROUND(+AM44*AP$1,0)</f>
        <v>3766</v>
      </c>
      <c r="AQ44" s="539">
        <f t="shared" si="212"/>
        <v>288</v>
      </c>
      <c r="AR44" s="540">
        <f t="shared" si="202"/>
        <v>1.084608</v>
      </c>
      <c r="AS44" s="538">
        <f>ROUND(+AP44*AS$1,0)</f>
        <v>3766</v>
      </c>
      <c r="AT44" s="539">
        <f t="shared" si="213"/>
        <v>297</v>
      </c>
      <c r="AU44" s="540">
        <f t="shared" si="216"/>
        <v>1.1185020000000001</v>
      </c>
      <c r="AV44" s="538">
        <f>ROUND(+AS44*AV$1,0)</f>
        <v>3766</v>
      </c>
      <c r="AW44" s="539">
        <f t="shared" si="214"/>
        <v>306</v>
      </c>
      <c r="AX44" s="540">
        <f t="shared" si="217"/>
        <v>1.152396</v>
      </c>
      <c r="AY44" s="538">
        <f>ROUND(+AV44*AY$1,0)</f>
        <v>3766</v>
      </c>
      <c r="AZ44" s="539">
        <f t="shared" si="215"/>
        <v>315</v>
      </c>
      <c r="BA44" s="540">
        <f t="shared" si="218"/>
        <v>1.1862900000000001</v>
      </c>
      <c r="BJ44" s="529">
        <f t="shared" si="151"/>
        <v>0</v>
      </c>
      <c r="BK44" s="529">
        <f t="shared" si="152"/>
        <v>0.111969</v>
      </c>
      <c r="BL44" s="529">
        <f t="shared" si="153"/>
        <v>1.2846677</v>
      </c>
      <c r="BM44" s="529">
        <f t="shared" si="154"/>
        <v>0</v>
      </c>
      <c r="BN44" s="529">
        <f t="shared" si="155"/>
        <v>0</v>
      </c>
      <c r="BO44" s="529">
        <f t="shared" si="156"/>
        <v>0.96662499999999996</v>
      </c>
      <c r="BP44" s="529">
        <f t="shared" si="157"/>
        <v>1.175</v>
      </c>
      <c r="BQ44" s="529">
        <f t="shared" si="158"/>
        <v>1.33826</v>
      </c>
      <c r="BR44" s="529">
        <f t="shared" si="159"/>
        <v>1.1673119999999999</v>
      </c>
      <c r="BS44" s="529">
        <f t="shared" si="160"/>
        <v>0.96409599999999995</v>
      </c>
      <c r="BT44" s="529">
        <f t="shared" si="161"/>
        <v>0.994224</v>
      </c>
      <c r="BU44" s="529">
        <f t="shared" si="162"/>
        <v>1.0243519999999999</v>
      </c>
      <c r="BV44" s="529">
        <f t="shared" si="163"/>
        <v>1.0544800000000001</v>
      </c>
      <c r="BW44" s="529">
        <f t="shared" si="164"/>
        <v>1.084608</v>
      </c>
      <c r="BX44" s="529">
        <f t="shared" si="28"/>
        <v>1.1185020000000001</v>
      </c>
      <c r="BY44" s="529">
        <f t="shared" si="29"/>
        <v>1.152396</v>
      </c>
      <c r="BZ44" s="529">
        <f t="shared" si="30"/>
        <v>1.1862900000000001</v>
      </c>
      <c r="CB44" s="529">
        <f t="shared" si="165"/>
        <v>0</v>
      </c>
      <c r="CC44" s="529">
        <f t="shared" si="166"/>
        <v>829.4</v>
      </c>
      <c r="CD44" s="529">
        <f t="shared" si="167"/>
        <v>2966.9</v>
      </c>
      <c r="CE44" s="529">
        <f t="shared" si="168"/>
        <v>0</v>
      </c>
      <c r="CF44" s="529">
        <f t="shared" si="169"/>
        <v>0</v>
      </c>
      <c r="CG44" s="529">
        <f t="shared" si="170"/>
        <v>4625</v>
      </c>
      <c r="CH44" s="529">
        <f t="shared" si="171"/>
        <v>5000</v>
      </c>
      <c r="CI44" s="529">
        <f t="shared" si="172"/>
        <v>5530</v>
      </c>
      <c r="CJ44" s="529">
        <f t="shared" si="173"/>
        <v>4688</v>
      </c>
      <c r="CK44" s="529">
        <f t="shared" si="174"/>
        <v>3766</v>
      </c>
      <c r="CL44" s="529">
        <f t="shared" si="175"/>
        <v>3766</v>
      </c>
      <c r="CM44" s="529">
        <f t="shared" si="176"/>
        <v>3766</v>
      </c>
      <c r="CN44" s="529">
        <f t="shared" si="177"/>
        <v>3766</v>
      </c>
      <c r="CO44" s="529">
        <f t="shared" si="178"/>
        <v>3766</v>
      </c>
      <c r="CP44" s="529">
        <f t="shared" si="31"/>
        <v>3766</v>
      </c>
      <c r="CQ44" s="529">
        <f t="shared" si="32"/>
        <v>3766</v>
      </c>
      <c r="CR44" s="529">
        <f t="shared" si="33"/>
        <v>3766</v>
      </c>
    </row>
    <row r="45" spans="1:96" x14ac:dyDescent="0.2">
      <c r="A45" s="761"/>
      <c r="B45" s="537" t="s">
        <v>113</v>
      </c>
      <c r="C45" s="538"/>
      <c r="D45" s="549"/>
      <c r="E45" s="540">
        <f t="shared" si="189"/>
        <v>0</v>
      </c>
      <c r="F45" s="541"/>
      <c r="G45" s="539"/>
      <c r="H45" s="540">
        <f t="shared" si="190"/>
        <v>0</v>
      </c>
      <c r="I45" s="538"/>
      <c r="J45" s="539"/>
      <c r="K45" s="540">
        <f t="shared" si="191"/>
        <v>0</v>
      </c>
      <c r="L45" s="538"/>
      <c r="M45" s="539"/>
      <c r="N45" s="540">
        <f t="shared" si="192"/>
        <v>0</v>
      </c>
      <c r="O45" s="538"/>
      <c r="P45" s="539"/>
      <c r="Q45" s="540">
        <f t="shared" si="193"/>
        <v>0</v>
      </c>
      <c r="R45" s="538"/>
      <c r="S45" s="539"/>
      <c r="T45" s="540">
        <f t="shared" si="194"/>
        <v>0</v>
      </c>
      <c r="U45" s="538"/>
      <c r="V45" s="629"/>
      <c r="W45" s="540">
        <f t="shared" si="195"/>
        <v>0</v>
      </c>
      <c r="X45" s="538"/>
      <c r="Y45" s="539">
        <f t="shared" si="206"/>
        <v>0</v>
      </c>
      <c r="Z45" s="540">
        <f t="shared" si="196"/>
        <v>0</v>
      </c>
      <c r="AA45" s="538"/>
      <c r="AB45" s="539">
        <f t="shared" si="207"/>
        <v>0</v>
      </c>
      <c r="AC45" s="540">
        <f t="shared" si="197"/>
        <v>0</v>
      </c>
      <c r="AD45" s="538"/>
      <c r="AE45" s="539">
        <f t="shared" si="208"/>
        <v>0</v>
      </c>
      <c r="AF45" s="540">
        <f t="shared" si="198"/>
        <v>0</v>
      </c>
      <c r="AG45" s="538"/>
      <c r="AH45" s="539">
        <f t="shared" si="209"/>
        <v>0</v>
      </c>
      <c r="AI45" s="540">
        <f t="shared" si="199"/>
        <v>0</v>
      </c>
      <c r="AJ45" s="538"/>
      <c r="AK45" s="539">
        <f t="shared" si="210"/>
        <v>0</v>
      </c>
      <c r="AL45" s="540">
        <f t="shared" si="200"/>
        <v>0</v>
      </c>
      <c r="AM45" s="538"/>
      <c r="AN45" s="539">
        <f t="shared" si="211"/>
        <v>0</v>
      </c>
      <c r="AO45" s="540">
        <f t="shared" si="201"/>
        <v>0</v>
      </c>
      <c r="AP45" s="538"/>
      <c r="AQ45" s="539">
        <f t="shared" si="212"/>
        <v>0</v>
      </c>
      <c r="AR45" s="540">
        <f t="shared" si="202"/>
        <v>0</v>
      </c>
      <c r="AS45" s="538"/>
      <c r="AT45" s="539">
        <f t="shared" si="213"/>
        <v>0</v>
      </c>
      <c r="AU45" s="540">
        <f t="shared" si="216"/>
        <v>0</v>
      </c>
      <c r="AV45" s="538"/>
      <c r="AW45" s="539">
        <f t="shared" si="214"/>
        <v>0</v>
      </c>
      <c r="AX45" s="540">
        <f t="shared" si="217"/>
        <v>0</v>
      </c>
      <c r="AY45" s="538"/>
      <c r="AZ45" s="539">
        <f t="shared" si="215"/>
        <v>0</v>
      </c>
      <c r="BA45" s="540">
        <f t="shared" si="218"/>
        <v>0</v>
      </c>
      <c r="BJ45" s="529">
        <f t="shared" si="151"/>
        <v>0</v>
      </c>
      <c r="BK45" s="529">
        <f t="shared" si="152"/>
        <v>0</v>
      </c>
      <c r="BL45" s="529">
        <f t="shared" si="153"/>
        <v>0</v>
      </c>
      <c r="BM45" s="529">
        <f t="shared" si="154"/>
        <v>0</v>
      </c>
      <c r="BN45" s="529">
        <f t="shared" si="155"/>
        <v>0</v>
      </c>
      <c r="BO45" s="529">
        <f t="shared" si="156"/>
        <v>0</v>
      </c>
      <c r="BP45" s="529">
        <f t="shared" si="157"/>
        <v>0</v>
      </c>
      <c r="BQ45" s="529">
        <f t="shared" si="158"/>
        <v>0</v>
      </c>
      <c r="BR45" s="529">
        <f t="shared" si="159"/>
        <v>0</v>
      </c>
      <c r="BS45" s="529">
        <f t="shared" si="160"/>
        <v>0</v>
      </c>
      <c r="BT45" s="529">
        <f t="shared" si="161"/>
        <v>0</v>
      </c>
      <c r="BU45" s="529">
        <f t="shared" si="162"/>
        <v>0</v>
      </c>
      <c r="BV45" s="529">
        <f t="shared" si="163"/>
        <v>0</v>
      </c>
      <c r="BW45" s="529">
        <f t="shared" si="164"/>
        <v>0</v>
      </c>
      <c r="BX45" s="529">
        <f t="shared" si="28"/>
        <v>0</v>
      </c>
      <c r="BY45" s="529">
        <f t="shared" si="29"/>
        <v>0</v>
      </c>
      <c r="BZ45" s="529">
        <f t="shared" si="30"/>
        <v>0</v>
      </c>
      <c r="CB45" s="529">
        <f t="shared" si="165"/>
        <v>0</v>
      </c>
      <c r="CC45" s="529">
        <f t="shared" si="166"/>
        <v>0</v>
      </c>
      <c r="CD45" s="529">
        <f t="shared" si="167"/>
        <v>0</v>
      </c>
      <c r="CE45" s="529">
        <f t="shared" si="168"/>
        <v>0</v>
      </c>
      <c r="CF45" s="529">
        <f t="shared" si="169"/>
        <v>0</v>
      </c>
      <c r="CG45" s="529">
        <f t="shared" si="170"/>
        <v>0</v>
      </c>
      <c r="CH45" s="529">
        <f t="shared" si="171"/>
        <v>0</v>
      </c>
      <c r="CI45" s="529">
        <f t="shared" si="172"/>
        <v>0</v>
      </c>
      <c r="CJ45" s="529">
        <f t="shared" si="173"/>
        <v>0</v>
      </c>
      <c r="CK45" s="529">
        <f t="shared" si="174"/>
        <v>0</v>
      </c>
      <c r="CL45" s="529">
        <f t="shared" si="175"/>
        <v>0</v>
      </c>
      <c r="CM45" s="529">
        <f t="shared" si="176"/>
        <v>0</v>
      </c>
      <c r="CN45" s="529">
        <f t="shared" si="177"/>
        <v>0</v>
      </c>
      <c r="CO45" s="529">
        <f t="shared" si="178"/>
        <v>0</v>
      </c>
      <c r="CP45" s="529">
        <f t="shared" si="31"/>
        <v>0</v>
      </c>
      <c r="CQ45" s="529">
        <f t="shared" si="32"/>
        <v>0</v>
      </c>
      <c r="CR45" s="529">
        <f t="shared" si="33"/>
        <v>0</v>
      </c>
    </row>
    <row r="46" spans="1:96" ht="13.5" x14ac:dyDescent="0.25">
      <c r="A46" s="761"/>
      <c r="B46" s="537" t="s">
        <v>619</v>
      </c>
      <c r="C46" s="543">
        <f>C42*0.46+C43*0.46+C44*0.24+C45*0.24</f>
        <v>0</v>
      </c>
      <c r="D46" s="548"/>
      <c r="E46" s="545">
        <f>SUM(E42:E45)</f>
        <v>0</v>
      </c>
      <c r="F46" s="543">
        <f>F42*0.46+F43*0.46+F44*0.24+F45*0.24</f>
        <v>199.05599999999998</v>
      </c>
      <c r="G46" s="544"/>
      <c r="H46" s="545">
        <f>SUM(H42:H45)</f>
        <v>0.111969</v>
      </c>
      <c r="I46" s="543">
        <f>I42*0.46+I43*0.46+I44*0.24+I45*0.24</f>
        <v>712.05600000000004</v>
      </c>
      <c r="J46" s="544"/>
      <c r="K46" s="545">
        <f>SUM(K42:K45)</f>
        <v>1.2846677</v>
      </c>
      <c r="L46" s="543">
        <f>L42*0.46+L43*0.46+L44*0.24+L45*0.24</f>
        <v>0</v>
      </c>
      <c r="M46" s="544"/>
      <c r="N46" s="545">
        <f>SUM(N42:N45)</f>
        <v>0</v>
      </c>
      <c r="O46" s="543">
        <f>O42*0.46+O43*0.46+O44*0.24+O45*0.24</f>
        <v>0</v>
      </c>
      <c r="P46" s="544"/>
      <c r="Q46" s="545">
        <f>SUM(Q42:Q45)</f>
        <v>0</v>
      </c>
      <c r="R46" s="543">
        <f>R42*0.46+R43*0.46+R44*0.24+R45*0.24</f>
        <v>1915</v>
      </c>
      <c r="S46" s="544"/>
      <c r="T46" s="545">
        <f>SUM(T42:T45)</f>
        <v>1.7068749999999999</v>
      </c>
      <c r="U46" s="543">
        <f>U42*0.46+U43*0.46+U44*0.24+U45*0.24</f>
        <v>2120</v>
      </c>
      <c r="V46" s="630"/>
      <c r="W46" s="545">
        <f>SUM(W42:W45)</f>
        <v>2.0209999999999999</v>
      </c>
      <c r="X46" s="543">
        <f>X42*0.46+X43*0.46+X44*0.24+X45*0.24</f>
        <v>2344.7200000000003</v>
      </c>
      <c r="Y46" s="548"/>
      <c r="Z46" s="545">
        <f>SUM(Z42:Z45)</f>
        <v>2.302692</v>
      </c>
      <c r="AA46" s="543">
        <f>AA42*0.46+AA43*0.46+AA44*0.24+AA45*0.24</f>
        <v>1987.62</v>
      </c>
      <c r="AB46" s="548"/>
      <c r="AC46" s="545">
        <f>SUM(AC42:AC45)</f>
        <v>2.0091869999999998</v>
      </c>
      <c r="AD46" s="543">
        <f>AD42*0.46+AD43*0.46+AD44*0.24+AD45*0.24</f>
        <v>1596.6</v>
      </c>
      <c r="AE46" s="548"/>
      <c r="AF46" s="545">
        <f>SUM(AF42:AF45)</f>
        <v>1.6598679999999999</v>
      </c>
      <c r="AG46" s="543">
        <f>AG42*0.46+AG43*0.46+AG44*0.24+AG45*0.24</f>
        <v>1596.6</v>
      </c>
      <c r="AH46" s="548"/>
      <c r="AI46" s="545">
        <f>SUM(AI42:AI45)</f>
        <v>1.7110799999999999</v>
      </c>
      <c r="AJ46" s="543">
        <f>AJ42*0.46+AJ43*0.46+AJ44*0.24+AJ45*0.24</f>
        <v>1596.6</v>
      </c>
      <c r="AK46" s="548"/>
      <c r="AL46" s="545">
        <f>SUM(AL42:AL45)</f>
        <v>1.762292</v>
      </c>
      <c r="AM46" s="543">
        <f>AM42*0.46+AM43*0.46+AM44*0.24+AM45*0.24</f>
        <v>1596.6</v>
      </c>
      <c r="AN46" s="548"/>
      <c r="AO46" s="545">
        <f>SUM(AO42:AO45)</f>
        <v>1.81501</v>
      </c>
      <c r="AP46" s="543">
        <f>AP42*0.46+AP43*0.46+AP44*0.24+AP45*0.24</f>
        <v>1596.6</v>
      </c>
      <c r="AQ46" s="548"/>
      <c r="AR46" s="545">
        <f>SUM(AR42:AR45)</f>
        <v>1.8677280000000001</v>
      </c>
      <c r="AS46" s="543">
        <f>AS42*0.46+AS43*0.46+AS44*0.24+AS45*0.24</f>
        <v>1596.6</v>
      </c>
      <c r="AT46" s="548"/>
      <c r="AU46" s="545">
        <f>SUM(AU42:AU45)</f>
        <v>1.9257180000000003</v>
      </c>
      <c r="AV46" s="543">
        <f>AV42*0.46+AV43*0.46+AV44*0.24+AV45*0.24</f>
        <v>1596.6</v>
      </c>
      <c r="AW46" s="548"/>
      <c r="AX46" s="545">
        <f>SUM(AX42:AX45)</f>
        <v>1.983708</v>
      </c>
      <c r="AY46" s="543">
        <f>AY42*0.46+AY43*0.46+AY44*0.24+AY45*0.24</f>
        <v>1596.6</v>
      </c>
      <c r="AZ46" s="548"/>
      <c r="BA46" s="545">
        <f>SUM(BA42:BA45)</f>
        <v>2.0432040000000002</v>
      </c>
      <c r="BJ46" s="529">
        <f t="shared" si="151"/>
        <v>0</v>
      </c>
      <c r="BK46" s="529">
        <f t="shared" si="152"/>
        <v>0.111969</v>
      </c>
      <c r="BL46" s="529">
        <f t="shared" si="153"/>
        <v>1.2846677</v>
      </c>
      <c r="BM46" s="529">
        <f t="shared" si="154"/>
        <v>0</v>
      </c>
      <c r="BN46" s="529">
        <f t="shared" si="155"/>
        <v>0</v>
      </c>
      <c r="BO46" s="529">
        <f t="shared" si="156"/>
        <v>1.7068749999999999</v>
      </c>
      <c r="BP46" s="529">
        <f t="shared" si="157"/>
        <v>2.0209999999999999</v>
      </c>
      <c r="BQ46" s="529">
        <f t="shared" si="158"/>
        <v>2.302692</v>
      </c>
      <c r="BR46" s="529">
        <f t="shared" si="159"/>
        <v>2.0091869999999998</v>
      </c>
      <c r="BS46" s="529">
        <f t="shared" si="160"/>
        <v>1.6598679999999999</v>
      </c>
      <c r="BT46" s="529">
        <f t="shared" si="161"/>
        <v>1.7110799999999999</v>
      </c>
      <c r="BU46" s="529">
        <f t="shared" si="162"/>
        <v>1.762292</v>
      </c>
      <c r="BV46" s="529">
        <f t="shared" si="163"/>
        <v>1.81501</v>
      </c>
      <c r="BW46" s="529">
        <f t="shared" si="164"/>
        <v>1.8677280000000001</v>
      </c>
      <c r="BX46" s="529">
        <f t="shared" si="28"/>
        <v>1.9257180000000003</v>
      </c>
      <c r="BY46" s="529">
        <f t="shared" si="29"/>
        <v>1.983708</v>
      </c>
      <c r="BZ46" s="529">
        <f t="shared" si="30"/>
        <v>2.0432040000000002</v>
      </c>
      <c r="CB46" s="529">
        <f t="shared" si="165"/>
        <v>0</v>
      </c>
      <c r="CC46" s="529">
        <f t="shared" si="166"/>
        <v>199.05599999999998</v>
      </c>
      <c r="CD46" s="529">
        <f t="shared" si="167"/>
        <v>712.05600000000004</v>
      </c>
      <c r="CE46" s="529">
        <f t="shared" si="168"/>
        <v>0</v>
      </c>
      <c r="CF46" s="529">
        <f t="shared" si="169"/>
        <v>0</v>
      </c>
      <c r="CG46" s="529">
        <f t="shared" si="170"/>
        <v>1915</v>
      </c>
      <c r="CH46" s="529">
        <f t="shared" si="171"/>
        <v>2120</v>
      </c>
      <c r="CI46" s="529">
        <f t="shared" si="172"/>
        <v>2344.7200000000003</v>
      </c>
      <c r="CJ46" s="529">
        <f t="shared" si="173"/>
        <v>1987.62</v>
      </c>
      <c r="CK46" s="529">
        <f t="shared" si="174"/>
        <v>1596.6</v>
      </c>
      <c r="CL46" s="529">
        <f t="shared" si="175"/>
        <v>1596.6</v>
      </c>
      <c r="CM46" s="529">
        <f t="shared" si="176"/>
        <v>1596.6</v>
      </c>
      <c r="CN46" s="529">
        <f t="shared" si="177"/>
        <v>1596.6</v>
      </c>
      <c r="CO46" s="529">
        <f t="shared" si="178"/>
        <v>1596.6</v>
      </c>
      <c r="CP46" s="529">
        <f t="shared" si="31"/>
        <v>1596.6</v>
      </c>
      <c r="CQ46" s="529">
        <f t="shared" si="32"/>
        <v>1596.6</v>
      </c>
      <c r="CR46" s="529">
        <f t="shared" si="33"/>
        <v>1596.6</v>
      </c>
    </row>
    <row r="47" spans="1:96" x14ac:dyDescent="0.2">
      <c r="A47" s="761" t="s">
        <v>710</v>
      </c>
      <c r="B47" s="537" t="s">
        <v>494</v>
      </c>
      <c r="C47" s="538"/>
      <c r="D47" s="549"/>
      <c r="E47" s="540">
        <f>C47*D47/1000000</f>
        <v>0</v>
      </c>
      <c r="F47" s="541"/>
      <c r="G47" s="539"/>
      <c r="H47" s="540">
        <f>F47*G47/1000000</f>
        <v>0</v>
      </c>
      <c r="I47" s="547"/>
      <c r="J47" s="539"/>
      <c r="K47" s="540">
        <f>I47*J47/1000000</f>
        <v>0</v>
      </c>
      <c r="L47" s="538"/>
      <c r="M47" s="539"/>
      <c r="N47" s="540">
        <f>L47*M47/1000000</f>
        <v>0</v>
      </c>
      <c r="O47" s="538">
        <v>7537.4</v>
      </c>
      <c r="P47" s="539">
        <v>195</v>
      </c>
      <c r="Q47" s="540">
        <f>O47*P47/1000000</f>
        <v>1.4697929999999999</v>
      </c>
      <c r="R47" s="538"/>
      <c r="S47" s="539"/>
      <c r="T47" s="540">
        <f>R47*S47/1000000</f>
        <v>0</v>
      </c>
      <c r="U47" s="538">
        <v>2000</v>
      </c>
      <c r="V47" s="629">
        <v>424</v>
      </c>
      <c r="W47" s="540">
        <f>U47*V47/1000000</f>
        <v>0.84799999999999998</v>
      </c>
      <c r="X47" s="538">
        <f>ROUND(+U47*X$1,0)</f>
        <v>2212</v>
      </c>
      <c r="Y47" s="539">
        <f t="shared" ref="Y47:Y50" si="219">ROUND(V47*(1+Y$1),0)</f>
        <v>437</v>
      </c>
      <c r="Z47" s="540">
        <f>X47*Y47/1000000</f>
        <v>0.96664399999999995</v>
      </c>
      <c r="AA47" s="538">
        <f>ROUND(+X47*AA$1,0)</f>
        <v>1875</v>
      </c>
      <c r="AB47" s="539">
        <f t="shared" ref="AB47:AB50" si="220">ROUND(Y47*(1+AB$1),0)</f>
        <v>450</v>
      </c>
      <c r="AC47" s="540">
        <f>AA47*AB47/1000000</f>
        <v>0.84375</v>
      </c>
      <c r="AD47" s="538">
        <f>ROUND(+AA47*AD$1,0)</f>
        <v>1506</v>
      </c>
      <c r="AE47" s="539">
        <f t="shared" ref="AE47:AE50" si="221">ROUND(AB47*(1+AE$1),0)</f>
        <v>464</v>
      </c>
      <c r="AF47" s="540">
        <f>AD47*AE47/1000000</f>
        <v>0.69878399999999996</v>
      </c>
      <c r="AG47" s="538">
        <f>ROUND(+AD47*AG$1,0)</f>
        <v>1506</v>
      </c>
      <c r="AH47" s="539">
        <f t="shared" ref="AH47:AH50" si="222">ROUND(AE47*(1+AH$1),0)</f>
        <v>478</v>
      </c>
      <c r="AI47" s="540">
        <f>AG47*AH47/1000000</f>
        <v>0.71986799999999995</v>
      </c>
      <c r="AJ47" s="538">
        <f>ROUND(+AG47*AJ$1,0)</f>
        <v>1506</v>
      </c>
      <c r="AK47" s="539">
        <f t="shared" ref="AK47:AK50" si="223">ROUND(AH47*(1+AK$1),0)</f>
        <v>492</v>
      </c>
      <c r="AL47" s="540">
        <f>AJ47*AK47/1000000</f>
        <v>0.74095200000000006</v>
      </c>
      <c r="AM47" s="538">
        <f>ROUND(+AJ47*AM$1,0)</f>
        <v>1506</v>
      </c>
      <c r="AN47" s="539">
        <f t="shared" ref="AN47:AN50" si="224">ROUND(AK47*(1+AN$1),0)</f>
        <v>507</v>
      </c>
      <c r="AO47" s="540">
        <f>AM47*AN47/1000000</f>
        <v>0.76354200000000005</v>
      </c>
      <c r="AP47" s="538">
        <f>ROUND(+AM47*AP$1,0)</f>
        <v>1506</v>
      </c>
      <c r="AQ47" s="539">
        <f t="shared" ref="AQ47:AQ50" si="225">ROUND(AN47*(1+AQ$1),0)</f>
        <v>522</v>
      </c>
      <c r="AR47" s="540">
        <f>AP47*AQ47/1000000</f>
        <v>0.78613200000000005</v>
      </c>
      <c r="AS47" s="538">
        <f>ROUND(+AP47*AS$1,0)</f>
        <v>1506</v>
      </c>
      <c r="AT47" s="539">
        <f t="shared" ref="AT47:AT50" si="226">ROUND(AQ47*(1+AT$1),0)</f>
        <v>538</v>
      </c>
      <c r="AU47" s="540">
        <f>AS47*AT47/1000000</f>
        <v>0.81022799999999995</v>
      </c>
      <c r="AV47" s="538">
        <f>ROUND(+AS47*AV$1,0)</f>
        <v>1506</v>
      </c>
      <c r="AW47" s="539">
        <f t="shared" ref="AW47:AW50" si="227">ROUND(AT47*(1+AW$1),0)</f>
        <v>554</v>
      </c>
      <c r="AX47" s="540">
        <f>AV47*AW47/1000000</f>
        <v>0.83432399999999995</v>
      </c>
      <c r="AY47" s="538">
        <f>ROUND(+AV47*AY$1,0)</f>
        <v>1506</v>
      </c>
      <c r="AZ47" s="539">
        <f t="shared" ref="AZ47:AZ50" si="228">ROUND(AW47*(1+AZ$1),0)</f>
        <v>571</v>
      </c>
      <c r="BA47" s="540">
        <f>AY47*AZ47/1000000</f>
        <v>0.85992599999999997</v>
      </c>
      <c r="BJ47" s="529">
        <f t="shared" si="151"/>
        <v>0</v>
      </c>
      <c r="BK47" s="529">
        <f t="shared" si="152"/>
        <v>0</v>
      </c>
      <c r="BL47" s="529">
        <f t="shared" si="153"/>
        <v>0</v>
      </c>
      <c r="BM47" s="529">
        <f t="shared" si="154"/>
        <v>0</v>
      </c>
      <c r="BN47" s="529">
        <f t="shared" si="155"/>
        <v>1.4697929999999999</v>
      </c>
      <c r="BO47" s="529">
        <f t="shared" si="156"/>
        <v>0</v>
      </c>
      <c r="BP47" s="529">
        <f t="shared" si="157"/>
        <v>0.84799999999999998</v>
      </c>
      <c r="BQ47" s="529">
        <f t="shared" si="158"/>
        <v>0.96664399999999995</v>
      </c>
      <c r="BR47" s="529">
        <f t="shared" si="159"/>
        <v>0.84375</v>
      </c>
      <c r="BS47" s="529">
        <f t="shared" si="160"/>
        <v>0.69878399999999996</v>
      </c>
      <c r="BT47" s="529">
        <f t="shared" si="161"/>
        <v>0.71986799999999995</v>
      </c>
      <c r="BU47" s="529">
        <f t="shared" si="162"/>
        <v>0.74095200000000006</v>
      </c>
      <c r="BV47" s="529">
        <f t="shared" si="163"/>
        <v>0.76354200000000005</v>
      </c>
      <c r="BW47" s="529">
        <f t="shared" si="164"/>
        <v>0.78613200000000005</v>
      </c>
      <c r="BX47" s="529">
        <f t="shared" si="28"/>
        <v>0.81022799999999995</v>
      </c>
      <c r="BY47" s="529">
        <f t="shared" si="29"/>
        <v>0.83432399999999995</v>
      </c>
      <c r="BZ47" s="529">
        <f t="shared" si="30"/>
        <v>0.85992599999999997</v>
      </c>
      <c r="CB47" s="529">
        <f t="shared" si="165"/>
        <v>0</v>
      </c>
      <c r="CC47" s="529">
        <f t="shared" si="166"/>
        <v>0</v>
      </c>
      <c r="CD47" s="529">
        <f t="shared" si="167"/>
        <v>0</v>
      </c>
      <c r="CE47" s="529">
        <f t="shared" si="168"/>
        <v>0</v>
      </c>
      <c r="CF47" s="529">
        <f t="shared" si="169"/>
        <v>7537.4</v>
      </c>
      <c r="CG47" s="529">
        <f t="shared" si="170"/>
        <v>0</v>
      </c>
      <c r="CH47" s="529">
        <f t="shared" si="171"/>
        <v>2000</v>
      </c>
      <c r="CI47" s="529">
        <f t="shared" si="172"/>
        <v>2212</v>
      </c>
      <c r="CJ47" s="529">
        <f t="shared" si="173"/>
        <v>1875</v>
      </c>
      <c r="CK47" s="529">
        <f t="shared" si="174"/>
        <v>1506</v>
      </c>
      <c r="CL47" s="529">
        <f t="shared" si="175"/>
        <v>1506</v>
      </c>
      <c r="CM47" s="529">
        <f t="shared" si="176"/>
        <v>1506</v>
      </c>
      <c r="CN47" s="529">
        <f t="shared" si="177"/>
        <v>1506</v>
      </c>
      <c r="CO47" s="529">
        <f t="shared" si="178"/>
        <v>1506</v>
      </c>
      <c r="CP47" s="529">
        <f t="shared" si="31"/>
        <v>1506</v>
      </c>
      <c r="CQ47" s="529">
        <f t="shared" si="32"/>
        <v>1506</v>
      </c>
      <c r="CR47" s="529">
        <f t="shared" si="33"/>
        <v>1506</v>
      </c>
    </row>
    <row r="48" spans="1:96" x14ac:dyDescent="0.2">
      <c r="A48" s="761"/>
      <c r="B48" s="537" t="s">
        <v>618</v>
      </c>
      <c r="C48" s="538"/>
      <c r="D48" s="549"/>
      <c r="E48" s="540">
        <f t="shared" si="189"/>
        <v>0</v>
      </c>
      <c r="F48" s="541"/>
      <c r="G48" s="539"/>
      <c r="H48" s="540">
        <f t="shared" si="190"/>
        <v>0</v>
      </c>
      <c r="I48" s="538"/>
      <c r="J48" s="539"/>
      <c r="K48" s="540">
        <f t="shared" si="191"/>
        <v>0</v>
      </c>
      <c r="L48" s="538"/>
      <c r="M48" s="539"/>
      <c r="N48" s="540">
        <f t="shared" si="192"/>
        <v>0</v>
      </c>
      <c r="O48" s="538"/>
      <c r="P48" s="539"/>
      <c r="Q48" s="540">
        <f t="shared" si="193"/>
        <v>0</v>
      </c>
      <c r="R48" s="538"/>
      <c r="S48" s="539"/>
      <c r="T48" s="540">
        <f t="shared" si="194"/>
        <v>0</v>
      </c>
      <c r="U48" s="538">
        <v>10870</v>
      </c>
      <c r="V48" s="629"/>
      <c r="W48" s="540">
        <f t="shared" si="195"/>
        <v>0</v>
      </c>
      <c r="X48" s="538"/>
      <c r="Y48" s="539">
        <f t="shared" si="219"/>
        <v>0</v>
      </c>
      <c r="Z48" s="540">
        <f t="shared" si="196"/>
        <v>0</v>
      </c>
      <c r="AA48" s="538"/>
      <c r="AB48" s="539">
        <f t="shared" si="220"/>
        <v>0</v>
      </c>
      <c r="AC48" s="540">
        <f t="shared" si="197"/>
        <v>0</v>
      </c>
      <c r="AD48" s="538"/>
      <c r="AE48" s="539">
        <f t="shared" si="221"/>
        <v>0</v>
      </c>
      <c r="AF48" s="540">
        <f t="shared" si="198"/>
        <v>0</v>
      </c>
      <c r="AG48" s="538"/>
      <c r="AH48" s="539">
        <f t="shared" si="222"/>
        <v>0</v>
      </c>
      <c r="AI48" s="540">
        <f t="shared" si="199"/>
        <v>0</v>
      </c>
      <c r="AJ48" s="538"/>
      <c r="AK48" s="539">
        <f t="shared" si="223"/>
        <v>0</v>
      </c>
      <c r="AL48" s="540">
        <f t="shared" si="200"/>
        <v>0</v>
      </c>
      <c r="AM48" s="538"/>
      <c r="AN48" s="539">
        <f t="shared" si="224"/>
        <v>0</v>
      </c>
      <c r="AO48" s="540">
        <f t="shared" si="201"/>
        <v>0</v>
      </c>
      <c r="AP48" s="538"/>
      <c r="AQ48" s="539">
        <f t="shared" si="225"/>
        <v>0</v>
      </c>
      <c r="AR48" s="540">
        <f t="shared" si="202"/>
        <v>0</v>
      </c>
      <c r="AS48" s="538"/>
      <c r="AT48" s="539">
        <f t="shared" si="226"/>
        <v>0</v>
      </c>
      <c r="AU48" s="540">
        <f t="shared" ref="AU48:AU50" si="229">AS48*AT48/1000000</f>
        <v>0</v>
      </c>
      <c r="AV48" s="538"/>
      <c r="AW48" s="539">
        <f t="shared" si="227"/>
        <v>0</v>
      </c>
      <c r="AX48" s="540">
        <f t="shared" ref="AX48:AX50" si="230">AV48*AW48/1000000</f>
        <v>0</v>
      </c>
      <c r="AY48" s="538"/>
      <c r="AZ48" s="539">
        <f t="shared" si="228"/>
        <v>0</v>
      </c>
      <c r="BA48" s="540">
        <f t="shared" ref="BA48:BA50" si="231">AY48*AZ48/1000000</f>
        <v>0</v>
      </c>
      <c r="BJ48" s="529">
        <f t="shared" si="151"/>
        <v>0</v>
      </c>
      <c r="BK48" s="529">
        <f t="shared" si="152"/>
        <v>0</v>
      </c>
      <c r="BL48" s="529">
        <f t="shared" si="153"/>
        <v>0</v>
      </c>
      <c r="BM48" s="529">
        <f t="shared" si="154"/>
        <v>0</v>
      </c>
      <c r="BN48" s="529">
        <f t="shared" si="155"/>
        <v>0</v>
      </c>
      <c r="BO48" s="529">
        <f t="shared" si="156"/>
        <v>0</v>
      </c>
      <c r="BP48" s="529">
        <f t="shared" si="157"/>
        <v>0</v>
      </c>
      <c r="BQ48" s="529">
        <f t="shared" si="158"/>
        <v>0</v>
      </c>
      <c r="BR48" s="529">
        <f t="shared" si="159"/>
        <v>0</v>
      </c>
      <c r="BS48" s="529">
        <f t="shared" si="160"/>
        <v>0</v>
      </c>
      <c r="BT48" s="529">
        <f t="shared" si="161"/>
        <v>0</v>
      </c>
      <c r="BU48" s="529">
        <f t="shared" si="162"/>
        <v>0</v>
      </c>
      <c r="BV48" s="529">
        <f t="shared" si="163"/>
        <v>0</v>
      </c>
      <c r="BW48" s="529">
        <f t="shared" si="164"/>
        <v>0</v>
      </c>
      <c r="BX48" s="529">
        <f t="shared" si="28"/>
        <v>0</v>
      </c>
      <c r="BY48" s="529">
        <f t="shared" si="29"/>
        <v>0</v>
      </c>
      <c r="BZ48" s="529">
        <f t="shared" si="30"/>
        <v>0</v>
      </c>
      <c r="CB48" s="529">
        <f t="shared" si="165"/>
        <v>0</v>
      </c>
      <c r="CC48" s="529">
        <f t="shared" si="166"/>
        <v>0</v>
      </c>
      <c r="CD48" s="529">
        <f t="shared" si="167"/>
        <v>0</v>
      </c>
      <c r="CE48" s="529">
        <f t="shared" si="168"/>
        <v>0</v>
      </c>
      <c r="CF48" s="529">
        <f t="shared" si="169"/>
        <v>0</v>
      </c>
      <c r="CG48" s="529">
        <f t="shared" si="170"/>
        <v>0</v>
      </c>
      <c r="CH48" s="529">
        <f t="shared" si="171"/>
        <v>10870</v>
      </c>
      <c r="CI48" s="529">
        <f t="shared" si="172"/>
        <v>0</v>
      </c>
      <c r="CJ48" s="529">
        <f t="shared" si="173"/>
        <v>0</v>
      </c>
      <c r="CK48" s="529">
        <f t="shared" si="174"/>
        <v>0</v>
      </c>
      <c r="CL48" s="529">
        <f t="shared" si="175"/>
        <v>0</v>
      </c>
      <c r="CM48" s="529">
        <f t="shared" si="176"/>
        <v>0</v>
      </c>
      <c r="CN48" s="529">
        <f t="shared" si="177"/>
        <v>0</v>
      </c>
      <c r="CO48" s="529">
        <f t="shared" si="178"/>
        <v>0</v>
      </c>
      <c r="CP48" s="529">
        <f t="shared" si="31"/>
        <v>0</v>
      </c>
      <c r="CQ48" s="529">
        <f t="shared" si="32"/>
        <v>0</v>
      </c>
      <c r="CR48" s="529">
        <f t="shared" si="33"/>
        <v>0</v>
      </c>
    </row>
    <row r="49" spans="1:96" x14ac:dyDescent="0.2">
      <c r="A49" s="761"/>
      <c r="B49" s="537" t="s">
        <v>495</v>
      </c>
      <c r="C49" s="538"/>
      <c r="D49" s="549"/>
      <c r="E49" s="540">
        <f t="shared" si="189"/>
        <v>0</v>
      </c>
      <c r="F49" s="541"/>
      <c r="G49" s="539"/>
      <c r="H49" s="540">
        <f t="shared" si="190"/>
        <v>0</v>
      </c>
      <c r="I49" s="568"/>
      <c r="J49" s="539"/>
      <c r="K49" s="540">
        <f t="shared" si="191"/>
        <v>0</v>
      </c>
      <c r="L49" s="538"/>
      <c r="M49" s="539"/>
      <c r="N49" s="540">
        <f t="shared" si="192"/>
        <v>0</v>
      </c>
      <c r="O49" s="538"/>
      <c r="P49" s="539"/>
      <c r="Q49" s="540">
        <f t="shared" si="193"/>
        <v>0</v>
      </c>
      <c r="R49" s="538"/>
      <c r="S49" s="539"/>
      <c r="T49" s="540">
        <f t="shared" si="194"/>
        <v>0</v>
      </c>
      <c r="U49" s="538"/>
      <c r="V49" s="629"/>
      <c r="W49" s="540">
        <f t="shared" si="195"/>
        <v>0</v>
      </c>
      <c r="X49" s="538"/>
      <c r="Y49" s="539">
        <f t="shared" si="219"/>
        <v>0</v>
      </c>
      <c r="Z49" s="540">
        <f t="shared" si="196"/>
        <v>0</v>
      </c>
      <c r="AA49" s="538"/>
      <c r="AB49" s="539">
        <f t="shared" si="220"/>
        <v>0</v>
      </c>
      <c r="AC49" s="540">
        <f t="shared" si="197"/>
        <v>0</v>
      </c>
      <c r="AD49" s="538"/>
      <c r="AE49" s="539">
        <f t="shared" si="221"/>
        <v>0</v>
      </c>
      <c r="AF49" s="540">
        <f t="shared" si="198"/>
        <v>0</v>
      </c>
      <c r="AG49" s="538"/>
      <c r="AH49" s="539">
        <f t="shared" si="222"/>
        <v>0</v>
      </c>
      <c r="AI49" s="540">
        <f t="shared" si="199"/>
        <v>0</v>
      </c>
      <c r="AJ49" s="538"/>
      <c r="AK49" s="539">
        <f t="shared" si="223"/>
        <v>0</v>
      </c>
      <c r="AL49" s="540">
        <f t="shared" si="200"/>
        <v>0</v>
      </c>
      <c r="AM49" s="538"/>
      <c r="AN49" s="539">
        <f t="shared" si="224"/>
        <v>0</v>
      </c>
      <c r="AO49" s="540">
        <f t="shared" si="201"/>
        <v>0</v>
      </c>
      <c r="AP49" s="538"/>
      <c r="AQ49" s="539">
        <f t="shared" si="225"/>
        <v>0</v>
      </c>
      <c r="AR49" s="540">
        <f t="shared" si="202"/>
        <v>0</v>
      </c>
      <c r="AS49" s="538"/>
      <c r="AT49" s="539">
        <f t="shared" si="226"/>
        <v>0</v>
      </c>
      <c r="AU49" s="540">
        <f t="shared" si="229"/>
        <v>0</v>
      </c>
      <c r="AV49" s="538"/>
      <c r="AW49" s="539">
        <f t="shared" si="227"/>
        <v>0</v>
      </c>
      <c r="AX49" s="540">
        <f t="shared" si="230"/>
        <v>0</v>
      </c>
      <c r="AY49" s="538"/>
      <c r="AZ49" s="539">
        <f t="shared" si="228"/>
        <v>0</v>
      </c>
      <c r="BA49" s="540">
        <f t="shared" si="231"/>
        <v>0</v>
      </c>
      <c r="BJ49" s="529">
        <f t="shared" si="151"/>
        <v>0</v>
      </c>
      <c r="BK49" s="529">
        <f t="shared" si="152"/>
        <v>0</v>
      </c>
      <c r="BL49" s="529">
        <f t="shared" si="153"/>
        <v>0</v>
      </c>
      <c r="BM49" s="529">
        <f t="shared" si="154"/>
        <v>0</v>
      </c>
      <c r="BN49" s="529">
        <f t="shared" si="155"/>
        <v>0</v>
      </c>
      <c r="BO49" s="529">
        <f t="shared" si="156"/>
        <v>0</v>
      </c>
      <c r="BP49" s="529">
        <f t="shared" si="157"/>
        <v>0</v>
      </c>
      <c r="BQ49" s="529">
        <f t="shared" si="158"/>
        <v>0</v>
      </c>
      <c r="BR49" s="529">
        <f t="shared" si="159"/>
        <v>0</v>
      </c>
      <c r="BS49" s="529">
        <f t="shared" si="160"/>
        <v>0</v>
      </c>
      <c r="BT49" s="529">
        <f t="shared" si="161"/>
        <v>0</v>
      </c>
      <c r="BU49" s="529">
        <f t="shared" si="162"/>
        <v>0</v>
      </c>
      <c r="BV49" s="529">
        <f t="shared" si="163"/>
        <v>0</v>
      </c>
      <c r="BW49" s="529">
        <f t="shared" si="164"/>
        <v>0</v>
      </c>
      <c r="BX49" s="529">
        <f t="shared" si="28"/>
        <v>0</v>
      </c>
      <c r="BY49" s="529">
        <f t="shared" si="29"/>
        <v>0</v>
      </c>
      <c r="BZ49" s="529">
        <f t="shared" si="30"/>
        <v>0</v>
      </c>
      <c r="CB49" s="529">
        <f t="shared" si="165"/>
        <v>0</v>
      </c>
      <c r="CC49" s="529">
        <f t="shared" si="166"/>
        <v>0</v>
      </c>
      <c r="CD49" s="529">
        <f t="shared" si="167"/>
        <v>0</v>
      </c>
      <c r="CE49" s="529">
        <f t="shared" si="168"/>
        <v>0</v>
      </c>
      <c r="CF49" s="529">
        <f t="shared" si="169"/>
        <v>0</v>
      </c>
      <c r="CG49" s="529">
        <f t="shared" si="170"/>
        <v>0</v>
      </c>
      <c r="CH49" s="529">
        <f t="shared" si="171"/>
        <v>0</v>
      </c>
      <c r="CI49" s="529">
        <f t="shared" si="172"/>
        <v>0</v>
      </c>
      <c r="CJ49" s="529">
        <f t="shared" si="173"/>
        <v>0</v>
      </c>
      <c r="CK49" s="529">
        <f t="shared" si="174"/>
        <v>0</v>
      </c>
      <c r="CL49" s="529">
        <f t="shared" si="175"/>
        <v>0</v>
      </c>
      <c r="CM49" s="529">
        <f t="shared" si="176"/>
        <v>0</v>
      </c>
      <c r="CN49" s="529">
        <f t="shared" si="177"/>
        <v>0</v>
      </c>
      <c r="CO49" s="529">
        <f t="shared" si="178"/>
        <v>0</v>
      </c>
      <c r="CP49" s="529">
        <f t="shared" si="31"/>
        <v>0</v>
      </c>
      <c r="CQ49" s="529">
        <f t="shared" si="32"/>
        <v>0</v>
      </c>
      <c r="CR49" s="529">
        <f t="shared" si="33"/>
        <v>0</v>
      </c>
    </row>
    <row r="50" spans="1:96" x14ac:dyDescent="0.2">
      <c r="A50" s="761"/>
      <c r="B50" s="537" t="s">
        <v>113</v>
      </c>
      <c r="C50" s="538"/>
      <c r="D50" s="549"/>
      <c r="E50" s="540">
        <f t="shared" si="189"/>
        <v>0</v>
      </c>
      <c r="F50" s="541"/>
      <c r="G50" s="539"/>
      <c r="H50" s="540">
        <f t="shared" si="190"/>
        <v>0</v>
      </c>
      <c r="I50" s="538"/>
      <c r="J50" s="539"/>
      <c r="K50" s="540">
        <f t="shared" si="191"/>
        <v>0</v>
      </c>
      <c r="L50" s="538"/>
      <c r="M50" s="539"/>
      <c r="N50" s="540">
        <f t="shared" si="192"/>
        <v>0</v>
      </c>
      <c r="O50" s="538"/>
      <c r="P50" s="539"/>
      <c r="Q50" s="540">
        <f t="shared" si="193"/>
        <v>0</v>
      </c>
      <c r="R50" s="538"/>
      <c r="S50" s="539"/>
      <c r="T50" s="540">
        <f t="shared" si="194"/>
        <v>0</v>
      </c>
      <c r="U50" s="538"/>
      <c r="V50" s="629"/>
      <c r="W50" s="540">
        <f t="shared" si="195"/>
        <v>0</v>
      </c>
      <c r="X50" s="538"/>
      <c r="Y50" s="539">
        <f t="shared" si="219"/>
        <v>0</v>
      </c>
      <c r="Z50" s="540">
        <f t="shared" si="196"/>
        <v>0</v>
      </c>
      <c r="AA50" s="538"/>
      <c r="AB50" s="539">
        <f t="shared" si="220"/>
        <v>0</v>
      </c>
      <c r="AC50" s="540">
        <f t="shared" si="197"/>
        <v>0</v>
      </c>
      <c r="AD50" s="538"/>
      <c r="AE50" s="539">
        <f t="shared" si="221"/>
        <v>0</v>
      </c>
      <c r="AF50" s="540">
        <f t="shared" si="198"/>
        <v>0</v>
      </c>
      <c r="AG50" s="538"/>
      <c r="AH50" s="539">
        <f t="shared" si="222"/>
        <v>0</v>
      </c>
      <c r="AI50" s="540">
        <f t="shared" si="199"/>
        <v>0</v>
      </c>
      <c r="AJ50" s="538"/>
      <c r="AK50" s="539">
        <f t="shared" si="223"/>
        <v>0</v>
      </c>
      <c r="AL50" s="540">
        <f t="shared" si="200"/>
        <v>0</v>
      </c>
      <c r="AM50" s="538"/>
      <c r="AN50" s="539">
        <f t="shared" si="224"/>
        <v>0</v>
      </c>
      <c r="AO50" s="540">
        <f t="shared" si="201"/>
        <v>0</v>
      </c>
      <c r="AP50" s="538"/>
      <c r="AQ50" s="539">
        <f t="shared" si="225"/>
        <v>0</v>
      </c>
      <c r="AR50" s="540">
        <f t="shared" si="202"/>
        <v>0</v>
      </c>
      <c r="AS50" s="538"/>
      <c r="AT50" s="539">
        <f t="shared" si="226"/>
        <v>0</v>
      </c>
      <c r="AU50" s="540">
        <f t="shared" si="229"/>
        <v>0</v>
      </c>
      <c r="AV50" s="538"/>
      <c r="AW50" s="539">
        <f t="shared" si="227"/>
        <v>0</v>
      </c>
      <c r="AX50" s="540">
        <f t="shared" si="230"/>
        <v>0</v>
      </c>
      <c r="AY50" s="538"/>
      <c r="AZ50" s="539">
        <f t="shared" si="228"/>
        <v>0</v>
      </c>
      <c r="BA50" s="540">
        <f t="shared" si="231"/>
        <v>0</v>
      </c>
      <c r="BJ50" s="529">
        <f t="shared" si="151"/>
        <v>0</v>
      </c>
      <c r="BK50" s="529">
        <f t="shared" si="152"/>
        <v>0</v>
      </c>
      <c r="BL50" s="529">
        <f t="shared" si="153"/>
        <v>0</v>
      </c>
      <c r="BM50" s="529">
        <f t="shared" si="154"/>
        <v>0</v>
      </c>
      <c r="BN50" s="529">
        <f t="shared" si="155"/>
        <v>0</v>
      </c>
      <c r="BO50" s="529">
        <f t="shared" si="156"/>
        <v>0</v>
      </c>
      <c r="BP50" s="529">
        <f t="shared" si="157"/>
        <v>0</v>
      </c>
      <c r="BQ50" s="529">
        <f t="shared" si="158"/>
        <v>0</v>
      </c>
      <c r="BR50" s="529">
        <f t="shared" si="159"/>
        <v>0</v>
      </c>
      <c r="BS50" s="529">
        <f t="shared" si="160"/>
        <v>0</v>
      </c>
      <c r="BT50" s="529">
        <f t="shared" si="161"/>
        <v>0</v>
      </c>
      <c r="BU50" s="529">
        <f t="shared" si="162"/>
        <v>0</v>
      </c>
      <c r="BV50" s="529">
        <f t="shared" si="163"/>
        <v>0</v>
      </c>
      <c r="BW50" s="529">
        <f t="shared" si="164"/>
        <v>0</v>
      </c>
      <c r="BX50" s="529">
        <f t="shared" si="28"/>
        <v>0</v>
      </c>
      <c r="BY50" s="529">
        <f t="shared" si="29"/>
        <v>0</v>
      </c>
      <c r="BZ50" s="529">
        <f t="shared" si="30"/>
        <v>0</v>
      </c>
      <c r="CB50" s="529">
        <f t="shared" si="165"/>
        <v>0</v>
      </c>
      <c r="CC50" s="529">
        <f t="shared" si="166"/>
        <v>0</v>
      </c>
      <c r="CD50" s="529">
        <f t="shared" si="167"/>
        <v>0</v>
      </c>
      <c r="CE50" s="529">
        <f t="shared" si="168"/>
        <v>0</v>
      </c>
      <c r="CF50" s="529">
        <f t="shared" si="169"/>
        <v>0</v>
      </c>
      <c r="CG50" s="529">
        <f t="shared" si="170"/>
        <v>0</v>
      </c>
      <c r="CH50" s="529">
        <f t="shared" si="171"/>
        <v>0</v>
      </c>
      <c r="CI50" s="529">
        <f t="shared" si="172"/>
        <v>0</v>
      </c>
      <c r="CJ50" s="529">
        <f t="shared" si="173"/>
        <v>0</v>
      </c>
      <c r="CK50" s="529">
        <f t="shared" si="174"/>
        <v>0</v>
      </c>
      <c r="CL50" s="529">
        <f t="shared" si="175"/>
        <v>0</v>
      </c>
      <c r="CM50" s="529">
        <f t="shared" si="176"/>
        <v>0</v>
      </c>
      <c r="CN50" s="529">
        <f t="shared" si="177"/>
        <v>0</v>
      </c>
      <c r="CO50" s="529">
        <f t="shared" si="178"/>
        <v>0</v>
      </c>
      <c r="CP50" s="529">
        <f t="shared" si="31"/>
        <v>0</v>
      </c>
      <c r="CQ50" s="529">
        <f t="shared" si="32"/>
        <v>0</v>
      </c>
      <c r="CR50" s="529">
        <f t="shared" si="33"/>
        <v>0</v>
      </c>
    </row>
    <row r="51" spans="1:96" ht="13.5" x14ac:dyDescent="0.25">
      <c r="A51" s="761"/>
      <c r="B51" s="537" t="s">
        <v>619</v>
      </c>
      <c r="C51" s="543">
        <f>C47*0.46+C48*0.46+C49*0.24+C50*0.24</f>
        <v>0</v>
      </c>
      <c r="D51" s="548"/>
      <c r="E51" s="545">
        <f>SUM(E47:E50)</f>
        <v>0</v>
      </c>
      <c r="F51" s="543">
        <f>F47*0.46+F48*0.46+F49*0.24+F50*0.24</f>
        <v>0</v>
      </c>
      <c r="G51" s="544"/>
      <c r="H51" s="545">
        <f>SUM(H47:H50)</f>
        <v>0</v>
      </c>
      <c r="I51" s="543">
        <f>I47*0.46+I48*0.46+I49*0.24+I50*0.24</f>
        <v>0</v>
      </c>
      <c r="J51" s="544"/>
      <c r="K51" s="545">
        <f>SUM(K47:K50)</f>
        <v>0</v>
      </c>
      <c r="L51" s="543">
        <f>L47*0.46+L48*0.46+L49*0.24+L50*0.24</f>
        <v>0</v>
      </c>
      <c r="M51" s="544"/>
      <c r="N51" s="545">
        <f>SUM(N47:N50)</f>
        <v>0</v>
      </c>
      <c r="O51" s="543">
        <f>O47*0.46+O48*0.46+O49*0.24+O50*0.24</f>
        <v>3467.2040000000002</v>
      </c>
      <c r="P51" s="544"/>
      <c r="Q51" s="545">
        <f>SUM(Q47:Q50)</f>
        <v>1.4697929999999999</v>
      </c>
      <c r="R51" s="543">
        <f>R47*0.46+R48*0.46+R49*0.24+R50*0.24</f>
        <v>0</v>
      </c>
      <c r="S51" s="544"/>
      <c r="T51" s="545">
        <f>SUM(T47:T50)</f>
        <v>0</v>
      </c>
      <c r="U51" s="543">
        <f>U47*0.46+U48*0.46+U49*0.24+U50*0.24</f>
        <v>5920.2</v>
      </c>
      <c r="V51" s="630"/>
      <c r="W51" s="545">
        <f>SUM(W47:W50)</f>
        <v>0.84799999999999998</v>
      </c>
      <c r="X51" s="543">
        <f>X47*0.46+X48*0.46+X49*0.24+X50*0.24</f>
        <v>1017.5200000000001</v>
      </c>
      <c r="Y51" s="548"/>
      <c r="Z51" s="545">
        <f>SUM(Z47:Z50)</f>
        <v>0.96664399999999995</v>
      </c>
      <c r="AA51" s="543">
        <f>AA47*0.46+AA48*0.46+AA49*0.24+AA50*0.24</f>
        <v>862.5</v>
      </c>
      <c r="AB51" s="548"/>
      <c r="AC51" s="545">
        <f>SUM(AC47:AC50)</f>
        <v>0.84375</v>
      </c>
      <c r="AD51" s="543">
        <f>AD47*0.46+AD48*0.46+AD49*0.24+AD50*0.24</f>
        <v>692.76</v>
      </c>
      <c r="AE51" s="548"/>
      <c r="AF51" s="545">
        <f>SUM(AF47:AF50)</f>
        <v>0.69878399999999996</v>
      </c>
      <c r="AG51" s="543">
        <f>AG47*0.46+AG48*0.46+AG49*0.24+AG50*0.24</f>
        <v>692.76</v>
      </c>
      <c r="AH51" s="548"/>
      <c r="AI51" s="545">
        <f>SUM(AI47:AI50)</f>
        <v>0.71986799999999995</v>
      </c>
      <c r="AJ51" s="543">
        <f>AJ47*0.46+AJ48*0.46+AJ49*0.24+AJ50*0.24</f>
        <v>692.76</v>
      </c>
      <c r="AK51" s="548"/>
      <c r="AL51" s="545">
        <f>SUM(AL47:AL50)</f>
        <v>0.74095200000000006</v>
      </c>
      <c r="AM51" s="543">
        <f>AM47*0.46+AM48*0.46+AM49*0.24+AM50*0.24</f>
        <v>692.76</v>
      </c>
      <c r="AN51" s="548"/>
      <c r="AO51" s="545">
        <f>SUM(AO47:AO50)</f>
        <v>0.76354200000000005</v>
      </c>
      <c r="AP51" s="543">
        <f>AP47*0.46+AP48*0.46+AP49*0.24+AP50*0.24</f>
        <v>692.76</v>
      </c>
      <c r="AQ51" s="548"/>
      <c r="AR51" s="545">
        <f>SUM(AR47:AR50)</f>
        <v>0.78613200000000005</v>
      </c>
      <c r="AS51" s="543">
        <f>AS47*0.46+AS48*0.46+AS49*0.24+AS50*0.24</f>
        <v>692.76</v>
      </c>
      <c r="AT51" s="548"/>
      <c r="AU51" s="545">
        <f>SUM(AU47:AU50)</f>
        <v>0.81022799999999995</v>
      </c>
      <c r="AV51" s="543">
        <f>AV47*0.46+AV48*0.46+AV49*0.24+AV50*0.24</f>
        <v>692.76</v>
      </c>
      <c r="AW51" s="548"/>
      <c r="AX51" s="545">
        <f>SUM(AX47:AX50)</f>
        <v>0.83432399999999995</v>
      </c>
      <c r="AY51" s="543">
        <f>AY47*0.46+AY48*0.46+AY49*0.24+AY50*0.24</f>
        <v>692.76</v>
      </c>
      <c r="AZ51" s="548"/>
      <c r="BA51" s="545">
        <f>SUM(BA47:BA50)</f>
        <v>0.85992599999999997</v>
      </c>
      <c r="BJ51" s="529">
        <f t="shared" si="151"/>
        <v>0</v>
      </c>
      <c r="BK51" s="529">
        <f t="shared" si="152"/>
        <v>0</v>
      </c>
      <c r="BL51" s="529">
        <f t="shared" si="153"/>
        <v>0</v>
      </c>
      <c r="BM51" s="529">
        <f t="shared" si="154"/>
        <v>0</v>
      </c>
      <c r="BN51" s="529">
        <f t="shared" si="155"/>
        <v>1.4697929999999999</v>
      </c>
      <c r="BO51" s="529">
        <f t="shared" si="156"/>
        <v>0</v>
      </c>
      <c r="BP51" s="529">
        <f t="shared" si="157"/>
        <v>0.84799999999999998</v>
      </c>
      <c r="BQ51" s="529">
        <f t="shared" si="158"/>
        <v>0.96664399999999995</v>
      </c>
      <c r="BR51" s="529">
        <f t="shared" si="159"/>
        <v>0.84375</v>
      </c>
      <c r="BS51" s="529">
        <f t="shared" si="160"/>
        <v>0.69878399999999996</v>
      </c>
      <c r="BT51" s="529">
        <f t="shared" si="161"/>
        <v>0.71986799999999995</v>
      </c>
      <c r="BU51" s="529">
        <f t="shared" si="162"/>
        <v>0.74095200000000006</v>
      </c>
      <c r="BV51" s="529">
        <f t="shared" si="163"/>
        <v>0.76354200000000005</v>
      </c>
      <c r="BW51" s="529">
        <f t="shared" si="164"/>
        <v>0.78613200000000005</v>
      </c>
      <c r="BX51" s="529">
        <f t="shared" si="28"/>
        <v>0.81022799999999995</v>
      </c>
      <c r="BY51" s="529">
        <f t="shared" si="29"/>
        <v>0.83432399999999995</v>
      </c>
      <c r="BZ51" s="529">
        <f t="shared" si="30"/>
        <v>0.85992599999999997</v>
      </c>
      <c r="CB51" s="529">
        <f t="shared" si="165"/>
        <v>0</v>
      </c>
      <c r="CC51" s="529">
        <f t="shared" si="166"/>
        <v>0</v>
      </c>
      <c r="CD51" s="529">
        <f t="shared" si="167"/>
        <v>0</v>
      </c>
      <c r="CE51" s="529">
        <f t="shared" si="168"/>
        <v>0</v>
      </c>
      <c r="CF51" s="529">
        <f t="shared" si="169"/>
        <v>3467.2040000000002</v>
      </c>
      <c r="CG51" s="529">
        <f t="shared" si="170"/>
        <v>0</v>
      </c>
      <c r="CH51" s="529">
        <f t="shared" si="171"/>
        <v>5920.2</v>
      </c>
      <c r="CI51" s="529">
        <f t="shared" si="172"/>
        <v>1017.5200000000001</v>
      </c>
      <c r="CJ51" s="529">
        <f t="shared" si="173"/>
        <v>862.5</v>
      </c>
      <c r="CK51" s="529">
        <f t="shared" si="174"/>
        <v>692.76</v>
      </c>
      <c r="CL51" s="529">
        <f t="shared" si="175"/>
        <v>692.76</v>
      </c>
      <c r="CM51" s="529">
        <f t="shared" si="176"/>
        <v>692.76</v>
      </c>
      <c r="CN51" s="529">
        <f t="shared" si="177"/>
        <v>692.76</v>
      </c>
      <c r="CO51" s="529">
        <f t="shared" si="178"/>
        <v>692.76</v>
      </c>
      <c r="CP51" s="529">
        <f t="shared" si="31"/>
        <v>692.76</v>
      </c>
      <c r="CQ51" s="529">
        <f t="shared" si="32"/>
        <v>692.76</v>
      </c>
      <c r="CR51" s="529">
        <f t="shared" si="33"/>
        <v>692.76</v>
      </c>
    </row>
    <row r="52" spans="1:96" x14ac:dyDescent="0.2">
      <c r="A52" s="761" t="s">
        <v>625</v>
      </c>
      <c r="B52" s="537" t="s">
        <v>494</v>
      </c>
      <c r="C52" s="538"/>
      <c r="D52" s="549"/>
      <c r="E52" s="540">
        <f>C52*D52/1000000</f>
        <v>0</v>
      </c>
      <c r="F52" s="541"/>
      <c r="G52" s="539"/>
      <c r="H52" s="540">
        <f>F52*G52/1000000</f>
        <v>0</v>
      </c>
      <c r="I52" s="538"/>
      <c r="J52" s="539"/>
      <c r="K52" s="540">
        <f>I52*J52/1000000</f>
        <v>0</v>
      </c>
      <c r="L52" s="538">
        <v>722.7</v>
      </c>
      <c r="M52" s="539">
        <v>281</v>
      </c>
      <c r="N52" s="540">
        <f>L52*M52/1000000</f>
        <v>0.2030787</v>
      </c>
      <c r="O52" s="538">
        <v>192.7</v>
      </c>
      <c r="P52" s="539">
        <v>291</v>
      </c>
      <c r="Q52" s="540">
        <f>O52*P52/1000000</f>
        <v>5.6075699999999999E-2</v>
      </c>
      <c r="R52" s="538">
        <f>510.4+187.5</f>
        <v>697.9</v>
      </c>
      <c r="S52" s="539">
        <v>368</v>
      </c>
      <c r="T52" s="540">
        <f>R52*S52/1000000</f>
        <v>0.25682719999999998</v>
      </c>
      <c r="U52" s="538">
        <v>1000</v>
      </c>
      <c r="V52" s="629">
        <v>427</v>
      </c>
      <c r="W52" s="540">
        <f>U52*V52/1000000</f>
        <v>0.42699999999999999</v>
      </c>
      <c r="X52" s="538">
        <f>ROUND(+U52*X$1,0)</f>
        <v>1106</v>
      </c>
      <c r="Y52" s="539">
        <f t="shared" ref="Y52:Y55" si="232">ROUND(V52*(1+Y$1),0)</f>
        <v>440</v>
      </c>
      <c r="Z52" s="540">
        <f>X52*Y52/1000000</f>
        <v>0.48664000000000002</v>
      </c>
      <c r="AA52" s="538">
        <f>ROUND(+X52*AA$1,0)</f>
        <v>938</v>
      </c>
      <c r="AB52" s="539">
        <f t="shared" ref="AB52:AB55" si="233">ROUND(Y52*(1+AB$1),0)</f>
        <v>453</v>
      </c>
      <c r="AC52" s="540">
        <f>AA52*AB52/1000000</f>
        <v>0.42491400000000001</v>
      </c>
      <c r="AD52" s="538">
        <f>ROUND(+AA52*AD$1,0)</f>
        <v>754</v>
      </c>
      <c r="AE52" s="539">
        <f t="shared" ref="AE52:AE55" si="234">ROUND(AB52*(1+AE$1),0)</f>
        <v>467</v>
      </c>
      <c r="AF52" s="540">
        <f>AD52*AE52/1000000</f>
        <v>0.35211799999999999</v>
      </c>
      <c r="AG52" s="538">
        <f>ROUND(+AD52*AG$1,0)</f>
        <v>754</v>
      </c>
      <c r="AH52" s="539">
        <f t="shared" ref="AH52:AH55" si="235">ROUND(AE52*(1+AH$1),0)</f>
        <v>481</v>
      </c>
      <c r="AI52" s="540">
        <f>AG52*AH52/1000000</f>
        <v>0.362674</v>
      </c>
      <c r="AJ52" s="538">
        <f>ROUND(+AG52*AJ$1,0)</f>
        <v>754</v>
      </c>
      <c r="AK52" s="539">
        <f t="shared" ref="AK52:AK55" si="236">ROUND(AH52*(1+AK$1),0)</f>
        <v>495</v>
      </c>
      <c r="AL52" s="540">
        <f>AJ52*AK52/1000000</f>
        <v>0.37323000000000001</v>
      </c>
      <c r="AM52" s="538">
        <f>ROUND(+AJ52*AM$1,0)</f>
        <v>754</v>
      </c>
      <c r="AN52" s="539">
        <f t="shared" ref="AN52:AN55" si="237">ROUND(AK52*(1+AN$1),0)</f>
        <v>510</v>
      </c>
      <c r="AO52" s="540">
        <f>AM52*AN52/1000000</f>
        <v>0.38453999999999999</v>
      </c>
      <c r="AP52" s="538">
        <f>ROUND(+AM52*AP$1,0)</f>
        <v>754</v>
      </c>
      <c r="AQ52" s="539">
        <f t="shared" ref="AQ52:AQ55" si="238">ROUND(AN52*(1+AQ$1),0)</f>
        <v>525</v>
      </c>
      <c r="AR52" s="540">
        <f>AP52*AQ52/1000000</f>
        <v>0.39584999999999998</v>
      </c>
      <c r="AS52" s="538">
        <f>ROUND(+AP52*AS$1,0)</f>
        <v>754</v>
      </c>
      <c r="AT52" s="539">
        <f t="shared" ref="AT52:AT55" si="239">ROUND(AQ52*(1+AT$1),0)</f>
        <v>541</v>
      </c>
      <c r="AU52" s="540">
        <f>AS52*AT52/1000000</f>
        <v>0.407914</v>
      </c>
      <c r="AV52" s="538">
        <f>ROUND(+AS52*AV$1,0)</f>
        <v>754</v>
      </c>
      <c r="AW52" s="539">
        <f t="shared" ref="AW52:AW55" si="240">ROUND(AT52*(1+AW$1),0)</f>
        <v>557</v>
      </c>
      <c r="AX52" s="540">
        <f>AV52*AW52/1000000</f>
        <v>0.41997800000000002</v>
      </c>
      <c r="AY52" s="538">
        <f>ROUND(+AV52*AY$1,0)</f>
        <v>754</v>
      </c>
      <c r="AZ52" s="539">
        <f t="shared" ref="AZ52:AZ55" si="241">ROUND(AW52*(1+AZ$1),0)</f>
        <v>574</v>
      </c>
      <c r="BA52" s="540">
        <f>AY52*AZ52/1000000</f>
        <v>0.43279600000000001</v>
      </c>
      <c r="BJ52" s="529">
        <f t="shared" si="151"/>
        <v>0</v>
      </c>
      <c r="BK52" s="529">
        <f t="shared" si="152"/>
        <v>0</v>
      </c>
      <c r="BL52" s="529">
        <f t="shared" si="153"/>
        <v>0</v>
      </c>
      <c r="BM52" s="529">
        <f t="shared" si="154"/>
        <v>0.2030787</v>
      </c>
      <c r="BN52" s="529">
        <f t="shared" si="155"/>
        <v>5.6075699999999999E-2</v>
      </c>
      <c r="BO52" s="529">
        <f t="shared" si="156"/>
        <v>0.25682719999999998</v>
      </c>
      <c r="BP52" s="529">
        <f t="shared" si="157"/>
        <v>0.42699999999999999</v>
      </c>
      <c r="BQ52" s="529">
        <f t="shared" si="158"/>
        <v>0.48664000000000002</v>
      </c>
      <c r="BR52" s="529">
        <f t="shared" si="159"/>
        <v>0.42491400000000001</v>
      </c>
      <c r="BS52" s="529">
        <f t="shared" si="160"/>
        <v>0.35211799999999999</v>
      </c>
      <c r="BT52" s="529">
        <f t="shared" si="161"/>
        <v>0.362674</v>
      </c>
      <c r="BU52" s="529">
        <f t="shared" si="162"/>
        <v>0.37323000000000001</v>
      </c>
      <c r="BV52" s="529">
        <f t="shared" si="163"/>
        <v>0.38453999999999999</v>
      </c>
      <c r="BW52" s="529">
        <f t="shared" si="164"/>
        <v>0.39584999999999998</v>
      </c>
      <c r="BX52" s="529">
        <f t="shared" si="28"/>
        <v>0.407914</v>
      </c>
      <c r="BY52" s="529">
        <f t="shared" si="29"/>
        <v>0.41997800000000002</v>
      </c>
      <c r="BZ52" s="529">
        <f t="shared" si="30"/>
        <v>0.43279600000000001</v>
      </c>
      <c r="CB52" s="529">
        <f t="shared" si="165"/>
        <v>0</v>
      </c>
      <c r="CC52" s="529">
        <f t="shared" si="166"/>
        <v>0</v>
      </c>
      <c r="CD52" s="529">
        <f t="shared" si="167"/>
        <v>0</v>
      </c>
      <c r="CE52" s="529">
        <f t="shared" si="168"/>
        <v>722.7</v>
      </c>
      <c r="CF52" s="529">
        <f t="shared" si="169"/>
        <v>192.7</v>
      </c>
      <c r="CG52" s="529">
        <f t="shared" si="170"/>
        <v>697.9</v>
      </c>
      <c r="CH52" s="529">
        <f t="shared" si="171"/>
        <v>1000</v>
      </c>
      <c r="CI52" s="529">
        <f t="shared" si="172"/>
        <v>1106</v>
      </c>
      <c r="CJ52" s="529">
        <f t="shared" si="173"/>
        <v>938</v>
      </c>
      <c r="CK52" s="529">
        <f t="shared" si="174"/>
        <v>754</v>
      </c>
      <c r="CL52" s="529">
        <f t="shared" si="175"/>
        <v>754</v>
      </c>
      <c r="CM52" s="529">
        <f t="shared" si="176"/>
        <v>754</v>
      </c>
      <c r="CN52" s="529">
        <f t="shared" si="177"/>
        <v>754</v>
      </c>
      <c r="CO52" s="529">
        <f t="shared" si="178"/>
        <v>754</v>
      </c>
      <c r="CP52" s="529">
        <f t="shared" si="31"/>
        <v>754</v>
      </c>
      <c r="CQ52" s="529">
        <f t="shared" si="32"/>
        <v>754</v>
      </c>
      <c r="CR52" s="529">
        <f t="shared" si="33"/>
        <v>754</v>
      </c>
    </row>
    <row r="53" spans="1:96" x14ac:dyDescent="0.2">
      <c r="A53" s="761"/>
      <c r="B53" s="537" t="s">
        <v>618</v>
      </c>
      <c r="C53" s="538"/>
      <c r="D53" s="549"/>
      <c r="E53" s="540">
        <f t="shared" si="189"/>
        <v>0</v>
      </c>
      <c r="F53" s="541"/>
      <c r="G53" s="539"/>
      <c r="H53" s="540">
        <f t="shared" si="190"/>
        <v>0</v>
      </c>
      <c r="I53" s="538"/>
      <c r="J53" s="539"/>
      <c r="K53" s="540">
        <f t="shared" si="191"/>
        <v>0</v>
      </c>
      <c r="L53" s="538"/>
      <c r="M53" s="539"/>
      <c r="N53" s="540">
        <f t="shared" si="192"/>
        <v>0</v>
      </c>
      <c r="O53" s="538"/>
      <c r="P53" s="539"/>
      <c r="Q53" s="540">
        <f t="shared" si="193"/>
        <v>0</v>
      </c>
      <c r="R53" s="538"/>
      <c r="S53" s="539"/>
      <c r="T53" s="540">
        <f t="shared" si="194"/>
        <v>0</v>
      </c>
      <c r="U53" s="538"/>
      <c r="V53" s="629"/>
      <c r="W53" s="540">
        <f t="shared" si="195"/>
        <v>0</v>
      </c>
      <c r="X53" s="538"/>
      <c r="Y53" s="539">
        <f t="shared" si="232"/>
        <v>0</v>
      </c>
      <c r="Z53" s="540">
        <f t="shared" si="196"/>
        <v>0</v>
      </c>
      <c r="AA53" s="538"/>
      <c r="AB53" s="539">
        <f t="shared" si="233"/>
        <v>0</v>
      </c>
      <c r="AC53" s="540">
        <f t="shared" si="197"/>
        <v>0</v>
      </c>
      <c r="AD53" s="538"/>
      <c r="AE53" s="539">
        <f t="shared" si="234"/>
        <v>0</v>
      </c>
      <c r="AF53" s="540">
        <f t="shared" si="198"/>
        <v>0</v>
      </c>
      <c r="AG53" s="538"/>
      <c r="AH53" s="539">
        <f t="shared" si="235"/>
        <v>0</v>
      </c>
      <c r="AI53" s="540">
        <f t="shared" si="199"/>
        <v>0</v>
      </c>
      <c r="AJ53" s="538"/>
      <c r="AK53" s="539">
        <f t="shared" si="236"/>
        <v>0</v>
      </c>
      <c r="AL53" s="540">
        <f t="shared" si="200"/>
        <v>0</v>
      </c>
      <c r="AM53" s="538"/>
      <c r="AN53" s="539">
        <f t="shared" si="237"/>
        <v>0</v>
      </c>
      <c r="AO53" s="540">
        <f t="shared" si="201"/>
        <v>0</v>
      </c>
      <c r="AP53" s="538"/>
      <c r="AQ53" s="539">
        <f t="shared" si="238"/>
        <v>0</v>
      </c>
      <c r="AR53" s="540">
        <f t="shared" si="202"/>
        <v>0</v>
      </c>
      <c r="AS53" s="538"/>
      <c r="AT53" s="539">
        <f t="shared" si="239"/>
        <v>0</v>
      </c>
      <c r="AU53" s="540">
        <f t="shared" ref="AU53:AU55" si="242">AS53*AT53/1000000</f>
        <v>0</v>
      </c>
      <c r="AV53" s="538"/>
      <c r="AW53" s="539">
        <f t="shared" si="240"/>
        <v>0</v>
      </c>
      <c r="AX53" s="540">
        <f t="shared" ref="AX53:AX55" si="243">AV53*AW53/1000000</f>
        <v>0</v>
      </c>
      <c r="AY53" s="538"/>
      <c r="AZ53" s="539">
        <f t="shared" si="241"/>
        <v>0</v>
      </c>
      <c r="BA53" s="540">
        <f t="shared" ref="BA53:BA55" si="244">AY53*AZ53/1000000</f>
        <v>0</v>
      </c>
      <c r="BJ53" s="529">
        <f t="shared" si="151"/>
        <v>0</v>
      </c>
      <c r="BK53" s="529">
        <f t="shared" si="152"/>
        <v>0</v>
      </c>
      <c r="BL53" s="529">
        <f t="shared" si="153"/>
        <v>0</v>
      </c>
      <c r="BM53" s="529">
        <f t="shared" si="154"/>
        <v>0</v>
      </c>
      <c r="BN53" s="529">
        <f t="shared" si="155"/>
        <v>0</v>
      </c>
      <c r="BO53" s="529">
        <f t="shared" si="156"/>
        <v>0</v>
      </c>
      <c r="BP53" s="529">
        <f t="shared" si="157"/>
        <v>0</v>
      </c>
      <c r="BQ53" s="529">
        <f t="shared" si="158"/>
        <v>0</v>
      </c>
      <c r="BR53" s="529">
        <f t="shared" si="159"/>
        <v>0</v>
      </c>
      <c r="BS53" s="529">
        <f t="shared" si="160"/>
        <v>0</v>
      </c>
      <c r="BT53" s="529">
        <f t="shared" si="161"/>
        <v>0</v>
      </c>
      <c r="BU53" s="529">
        <f t="shared" si="162"/>
        <v>0</v>
      </c>
      <c r="BV53" s="529">
        <f t="shared" si="163"/>
        <v>0</v>
      </c>
      <c r="BW53" s="529">
        <f t="shared" si="164"/>
        <v>0</v>
      </c>
      <c r="BX53" s="529">
        <f t="shared" si="28"/>
        <v>0</v>
      </c>
      <c r="BY53" s="529">
        <f t="shared" si="29"/>
        <v>0</v>
      </c>
      <c r="BZ53" s="529">
        <f t="shared" si="30"/>
        <v>0</v>
      </c>
      <c r="CB53" s="529">
        <f t="shared" si="165"/>
        <v>0</v>
      </c>
      <c r="CC53" s="529">
        <f t="shared" si="166"/>
        <v>0</v>
      </c>
      <c r="CD53" s="529">
        <f t="shared" si="167"/>
        <v>0</v>
      </c>
      <c r="CE53" s="529">
        <f t="shared" si="168"/>
        <v>0</v>
      </c>
      <c r="CF53" s="529">
        <f t="shared" si="169"/>
        <v>0</v>
      </c>
      <c r="CG53" s="529">
        <f t="shared" si="170"/>
        <v>0</v>
      </c>
      <c r="CH53" s="529">
        <f t="shared" si="171"/>
        <v>0</v>
      </c>
      <c r="CI53" s="529">
        <f t="shared" si="172"/>
        <v>0</v>
      </c>
      <c r="CJ53" s="529">
        <f t="shared" si="173"/>
        <v>0</v>
      </c>
      <c r="CK53" s="529">
        <f t="shared" si="174"/>
        <v>0</v>
      </c>
      <c r="CL53" s="529">
        <f t="shared" si="175"/>
        <v>0</v>
      </c>
      <c r="CM53" s="529">
        <f t="shared" si="176"/>
        <v>0</v>
      </c>
      <c r="CN53" s="529">
        <f t="shared" si="177"/>
        <v>0</v>
      </c>
      <c r="CO53" s="529">
        <f t="shared" si="178"/>
        <v>0</v>
      </c>
      <c r="CP53" s="529">
        <f t="shared" si="31"/>
        <v>0</v>
      </c>
      <c r="CQ53" s="529">
        <f t="shared" si="32"/>
        <v>0</v>
      </c>
      <c r="CR53" s="529">
        <f t="shared" si="33"/>
        <v>0</v>
      </c>
    </row>
    <row r="54" spans="1:96" x14ac:dyDescent="0.2">
      <c r="A54" s="761"/>
      <c r="B54" s="537" t="s">
        <v>495</v>
      </c>
      <c r="C54" s="538"/>
      <c r="D54" s="549"/>
      <c r="E54" s="540">
        <f t="shared" si="189"/>
        <v>0</v>
      </c>
      <c r="F54" s="541"/>
      <c r="G54" s="539"/>
      <c r="H54" s="540">
        <f t="shared" si="190"/>
        <v>0</v>
      </c>
      <c r="I54" s="538"/>
      <c r="J54" s="539"/>
      <c r="K54" s="540">
        <f t="shared" si="191"/>
        <v>0</v>
      </c>
      <c r="L54" s="538"/>
      <c r="M54" s="539"/>
      <c r="N54" s="540">
        <f t="shared" si="192"/>
        <v>0</v>
      </c>
      <c r="O54" s="538"/>
      <c r="P54" s="539"/>
      <c r="Q54" s="540">
        <f t="shared" si="193"/>
        <v>0</v>
      </c>
      <c r="R54" s="538">
        <f>187.5+125+250+812.5+125</f>
        <v>1500</v>
      </c>
      <c r="S54" s="539">
        <v>236</v>
      </c>
      <c r="T54" s="540">
        <f t="shared" si="194"/>
        <v>0.35399999999999998</v>
      </c>
      <c r="U54" s="538">
        <v>2000</v>
      </c>
      <c r="V54" s="629">
        <v>245</v>
      </c>
      <c r="W54" s="540">
        <f t="shared" si="195"/>
        <v>0.49</v>
      </c>
      <c r="X54" s="538">
        <f>ROUND(+U54*X$1,0)</f>
        <v>2212</v>
      </c>
      <c r="Y54" s="539">
        <f t="shared" si="232"/>
        <v>252</v>
      </c>
      <c r="Z54" s="540">
        <f t="shared" si="196"/>
        <v>0.55742400000000003</v>
      </c>
      <c r="AA54" s="538">
        <f>ROUND(+X54*AA$1,0)</f>
        <v>1875</v>
      </c>
      <c r="AB54" s="539">
        <f t="shared" si="233"/>
        <v>260</v>
      </c>
      <c r="AC54" s="540">
        <f t="shared" si="197"/>
        <v>0.48749999999999999</v>
      </c>
      <c r="AD54" s="538">
        <f>ROUND(+AA54*AD$1,0)</f>
        <v>1506</v>
      </c>
      <c r="AE54" s="539">
        <f t="shared" si="234"/>
        <v>268</v>
      </c>
      <c r="AF54" s="540">
        <f t="shared" si="198"/>
        <v>0.40360800000000002</v>
      </c>
      <c r="AG54" s="538">
        <f>ROUND(+AD54*AG$1,0)</f>
        <v>1506</v>
      </c>
      <c r="AH54" s="539">
        <f t="shared" si="235"/>
        <v>276</v>
      </c>
      <c r="AI54" s="540">
        <f t="shared" si="199"/>
        <v>0.41565600000000003</v>
      </c>
      <c r="AJ54" s="538">
        <f>ROUND(+AG54*AJ$1,0)</f>
        <v>1506</v>
      </c>
      <c r="AK54" s="539">
        <f t="shared" si="236"/>
        <v>284</v>
      </c>
      <c r="AL54" s="540">
        <f t="shared" si="200"/>
        <v>0.42770399999999997</v>
      </c>
      <c r="AM54" s="538">
        <f>ROUND(+AJ54*AM$1,0)</f>
        <v>1506</v>
      </c>
      <c r="AN54" s="539">
        <f t="shared" si="237"/>
        <v>293</v>
      </c>
      <c r="AO54" s="540">
        <f t="shared" si="201"/>
        <v>0.44125799999999998</v>
      </c>
      <c r="AP54" s="538">
        <f>ROUND(+AM54*AP$1,0)</f>
        <v>1506</v>
      </c>
      <c r="AQ54" s="539">
        <f t="shared" si="238"/>
        <v>302</v>
      </c>
      <c r="AR54" s="540">
        <f t="shared" si="202"/>
        <v>0.45481199999999999</v>
      </c>
      <c r="AS54" s="538">
        <f>ROUND(+AP54*AS$1,0)</f>
        <v>1506</v>
      </c>
      <c r="AT54" s="539">
        <f t="shared" si="239"/>
        <v>311</v>
      </c>
      <c r="AU54" s="540">
        <f t="shared" si="242"/>
        <v>0.468366</v>
      </c>
      <c r="AV54" s="538">
        <f>ROUND(+AS54*AV$1,0)</f>
        <v>1506</v>
      </c>
      <c r="AW54" s="539">
        <f t="shared" si="240"/>
        <v>320</v>
      </c>
      <c r="AX54" s="540">
        <f t="shared" si="243"/>
        <v>0.48192000000000002</v>
      </c>
      <c r="AY54" s="538">
        <f>ROUND(+AV54*AY$1,0)</f>
        <v>1506</v>
      </c>
      <c r="AZ54" s="539">
        <f t="shared" si="241"/>
        <v>330</v>
      </c>
      <c r="BA54" s="540">
        <f t="shared" si="244"/>
        <v>0.49697999999999998</v>
      </c>
      <c r="BJ54" s="529">
        <f t="shared" si="151"/>
        <v>0</v>
      </c>
      <c r="BK54" s="529">
        <f t="shared" si="152"/>
        <v>0</v>
      </c>
      <c r="BL54" s="529">
        <f t="shared" si="153"/>
        <v>0</v>
      </c>
      <c r="BM54" s="529">
        <f t="shared" si="154"/>
        <v>0</v>
      </c>
      <c r="BN54" s="529">
        <f t="shared" si="155"/>
        <v>0</v>
      </c>
      <c r="BO54" s="529">
        <f t="shared" si="156"/>
        <v>0.35399999999999998</v>
      </c>
      <c r="BP54" s="529">
        <f t="shared" si="157"/>
        <v>0.49</v>
      </c>
      <c r="BQ54" s="529">
        <f t="shared" si="158"/>
        <v>0.55742400000000003</v>
      </c>
      <c r="BR54" s="529">
        <f t="shared" si="159"/>
        <v>0.48749999999999999</v>
      </c>
      <c r="BS54" s="529">
        <f t="shared" si="160"/>
        <v>0.40360800000000002</v>
      </c>
      <c r="BT54" s="529">
        <f t="shared" si="161"/>
        <v>0.41565600000000003</v>
      </c>
      <c r="BU54" s="529">
        <f t="shared" si="162"/>
        <v>0.42770399999999997</v>
      </c>
      <c r="BV54" s="529">
        <f t="shared" si="163"/>
        <v>0.44125799999999998</v>
      </c>
      <c r="BW54" s="529">
        <f t="shared" si="164"/>
        <v>0.45481199999999999</v>
      </c>
      <c r="BX54" s="529">
        <f t="shared" si="28"/>
        <v>0.468366</v>
      </c>
      <c r="BY54" s="529">
        <f t="shared" si="29"/>
        <v>0.48192000000000002</v>
      </c>
      <c r="BZ54" s="529">
        <f t="shared" si="30"/>
        <v>0.49697999999999998</v>
      </c>
      <c r="CB54" s="529">
        <f t="shared" si="165"/>
        <v>0</v>
      </c>
      <c r="CC54" s="529">
        <f t="shared" si="166"/>
        <v>0</v>
      </c>
      <c r="CD54" s="529">
        <f t="shared" si="167"/>
        <v>0</v>
      </c>
      <c r="CE54" s="529">
        <f t="shared" si="168"/>
        <v>0</v>
      </c>
      <c r="CF54" s="529">
        <f t="shared" si="169"/>
        <v>0</v>
      </c>
      <c r="CG54" s="529">
        <f t="shared" si="170"/>
        <v>1500</v>
      </c>
      <c r="CH54" s="529">
        <f t="shared" si="171"/>
        <v>2000</v>
      </c>
      <c r="CI54" s="529">
        <f t="shared" si="172"/>
        <v>2212</v>
      </c>
      <c r="CJ54" s="529">
        <f t="shared" si="173"/>
        <v>1875</v>
      </c>
      <c r="CK54" s="529">
        <f t="shared" si="174"/>
        <v>1506</v>
      </c>
      <c r="CL54" s="529">
        <f t="shared" si="175"/>
        <v>1506</v>
      </c>
      <c r="CM54" s="529">
        <f t="shared" si="176"/>
        <v>1506</v>
      </c>
      <c r="CN54" s="529">
        <f t="shared" si="177"/>
        <v>1506</v>
      </c>
      <c r="CO54" s="529">
        <f t="shared" si="178"/>
        <v>1506</v>
      </c>
      <c r="CP54" s="529">
        <f t="shared" si="31"/>
        <v>1506</v>
      </c>
      <c r="CQ54" s="529">
        <f t="shared" si="32"/>
        <v>1506</v>
      </c>
      <c r="CR54" s="529">
        <f t="shared" si="33"/>
        <v>1506</v>
      </c>
    </row>
    <row r="55" spans="1:96" x14ac:dyDescent="0.2">
      <c r="A55" s="761"/>
      <c r="B55" s="537" t="s">
        <v>113</v>
      </c>
      <c r="C55" s="538"/>
      <c r="D55" s="549"/>
      <c r="E55" s="540">
        <f t="shared" si="189"/>
        <v>0</v>
      </c>
      <c r="F55" s="541"/>
      <c r="G55" s="539"/>
      <c r="H55" s="540">
        <f t="shared" si="190"/>
        <v>0</v>
      </c>
      <c r="I55" s="538"/>
      <c r="J55" s="539"/>
      <c r="K55" s="540">
        <f t="shared" si="191"/>
        <v>0</v>
      </c>
      <c r="L55" s="538"/>
      <c r="M55" s="539"/>
      <c r="N55" s="540">
        <f t="shared" si="192"/>
        <v>0</v>
      </c>
      <c r="O55" s="538"/>
      <c r="P55" s="539"/>
      <c r="Q55" s="540">
        <f t="shared" si="193"/>
        <v>0</v>
      </c>
      <c r="R55" s="538"/>
      <c r="S55" s="539"/>
      <c r="T55" s="540">
        <f t="shared" si="194"/>
        <v>0</v>
      </c>
      <c r="U55" s="538"/>
      <c r="V55" s="629"/>
      <c r="W55" s="540">
        <f t="shared" si="195"/>
        <v>0</v>
      </c>
      <c r="X55" s="538"/>
      <c r="Y55" s="539">
        <f t="shared" si="232"/>
        <v>0</v>
      </c>
      <c r="Z55" s="540">
        <f t="shared" si="196"/>
        <v>0</v>
      </c>
      <c r="AA55" s="538"/>
      <c r="AB55" s="539">
        <f t="shared" si="233"/>
        <v>0</v>
      </c>
      <c r="AC55" s="540">
        <f t="shared" si="197"/>
        <v>0</v>
      </c>
      <c r="AD55" s="538"/>
      <c r="AE55" s="539">
        <f t="shared" si="234"/>
        <v>0</v>
      </c>
      <c r="AF55" s="540">
        <f t="shared" si="198"/>
        <v>0</v>
      </c>
      <c r="AG55" s="538"/>
      <c r="AH55" s="539">
        <f t="shared" si="235"/>
        <v>0</v>
      </c>
      <c r="AI55" s="540">
        <f t="shared" si="199"/>
        <v>0</v>
      </c>
      <c r="AJ55" s="538"/>
      <c r="AK55" s="539">
        <f t="shared" si="236"/>
        <v>0</v>
      </c>
      <c r="AL55" s="540">
        <f t="shared" si="200"/>
        <v>0</v>
      </c>
      <c r="AM55" s="538"/>
      <c r="AN55" s="539">
        <f t="shared" si="237"/>
        <v>0</v>
      </c>
      <c r="AO55" s="540">
        <f t="shared" si="201"/>
        <v>0</v>
      </c>
      <c r="AP55" s="538"/>
      <c r="AQ55" s="539">
        <f t="shared" si="238"/>
        <v>0</v>
      </c>
      <c r="AR55" s="540">
        <f t="shared" si="202"/>
        <v>0</v>
      </c>
      <c r="AS55" s="538"/>
      <c r="AT55" s="539">
        <f t="shared" si="239"/>
        <v>0</v>
      </c>
      <c r="AU55" s="540">
        <f t="shared" si="242"/>
        <v>0</v>
      </c>
      <c r="AV55" s="538"/>
      <c r="AW55" s="539">
        <f t="shared" si="240"/>
        <v>0</v>
      </c>
      <c r="AX55" s="540">
        <f t="shared" si="243"/>
        <v>0</v>
      </c>
      <c r="AY55" s="538"/>
      <c r="AZ55" s="539">
        <f t="shared" si="241"/>
        <v>0</v>
      </c>
      <c r="BA55" s="540">
        <f t="shared" si="244"/>
        <v>0</v>
      </c>
      <c r="BJ55" s="529">
        <f t="shared" si="151"/>
        <v>0</v>
      </c>
      <c r="BK55" s="529">
        <f t="shared" si="152"/>
        <v>0</v>
      </c>
      <c r="BL55" s="529">
        <f t="shared" si="153"/>
        <v>0</v>
      </c>
      <c r="BM55" s="529">
        <f t="shared" si="154"/>
        <v>0</v>
      </c>
      <c r="BN55" s="529">
        <f t="shared" si="155"/>
        <v>0</v>
      </c>
      <c r="BO55" s="529">
        <f t="shared" si="156"/>
        <v>0</v>
      </c>
      <c r="BP55" s="529">
        <f t="shared" si="157"/>
        <v>0</v>
      </c>
      <c r="BQ55" s="529">
        <f t="shared" si="158"/>
        <v>0</v>
      </c>
      <c r="BR55" s="529">
        <f t="shared" si="159"/>
        <v>0</v>
      </c>
      <c r="BS55" s="529">
        <f t="shared" si="160"/>
        <v>0</v>
      </c>
      <c r="BT55" s="529">
        <f t="shared" si="161"/>
        <v>0</v>
      </c>
      <c r="BU55" s="529">
        <f t="shared" si="162"/>
        <v>0</v>
      </c>
      <c r="BV55" s="529">
        <f t="shared" si="163"/>
        <v>0</v>
      </c>
      <c r="BW55" s="529">
        <f t="shared" si="164"/>
        <v>0</v>
      </c>
      <c r="BX55" s="529">
        <f t="shared" si="28"/>
        <v>0</v>
      </c>
      <c r="BY55" s="529">
        <f t="shared" si="29"/>
        <v>0</v>
      </c>
      <c r="BZ55" s="529">
        <f t="shared" si="30"/>
        <v>0</v>
      </c>
      <c r="CB55" s="529">
        <f t="shared" si="165"/>
        <v>0</v>
      </c>
      <c r="CC55" s="529">
        <f t="shared" si="166"/>
        <v>0</v>
      </c>
      <c r="CD55" s="529">
        <f t="shared" si="167"/>
        <v>0</v>
      </c>
      <c r="CE55" s="529">
        <f t="shared" si="168"/>
        <v>0</v>
      </c>
      <c r="CF55" s="529">
        <f t="shared" si="169"/>
        <v>0</v>
      </c>
      <c r="CG55" s="529">
        <f t="shared" si="170"/>
        <v>0</v>
      </c>
      <c r="CH55" s="529">
        <f t="shared" si="171"/>
        <v>0</v>
      </c>
      <c r="CI55" s="529">
        <f t="shared" si="172"/>
        <v>0</v>
      </c>
      <c r="CJ55" s="529">
        <f t="shared" si="173"/>
        <v>0</v>
      </c>
      <c r="CK55" s="529">
        <f t="shared" si="174"/>
        <v>0</v>
      </c>
      <c r="CL55" s="529">
        <f t="shared" si="175"/>
        <v>0</v>
      </c>
      <c r="CM55" s="529">
        <f t="shared" si="176"/>
        <v>0</v>
      </c>
      <c r="CN55" s="529">
        <f t="shared" si="177"/>
        <v>0</v>
      </c>
      <c r="CO55" s="529">
        <f t="shared" si="178"/>
        <v>0</v>
      </c>
      <c r="CP55" s="529">
        <f t="shared" si="31"/>
        <v>0</v>
      </c>
      <c r="CQ55" s="529">
        <f t="shared" si="32"/>
        <v>0</v>
      </c>
      <c r="CR55" s="529">
        <f t="shared" si="33"/>
        <v>0</v>
      </c>
    </row>
    <row r="56" spans="1:96" ht="13.5" x14ac:dyDescent="0.25">
      <c r="A56" s="761"/>
      <c r="B56" s="537" t="s">
        <v>619</v>
      </c>
      <c r="C56" s="543">
        <f>C52*0.46+C53*0.46+C54*0.24+C55*0.24</f>
        <v>0</v>
      </c>
      <c r="D56" s="548"/>
      <c r="E56" s="545">
        <f>SUM(E52:E55)</f>
        <v>0</v>
      </c>
      <c r="F56" s="543">
        <f>F52*0.46+F53*0.46+F54*0.24+F55*0.24</f>
        <v>0</v>
      </c>
      <c r="G56" s="544"/>
      <c r="H56" s="545">
        <f>SUM(H52:H55)</f>
        <v>0</v>
      </c>
      <c r="I56" s="543">
        <f>I52*0.46+I53*0.46+I54*0.24+I55*0.24</f>
        <v>0</v>
      </c>
      <c r="J56" s="544"/>
      <c r="K56" s="545">
        <f>SUM(K52:K55)</f>
        <v>0</v>
      </c>
      <c r="L56" s="543">
        <f>L52*0.46+L53*0.46+L54*0.24+L55*0.24</f>
        <v>332.44200000000001</v>
      </c>
      <c r="M56" s="544"/>
      <c r="N56" s="545">
        <f>SUM(N52:N55)</f>
        <v>0.2030787</v>
      </c>
      <c r="O56" s="543">
        <f>O52*0.46+O53*0.46+O54*0.24+O55*0.24</f>
        <v>88.641999999999996</v>
      </c>
      <c r="P56" s="544"/>
      <c r="Q56" s="545">
        <f>SUM(Q52:Q55)</f>
        <v>5.6075699999999999E-2</v>
      </c>
      <c r="R56" s="543">
        <f>R52*0.46+R53*0.46+R54*0.24+R55*0.24</f>
        <v>681.03399999999999</v>
      </c>
      <c r="S56" s="544"/>
      <c r="T56" s="545">
        <f>SUM(T52:T55)</f>
        <v>0.6108271999999999</v>
      </c>
      <c r="U56" s="543">
        <f>U52*0.46+U53*0.46+U54*0.24+U55*0.24</f>
        <v>940</v>
      </c>
      <c r="V56" s="630"/>
      <c r="W56" s="545">
        <f>SUM(W52:W55)</f>
        <v>0.91700000000000004</v>
      </c>
      <c r="X56" s="543">
        <f>X52*0.46+X53*0.46+X54*0.24+X55*0.24</f>
        <v>1039.6400000000001</v>
      </c>
      <c r="Y56" s="548"/>
      <c r="Z56" s="545">
        <f>SUM(Z52:Z55)</f>
        <v>1.0440640000000001</v>
      </c>
      <c r="AA56" s="543">
        <f>AA52*0.46+AA53*0.46+AA54*0.24+AA55*0.24</f>
        <v>881.48</v>
      </c>
      <c r="AB56" s="548"/>
      <c r="AC56" s="545">
        <f>SUM(AC52:AC55)</f>
        <v>0.91241400000000006</v>
      </c>
      <c r="AD56" s="543">
        <f>AD52*0.46+AD53*0.46+AD54*0.24+AD55*0.24</f>
        <v>708.28</v>
      </c>
      <c r="AE56" s="548"/>
      <c r="AF56" s="545">
        <f>SUM(AF52:AF55)</f>
        <v>0.75572600000000001</v>
      </c>
      <c r="AG56" s="543">
        <f>AG52*0.46+AG53*0.46+AG54*0.24+AG55*0.24</f>
        <v>708.28</v>
      </c>
      <c r="AH56" s="548"/>
      <c r="AI56" s="545">
        <f>SUM(AI52:AI55)</f>
        <v>0.77832999999999997</v>
      </c>
      <c r="AJ56" s="543">
        <f>AJ52*0.46+AJ53*0.46+AJ54*0.24+AJ55*0.24</f>
        <v>708.28</v>
      </c>
      <c r="AK56" s="548"/>
      <c r="AL56" s="545">
        <f>SUM(AL52:AL55)</f>
        <v>0.80093400000000003</v>
      </c>
      <c r="AM56" s="543">
        <f>AM52*0.46+AM53*0.46+AM54*0.24+AM55*0.24</f>
        <v>708.28</v>
      </c>
      <c r="AN56" s="548"/>
      <c r="AO56" s="545">
        <f>SUM(AO52:AO55)</f>
        <v>0.82579800000000003</v>
      </c>
      <c r="AP56" s="543">
        <f>AP52*0.46+AP53*0.46+AP54*0.24+AP55*0.24</f>
        <v>708.28</v>
      </c>
      <c r="AQ56" s="548"/>
      <c r="AR56" s="545">
        <f>SUM(AR52:AR55)</f>
        <v>0.85066200000000003</v>
      </c>
      <c r="AS56" s="543">
        <f>AS52*0.46+AS53*0.46+AS54*0.24+AS55*0.24</f>
        <v>708.28</v>
      </c>
      <c r="AT56" s="548"/>
      <c r="AU56" s="545">
        <f>SUM(AU52:AU55)</f>
        <v>0.87627999999999995</v>
      </c>
      <c r="AV56" s="543">
        <f>AV52*0.46+AV53*0.46+AV54*0.24+AV55*0.24</f>
        <v>708.28</v>
      </c>
      <c r="AW56" s="548"/>
      <c r="AX56" s="545">
        <f>SUM(AX52:AX55)</f>
        <v>0.90189800000000009</v>
      </c>
      <c r="AY56" s="543">
        <f>AY52*0.46+AY53*0.46+AY54*0.24+AY55*0.24</f>
        <v>708.28</v>
      </c>
      <c r="AZ56" s="548"/>
      <c r="BA56" s="545">
        <f>SUM(BA52:BA55)</f>
        <v>0.92977599999999994</v>
      </c>
      <c r="BJ56" s="529">
        <f t="shared" si="151"/>
        <v>0</v>
      </c>
      <c r="BK56" s="529">
        <f t="shared" si="152"/>
        <v>0</v>
      </c>
      <c r="BL56" s="529">
        <f t="shared" si="153"/>
        <v>0</v>
      </c>
      <c r="BM56" s="529">
        <f t="shared" si="154"/>
        <v>0.2030787</v>
      </c>
      <c r="BN56" s="529">
        <f t="shared" si="155"/>
        <v>5.6075699999999999E-2</v>
      </c>
      <c r="BO56" s="529">
        <f t="shared" si="156"/>
        <v>0.6108271999999999</v>
      </c>
      <c r="BP56" s="529">
        <f t="shared" si="157"/>
        <v>0.91700000000000004</v>
      </c>
      <c r="BQ56" s="529">
        <f t="shared" si="158"/>
        <v>1.0440640000000001</v>
      </c>
      <c r="BR56" s="529">
        <f t="shared" si="159"/>
        <v>0.91241400000000006</v>
      </c>
      <c r="BS56" s="529">
        <f t="shared" si="160"/>
        <v>0.75572600000000001</v>
      </c>
      <c r="BT56" s="529">
        <f t="shared" si="161"/>
        <v>0.77832999999999997</v>
      </c>
      <c r="BU56" s="529">
        <f t="shared" si="162"/>
        <v>0.80093400000000003</v>
      </c>
      <c r="BV56" s="529">
        <f t="shared" si="163"/>
        <v>0.82579800000000003</v>
      </c>
      <c r="BW56" s="529">
        <f t="shared" si="164"/>
        <v>0.85066200000000003</v>
      </c>
      <c r="BX56" s="529">
        <f t="shared" si="28"/>
        <v>0.87627999999999995</v>
      </c>
      <c r="BY56" s="529">
        <f t="shared" si="29"/>
        <v>0.90189800000000009</v>
      </c>
      <c r="BZ56" s="529">
        <f t="shared" si="30"/>
        <v>0.92977599999999994</v>
      </c>
      <c r="CB56" s="529">
        <f t="shared" si="165"/>
        <v>0</v>
      </c>
      <c r="CC56" s="529">
        <f t="shared" si="166"/>
        <v>0</v>
      </c>
      <c r="CD56" s="529">
        <f t="shared" si="167"/>
        <v>0</v>
      </c>
      <c r="CE56" s="529">
        <f t="shared" si="168"/>
        <v>332.44200000000001</v>
      </c>
      <c r="CF56" s="529">
        <f t="shared" si="169"/>
        <v>88.641999999999996</v>
      </c>
      <c r="CG56" s="529">
        <f t="shared" si="170"/>
        <v>681.03399999999999</v>
      </c>
      <c r="CH56" s="529">
        <f t="shared" si="171"/>
        <v>940</v>
      </c>
      <c r="CI56" s="529">
        <f t="shared" si="172"/>
        <v>1039.6400000000001</v>
      </c>
      <c r="CJ56" s="529">
        <f t="shared" si="173"/>
        <v>881.48</v>
      </c>
      <c r="CK56" s="529">
        <f t="shared" si="174"/>
        <v>708.28</v>
      </c>
      <c r="CL56" s="529">
        <f t="shared" si="175"/>
        <v>708.28</v>
      </c>
      <c r="CM56" s="529">
        <f t="shared" si="176"/>
        <v>708.28</v>
      </c>
      <c r="CN56" s="529">
        <f t="shared" si="177"/>
        <v>708.28</v>
      </c>
      <c r="CO56" s="529">
        <f t="shared" si="178"/>
        <v>708.28</v>
      </c>
      <c r="CP56" s="529">
        <f t="shared" si="31"/>
        <v>708.28</v>
      </c>
      <c r="CQ56" s="529">
        <f t="shared" si="32"/>
        <v>708.28</v>
      </c>
      <c r="CR56" s="529">
        <f t="shared" si="33"/>
        <v>708.28</v>
      </c>
    </row>
    <row r="57" spans="1:96" x14ac:dyDescent="0.2">
      <c r="A57" s="761" t="s">
        <v>626</v>
      </c>
      <c r="B57" s="537" t="s">
        <v>494</v>
      </c>
      <c r="C57" s="538"/>
      <c r="D57" s="549"/>
      <c r="E57" s="540">
        <f>C57*D57/1000000</f>
        <v>0</v>
      </c>
      <c r="F57" s="538">
        <v>24879.05</v>
      </c>
      <c r="G57" s="539">
        <v>234</v>
      </c>
      <c r="H57" s="540">
        <f>F57*G57/1000000</f>
        <v>5.8216977000000005</v>
      </c>
      <c r="I57" s="538">
        <v>16065.35</v>
      </c>
      <c r="J57" s="539">
        <v>575</v>
      </c>
      <c r="K57" s="540">
        <f>I57*J57/1000000</f>
        <v>9.23757625</v>
      </c>
      <c r="L57" s="538">
        <v>4000</v>
      </c>
      <c r="M57" s="539">
        <v>218</v>
      </c>
      <c r="N57" s="540">
        <f>L57*M57/1000000</f>
        <v>0.872</v>
      </c>
      <c r="O57" s="538">
        <v>17428.8</v>
      </c>
      <c r="P57" s="539">
        <v>314</v>
      </c>
      <c r="Q57" s="540">
        <f>O57*P57/1000000</f>
        <v>5.4726432000000003</v>
      </c>
      <c r="R57" s="538">
        <f>1187.5+482.2+500+1066+1624.7+1000+500+1500+1000</f>
        <v>8860.4</v>
      </c>
      <c r="S57" s="539">
        <v>374</v>
      </c>
      <c r="T57" s="540">
        <f>R57*S57/1000000</f>
        <v>3.3137896000000002</v>
      </c>
      <c r="U57" s="538">
        <v>8000</v>
      </c>
      <c r="V57" s="629">
        <v>422</v>
      </c>
      <c r="W57" s="540">
        <f>U57*V57/1000000</f>
        <v>3.3759999999999999</v>
      </c>
      <c r="X57" s="538">
        <f>ROUND(+U57*X$1,0)</f>
        <v>8847</v>
      </c>
      <c r="Y57" s="539">
        <f t="shared" ref="Y57:Y60" si="245">ROUND(V57*(1+Y$1),0)</f>
        <v>435</v>
      </c>
      <c r="Z57" s="540">
        <f>X57*Y57/1000000</f>
        <v>3.8484449999999999</v>
      </c>
      <c r="AA57" s="538">
        <f>ROUND(+X57*AA$1,0)</f>
        <v>7499</v>
      </c>
      <c r="AB57" s="539">
        <f t="shared" ref="AB57:AB60" si="246">ROUND(Y57*(1+AB$1),0)</f>
        <v>448</v>
      </c>
      <c r="AC57" s="540">
        <f>AA57*AB57/1000000</f>
        <v>3.3595519999999999</v>
      </c>
      <c r="AD57" s="538">
        <f>ROUND(+AA57*AD$1,0)</f>
        <v>6025</v>
      </c>
      <c r="AE57" s="539">
        <f t="shared" ref="AE57:AE60" si="247">ROUND(AB57*(1+AE$1),0)</f>
        <v>461</v>
      </c>
      <c r="AF57" s="540">
        <f>AD57*AE57/1000000</f>
        <v>2.7775249999999998</v>
      </c>
      <c r="AG57" s="538">
        <f>ROUND(+AD57*AG$1,0)</f>
        <v>6025</v>
      </c>
      <c r="AH57" s="539">
        <f t="shared" ref="AH57:AH60" si="248">ROUND(AE57*(1+AH$1),0)</f>
        <v>475</v>
      </c>
      <c r="AI57" s="540">
        <f>AG57*AH57/1000000</f>
        <v>2.8618749999999999</v>
      </c>
      <c r="AJ57" s="538">
        <f>ROUND(+AG57*AJ$1,0)</f>
        <v>6025</v>
      </c>
      <c r="AK57" s="539">
        <f t="shared" ref="AK57:AK60" si="249">ROUND(AH57*(1+AK$1),0)</f>
        <v>489</v>
      </c>
      <c r="AL57" s="540">
        <f>AJ57*AK57/1000000</f>
        <v>2.9462250000000001</v>
      </c>
      <c r="AM57" s="538">
        <f>ROUND(+AJ57*AM$1,0)</f>
        <v>6025</v>
      </c>
      <c r="AN57" s="539">
        <f t="shared" ref="AN57:AN60" si="250">ROUND(AK57*(1+AN$1),0)</f>
        <v>504</v>
      </c>
      <c r="AO57" s="540">
        <f>AM57*AN57/1000000</f>
        <v>3.0366</v>
      </c>
      <c r="AP57" s="538">
        <f>ROUND(+AM57*AP$1,0)</f>
        <v>6025</v>
      </c>
      <c r="AQ57" s="539">
        <f t="shared" ref="AQ57:AQ60" si="251">ROUND(AN57*(1+AQ$1),0)</f>
        <v>519</v>
      </c>
      <c r="AR57" s="540">
        <f>AP57*AQ57/1000000</f>
        <v>3.1269749999999998</v>
      </c>
      <c r="AS57" s="538">
        <f>ROUND(+AP57*AS$1,0)</f>
        <v>6025</v>
      </c>
      <c r="AT57" s="539">
        <f t="shared" ref="AT57:AT60" si="252">ROUND(AQ57*(1+AT$1),0)</f>
        <v>535</v>
      </c>
      <c r="AU57" s="540">
        <f>AS57*AT57/1000000</f>
        <v>3.2233749999999999</v>
      </c>
      <c r="AV57" s="538">
        <f>ROUND(+AS57*AV$1,0)</f>
        <v>6025</v>
      </c>
      <c r="AW57" s="539">
        <f t="shared" ref="AW57:AW60" si="253">ROUND(AT57*(1+AW$1),0)</f>
        <v>551</v>
      </c>
      <c r="AX57" s="540">
        <f>AV57*AW57/1000000</f>
        <v>3.3197749999999999</v>
      </c>
      <c r="AY57" s="538">
        <f>ROUND(+AV57*AY$1,0)</f>
        <v>6025</v>
      </c>
      <c r="AZ57" s="539">
        <f t="shared" ref="AZ57:AZ60" si="254">ROUND(AW57*(1+AZ$1),0)</f>
        <v>568</v>
      </c>
      <c r="BA57" s="540">
        <f>AY57*AZ57/1000000</f>
        <v>3.4222000000000001</v>
      </c>
      <c r="BJ57" s="529">
        <f t="shared" si="151"/>
        <v>0</v>
      </c>
      <c r="BK57" s="529">
        <f t="shared" si="152"/>
        <v>5.8216977000000005</v>
      </c>
      <c r="BL57" s="529">
        <f t="shared" si="153"/>
        <v>9.23757625</v>
      </c>
      <c r="BM57" s="529">
        <f t="shared" si="154"/>
        <v>0.872</v>
      </c>
      <c r="BN57" s="529">
        <f t="shared" si="155"/>
        <v>5.4726432000000003</v>
      </c>
      <c r="BO57" s="529">
        <f t="shared" si="156"/>
        <v>3.3137896000000002</v>
      </c>
      <c r="BP57" s="529">
        <f t="shared" si="157"/>
        <v>3.3759999999999999</v>
      </c>
      <c r="BQ57" s="529">
        <f t="shared" si="158"/>
        <v>3.8484449999999999</v>
      </c>
      <c r="BR57" s="529">
        <f t="shared" si="159"/>
        <v>3.3595519999999999</v>
      </c>
      <c r="BS57" s="529">
        <f t="shared" si="160"/>
        <v>2.7775249999999998</v>
      </c>
      <c r="BT57" s="529">
        <f t="shared" si="161"/>
        <v>2.8618749999999999</v>
      </c>
      <c r="BU57" s="529">
        <f t="shared" si="162"/>
        <v>2.9462250000000001</v>
      </c>
      <c r="BV57" s="529">
        <f t="shared" si="163"/>
        <v>3.0366</v>
      </c>
      <c r="BW57" s="529">
        <f t="shared" si="164"/>
        <v>3.1269749999999998</v>
      </c>
      <c r="BX57" s="529">
        <f t="shared" si="28"/>
        <v>3.2233749999999999</v>
      </c>
      <c r="BY57" s="529">
        <f t="shared" si="29"/>
        <v>3.3197749999999999</v>
      </c>
      <c r="BZ57" s="529">
        <f t="shared" si="30"/>
        <v>3.4222000000000001</v>
      </c>
      <c r="CB57" s="529">
        <f t="shared" si="165"/>
        <v>0</v>
      </c>
      <c r="CC57" s="529">
        <f t="shared" si="166"/>
        <v>24879.05</v>
      </c>
      <c r="CD57" s="529">
        <f t="shared" si="167"/>
        <v>16065.35</v>
      </c>
      <c r="CE57" s="529">
        <f t="shared" si="168"/>
        <v>4000</v>
      </c>
      <c r="CF57" s="529">
        <f t="shared" si="169"/>
        <v>17428.8</v>
      </c>
      <c r="CG57" s="529">
        <f t="shared" si="170"/>
        <v>8860.4</v>
      </c>
      <c r="CH57" s="529">
        <f t="shared" si="171"/>
        <v>8000</v>
      </c>
      <c r="CI57" s="529">
        <f t="shared" si="172"/>
        <v>8847</v>
      </c>
      <c r="CJ57" s="529">
        <f t="shared" si="173"/>
        <v>7499</v>
      </c>
      <c r="CK57" s="529">
        <f t="shared" si="174"/>
        <v>6025</v>
      </c>
      <c r="CL57" s="529">
        <f t="shared" si="175"/>
        <v>6025</v>
      </c>
      <c r="CM57" s="529">
        <f t="shared" si="176"/>
        <v>6025</v>
      </c>
      <c r="CN57" s="529">
        <f t="shared" si="177"/>
        <v>6025</v>
      </c>
      <c r="CO57" s="529">
        <f t="shared" si="178"/>
        <v>6025</v>
      </c>
      <c r="CP57" s="529">
        <f t="shared" si="31"/>
        <v>6025</v>
      </c>
      <c r="CQ57" s="529">
        <f t="shared" si="32"/>
        <v>6025</v>
      </c>
      <c r="CR57" s="529">
        <f t="shared" si="33"/>
        <v>6025</v>
      </c>
    </row>
    <row r="58" spans="1:96" x14ac:dyDescent="0.2">
      <c r="A58" s="761"/>
      <c r="B58" s="537" t="s">
        <v>618</v>
      </c>
      <c r="C58" s="538"/>
      <c r="D58" s="549"/>
      <c r="E58" s="540">
        <f t="shared" si="189"/>
        <v>0</v>
      </c>
      <c r="F58" s="538"/>
      <c r="G58" s="539"/>
      <c r="H58" s="540">
        <f t="shared" si="190"/>
        <v>0</v>
      </c>
      <c r="I58" s="538">
        <v>7209.46</v>
      </c>
      <c r="J58" s="539">
        <v>228</v>
      </c>
      <c r="K58" s="540">
        <f t="shared" si="191"/>
        <v>1.6437568800000002</v>
      </c>
      <c r="L58" s="538">
        <v>2117.91</v>
      </c>
      <c r="M58" s="539">
        <v>665</v>
      </c>
      <c r="N58" s="540">
        <f t="shared" si="192"/>
        <v>1.4084101499999999</v>
      </c>
      <c r="O58" s="538"/>
      <c r="P58" s="539"/>
      <c r="Q58" s="540">
        <f t="shared" si="193"/>
        <v>0</v>
      </c>
      <c r="R58" s="538"/>
      <c r="S58" s="539"/>
      <c r="T58" s="540">
        <f t="shared" si="194"/>
        <v>0</v>
      </c>
      <c r="U58" s="538"/>
      <c r="V58" s="629"/>
      <c r="W58" s="540">
        <f t="shared" si="195"/>
        <v>0</v>
      </c>
      <c r="X58" s="538"/>
      <c r="Y58" s="539">
        <f t="shared" si="245"/>
        <v>0</v>
      </c>
      <c r="Z58" s="540">
        <f t="shared" si="196"/>
        <v>0</v>
      </c>
      <c r="AA58" s="538"/>
      <c r="AB58" s="539">
        <f t="shared" si="246"/>
        <v>0</v>
      </c>
      <c r="AC58" s="540">
        <f t="shared" si="197"/>
        <v>0</v>
      </c>
      <c r="AD58" s="538"/>
      <c r="AE58" s="539">
        <f t="shared" si="247"/>
        <v>0</v>
      </c>
      <c r="AF58" s="540">
        <f t="shared" si="198"/>
        <v>0</v>
      </c>
      <c r="AG58" s="538"/>
      <c r="AH58" s="539">
        <f t="shared" si="248"/>
        <v>0</v>
      </c>
      <c r="AI58" s="540">
        <f t="shared" si="199"/>
        <v>0</v>
      </c>
      <c r="AJ58" s="538"/>
      <c r="AK58" s="539">
        <f t="shared" si="249"/>
        <v>0</v>
      </c>
      <c r="AL58" s="540">
        <f t="shared" si="200"/>
        <v>0</v>
      </c>
      <c r="AM58" s="538"/>
      <c r="AN58" s="539">
        <f t="shared" si="250"/>
        <v>0</v>
      </c>
      <c r="AO58" s="540">
        <f t="shared" si="201"/>
        <v>0</v>
      </c>
      <c r="AP58" s="538"/>
      <c r="AQ58" s="539">
        <f t="shared" si="251"/>
        <v>0</v>
      </c>
      <c r="AR58" s="540">
        <f t="shared" si="202"/>
        <v>0</v>
      </c>
      <c r="AS58" s="538"/>
      <c r="AT58" s="539">
        <f t="shared" si="252"/>
        <v>0</v>
      </c>
      <c r="AU58" s="540">
        <f t="shared" ref="AU58:AU60" si="255">AS58*AT58/1000000</f>
        <v>0</v>
      </c>
      <c r="AV58" s="538"/>
      <c r="AW58" s="539">
        <f t="shared" si="253"/>
        <v>0</v>
      </c>
      <c r="AX58" s="540">
        <f t="shared" ref="AX58:AX60" si="256">AV58*AW58/1000000</f>
        <v>0</v>
      </c>
      <c r="AY58" s="538"/>
      <c r="AZ58" s="539">
        <f t="shared" si="254"/>
        <v>0</v>
      </c>
      <c r="BA58" s="540">
        <f t="shared" ref="BA58:BA60" si="257">AY58*AZ58/1000000</f>
        <v>0</v>
      </c>
      <c r="BJ58" s="529">
        <f t="shared" si="151"/>
        <v>0</v>
      </c>
      <c r="BK58" s="529">
        <f t="shared" si="152"/>
        <v>0</v>
      </c>
      <c r="BL58" s="529">
        <f t="shared" si="153"/>
        <v>1.6437568800000002</v>
      </c>
      <c r="BM58" s="529">
        <f t="shared" si="154"/>
        <v>1.4084101499999999</v>
      </c>
      <c r="BN58" s="529">
        <f t="shared" si="155"/>
        <v>0</v>
      </c>
      <c r="BO58" s="529">
        <f t="shared" si="156"/>
        <v>0</v>
      </c>
      <c r="BP58" s="529">
        <f t="shared" si="157"/>
        <v>0</v>
      </c>
      <c r="BQ58" s="529">
        <f t="shared" si="158"/>
        <v>0</v>
      </c>
      <c r="BR58" s="529">
        <f t="shared" si="159"/>
        <v>0</v>
      </c>
      <c r="BS58" s="529">
        <f t="shared" si="160"/>
        <v>0</v>
      </c>
      <c r="BT58" s="529">
        <f t="shared" si="161"/>
        <v>0</v>
      </c>
      <c r="BU58" s="529">
        <f t="shared" si="162"/>
        <v>0</v>
      </c>
      <c r="BV58" s="529">
        <f t="shared" si="163"/>
        <v>0</v>
      </c>
      <c r="BW58" s="529">
        <f t="shared" si="164"/>
        <v>0</v>
      </c>
      <c r="BX58" s="529">
        <f t="shared" si="28"/>
        <v>0</v>
      </c>
      <c r="BY58" s="529">
        <f t="shared" si="29"/>
        <v>0</v>
      </c>
      <c r="BZ58" s="529">
        <f t="shared" si="30"/>
        <v>0</v>
      </c>
      <c r="CB58" s="529">
        <f t="shared" si="165"/>
        <v>0</v>
      </c>
      <c r="CC58" s="529">
        <f t="shared" si="166"/>
        <v>0</v>
      </c>
      <c r="CD58" s="529">
        <f t="shared" si="167"/>
        <v>7209.46</v>
      </c>
      <c r="CE58" s="529">
        <f t="shared" si="168"/>
        <v>2117.91</v>
      </c>
      <c r="CF58" s="529">
        <f t="shared" si="169"/>
        <v>0</v>
      </c>
      <c r="CG58" s="529">
        <f t="shared" si="170"/>
        <v>0</v>
      </c>
      <c r="CH58" s="529">
        <f t="shared" si="171"/>
        <v>0</v>
      </c>
      <c r="CI58" s="529">
        <f t="shared" si="172"/>
        <v>0</v>
      </c>
      <c r="CJ58" s="529">
        <f t="shared" si="173"/>
        <v>0</v>
      </c>
      <c r="CK58" s="529">
        <f t="shared" si="174"/>
        <v>0</v>
      </c>
      <c r="CL58" s="529">
        <f t="shared" si="175"/>
        <v>0</v>
      </c>
      <c r="CM58" s="529">
        <f t="shared" si="176"/>
        <v>0</v>
      </c>
      <c r="CN58" s="529">
        <f t="shared" si="177"/>
        <v>0</v>
      </c>
      <c r="CO58" s="529">
        <f t="shared" si="178"/>
        <v>0</v>
      </c>
      <c r="CP58" s="529">
        <f t="shared" si="31"/>
        <v>0</v>
      </c>
      <c r="CQ58" s="529">
        <f t="shared" si="32"/>
        <v>0</v>
      </c>
      <c r="CR58" s="529">
        <f t="shared" si="33"/>
        <v>0</v>
      </c>
    </row>
    <row r="59" spans="1:96" x14ac:dyDescent="0.2">
      <c r="A59" s="761"/>
      <c r="B59" s="537" t="s">
        <v>495</v>
      </c>
      <c r="C59" s="538"/>
      <c r="D59" s="549"/>
      <c r="E59" s="540">
        <f t="shared" si="189"/>
        <v>0</v>
      </c>
      <c r="F59" s="538">
        <v>3005.25</v>
      </c>
      <c r="G59" s="539">
        <v>136</v>
      </c>
      <c r="H59" s="540">
        <f t="shared" si="190"/>
        <v>0.40871400000000002</v>
      </c>
      <c r="I59" s="538">
        <v>8101.4</v>
      </c>
      <c r="J59" s="539">
        <v>246</v>
      </c>
      <c r="K59" s="540">
        <f t="shared" si="191"/>
        <v>1.9929443999999998</v>
      </c>
      <c r="L59" s="538"/>
      <c r="M59" s="539"/>
      <c r="N59" s="540">
        <f t="shared" si="192"/>
        <v>0</v>
      </c>
      <c r="O59" s="538"/>
      <c r="P59" s="539"/>
      <c r="Q59" s="540">
        <f t="shared" si="193"/>
        <v>0</v>
      </c>
      <c r="R59" s="538"/>
      <c r="S59" s="539"/>
      <c r="T59" s="540">
        <f t="shared" si="194"/>
        <v>0</v>
      </c>
      <c r="U59" s="538"/>
      <c r="V59" s="629"/>
      <c r="W59" s="540">
        <f t="shared" si="195"/>
        <v>0</v>
      </c>
      <c r="X59" s="538"/>
      <c r="Y59" s="539">
        <f t="shared" si="245"/>
        <v>0</v>
      </c>
      <c r="Z59" s="540">
        <f t="shared" si="196"/>
        <v>0</v>
      </c>
      <c r="AA59" s="538"/>
      <c r="AB59" s="539">
        <f t="shared" si="246"/>
        <v>0</v>
      </c>
      <c r="AC59" s="540">
        <f t="shared" si="197"/>
        <v>0</v>
      </c>
      <c r="AD59" s="538"/>
      <c r="AE59" s="539">
        <f t="shared" si="247"/>
        <v>0</v>
      </c>
      <c r="AF59" s="540">
        <f t="shared" si="198"/>
        <v>0</v>
      </c>
      <c r="AG59" s="538"/>
      <c r="AH59" s="539">
        <f t="shared" si="248"/>
        <v>0</v>
      </c>
      <c r="AI59" s="540">
        <f t="shared" si="199"/>
        <v>0</v>
      </c>
      <c r="AJ59" s="538"/>
      <c r="AK59" s="539">
        <f t="shared" si="249"/>
        <v>0</v>
      </c>
      <c r="AL59" s="540">
        <f t="shared" si="200"/>
        <v>0</v>
      </c>
      <c r="AM59" s="538"/>
      <c r="AN59" s="539">
        <f t="shared" si="250"/>
        <v>0</v>
      </c>
      <c r="AO59" s="540">
        <f t="shared" si="201"/>
        <v>0</v>
      </c>
      <c r="AP59" s="538"/>
      <c r="AQ59" s="539">
        <f t="shared" si="251"/>
        <v>0</v>
      </c>
      <c r="AR59" s="540">
        <f t="shared" si="202"/>
        <v>0</v>
      </c>
      <c r="AS59" s="538"/>
      <c r="AT59" s="539">
        <f t="shared" si="252"/>
        <v>0</v>
      </c>
      <c r="AU59" s="540">
        <f t="shared" si="255"/>
        <v>0</v>
      </c>
      <c r="AV59" s="538"/>
      <c r="AW59" s="539">
        <f t="shared" si="253"/>
        <v>0</v>
      </c>
      <c r="AX59" s="540">
        <f t="shared" si="256"/>
        <v>0</v>
      </c>
      <c r="AY59" s="538"/>
      <c r="AZ59" s="539">
        <f t="shared" si="254"/>
        <v>0</v>
      </c>
      <c r="BA59" s="540">
        <f t="shared" si="257"/>
        <v>0</v>
      </c>
      <c r="BJ59" s="529">
        <f t="shared" si="151"/>
        <v>0</v>
      </c>
      <c r="BK59" s="529">
        <f t="shared" si="152"/>
        <v>0.40871400000000002</v>
      </c>
      <c r="BL59" s="529">
        <f t="shared" si="153"/>
        <v>1.9929443999999998</v>
      </c>
      <c r="BM59" s="529">
        <f t="shared" si="154"/>
        <v>0</v>
      </c>
      <c r="BN59" s="529">
        <f t="shared" si="155"/>
        <v>0</v>
      </c>
      <c r="BO59" s="529">
        <f t="shared" si="156"/>
        <v>0</v>
      </c>
      <c r="BP59" s="529">
        <f t="shared" si="157"/>
        <v>0</v>
      </c>
      <c r="BQ59" s="529">
        <f t="shared" si="158"/>
        <v>0</v>
      </c>
      <c r="BR59" s="529">
        <f t="shared" si="159"/>
        <v>0</v>
      </c>
      <c r="BS59" s="529">
        <f t="shared" si="160"/>
        <v>0</v>
      </c>
      <c r="BT59" s="529">
        <f t="shared" si="161"/>
        <v>0</v>
      </c>
      <c r="BU59" s="529">
        <f t="shared" si="162"/>
        <v>0</v>
      </c>
      <c r="BV59" s="529">
        <f t="shared" si="163"/>
        <v>0</v>
      </c>
      <c r="BW59" s="529">
        <f t="shared" si="164"/>
        <v>0</v>
      </c>
      <c r="BX59" s="529">
        <f t="shared" si="28"/>
        <v>0</v>
      </c>
      <c r="BY59" s="529">
        <f t="shared" si="29"/>
        <v>0</v>
      </c>
      <c r="BZ59" s="529">
        <f t="shared" si="30"/>
        <v>0</v>
      </c>
      <c r="CB59" s="529">
        <f t="shared" si="165"/>
        <v>0</v>
      </c>
      <c r="CC59" s="529">
        <f t="shared" si="166"/>
        <v>3005.25</v>
      </c>
      <c r="CD59" s="529">
        <f t="shared" si="167"/>
        <v>8101.4</v>
      </c>
      <c r="CE59" s="529">
        <f t="shared" si="168"/>
        <v>0</v>
      </c>
      <c r="CF59" s="529">
        <f t="shared" si="169"/>
        <v>0</v>
      </c>
      <c r="CG59" s="529">
        <f t="shared" si="170"/>
        <v>0</v>
      </c>
      <c r="CH59" s="529">
        <f t="shared" si="171"/>
        <v>0</v>
      </c>
      <c r="CI59" s="529">
        <f t="shared" si="172"/>
        <v>0</v>
      </c>
      <c r="CJ59" s="529">
        <f t="shared" si="173"/>
        <v>0</v>
      </c>
      <c r="CK59" s="529">
        <f t="shared" si="174"/>
        <v>0</v>
      </c>
      <c r="CL59" s="529">
        <f t="shared" si="175"/>
        <v>0</v>
      </c>
      <c r="CM59" s="529">
        <f t="shared" si="176"/>
        <v>0</v>
      </c>
      <c r="CN59" s="529">
        <f t="shared" si="177"/>
        <v>0</v>
      </c>
      <c r="CO59" s="529">
        <f t="shared" si="178"/>
        <v>0</v>
      </c>
      <c r="CP59" s="529">
        <f t="shared" si="31"/>
        <v>0</v>
      </c>
      <c r="CQ59" s="529">
        <f t="shared" si="32"/>
        <v>0</v>
      </c>
      <c r="CR59" s="529">
        <f t="shared" si="33"/>
        <v>0</v>
      </c>
    </row>
    <row r="60" spans="1:96" x14ac:dyDescent="0.2">
      <c r="A60" s="761"/>
      <c r="B60" s="537" t="s">
        <v>113</v>
      </c>
      <c r="C60" s="538"/>
      <c r="D60" s="549"/>
      <c r="E60" s="540">
        <f t="shared" si="189"/>
        <v>0</v>
      </c>
      <c r="F60" s="541"/>
      <c r="G60" s="539"/>
      <c r="H60" s="540">
        <f t="shared" si="190"/>
        <v>0</v>
      </c>
      <c r="I60" s="538"/>
      <c r="J60" s="539"/>
      <c r="K60" s="540">
        <f t="shared" si="191"/>
        <v>0</v>
      </c>
      <c r="L60" s="538"/>
      <c r="M60" s="539"/>
      <c r="N60" s="540">
        <f t="shared" si="192"/>
        <v>0</v>
      </c>
      <c r="O60" s="538"/>
      <c r="P60" s="539"/>
      <c r="Q60" s="540">
        <f t="shared" si="193"/>
        <v>0</v>
      </c>
      <c r="R60" s="538"/>
      <c r="S60" s="539"/>
      <c r="T60" s="540">
        <f t="shared" si="194"/>
        <v>0</v>
      </c>
      <c r="U60" s="538"/>
      <c r="V60" s="629"/>
      <c r="W60" s="540">
        <f t="shared" si="195"/>
        <v>0</v>
      </c>
      <c r="X60" s="538"/>
      <c r="Y60" s="539">
        <f t="shared" si="245"/>
        <v>0</v>
      </c>
      <c r="Z60" s="540">
        <f t="shared" si="196"/>
        <v>0</v>
      </c>
      <c r="AA60" s="538"/>
      <c r="AB60" s="539">
        <f t="shared" si="246"/>
        <v>0</v>
      </c>
      <c r="AC60" s="540">
        <f t="shared" si="197"/>
        <v>0</v>
      </c>
      <c r="AD60" s="538"/>
      <c r="AE60" s="539">
        <f t="shared" si="247"/>
        <v>0</v>
      </c>
      <c r="AF60" s="540">
        <f t="shared" si="198"/>
        <v>0</v>
      </c>
      <c r="AG60" s="538"/>
      <c r="AH60" s="539">
        <f t="shared" si="248"/>
        <v>0</v>
      </c>
      <c r="AI60" s="540">
        <f t="shared" si="199"/>
        <v>0</v>
      </c>
      <c r="AJ60" s="538"/>
      <c r="AK60" s="539">
        <f t="shared" si="249"/>
        <v>0</v>
      </c>
      <c r="AL60" s="540">
        <f t="shared" si="200"/>
        <v>0</v>
      </c>
      <c r="AM60" s="538"/>
      <c r="AN60" s="539">
        <f t="shared" si="250"/>
        <v>0</v>
      </c>
      <c r="AO60" s="540">
        <f t="shared" si="201"/>
        <v>0</v>
      </c>
      <c r="AP60" s="538"/>
      <c r="AQ60" s="539">
        <f t="shared" si="251"/>
        <v>0</v>
      </c>
      <c r="AR60" s="540">
        <f t="shared" si="202"/>
        <v>0</v>
      </c>
      <c r="AS60" s="538"/>
      <c r="AT60" s="539">
        <f t="shared" si="252"/>
        <v>0</v>
      </c>
      <c r="AU60" s="540">
        <f t="shared" si="255"/>
        <v>0</v>
      </c>
      <c r="AV60" s="538"/>
      <c r="AW60" s="539">
        <f t="shared" si="253"/>
        <v>0</v>
      </c>
      <c r="AX60" s="540">
        <f t="shared" si="256"/>
        <v>0</v>
      </c>
      <c r="AY60" s="538"/>
      <c r="AZ60" s="539">
        <f t="shared" si="254"/>
        <v>0</v>
      </c>
      <c r="BA60" s="540">
        <f t="shared" si="257"/>
        <v>0</v>
      </c>
      <c r="BJ60" s="529">
        <f t="shared" si="151"/>
        <v>0</v>
      </c>
      <c r="BK60" s="529">
        <f t="shared" si="152"/>
        <v>0</v>
      </c>
      <c r="BL60" s="529">
        <f t="shared" si="153"/>
        <v>0</v>
      </c>
      <c r="BM60" s="529">
        <f t="shared" si="154"/>
        <v>0</v>
      </c>
      <c r="BN60" s="529">
        <f t="shared" si="155"/>
        <v>0</v>
      </c>
      <c r="BO60" s="529">
        <f t="shared" si="156"/>
        <v>0</v>
      </c>
      <c r="BP60" s="529">
        <f t="shared" si="157"/>
        <v>0</v>
      </c>
      <c r="BQ60" s="529">
        <f t="shared" si="158"/>
        <v>0</v>
      </c>
      <c r="BR60" s="529">
        <f t="shared" si="159"/>
        <v>0</v>
      </c>
      <c r="BS60" s="529">
        <f t="shared" si="160"/>
        <v>0</v>
      </c>
      <c r="BT60" s="529">
        <f t="shared" si="161"/>
        <v>0</v>
      </c>
      <c r="BU60" s="529">
        <f t="shared" si="162"/>
        <v>0</v>
      </c>
      <c r="BV60" s="529">
        <f t="shared" si="163"/>
        <v>0</v>
      </c>
      <c r="BW60" s="529">
        <f t="shared" si="164"/>
        <v>0</v>
      </c>
      <c r="BX60" s="529">
        <f t="shared" si="28"/>
        <v>0</v>
      </c>
      <c r="BY60" s="529">
        <f t="shared" si="29"/>
        <v>0</v>
      </c>
      <c r="BZ60" s="529">
        <f t="shared" si="30"/>
        <v>0</v>
      </c>
      <c r="CB60" s="529">
        <f t="shared" si="165"/>
        <v>0</v>
      </c>
      <c r="CC60" s="529">
        <f t="shared" si="166"/>
        <v>0</v>
      </c>
      <c r="CD60" s="529">
        <f t="shared" si="167"/>
        <v>0</v>
      </c>
      <c r="CE60" s="529">
        <f t="shared" si="168"/>
        <v>0</v>
      </c>
      <c r="CF60" s="529">
        <f t="shared" si="169"/>
        <v>0</v>
      </c>
      <c r="CG60" s="529">
        <f t="shared" si="170"/>
        <v>0</v>
      </c>
      <c r="CH60" s="529">
        <f t="shared" si="171"/>
        <v>0</v>
      </c>
      <c r="CI60" s="529">
        <f t="shared" si="172"/>
        <v>0</v>
      </c>
      <c r="CJ60" s="529">
        <f t="shared" si="173"/>
        <v>0</v>
      </c>
      <c r="CK60" s="529">
        <f t="shared" si="174"/>
        <v>0</v>
      </c>
      <c r="CL60" s="529">
        <f t="shared" si="175"/>
        <v>0</v>
      </c>
      <c r="CM60" s="529">
        <f t="shared" si="176"/>
        <v>0</v>
      </c>
      <c r="CN60" s="529">
        <f t="shared" si="177"/>
        <v>0</v>
      </c>
      <c r="CO60" s="529">
        <f t="shared" si="178"/>
        <v>0</v>
      </c>
      <c r="CP60" s="529">
        <f t="shared" si="31"/>
        <v>0</v>
      </c>
      <c r="CQ60" s="529">
        <f t="shared" si="32"/>
        <v>0</v>
      </c>
      <c r="CR60" s="529">
        <f t="shared" si="33"/>
        <v>0</v>
      </c>
    </row>
    <row r="61" spans="1:96" ht="13.5" x14ac:dyDescent="0.25">
      <c r="A61" s="761"/>
      <c r="B61" s="537" t="s">
        <v>619</v>
      </c>
      <c r="C61" s="543">
        <f>C57*0.46+C58*0.46+C59*0.24+C60*0.24</f>
        <v>0</v>
      </c>
      <c r="D61" s="548"/>
      <c r="E61" s="545">
        <f>SUM(E57:E60)</f>
        <v>0</v>
      </c>
      <c r="F61" s="543">
        <f>F57*0.46+F58*0.46+F59*0.24+F60*0.24</f>
        <v>12165.623</v>
      </c>
      <c r="G61" s="544"/>
      <c r="H61" s="545">
        <f>SUM(H57:H60)</f>
        <v>6.2304117000000003</v>
      </c>
      <c r="I61" s="543">
        <f>I57*0.46+I58*0.46+I59*0.24+I60*0.24</f>
        <v>12650.748599999999</v>
      </c>
      <c r="J61" s="544"/>
      <c r="K61" s="545">
        <f>SUM(K57:K60)</f>
        <v>12.874277530000001</v>
      </c>
      <c r="L61" s="543">
        <f>L57*0.46+L58*0.46+L59*0.24+L60*0.24</f>
        <v>2814.2386000000001</v>
      </c>
      <c r="M61" s="544"/>
      <c r="N61" s="545">
        <f>SUM(N57:N60)</f>
        <v>2.2804101499999998</v>
      </c>
      <c r="O61" s="543">
        <f>O57*0.46+O58*0.46+O59*0.24+O60*0.24</f>
        <v>8017.2479999999996</v>
      </c>
      <c r="P61" s="544"/>
      <c r="Q61" s="545">
        <f>SUM(Q57:Q60)</f>
        <v>5.4726432000000003</v>
      </c>
      <c r="R61" s="543">
        <f>R57*0.46+R58*0.46+R59*0.24+R60*0.24</f>
        <v>4075.7840000000001</v>
      </c>
      <c r="S61" s="544"/>
      <c r="T61" s="545">
        <f>SUM(T57:T60)</f>
        <v>3.3137896000000002</v>
      </c>
      <c r="U61" s="543">
        <f>U57*0.46+U58*0.46+U59*0.24+U60*0.24</f>
        <v>3680</v>
      </c>
      <c r="V61" s="630"/>
      <c r="W61" s="545">
        <f>SUM(W57:W60)</f>
        <v>3.3759999999999999</v>
      </c>
      <c r="X61" s="543">
        <f>X57*0.46+X58*0.46+X59*0.24+X60*0.24</f>
        <v>4069.6200000000003</v>
      </c>
      <c r="Y61" s="548"/>
      <c r="Z61" s="545">
        <f>SUM(Z57:Z60)</f>
        <v>3.8484449999999999</v>
      </c>
      <c r="AA61" s="543">
        <f>AA57*0.46+AA58*0.46+AA59*0.24+AA60*0.24</f>
        <v>3449.54</v>
      </c>
      <c r="AB61" s="548"/>
      <c r="AC61" s="545">
        <f>SUM(AC57:AC60)</f>
        <v>3.3595519999999999</v>
      </c>
      <c r="AD61" s="543">
        <f>AD57*0.46+AD58*0.46+AD59*0.24+AD60*0.24</f>
        <v>2771.5</v>
      </c>
      <c r="AE61" s="548"/>
      <c r="AF61" s="545">
        <f>SUM(AF57:AF60)</f>
        <v>2.7775249999999998</v>
      </c>
      <c r="AG61" s="543">
        <f>AG57*0.46+AG58*0.46+AG59*0.24+AG60*0.24</f>
        <v>2771.5</v>
      </c>
      <c r="AH61" s="548"/>
      <c r="AI61" s="545">
        <f>SUM(AI57:AI60)</f>
        <v>2.8618749999999999</v>
      </c>
      <c r="AJ61" s="543">
        <f>AJ57*0.46+AJ58*0.46+AJ59*0.24+AJ60*0.24</f>
        <v>2771.5</v>
      </c>
      <c r="AK61" s="548"/>
      <c r="AL61" s="545">
        <f>SUM(AL57:AL60)</f>
        <v>2.9462250000000001</v>
      </c>
      <c r="AM61" s="543">
        <f>AM57*0.46+AM58*0.46+AM59*0.24+AM60*0.24</f>
        <v>2771.5</v>
      </c>
      <c r="AN61" s="548"/>
      <c r="AO61" s="545">
        <f>SUM(AO57:AO60)</f>
        <v>3.0366</v>
      </c>
      <c r="AP61" s="543">
        <f>AP57*0.46+AP58*0.46+AP59*0.24+AP60*0.24</f>
        <v>2771.5</v>
      </c>
      <c r="AQ61" s="548"/>
      <c r="AR61" s="545">
        <f>SUM(AR57:AR60)</f>
        <v>3.1269749999999998</v>
      </c>
      <c r="AS61" s="543">
        <f>AS57*0.46+AS58*0.46+AS59*0.24+AS60*0.24</f>
        <v>2771.5</v>
      </c>
      <c r="AT61" s="548"/>
      <c r="AU61" s="545">
        <f>SUM(AU57:AU60)</f>
        <v>3.2233749999999999</v>
      </c>
      <c r="AV61" s="543">
        <f>AV57*0.46+AV58*0.46+AV59*0.24+AV60*0.24</f>
        <v>2771.5</v>
      </c>
      <c r="AW61" s="548"/>
      <c r="AX61" s="545">
        <f>SUM(AX57:AX60)</f>
        <v>3.3197749999999999</v>
      </c>
      <c r="AY61" s="543">
        <f>AY57*0.46+AY58*0.46+AY59*0.24+AY60*0.24</f>
        <v>2771.5</v>
      </c>
      <c r="AZ61" s="548"/>
      <c r="BA61" s="545">
        <f>SUM(BA57:BA60)</f>
        <v>3.4222000000000001</v>
      </c>
      <c r="BJ61" s="529">
        <f t="shared" si="151"/>
        <v>0</v>
      </c>
      <c r="BK61" s="529">
        <f t="shared" si="152"/>
        <v>6.2304117000000003</v>
      </c>
      <c r="BL61" s="529">
        <f t="shared" si="153"/>
        <v>12.874277530000001</v>
      </c>
      <c r="BM61" s="529">
        <f t="shared" si="154"/>
        <v>2.2804101499999998</v>
      </c>
      <c r="BN61" s="529">
        <f t="shared" si="155"/>
        <v>5.4726432000000003</v>
      </c>
      <c r="BO61" s="529">
        <f t="shared" si="156"/>
        <v>3.3137896000000002</v>
      </c>
      <c r="BP61" s="529">
        <f t="shared" si="157"/>
        <v>3.3759999999999999</v>
      </c>
      <c r="BQ61" s="529">
        <f t="shared" si="158"/>
        <v>3.8484449999999999</v>
      </c>
      <c r="BR61" s="529">
        <f t="shared" si="159"/>
        <v>3.3595519999999999</v>
      </c>
      <c r="BS61" s="529">
        <f t="shared" si="160"/>
        <v>2.7775249999999998</v>
      </c>
      <c r="BT61" s="529">
        <f t="shared" si="161"/>
        <v>2.8618749999999999</v>
      </c>
      <c r="BU61" s="529">
        <f t="shared" si="162"/>
        <v>2.9462250000000001</v>
      </c>
      <c r="BV61" s="529">
        <f t="shared" si="163"/>
        <v>3.0366</v>
      </c>
      <c r="BW61" s="529">
        <f t="shared" si="164"/>
        <v>3.1269749999999998</v>
      </c>
      <c r="BX61" s="529">
        <f t="shared" si="28"/>
        <v>3.2233749999999999</v>
      </c>
      <c r="BY61" s="529">
        <f t="shared" si="29"/>
        <v>3.3197749999999999</v>
      </c>
      <c r="BZ61" s="529">
        <f t="shared" si="30"/>
        <v>3.4222000000000001</v>
      </c>
      <c r="CB61" s="529">
        <f t="shared" si="165"/>
        <v>0</v>
      </c>
      <c r="CC61" s="529">
        <f t="shared" si="166"/>
        <v>12165.623</v>
      </c>
      <c r="CD61" s="529">
        <f t="shared" si="167"/>
        <v>12650.748599999999</v>
      </c>
      <c r="CE61" s="529">
        <f t="shared" si="168"/>
        <v>2814.2386000000001</v>
      </c>
      <c r="CF61" s="529">
        <f t="shared" si="169"/>
        <v>8017.2479999999996</v>
      </c>
      <c r="CG61" s="529">
        <f t="shared" si="170"/>
        <v>4075.7840000000001</v>
      </c>
      <c r="CH61" s="529">
        <f t="shared" si="171"/>
        <v>3680</v>
      </c>
      <c r="CI61" s="529">
        <f t="shared" si="172"/>
        <v>4069.6200000000003</v>
      </c>
      <c r="CJ61" s="529">
        <f t="shared" si="173"/>
        <v>3449.54</v>
      </c>
      <c r="CK61" s="529">
        <f t="shared" si="174"/>
        <v>2771.5</v>
      </c>
      <c r="CL61" s="529">
        <f t="shared" si="175"/>
        <v>2771.5</v>
      </c>
      <c r="CM61" s="529">
        <f t="shared" si="176"/>
        <v>2771.5</v>
      </c>
      <c r="CN61" s="529">
        <f t="shared" si="177"/>
        <v>2771.5</v>
      </c>
      <c r="CO61" s="529">
        <f t="shared" si="178"/>
        <v>2771.5</v>
      </c>
      <c r="CP61" s="529">
        <f t="shared" si="31"/>
        <v>2771.5</v>
      </c>
      <c r="CQ61" s="529">
        <f t="shared" si="32"/>
        <v>2771.5</v>
      </c>
      <c r="CR61" s="529">
        <f t="shared" si="33"/>
        <v>2771.5</v>
      </c>
    </row>
    <row r="62" spans="1:96" x14ac:dyDescent="0.2">
      <c r="A62" s="761" t="s">
        <v>627</v>
      </c>
      <c r="B62" s="537" t="s">
        <v>494</v>
      </c>
      <c r="C62" s="538"/>
      <c r="D62" s="549"/>
      <c r="E62" s="540">
        <f>C62*D62/1000000</f>
        <v>0</v>
      </c>
      <c r="F62" s="541"/>
      <c r="G62" s="539"/>
      <c r="H62" s="540">
        <f>F62*G62/1000000</f>
        <v>0</v>
      </c>
      <c r="I62" s="538">
        <v>1083.75</v>
      </c>
      <c r="J62" s="539">
        <v>826</v>
      </c>
      <c r="K62" s="540">
        <f>I62*J62/1000000</f>
        <v>0.89517749999999996</v>
      </c>
      <c r="L62" s="538"/>
      <c r="M62" s="539"/>
      <c r="N62" s="540">
        <f>L62*M62/1000000</f>
        <v>0</v>
      </c>
      <c r="O62" s="538">
        <v>17920</v>
      </c>
      <c r="P62" s="539">
        <v>303</v>
      </c>
      <c r="Q62" s="540">
        <f>O62*P62/1000000</f>
        <v>5.4297599999999999</v>
      </c>
      <c r="R62" s="538">
        <f>1500+1489+2000+1748.2+1312.5+1199.7</f>
        <v>9249.4</v>
      </c>
      <c r="S62" s="539">
        <v>379</v>
      </c>
      <c r="T62" s="540">
        <f>R62*S62/1000000</f>
        <v>3.5055225999999999</v>
      </c>
      <c r="U62" s="538">
        <v>8000</v>
      </c>
      <c r="V62" s="629">
        <v>420</v>
      </c>
      <c r="W62" s="540">
        <f>U62*V62/1000000</f>
        <v>3.36</v>
      </c>
      <c r="X62" s="538">
        <f>ROUND(+U62*X$1,0)</f>
        <v>8847</v>
      </c>
      <c r="Y62" s="539">
        <f t="shared" ref="Y62:Y65" si="258">ROUND(V62*(1+Y$1),0)</f>
        <v>433</v>
      </c>
      <c r="Z62" s="540">
        <f>X62*Y62/1000000</f>
        <v>3.8307509999999998</v>
      </c>
      <c r="AA62" s="538">
        <f>ROUND(+X62*AA$1,0)</f>
        <v>7499</v>
      </c>
      <c r="AB62" s="539">
        <f t="shared" ref="AB62:AB65" si="259">ROUND(Y62*(1+AB$1),0)</f>
        <v>446</v>
      </c>
      <c r="AC62" s="540">
        <f>AA62*AB62/1000000</f>
        <v>3.344554</v>
      </c>
      <c r="AD62" s="538">
        <f>ROUND(+AA62*AD$1,0)</f>
        <v>6025</v>
      </c>
      <c r="AE62" s="539">
        <f t="shared" ref="AE62:AE65" si="260">ROUND(AB62*(1+AE$1),0)</f>
        <v>459</v>
      </c>
      <c r="AF62" s="540">
        <f>AD62*AE62/1000000</f>
        <v>2.7654749999999999</v>
      </c>
      <c r="AG62" s="538">
        <f>ROUND(+AD62*AG$1,0)</f>
        <v>6025</v>
      </c>
      <c r="AH62" s="539">
        <f t="shared" ref="AH62:AH65" si="261">ROUND(AE62*(1+AH$1),0)</f>
        <v>473</v>
      </c>
      <c r="AI62" s="540">
        <f>AG62*AH62/1000000</f>
        <v>2.8498250000000001</v>
      </c>
      <c r="AJ62" s="538">
        <f>ROUND(+AG62*AJ$1,0)</f>
        <v>6025</v>
      </c>
      <c r="AK62" s="539">
        <f t="shared" ref="AK62:AK65" si="262">ROUND(AH62*(1+AK$1),0)</f>
        <v>487</v>
      </c>
      <c r="AL62" s="540">
        <f>AJ62*AK62/1000000</f>
        <v>2.9341750000000002</v>
      </c>
      <c r="AM62" s="538">
        <f>ROUND(+AJ62*AM$1,0)</f>
        <v>6025</v>
      </c>
      <c r="AN62" s="539">
        <f t="shared" ref="AN62:AN65" si="263">ROUND(AK62*(1+AN$1),0)</f>
        <v>502</v>
      </c>
      <c r="AO62" s="540">
        <f>AM62*AN62/1000000</f>
        <v>3.0245500000000001</v>
      </c>
      <c r="AP62" s="538">
        <f>ROUND(+AM62*AP$1,0)</f>
        <v>6025</v>
      </c>
      <c r="AQ62" s="539">
        <f t="shared" ref="AQ62:AQ65" si="264">ROUND(AN62*(1+AQ$1),0)</f>
        <v>517</v>
      </c>
      <c r="AR62" s="540">
        <f>AP62*AQ62/1000000</f>
        <v>3.1149249999999999</v>
      </c>
      <c r="AS62" s="538">
        <f>ROUND(+AP62*AS$1,0)</f>
        <v>6025</v>
      </c>
      <c r="AT62" s="539">
        <f t="shared" ref="AT62:AT65" si="265">ROUND(AQ62*(1+AT$1),0)</f>
        <v>533</v>
      </c>
      <c r="AU62" s="540">
        <f>AS62*AT62/1000000</f>
        <v>3.211325</v>
      </c>
      <c r="AV62" s="538">
        <f>ROUND(+AS62*AV$1,0)</f>
        <v>6025</v>
      </c>
      <c r="AW62" s="539">
        <f t="shared" ref="AW62:AW65" si="266">ROUND(AT62*(1+AW$1),0)</f>
        <v>549</v>
      </c>
      <c r="AX62" s="540">
        <f>AV62*AW62/1000000</f>
        <v>3.307725</v>
      </c>
      <c r="AY62" s="538">
        <f>ROUND(+AV62*AY$1,0)</f>
        <v>6025</v>
      </c>
      <c r="AZ62" s="539">
        <f t="shared" ref="AZ62:AZ65" si="267">ROUND(AW62*(1+AZ$1),0)</f>
        <v>565</v>
      </c>
      <c r="BA62" s="540">
        <f>AY62*AZ62/1000000</f>
        <v>3.4041250000000001</v>
      </c>
      <c r="BJ62" s="529">
        <f t="shared" si="151"/>
        <v>0</v>
      </c>
      <c r="BK62" s="529">
        <f t="shared" si="152"/>
        <v>0</v>
      </c>
      <c r="BL62" s="529">
        <f t="shared" si="153"/>
        <v>0.89517749999999996</v>
      </c>
      <c r="BM62" s="529">
        <f t="shared" si="154"/>
        <v>0</v>
      </c>
      <c r="BN62" s="529">
        <f t="shared" si="155"/>
        <v>5.4297599999999999</v>
      </c>
      <c r="BO62" s="529">
        <f t="shared" si="156"/>
        <v>3.5055225999999999</v>
      </c>
      <c r="BP62" s="529">
        <f t="shared" si="157"/>
        <v>3.36</v>
      </c>
      <c r="BQ62" s="529">
        <f t="shared" si="158"/>
        <v>3.8307509999999998</v>
      </c>
      <c r="BR62" s="529">
        <f t="shared" si="159"/>
        <v>3.344554</v>
      </c>
      <c r="BS62" s="529">
        <f t="shared" si="160"/>
        <v>2.7654749999999999</v>
      </c>
      <c r="BT62" s="529">
        <f t="shared" si="161"/>
        <v>2.8498250000000001</v>
      </c>
      <c r="BU62" s="529">
        <f t="shared" si="162"/>
        <v>2.9341750000000002</v>
      </c>
      <c r="BV62" s="529">
        <f t="shared" si="163"/>
        <v>3.0245500000000001</v>
      </c>
      <c r="BW62" s="529">
        <f t="shared" si="164"/>
        <v>3.1149249999999999</v>
      </c>
      <c r="BX62" s="529">
        <f t="shared" si="28"/>
        <v>3.211325</v>
      </c>
      <c r="BY62" s="529">
        <f t="shared" si="29"/>
        <v>3.307725</v>
      </c>
      <c r="BZ62" s="529">
        <f t="shared" si="30"/>
        <v>3.4041250000000001</v>
      </c>
      <c r="CB62" s="529">
        <f t="shared" si="165"/>
        <v>0</v>
      </c>
      <c r="CC62" s="529">
        <f t="shared" si="166"/>
        <v>0</v>
      </c>
      <c r="CD62" s="529">
        <f t="shared" si="167"/>
        <v>1083.75</v>
      </c>
      <c r="CE62" s="529">
        <f t="shared" si="168"/>
        <v>0</v>
      </c>
      <c r="CF62" s="529">
        <f t="shared" si="169"/>
        <v>17920</v>
      </c>
      <c r="CG62" s="529">
        <f t="shared" si="170"/>
        <v>9249.4</v>
      </c>
      <c r="CH62" s="529">
        <f t="shared" si="171"/>
        <v>8000</v>
      </c>
      <c r="CI62" s="529">
        <f t="shared" si="172"/>
        <v>8847</v>
      </c>
      <c r="CJ62" s="529">
        <f t="shared" si="173"/>
        <v>7499</v>
      </c>
      <c r="CK62" s="529">
        <f t="shared" si="174"/>
        <v>6025</v>
      </c>
      <c r="CL62" s="529">
        <f t="shared" si="175"/>
        <v>6025</v>
      </c>
      <c r="CM62" s="529">
        <f t="shared" si="176"/>
        <v>6025</v>
      </c>
      <c r="CN62" s="529">
        <f t="shared" si="177"/>
        <v>6025</v>
      </c>
      <c r="CO62" s="529">
        <f t="shared" si="178"/>
        <v>6025</v>
      </c>
      <c r="CP62" s="529">
        <f t="shared" si="31"/>
        <v>6025</v>
      </c>
      <c r="CQ62" s="529">
        <f t="shared" si="32"/>
        <v>6025</v>
      </c>
      <c r="CR62" s="529">
        <f t="shared" si="33"/>
        <v>6025</v>
      </c>
    </row>
    <row r="63" spans="1:96" x14ac:dyDescent="0.2">
      <c r="A63" s="761"/>
      <c r="B63" s="537" t="s">
        <v>618</v>
      </c>
      <c r="C63" s="538"/>
      <c r="D63" s="549"/>
      <c r="E63" s="540">
        <f t="shared" si="189"/>
        <v>0</v>
      </c>
      <c r="F63" s="541"/>
      <c r="G63" s="539"/>
      <c r="H63" s="540">
        <f t="shared" si="190"/>
        <v>0</v>
      </c>
      <c r="I63" s="538"/>
      <c r="J63" s="539"/>
      <c r="K63" s="540">
        <f t="shared" si="191"/>
        <v>0</v>
      </c>
      <c r="L63" s="538"/>
      <c r="M63" s="539"/>
      <c r="N63" s="540">
        <f t="shared" si="192"/>
        <v>0</v>
      </c>
      <c r="O63" s="538"/>
      <c r="P63" s="539"/>
      <c r="Q63" s="540">
        <f t="shared" si="193"/>
        <v>0</v>
      </c>
      <c r="R63" s="538"/>
      <c r="S63" s="539"/>
      <c r="T63" s="540">
        <f t="shared" si="194"/>
        <v>0</v>
      </c>
      <c r="U63" s="538"/>
      <c r="V63" s="629"/>
      <c r="W63" s="540">
        <f t="shared" si="195"/>
        <v>0</v>
      </c>
      <c r="X63" s="538"/>
      <c r="Y63" s="539">
        <f t="shared" si="258"/>
        <v>0</v>
      </c>
      <c r="Z63" s="540">
        <f t="shared" si="196"/>
        <v>0</v>
      </c>
      <c r="AA63" s="538"/>
      <c r="AB63" s="539">
        <f t="shared" si="259"/>
        <v>0</v>
      </c>
      <c r="AC63" s="540">
        <f t="shared" si="197"/>
        <v>0</v>
      </c>
      <c r="AD63" s="538"/>
      <c r="AE63" s="539">
        <f t="shared" si="260"/>
        <v>0</v>
      </c>
      <c r="AF63" s="540">
        <f t="shared" si="198"/>
        <v>0</v>
      </c>
      <c r="AG63" s="538"/>
      <c r="AH63" s="539">
        <f t="shared" si="261"/>
        <v>0</v>
      </c>
      <c r="AI63" s="540">
        <f t="shared" si="199"/>
        <v>0</v>
      </c>
      <c r="AJ63" s="538"/>
      <c r="AK63" s="539">
        <f t="shared" si="262"/>
        <v>0</v>
      </c>
      <c r="AL63" s="540">
        <f t="shared" si="200"/>
        <v>0</v>
      </c>
      <c r="AM63" s="538"/>
      <c r="AN63" s="539">
        <f t="shared" si="263"/>
        <v>0</v>
      </c>
      <c r="AO63" s="540">
        <f t="shared" si="201"/>
        <v>0</v>
      </c>
      <c r="AP63" s="538"/>
      <c r="AQ63" s="539">
        <f t="shared" si="264"/>
        <v>0</v>
      </c>
      <c r="AR63" s="540">
        <f t="shared" si="202"/>
        <v>0</v>
      </c>
      <c r="AS63" s="538"/>
      <c r="AT63" s="539">
        <f t="shared" si="265"/>
        <v>0</v>
      </c>
      <c r="AU63" s="540">
        <f t="shared" ref="AU63:AU65" si="268">AS63*AT63/1000000</f>
        <v>0</v>
      </c>
      <c r="AV63" s="538"/>
      <c r="AW63" s="539">
        <f t="shared" si="266"/>
        <v>0</v>
      </c>
      <c r="AX63" s="540">
        <f t="shared" ref="AX63:AX65" si="269">AV63*AW63/1000000</f>
        <v>0</v>
      </c>
      <c r="AY63" s="538"/>
      <c r="AZ63" s="539">
        <f t="shared" si="267"/>
        <v>0</v>
      </c>
      <c r="BA63" s="540">
        <f t="shared" ref="BA63:BA65" si="270">AY63*AZ63/1000000</f>
        <v>0</v>
      </c>
      <c r="BJ63" s="529">
        <f t="shared" si="151"/>
        <v>0</v>
      </c>
      <c r="BK63" s="529">
        <f t="shared" si="152"/>
        <v>0</v>
      </c>
      <c r="BL63" s="529">
        <f t="shared" si="153"/>
        <v>0</v>
      </c>
      <c r="BM63" s="529">
        <f t="shared" si="154"/>
        <v>0</v>
      </c>
      <c r="BN63" s="529">
        <f t="shared" si="155"/>
        <v>0</v>
      </c>
      <c r="BO63" s="529">
        <f t="shared" si="156"/>
        <v>0</v>
      </c>
      <c r="BP63" s="529">
        <f t="shared" si="157"/>
        <v>0</v>
      </c>
      <c r="BQ63" s="529">
        <f t="shared" si="158"/>
        <v>0</v>
      </c>
      <c r="BR63" s="529">
        <f t="shared" si="159"/>
        <v>0</v>
      </c>
      <c r="BS63" s="529">
        <f t="shared" si="160"/>
        <v>0</v>
      </c>
      <c r="BT63" s="529">
        <f t="shared" si="161"/>
        <v>0</v>
      </c>
      <c r="BU63" s="529">
        <f t="shared" si="162"/>
        <v>0</v>
      </c>
      <c r="BV63" s="529">
        <f t="shared" si="163"/>
        <v>0</v>
      </c>
      <c r="BW63" s="529">
        <f t="shared" si="164"/>
        <v>0</v>
      </c>
      <c r="BX63" s="529">
        <f t="shared" si="28"/>
        <v>0</v>
      </c>
      <c r="BY63" s="529">
        <f t="shared" si="29"/>
        <v>0</v>
      </c>
      <c r="BZ63" s="529">
        <f t="shared" si="30"/>
        <v>0</v>
      </c>
      <c r="CB63" s="529">
        <f t="shared" si="165"/>
        <v>0</v>
      </c>
      <c r="CC63" s="529">
        <f t="shared" si="166"/>
        <v>0</v>
      </c>
      <c r="CD63" s="529">
        <f t="shared" si="167"/>
        <v>0</v>
      </c>
      <c r="CE63" s="529">
        <f t="shared" si="168"/>
        <v>0</v>
      </c>
      <c r="CF63" s="529">
        <f t="shared" si="169"/>
        <v>0</v>
      </c>
      <c r="CG63" s="529">
        <f t="shared" si="170"/>
        <v>0</v>
      </c>
      <c r="CH63" s="529">
        <f t="shared" si="171"/>
        <v>0</v>
      </c>
      <c r="CI63" s="529">
        <f t="shared" si="172"/>
        <v>0</v>
      </c>
      <c r="CJ63" s="529">
        <f t="shared" si="173"/>
        <v>0</v>
      </c>
      <c r="CK63" s="529">
        <f t="shared" si="174"/>
        <v>0</v>
      </c>
      <c r="CL63" s="529">
        <f t="shared" si="175"/>
        <v>0</v>
      </c>
      <c r="CM63" s="529">
        <f t="shared" si="176"/>
        <v>0</v>
      </c>
      <c r="CN63" s="529">
        <f t="shared" si="177"/>
        <v>0</v>
      </c>
      <c r="CO63" s="529">
        <f t="shared" si="178"/>
        <v>0</v>
      </c>
      <c r="CP63" s="529">
        <f t="shared" si="31"/>
        <v>0</v>
      </c>
      <c r="CQ63" s="529">
        <f t="shared" si="32"/>
        <v>0</v>
      </c>
      <c r="CR63" s="529">
        <f t="shared" si="33"/>
        <v>0</v>
      </c>
    </row>
    <row r="64" spans="1:96" x14ac:dyDescent="0.2">
      <c r="A64" s="761"/>
      <c r="B64" s="537" t="s">
        <v>495</v>
      </c>
      <c r="C64" s="538"/>
      <c r="D64" s="549"/>
      <c r="E64" s="540">
        <f t="shared" si="189"/>
        <v>0</v>
      </c>
      <c r="F64" s="541"/>
      <c r="G64" s="539"/>
      <c r="H64" s="540">
        <f t="shared" si="190"/>
        <v>0</v>
      </c>
      <c r="I64" s="538"/>
      <c r="J64" s="539"/>
      <c r="K64" s="540">
        <f t="shared" si="191"/>
        <v>0</v>
      </c>
      <c r="L64" s="538"/>
      <c r="M64" s="539"/>
      <c r="N64" s="540">
        <f t="shared" si="192"/>
        <v>0</v>
      </c>
      <c r="O64" s="538"/>
      <c r="P64" s="539"/>
      <c r="Q64" s="540">
        <f t="shared" si="193"/>
        <v>0</v>
      </c>
      <c r="R64" s="538"/>
      <c r="S64" s="539"/>
      <c r="T64" s="540">
        <f t="shared" si="194"/>
        <v>0</v>
      </c>
      <c r="U64" s="538"/>
      <c r="V64" s="629"/>
      <c r="W64" s="540">
        <f t="shared" si="195"/>
        <v>0</v>
      </c>
      <c r="X64" s="538"/>
      <c r="Y64" s="539">
        <f t="shared" si="258"/>
        <v>0</v>
      </c>
      <c r="Z64" s="540">
        <f t="shared" si="196"/>
        <v>0</v>
      </c>
      <c r="AA64" s="538"/>
      <c r="AB64" s="539">
        <f t="shared" si="259"/>
        <v>0</v>
      </c>
      <c r="AC64" s="540">
        <f t="shared" si="197"/>
        <v>0</v>
      </c>
      <c r="AD64" s="538"/>
      <c r="AE64" s="539">
        <f t="shared" si="260"/>
        <v>0</v>
      </c>
      <c r="AF64" s="540">
        <f t="shared" si="198"/>
        <v>0</v>
      </c>
      <c r="AG64" s="538"/>
      <c r="AH64" s="539">
        <f t="shared" si="261"/>
        <v>0</v>
      </c>
      <c r="AI64" s="540">
        <f t="shared" si="199"/>
        <v>0</v>
      </c>
      <c r="AJ64" s="538"/>
      <c r="AK64" s="539">
        <f t="shared" si="262"/>
        <v>0</v>
      </c>
      <c r="AL64" s="540">
        <f t="shared" si="200"/>
        <v>0</v>
      </c>
      <c r="AM64" s="538"/>
      <c r="AN64" s="539">
        <f t="shared" si="263"/>
        <v>0</v>
      </c>
      <c r="AO64" s="540">
        <f t="shared" si="201"/>
        <v>0</v>
      </c>
      <c r="AP64" s="538"/>
      <c r="AQ64" s="539">
        <f t="shared" si="264"/>
        <v>0</v>
      </c>
      <c r="AR64" s="540">
        <f t="shared" si="202"/>
        <v>0</v>
      </c>
      <c r="AS64" s="538"/>
      <c r="AT64" s="539">
        <f t="shared" si="265"/>
        <v>0</v>
      </c>
      <c r="AU64" s="540">
        <f t="shared" si="268"/>
        <v>0</v>
      </c>
      <c r="AV64" s="538"/>
      <c r="AW64" s="539">
        <f t="shared" si="266"/>
        <v>0</v>
      </c>
      <c r="AX64" s="540">
        <f t="shared" si="269"/>
        <v>0</v>
      </c>
      <c r="AY64" s="538"/>
      <c r="AZ64" s="539">
        <f t="shared" si="267"/>
        <v>0</v>
      </c>
      <c r="BA64" s="540">
        <f t="shared" si="270"/>
        <v>0</v>
      </c>
      <c r="BJ64" s="529">
        <f t="shared" si="151"/>
        <v>0</v>
      </c>
      <c r="BK64" s="529">
        <f t="shared" si="152"/>
        <v>0</v>
      </c>
      <c r="BL64" s="529">
        <f t="shared" si="153"/>
        <v>0</v>
      </c>
      <c r="BM64" s="529">
        <f t="shared" si="154"/>
        <v>0</v>
      </c>
      <c r="BN64" s="529">
        <f t="shared" si="155"/>
        <v>0</v>
      </c>
      <c r="BO64" s="529">
        <f t="shared" si="156"/>
        <v>0</v>
      </c>
      <c r="BP64" s="529">
        <f t="shared" si="157"/>
        <v>0</v>
      </c>
      <c r="BQ64" s="529">
        <f t="shared" si="158"/>
        <v>0</v>
      </c>
      <c r="BR64" s="529">
        <f t="shared" si="159"/>
        <v>0</v>
      </c>
      <c r="BS64" s="529">
        <f t="shared" si="160"/>
        <v>0</v>
      </c>
      <c r="BT64" s="529">
        <f t="shared" si="161"/>
        <v>0</v>
      </c>
      <c r="BU64" s="529">
        <f t="shared" si="162"/>
        <v>0</v>
      </c>
      <c r="BV64" s="529">
        <f t="shared" si="163"/>
        <v>0</v>
      </c>
      <c r="BW64" s="529">
        <f t="shared" si="164"/>
        <v>0</v>
      </c>
      <c r="BX64" s="529">
        <f t="shared" si="28"/>
        <v>0</v>
      </c>
      <c r="BY64" s="529">
        <f t="shared" si="29"/>
        <v>0</v>
      </c>
      <c r="BZ64" s="529">
        <f t="shared" si="30"/>
        <v>0</v>
      </c>
      <c r="CB64" s="529">
        <f t="shared" si="165"/>
        <v>0</v>
      </c>
      <c r="CC64" s="529">
        <f t="shared" si="166"/>
        <v>0</v>
      </c>
      <c r="CD64" s="529">
        <f t="shared" si="167"/>
        <v>0</v>
      </c>
      <c r="CE64" s="529">
        <f t="shared" si="168"/>
        <v>0</v>
      </c>
      <c r="CF64" s="529">
        <f t="shared" si="169"/>
        <v>0</v>
      </c>
      <c r="CG64" s="529">
        <f t="shared" si="170"/>
        <v>0</v>
      </c>
      <c r="CH64" s="529">
        <f t="shared" si="171"/>
        <v>0</v>
      </c>
      <c r="CI64" s="529">
        <f t="shared" si="172"/>
        <v>0</v>
      </c>
      <c r="CJ64" s="529">
        <f t="shared" si="173"/>
        <v>0</v>
      </c>
      <c r="CK64" s="529">
        <f t="shared" si="174"/>
        <v>0</v>
      </c>
      <c r="CL64" s="529">
        <f t="shared" si="175"/>
        <v>0</v>
      </c>
      <c r="CM64" s="529">
        <f t="shared" si="176"/>
        <v>0</v>
      </c>
      <c r="CN64" s="529">
        <f t="shared" si="177"/>
        <v>0</v>
      </c>
      <c r="CO64" s="529">
        <f t="shared" si="178"/>
        <v>0</v>
      </c>
      <c r="CP64" s="529">
        <f t="shared" si="31"/>
        <v>0</v>
      </c>
      <c r="CQ64" s="529">
        <f t="shared" si="32"/>
        <v>0</v>
      </c>
      <c r="CR64" s="529">
        <f t="shared" si="33"/>
        <v>0</v>
      </c>
    </row>
    <row r="65" spans="1:96" x14ac:dyDescent="0.2">
      <c r="A65" s="761"/>
      <c r="B65" s="537" t="s">
        <v>113</v>
      </c>
      <c r="C65" s="538"/>
      <c r="D65" s="549"/>
      <c r="E65" s="540">
        <f t="shared" si="189"/>
        <v>0</v>
      </c>
      <c r="F65" s="541"/>
      <c r="G65" s="539"/>
      <c r="H65" s="540">
        <f t="shared" si="190"/>
        <v>0</v>
      </c>
      <c r="I65" s="538"/>
      <c r="J65" s="539"/>
      <c r="K65" s="540">
        <f t="shared" si="191"/>
        <v>0</v>
      </c>
      <c r="L65" s="538"/>
      <c r="M65" s="539"/>
      <c r="N65" s="540">
        <f t="shared" si="192"/>
        <v>0</v>
      </c>
      <c r="O65" s="538"/>
      <c r="P65" s="539"/>
      <c r="Q65" s="540">
        <f t="shared" si="193"/>
        <v>0</v>
      </c>
      <c r="R65" s="538"/>
      <c r="S65" s="539"/>
      <c r="T65" s="540">
        <f t="shared" si="194"/>
        <v>0</v>
      </c>
      <c r="U65" s="538"/>
      <c r="V65" s="629"/>
      <c r="W65" s="540">
        <f t="shared" si="195"/>
        <v>0</v>
      </c>
      <c r="X65" s="538"/>
      <c r="Y65" s="539">
        <f t="shared" si="258"/>
        <v>0</v>
      </c>
      <c r="Z65" s="540">
        <f t="shared" si="196"/>
        <v>0</v>
      </c>
      <c r="AA65" s="538"/>
      <c r="AB65" s="539">
        <f t="shared" si="259"/>
        <v>0</v>
      </c>
      <c r="AC65" s="540">
        <f t="shared" si="197"/>
        <v>0</v>
      </c>
      <c r="AD65" s="538"/>
      <c r="AE65" s="539">
        <f t="shared" si="260"/>
        <v>0</v>
      </c>
      <c r="AF65" s="540">
        <f t="shared" si="198"/>
        <v>0</v>
      </c>
      <c r="AG65" s="538"/>
      <c r="AH65" s="539">
        <f t="shared" si="261"/>
        <v>0</v>
      </c>
      <c r="AI65" s="540">
        <f t="shared" si="199"/>
        <v>0</v>
      </c>
      <c r="AJ65" s="538"/>
      <c r="AK65" s="539">
        <f t="shared" si="262"/>
        <v>0</v>
      </c>
      <c r="AL65" s="540">
        <f t="shared" si="200"/>
        <v>0</v>
      </c>
      <c r="AM65" s="538"/>
      <c r="AN65" s="539">
        <f t="shared" si="263"/>
        <v>0</v>
      </c>
      <c r="AO65" s="540">
        <f t="shared" si="201"/>
        <v>0</v>
      </c>
      <c r="AP65" s="538"/>
      <c r="AQ65" s="539">
        <f t="shared" si="264"/>
        <v>0</v>
      </c>
      <c r="AR65" s="540">
        <f t="shared" si="202"/>
        <v>0</v>
      </c>
      <c r="AS65" s="538"/>
      <c r="AT65" s="539">
        <f t="shared" si="265"/>
        <v>0</v>
      </c>
      <c r="AU65" s="540">
        <f t="shared" si="268"/>
        <v>0</v>
      </c>
      <c r="AV65" s="538"/>
      <c r="AW65" s="539">
        <f t="shared" si="266"/>
        <v>0</v>
      </c>
      <c r="AX65" s="540">
        <f t="shared" si="269"/>
        <v>0</v>
      </c>
      <c r="AY65" s="538"/>
      <c r="AZ65" s="539">
        <f t="shared" si="267"/>
        <v>0</v>
      </c>
      <c r="BA65" s="540">
        <f t="shared" si="270"/>
        <v>0</v>
      </c>
      <c r="BJ65" s="529">
        <f t="shared" si="151"/>
        <v>0</v>
      </c>
      <c r="BK65" s="529">
        <f t="shared" si="152"/>
        <v>0</v>
      </c>
      <c r="BL65" s="529">
        <f t="shared" si="153"/>
        <v>0</v>
      </c>
      <c r="BM65" s="529">
        <f t="shared" si="154"/>
        <v>0</v>
      </c>
      <c r="BN65" s="529">
        <f t="shared" si="155"/>
        <v>0</v>
      </c>
      <c r="BO65" s="529">
        <f t="shared" si="156"/>
        <v>0</v>
      </c>
      <c r="BP65" s="529">
        <f t="shared" si="157"/>
        <v>0</v>
      </c>
      <c r="BQ65" s="529">
        <f t="shared" si="158"/>
        <v>0</v>
      </c>
      <c r="BR65" s="529">
        <f t="shared" si="159"/>
        <v>0</v>
      </c>
      <c r="BS65" s="529">
        <f t="shared" si="160"/>
        <v>0</v>
      </c>
      <c r="BT65" s="529">
        <f t="shared" si="161"/>
        <v>0</v>
      </c>
      <c r="BU65" s="529">
        <f t="shared" si="162"/>
        <v>0</v>
      </c>
      <c r="BV65" s="529">
        <f t="shared" si="163"/>
        <v>0</v>
      </c>
      <c r="BW65" s="529">
        <f t="shared" si="164"/>
        <v>0</v>
      </c>
      <c r="BX65" s="529">
        <f t="shared" si="28"/>
        <v>0</v>
      </c>
      <c r="BY65" s="529">
        <f t="shared" si="29"/>
        <v>0</v>
      </c>
      <c r="BZ65" s="529">
        <f t="shared" si="30"/>
        <v>0</v>
      </c>
      <c r="CB65" s="529">
        <f t="shared" si="165"/>
        <v>0</v>
      </c>
      <c r="CC65" s="529">
        <f t="shared" si="166"/>
        <v>0</v>
      </c>
      <c r="CD65" s="529">
        <f t="shared" si="167"/>
        <v>0</v>
      </c>
      <c r="CE65" s="529">
        <f t="shared" si="168"/>
        <v>0</v>
      </c>
      <c r="CF65" s="529">
        <f t="shared" si="169"/>
        <v>0</v>
      </c>
      <c r="CG65" s="529">
        <f t="shared" si="170"/>
        <v>0</v>
      </c>
      <c r="CH65" s="529">
        <f t="shared" si="171"/>
        <v>0</v>
      </c>
      <c r="CI65" s="529">
        <f t="shared" si="172"/>
        <v>0</v>
      </c>
      <c r="CJ65" s="529">
        <f t="shared" si="173"/>
        <v>0</v>
      </c>
      <c r="CK65" s="529">
        <f t="shared" si="174"/>
        <v>0</v>
      </c>
      <c r="CL65" s="529">
        <f t="shared" si="175"/>
        <v>0</v>
      </c>
      <c r="CM65" s="529">
        <f t="shared" si="176"/>
        <v>0</v>
      </c>
      <c r="CN65" s="529">
        <f t="shared" si="177"/>
        <v>0</v>
      </c>
      <c r="CO65" s="529">
        <f t="shared" si="178"/>
        <v>0</v>
      </c>
      <c r="CP65" s="529">
        <f t="shared" si="31"/>
        <v>0</v>
      </c>
      <c r="CQ65" s="529">
        <f t="shared" si="32"/>
        <v>0</v>
      </c>
      <c r="CR65" s="529">
        <f t="shared" si="33"/>
        <v>0</v>
      </c>
    </row>
    <row r="66" spans="1:96" ht="13.5" x14ac:dyDescent="0.25">
      <c r="A66" s="761"/>
      <c r="B66" s="537" t="s">
        <v>619</v>
      </c>
      <c r="C66" s="543">
        <f>C62*0.46+C63*0.46+C64*0.24+C65*0.24</f>
        <v>0</v>
      </c>
      <c r="D66" s="548"/>
      <c r="E66" s="545">
        <f>SUM(E62:E65)</f>
        <v>0</v>
      </c>
      <c r="F66" s="543">
        <f>F62*0.46+F63*0.46+F64*0.24+F65*0.24</f>
        <v>0</v>
      </c>
      <c r="G66" s="544"/>
      <c r="H66" s="545">
        <f>SUM(H62:H65)</f>
        <v>0</v>
      </c>
      <c r="I66" s="543">
        <f>I62*0.46+I63*0.46+I64*0.24+I65*0.24</f>
        <v>498.52500000000003</v>
      </c>
      <c r="J66" s="544"/>
      <c r="K66" s="545">
        <f>SUM(K62:K65)</f>
        <v>0.89517749999999996</v>
      </c>
      <c r="L66" s="543">
        <f>L62*0.46+L63*0.46+L64*0.24+L65*0.24</f>
        <v>0</v>
      </c>
      <c r="M66" s="544"/>
      <c r="N66" s="545">
        <f>SUM(N62:N65)</f>
        <v>0</v>
      </c>
      <c r="O66" s="543">
        <f>O62*0.46+O63*0.46+O64*0.24+O65*0.24</f>
        <v>8243.2000000000007</v>
      </c>
      <c r="P66" s="544"/>
      <c r="Q66" s="545">
        <f>SUM(Q62:Q65)</f>
        <v>5.4297599999999999</v>
      </c>
      <c r="R66" s="543">
        <f>R62*0.46+R63*0.46+R64*0.24+R65*0.24</f>
        <v>4254.7240000000002</v>
      </c>
      <c r="S66" s="544"/>
      <c r="T66" s="545">
        <f>SUM(T62:T65)</f>
        <v>3.5055225999999999</v>
      </c>
      <c r="U66" s="543">
        <f>U62*0.46+U63*0.46+U64*0.24+U65*0.24</f>
        <v>3680</v>
      </c>
      <c r="V66" s="630"/>
      <c r="W66" s="545">
        <f>SUM(W62:W65)</f>
        <v>3.36</v>
      </c>
      <c r="X66" s="543">
        <f>X62*0.46+X63*0.46+X64*0.24+X65*0.24</f>
        <v>4069.6200000000003</v>
      </c>
      <c r="Y66" s="548"/>
      <c r="Z66" s="545">
        <f>SUM(Z62:Z65)</f>
        <v>3.8307509999999998</v>
      </c>
      <c r="AA66" s="543">
        <f>AA62*0.46+AA63*0.46+AA64*0.24+AA65*0.24</f>
        <v>3449.54</v>
      </c>
      <c r="AB66" s="548"/>
      <c r="AC66" s="545">
        <f>SUM(AC62:AC65)</f>
        <v>3.344554</v>
      </c>
      <c r="AD66" s="543">
        <f>AD62*0.46+AD63*0.46+AD64*0.24+AD65*0.24</f>
        <v>2771.5</v>
      </c>
      <c r="AE66" s="548"/>
      <c r="AF66" s="545">
        <f>SUM(AF62:AF65)</f>
        <v>2.7654749999999999</v>
      </c>
      <c r="AG66" s="543">
        <f>AG62*0.46+AG63*0.46+AG64*0.24+AG65*0.24</f>
        <v>2771.5</v>
      </c>
      <c r="AH66" s="548"/>
      <c r="AI66" s="545">
        <f>SUM(AI62:AI65)</f>
        <v>2.8498250000000001</v>
      </c>
      <c r="AJ66" s="543">
        <f>AJ62*0.46+AJ63*0.46+AJ64*0.24+AJ65*0.24</f>
        <v>2771.5</v>
      </c>
      <c r="AK66" s="548"/>
      <c r="AL66" s="545">
        <f>SUM(AL62:AL65)</f>
        <v>2.9341750000000002</v>
      </c>
      <c r="AM66" s="543">
        <f>AM62*0.46+AM63*0.46+AM64*0.24+AM65*0.24</f>
        <v>2771.5</v>
      </c>
      <c r="AN66" s="548"/>
      <c r="AO66" s="545">
        <f>SUM(AO62:AO65)</f>
        <v>3.0245500000000001</v>
      </c>
      <c r="AP66" s="543">
        <f>AP62*0.46+AP63*0.46+AP64*0.24+AP65*0.24</f>
        <v>2771.5</v>
      </c>
      <c r="AQ66" s="548"/>
      <c r="AR66" s="545">
        <f>SUM(AR62:AR65)</f>
        <v>3.1149249999999999</v>
      </c>
      <c r="AS66" s="543">
        <f>AS62*0.46+AS63*0.46+AS64*0.24+AS65*0.24</f>
        <v>2771.5</v>
      </c>
      <c r="AT66" s="548"/>
      <c r="AU66" s="545">
        <f>SUM(AU62:AU65)</f>
        <v>3.211325</v>
      </c>
      <c r="AV66" s="543">
        <f>AV62*0.46+AV63*0.46+AV64*0.24+AV65*0.24</f>
        <v>2771.5</v>
      </c>
      <c r="AW66" s="548"/>
      <c r="AX66" s="545">
        <f>SUM(AX62:AX65)</f>
        <v>3.307725</v>
      </c>
      <c r="AY66" s="543">
        <f>AY62*0.46+AY63*0.46+AY64*0.24+AY65*0.24</f>
        <v>2771.5</v>
      </c>
      <c r="AZ66" s="548"/>
      <c r="BA66" s="545">
        <f>SUM(BA62:BA65)</f>
        <v>3.4041250000000001</v>
      </c>
      <c r="BJ66" s="529">
        <f t="shared" ref="BJ66:BJ97" si="271">E66</f>
        <v>0</v>
      </c>
      <c r="BK66" s="529">
        <f t="shared" ref="BK66:BK97" si="272">H66</f>
        <v>0</v>
      </c>
      <c r="BL66" s="529">
        <f t="shared" ref="BL66:BL97" si="273">K66</f>
        <v>0.89517749999999996</v>
      </c>
      <c r="BM66" s="529">
        <f t="shared" ref="BM66:BM97" si="274">N66</f>
        <v>0</v>
      </c>
      <c r="BN66" s="529">
        <f t="shared" ref="BN66:BN97" si="275">Q66</f>
        <v>5.4297599999999999</v>
      </c>
      <c r="BO66" s="529">
        <f t="shared" ref="BO66:BO97" si="276">T66</f>
        <v>3.5055225999999999</v>
      </c>
      <c r="BP66" s="529">
        <f t="shared" ref="BP66:BP97" si="277">W66</f>
        <v>3.36</v>
      </c>
      <c r="BQ66" s="529">
        <f t="shared" ref="BQ66:BQ97" si="278">Z66</f>
        <v>3.8307509999999998</v>
      </c>
      <c r="BR66" s="529">
        <f t="shared" ref="BR66:BR97" si="279">AC66</f>
        <v>3.344554</v>
      </c>
      <c r="BS66" s="529">
        <f t="shared" ref="BS66:BS97" si="280">AF66</f>
        <v>2.7654749999999999</v>
      </c>
      <c r="BT66" s="529">
        <f t="shared" ref="BT66:BT97" si="281">AI66</f>
        <v>2.8498250000000001</v>
      </c>
      <c r="BU66" s="529">
        <f t="shared" ref="BU66:BU97" si="282">AL66</f>
        <v>2.9341750000000002</v>
      </c>
      <c r="BV66" s="529">
        <f t="shared" ref="BV66:BV97" si="283">AO66</f>
        <v>3.0245500000000001</v>
      </c>
      <c r="BW66" s="529">
        <f t="shared" ref="BW66:BW97" si="284">AR66</f>
        <v>3.1149249999999999</v>
      </c>
      <c r="BX66" s="529">
        <f t="shared" si="28"/>
        <v>3.211325</v>
      </c>
      <c r="BY66" s="529">
        <f t="shared" si="29"/>
        <v>3.307725</v>
      </c>
      <c r="BZ66" s="529">
        <f t="shared" si="30"/>
        <v>3.4041250000000001</v>
      </c>
      <c r="CB66" s="529">
        <f t="shared" ref="CB66:CB97" si="285">C66</f>
        <v>0</v>
      </c>
      <c r="CC66" s="529">
        <f t="shared" ref="CC66:CC97" si="286">F66</f>
        <v>0</v>
      </c>
      <c r="CD66" s="529">
        <f t="shared" ref="CD66:CD97" si="287">I66</f>
        <v>498.52500000000003</v>
      </c>
      <c r="CE66" s="529">
        <f t="shared" ref="CE66:CE97" si="288">L66</f>
        <v>0</v>
      </c>
      <c r="CF66" s="529">
        <f t="shared" ref="CF66:CF97" si="289">O66</f>
        <v>8243.2000000000007</v>
      </c>
      <c r="CG66" s="529">
        <f t="shared" ref="CG66:CG97" si="290">R66</f>
        <v>4254.7240000000002</v>
      </c>
      <c r="CH66" s="529">
        <f t="shared" ref="CH66:CH97" si="291">U66</f>
        <v>3680</v>
      </c>
      <c r="CI66" s="529">
        <f t="shared" ref="CI66:CI97" si="292">X66</f>
        <v>4069.6200000000003</v>
      </c>
      <c r="CJ66" s="529">
        <f t="shared" ref="CJ66:CJ97" si="293">AA66</f>
        <v>3449.54</v>
      </c>
      <c r="CK66" s="529">
        <f t="shared" ref="CK66:CK97" si="294">AD66</f>
        <v>2771.5</v>
      </c>
      <c r="CL66" s="529">
        <f t="shared" ref="CL66:CL97" si="295">AG66</f>
        <v>2771.5</v>
      </c>
      <c r="CM66" s="529">
        <f t="shared" ref="CM66:CM97" si="296">AJ66</f>
        <v>2771.5</v>
      </c>
      <c r="CN66" s="529">
        <f t="shared" ref="CN66:CN97" si="297">AM66</f>
        <v>2771.5</v>
      </c>
      <c r="CO66" s="529">
        <f t="shared" ref="CO66:CO97" si="298">AP66</f>
        <v>2771.5</v>
      </c>
      <c r="CP66" s="529">
        <f t="shared" si="31"/>
        <v>2771.5</v>
      </c>
      <c r="CQ66" s="529">
        <f t="shared" si="32"/>
        <v>2771.5</v>
      </c>
      <c r="CR66" s="529">
        <f t="shared" si="33"/>
        <v>2771.5</v>
      </c>
    </row>
    <row r="67" spans="1:96" x14ac:dyDescent="0.2">
      <c r="A67" s="761" t="s">
        <v>628</v>
      </c>
      <c r="B67" s="537" t="s">
        <v>494</v>
      </c>
      <c r="C67" s="538"/>
      <c r="D67" s="549"/>
      <c r="E67" s="540">
        <f>C67*D67/1000000</f>
        <v>0</v>
      </c>
      <c r="F67" s="538">
        <v>6817.2</v>
      </c>
      <c r="G67" s="539">
        <v>234</v>
      </c>
      <c r="H67" s="540">
        <f>F67*G67/1000000</f>
        <v>1.5952248</v>
      </c>
      <c r="I67" s="538">
        <v>4939.95</v>
      </c>
      <c r="J67" s="539">
        <v>640</v>
      </c>
      <c r="K67" s="540">
        <f>I67*J67/1000000</f>
        <v>3.1615679999999999</v>
      </c>
      <c r="L67" s="538"/>
      <c r="M67" s="539"/>
      <c r="N67" s="540">
        <f>L67*M67/1000000</f>
        <v>0</v>
      </c>
      <c r="O67" s="538">
        <v>3508.5</v>
      </c>
      <c r="P67" s="539">
        <v>308</v>
      </c>
      <c r="Q67" s="540">
        <f>O67*P67/1000000</f>
        <v>1.0806180000000001</v>
      </c>
      <c r="R67" s="538">
        <f>499.4+3492.65+687.5+312.5+1499.9+1044.7+2895.1+500+1477.1</f>
        <v>12408.85</v>
      </c>
      <c r="S67" s="539">
        <v>361</v>
      </c>
      <c r="T67" s="540">
        <f>R67*S67/1000000</f>
        <v>4.4795948500000007</v>
      </c>
      <c r="U67" s="538">
        <v>13000</v>
      </c>
      <c r="V67" s="629">
        <v>416</v>
      </c>
      <c r="W67" s="540">
        <f>U67*V67/1000000</f>
        <v>5.4080000000000004</v>
      </c>
      <c r="X67" s="538">
        <f>ROUND(+U67*X$1,0)</f>
        <v>14377</v>
      </c>
      <c r="Y67" s="539">
        <f t="shared" ref="Y67:Y70" si="299">ROUND(V67*(1+Y$1),0)</f>
        <v>428</v>
      </c>
      <c r="Z67" s="540">
        <f>X67*Y67/1000000</f>
        <v>6.1533559999999996</v>
      </c>
      <c r="AA67" s="538">
        <f>ROUND(+X67*AA$1,0)</f>
        <v>12187</v>
      </c>
      <c r="AB67" s="539">
        <f t="shared" ref="AB67:AB70" si="300">ROUND(Y67*(1+AB$1),0)</f>
        <v>441</v>
      </c>
      <c r="AC67" s="540">
        <f>AA67*AB67/1000000</f>
        <v>5.3744670000000001</v>
      </c>
      <c r="AD67" s="538">
        <f>ROUND(+AA67*AD$1,0)</f>
        <v>9791</v>
      </c>
      <c r="AE67" s="539">
        <f t="shared" ref="AE67:AE70" si="301">ROUND(AB67*(1+AE$1),0)</f>
        <v>454</v>
      </c>
      <c r="AF67" s="540">
        <f>AD67*AE67/1000000</f>
        <v>4.4451140000000002</v>
      </c>
      <c r="AG67" s="538">
        <f>ROUND(+AD67*AG$1,0)</f>
        <v>9791</v>
      </c>
      <c r="AH67" s="539">
        <f t="shared" ref="AH67:AH70" si="302">ROUND(AE67*(1+AH$1),0)</f>
        <v>468</v>
      </c>
      <c r="AI67" s="540">
        <f>AG67*AH67/1000000</f>
        <v>4.5821880000000004</v>
      </c>
      <c r="AJ67" s="538">
        <f>ROUND(+AG67*AJ$1,0)</f>
        <v>9791</v>
      </c>
      <c r="AK67" s="539">
        <f t="shared" ref="AK67:AK70" si="303">ROUND(AH67*(1+AK$1),0)</f>
        <v>482</v>
      </c>
      <c r="AL67" s="540">
        <f>AJ67*AK67/1000000</f>
        <v>4.7192619999999996</v>
      </c>
      <c r="AM67" s="538">
        <f>ROUND(+AJ67*AM$1,0)</f>
        <v>9791</v>
      </c>
      <c r="AN67" s="539">
        <f t="shared" ref="AN67:AN70" si="304">ROUND(AK67*(1+AN$1),0)</f>
        <v>496</v>
      </c>
      <c r="AO67" s="540">
        <f>AM67*AN67/1000000</f>
        <v>4.8563359999999998</v>
      </c>
      <c r="AP67" s="538">
        <f>ROUND(+AM67*AP$1,0)</f>
        <v>9791</v>
      </c>
      <c r="AQ67" s="539">
        <f t="shared" ref="AQ67:AQ70" si="305">ROUND(AN67*(1+AQ$1),0)</f>
        <v>511</v>
      </c>
      <c r="AR67" s="540">
        <f>AP67*AQ67/1000000</f>
        <v>5.0032009999999998</v>
      </c>
      <c r="AS67" s="538">
        <f>ROUND(+AP67*AS$1,0)</f>
        <v>9791</v>
      </c>
      <c r="AT67" s="539">
        <f t="shared" ref="AT67:AT70" si="306">ROUND(AQ67*(1+AT$1),0)</f>
        <v>526</v>
      </c>
      <c r="AU67" s="540">
        <f>AS67*AT67/1000000</f>
        <v>5.1500659999999998</v>
      </c>
      <c r="AV67" s="538">
        <f>ROUND(+AS67*AV$1,0)</f>
        <v>9791</v>
      </c>
      <c r="AW67" s="539">
        <f t="shared" ref="AW67:AW70" si="307">ROUND(AT67*(1+AW$1),0)</f>
        <v>542</v>
      </c>
      <c r="AX67" s="540">
        <f>AV67*AW67/1000000</f>
        <v>5.3067219999999997</v>
      </c>
      <c r="AY67" s="538">
        <f>ROUND(+AV67*AY$1,0)</f>
        <v>9791</v>
      </c>
      <c r="AZ67" s="539">
        <f t="shared" ref="AZ67:AZ70" si="308">ROUND(AW67*(1+AZ$1),0)</f>
        <v>558</v>
      </c>
      <c r="BA67" s="540">
        <f>AY67*AZ67/1000000</f>
        <v>5.4633779999999996</v>
      </c>
      <c r="BJ67" s="529">
        <f t="shared" si="271"/>
        <v>0</v>
      </c>
      <c r="BK67" s="529">
        <f t="shared" si="272"/>
        <v>1.5952248</v>
      </c>
      <c r="BL67" s="529">
        <f t="shared" si="273"/>
        <v>3.1615679999999999</v>
      </c>
      <c r="BM67" s="529">
        <f t="shared" si="274"/>
        <v>0</v>
      </c>
      <c r="BN67" s="529">
        <f t="shared" si="275"/>
        <v>1.0806180000000001</v>
      </c>
      <c r="BO67" s="529">
        <f t="shared" si="276"/>
        <v>4.4795948500000007</v>
      </c>
      <c r="BP67" s="529">
        <f t="shared" si="277"/>
        <v>5.4080000000000004</v>
      </c>
      <c r="BQ67" s="529">
        <f t="shared" si="278"/>
        <v>6.1533559999999996</v>
      </c>
      <c r="BR67" s="529">
        <f t="shared" si="279"/>
        <v>5.3744670000000001</v>
      </c>
      <c r="BS67" s="529">
        <f t="shared" si="280"/>
        <v>4.4451140000000002</v>
      </c>
      <c r="BT67" s="529">
        <f t="shared" si="281"/>
        <v>4.5821880000000004</v>
      </c>
      <c r="BU67" s="529">
        <f t="shared" si="282"/>
        <v>4.7192619999999996</v>
      </c>
      <c r="BV67" s="529">
        <f t="shared" si="283"/>
        <v>4.8563359999999998</v>
      </c>
      <c r="BW67" s="529">
        <f t="shared" si="284"/>
        <v>5.0032009999999998</v>
      </c>
      <c r="BX67" s="529">
        <f t="shared" ref="BX67:BX130" si="309">AU67</f>
        <v>5.1500659999999998</v>
      </c>
      <c r="BY67" s="529">
        <f t="shared" ref="BY67:BY130" si="310">AX67</f>
        <v>5.3067219999999997</v>
      </c>
      <c r="BZ67" s="529">
        <f t="shared" ref="BZ67:BZ130" si="311">BA67</f>
        <v>5.4633779999999996</v>
      </c>
      <c r="CB67" s="529">
        <f t="shared" si="285"/>
        <v>0</v>
      </c>
      <c r="CC67" s="529">
        <f t="shared" si="286"/>
        <v>6817.2</v>
      </c>
      <c r="CD67" s="529">
        <f t="shared" si="287"/>
        <v>4939.95</v>
      </c>
      <c r="CE67" s="529">
        <f t="shared" si="288"/>
        <v>0</v>
      </c>
      <c r="CF67" s="529">
        <f t="shared" si="289"/>
        <v>3508.5</v>
      </c>
      <c r="CG67" s="529">
        <f t="shared" si="290"/>
        <v>12408.85</v>
      </c>
      <c r="CH67" s="529">
        <f t="shared" si="291"/>
        <v>13000</v>
      </c>
      <c r="CI67" s="529">
        <f t="shared" si="292"/>
        <v>14377</v>
      </c>
      <c r="CJ67" s="529">
        <f t="shared" si="293"/>
        <v>12187</v>
      </c>
      <c r="CK67" s="529">
        <f t="shared" si="294"/>
        <v>9791</v>
      </c>
      <c r="CL67" s="529">
        <f t="shared" si="295"/>
        <v>9791</v>
      </c>
      <c r="CM67" s="529">
        <f t="shared" si="296"/>
        <v>9791</v>
      </c>
      <c r="CN67" s="529">
        <f t="shared" si="297"/>
        <v>9791</v>
      </c>
      <c r="CO67" s="529">
        <f t="shared" si="298"/>
        <v>9791</v>
      </c>
      <c r="CP67" s="529">
        <f t="shared" ref="CP67:CP130" si="312">AS67</f>
        <v>9791</v>
      </c>
      <c r="CQ67" s="529">
        <f t="shared" ref="CQ67:CQ130" si="313">AV67</f>
        <v>9791</v>
      </c>
      <c r="CR67" s="529">
        <f t="shared" ref="CR67:CR130" si="314">AY67</f>
        <v>9791</v>
      </c>
    </row>
    <row r="68" spans="1:96" x14ac:dyDescent="0.2">
      <c r="A68" s="761"/>
      <c r="B68" s="537" t="s">
        <v>618</v>
      </c>
      <c r="C68" s="538"/>
      <c r="D68" s="549"/>
      <c r="E68" s="540">
        <f t="shared" ref="E68:E70" si="315">C68*D68/1000000</f>
        <v>0</v>
      </c>
      <c r="F68" s="538"/>
      <c r="G68" s="539"/>
      <c r="H68" s="540">
        <f t="shared" ref="H68:H70" si="316">F68*G68/1000000</f>
        <v>0</v>
      </c>
      <c r="I68" s="538"/>
      <c r="J68" s="539"/>
      <c r="K68" s="540">
        <f t="shared" ref="K68:K70" si="317">I68*J68/1000000</f>
        <v>0</v>
      </c>
      <c r="L68" s="538"/>
      <c r="M68" s="539"/>
      <c r="N68" s="540">
        <f t="shared" ref="N68:N70" si="318">L68*M68/1000000</f>
        <v>0</v>
      </c>
      <c r="O68" s="538">
        <v>726.2</v>
      </c>
      <c r="P68" s="539">
        <v>195</v>
      </c>
      <c r="Q68" s="540">
        <f t="shared" ref="Q68:Q70" si="319">O68*P68/1000000</f>
        <v>0.14160900000000001</v>
      </c>
      <c r="R68" s="538"/>
      <c r="S68" s="539"/>
      <c r="T68" s="540">
        <f t="shared" ref="T68:T70" si="320">R68*S68/1000000</f>
        <v>0</v>
      </c>
      <c r="U68" s="538"/>
      <c r="V68" s="629"/>
      <c r="W68" s="540">
        <f t="shared" ref="W68:W70" si="321">U68*V68/1000000</f>
        <v>0</v>
      </c>
      <c r="X68" s="538"/>
      <c r="Y68" s="539">
        <f t="shared" si="299"/>
        <v>0</v>
      </c>
      <c r="Z68" s="540">
        <f t="shared" ref="Z68:Z70" si="322">X68*Y68/1000000</f>
        <v>0</v>
      </c>
      <c r="AA68" s="538"/>
      <c r="AB68" s="539">
        <f t="shared" si="300"/>
        <v>0</v>
      </c>
      <c r="AC68" s="540">
        <f t="shared" ref="AC68:AC70" si="323">AA68*AB68/1000000</f>
        <v>0</v>
      </c>
      <c r="AD68" s="538"/>
      <c r="AE68" s="539">
        <f t="shared" si="301"/>
        <v>0</v>
      </c>
      <c r="AF68" s="540">
        <f t="shared" ref="AF68:AF70" si="324">AD68*AE68/1000000</f>
        <v>0</v>
      </c>
      <c r="AG68" s="538"/>
      <c r="AH68" s="539">
        <f t="shared" si="302"/>
        <v>0</v>
      </c>
      <c r="AI68" s="540">
        <f t="shared" ref="AI68:AI70" si="325">AG68*AH68/1000000</f>
        <v>0</v>
      </c>
      <c r="AJ68" s="538"/>
      <c r="AK68" s="539">
        <f t="shared" si="303"/>
        <v>0</v>
      </c>
      <c r="AL68" s="540">
        <f t="shared" ref="AL68:AL70" si="326">AJ68*AK68/1000000</f>
        <v>0</v>
      </c>
      <c r="AM68" s="538"/>
      <c r="AN68" s="539">
        <f t="shared" si="304"/>
        <v>0</v>
      </c>
      <c r="AO68" s="540">
        <f t="shared" ref="AO68:AO70" si="327">AM68*AN68/1000000</f>
        <v>0</v>
      </c>
      <c r="AP68" s="538"/>
      <c r="AQ68" s="539">
        <f t="shared" si="305"/>
        <v>0</v>
      </c>
      <c r="AR68" s="540">
        <f t="shared" ref="AR68:AR70" si="328">AP68*AQ68/1000000</f>
        <v>0</v>
      </c>
      <c r="AS68" s="538"/>
      <c r="AT68" s="539">
        <f t="shared" si="306"/>
        <v>0</v>
      </c>
      <c r="AU68" s="540">
        <f t="shared" ref="AU68:AU70" si="329">AS68*AT68/1000000</f>
        <v>0</v>
      </c>
      <c r="AV68" s="538"/>
      <c r="AW68" s="539">
        <f t="shared" si="307"/>
        <v>0</v>
      </c>
      <c r="AX68" s="540">
        <f t="shared" ref="AX68:AX70" si="330">AV68*AW68/1000000</f>
        <v>0</v>
      </c>
      <c r="AY68" s="538"/>
      <c r="AZ68" s="539">
        <f t="shared" si="308"/>
        <v>0</v>
      </c>
      <c r="BA68" s="540">
        <f t="shared" ref="BA68:BA70" si="331">AY68*AZ68/1000000</f>
        <v>0</v>
      </c>
      <c r="BJ68" s="529">
        <f t="shared" si="271"/>
        <v>0</v>
      </c>
      <c r="BK68" s="529">
        <f t="shared" si="272"/>
        <v>0</v>
      </c>
      <c r="BL68" s="529">
        <f t="shared" si="273"/>
        <v>0</v>
      </c>
      <c r="BM68" s="529">
        <f t="shared" si="274"/>
        <v>0</v>
      </c>
      <c r="BN68" s="529">
        <f t="shared" si="275"/>
        <v>0.14160900000000001</v>
      </c>
      <c r="BO68" s="529">
        <f t="shared" si="276"/>
        <v>0</v>
      </c>
      <c r="BP68" s="529">
        <f t="shared" si="277"/>
        <v>0</v>
      </c>
      <c r="BQ68" s="529">
        <f t="shared" si="278"/>
        <v>0</v>
      </c>
      <c r="BR68" s="529">
        <f t="shared" si="279"/>
        <v>0</v>
      </c>
      <c r="BS68" s="529">
        <f t="shared" si="280"/>
        <v>0</v>
      </c>
      <c r="BT68" s="529">
        <f t="shared" si="281"/>
        <v>0</v>
      </c>
      <c r="BU68" s="529">
        <f t="shared" si="282"/>
        <v>0</v>
      </c>
      <c r="BV68" s="529">
        <f t="shared" si="283"/>
        <v>0</v>
      </c>
      <c r="BW68" s="529">
        <f t="shared" si="284"/>
        <v>0</v>
      </c>
      <c r="BX68" s="529">
        <f t="shared" si="309"/>
        <v>0</v>
      </c>
      <c r="BY68" s="529">
        <f t="shared" si="310"/>
        <v>0</v>
      </c>
      <c r="BZ68" s="529">
        <f t="shared" si="311"/>
        <v>0</v>
      </c>
      <c r="CB68" s="529">
        <f t="shared" si="285"/>
        <v>0</v>
      </c>
      <c r="CC68" s="529">
        <f t="shared" si="286"/>
        <v>0</v>
      </c>
      <c r="CD68" s="529">
        <f t="shared" si="287"/>
        <v>0</v>
      </c>
      <c r="CE68" s="529">
        <f t="shared" si="288"/>
        <v>0</v>
      </c>
      <c r="CF68" s="529">
        <f t="shared" si="289"/>
        <v>726.2</v>
      </c>
      <c r="CG68" s="529">
        <f t="shared" si="290"/>
        <v>0</v>
      </c>
      <c r="CH68" s="529">
        <f t="shared" si="291"/>
        <v>0</v>
      </c>
      <c r="CI68" s="529">
        <f t="shared" si="292"/>
        <v>0</v>
      </c>
      <c r="CJ68" s="529">
        <f t="shared" si="293"/>
        <v>0</v>
      </c>
      <c r="CK68" s="529">
        <f t="shared" si="294"/>
        <v>0</v>
      </c>
      <c r="CL68" s="529">
        <f t="shared" si="295"/>
        <v>0</v>
      </c>
      <c r="CM68" s="529">
        <f t="shared" si="296"/>
        <v>0</v>
      </c>
      <c r="CN68" s="529">
        <f t="shared" si="297"/>
        <v>0</v>
      </c>
      <c r="CO68" s="529">
        <f t="shared" si="298"/>
        <v>0</v>
      </c>
      <c r="CP68" s="529">
        <f t="shared" si="312"/>
        <v>0</v>
      </c>
      <c r="CQ68" s="529">
        <f t="shared" si="313"/>
        <v>0</v>
      </c>
      <c r="CR68" s="529">
        <f t="shared" si="314"/>
        <v>0</v>
      </c>
    </row>
    <row r="69" spans="1:96" x14ac:dyDescent="0.2">
      <c r="A69" s="761"/>
      <c r="B69" s="537" t="s">
        <v>495</v>
      </c>
      <c r="C69" s="538"/>
      <c r="D69" s="549"/>
      <c r="E69" s="540">
        <f t="shared" si="315"/>
        <v>0</v>
      </c>
      <c r="F69" s="538">
        <v>7171.8</v>
      </c>
      <c r="G69" s="539">
        <v>135</v>
      </c>
      <c r="H69" s="540">
        <f t="shared" si="316"/>
        <v>0.96819299999999997</v>
      </c>
      <c r="I69" s="538">
        <v>11417.5</v>
      </c>
      <c r="J69" s="539">
        <v>321</v>
      </c>
      <c r="K69" s="540">
        <f t="shared" si="317"/>
        <v>3.6650174999999998</v>
      </c>
      <c r="L69" s="538">
        <v>240</v>
      </c>
      <c r="M69" s="539">
        <v>155</v>
      </c>
      <c r="N69" s="540">
        <f t="shared" si="318"/>
        <v>3.7199999999999997E-2</v>
      </c>
      <c r="O69" s="538"/>
      <c r="P69" s="539"/>
      <c r="Q69" s="540">
        <f t="shared" si="319"/>
        <v>0</v>
      </c>
      <c r="R69" s="538"/>
      <c r="S69" s="539"/>
      <c r="T69" s="540">
        <f t="shared" si="320"/>
        <v>0</v>
      </c>
      <c r="U69" s="538"/>
      <c r="V69" s="629"/>
      <c r="W69" s="540">
        <f t="shared" si="321"/>
        <v>0</v>
      </c>
      <c r="X69" s="538"/>
      <c r="Y69" s="539">
        <f t="shared" si="299"/>
        <v>0</v>
      </c>
      <c r="Z69" s="540">
        <f t="shared" si="322"/>
        <v>0</v>
      </c>
      <c r="AA69" s="538"/>
      <c r="AB69" s="539">
        <f t="shared" si="300"/>
        <v>0</v>
      </c>
      <c r="AC69" s="540">
        <f t="shared" si="323"/>
        <v>0</v>
      </c>
      <c r="AD69" s="538"/>
      <c r="AE69" s="539">
        <f t="shared" si="301"/>
        <v>0</v>
      </c>
      <c r="AF69" s="540">
        <f t="shared" si="324"/>
        <v>0</v>
      </c>
      <c r="AG69" s="538"/>
      <c r="AH69" s="539">
        <f t="shared" si="302"/>
        <v>0</v>
      </c>
      <c r="AI69" s="540">
        <f t="shared" si="325"/>
        <v>0</v>
      </c>
      <c r="AJ69" s="538"/>
      <c r="AK69" s="539">
        <f t="shared" si="303"/>
        <v>0</v>
      </c>
      <c r="AL69" s="540">
        <f t="shared" si="326"/>
        <v>0</v>
      </c>
      <c r="AM69" s="538"/>
      <c r="AN69" s="539">
        <f t="shared" si="304"/>
        <v>0</v>
      </c>
      <c r="AO69" s="540">
        <f t="shared" si="327"/>
        <v>0</v>
      </c>
      <c r="AP69" s="538"/>
      <c r="AQ69" s="539">
        <f t="shared" si="305"/>
        <v>0</v>
      </c>
      <c r="AR69" s="540">
        <f t="shared" si="328"/>
        <v>0</v>
      </c>
      <c r="AS69" s="538"/>
      <c r="AT69" s="539">
        <f t="shared" si="306"/>
        <v>0</v>
      </c>
      <c r="AU69" s="540">
        <f t="shared" si="329"/>
        <v>0</v>
      </c>
      <c r="AV69" s="538"/>
      <c r="AW69" s="539">
        <f t="shared" si="307"/>
        <v>0</v>
      </c>
      <c r="AX69" s="540">
        <f t="shared" si="330"/>
        <v>0</v>
      </c>
      <c r="AY69" s="538"/>
      <c r="AZ69" s="539">
        <f t="shared" si="308"/>
        <v>0</v>
      </c>
      <c r="BA69" s="540">
        <f t="shared" si="331"/>
        <v>0</v>
      </c>
      <c r="BJ69" s="529">
        <f t="shared" si="271"/>
        <v>0</v>
      </c>
      <c r="BK69" s="529">
        <f t="shared" si="272"/>
        <v>0.96819299999999997</v>
      </c>
      <c r="BL69" s="529">
        <f t="shared" si="273"/>
        <v>3.6650174999999998</v>
      </c>
      <c r="BM69" s="529">
        <f t="shared" si="274"/>
        <v>3.7199999999999997E-2</v>
      </c>
      <c r="BN69" s="529">
        <f t="shared" si="275"/>
        <v>0</v>
      </c>
      <c r="BO69" s="529">
        <f t="shared" si="276"/>
        <v>0</v>
      </c>
      <c r="BP69" s="529">
        <f t="shared" si="277"/>
        <v>0</v>
      </c>
      <c r="BQ69" s="529">
        <f t="shared" si="278"/>
        <v>0</v>
      </c>
      <c r="BR69" s="529">
        <f t="shared" si="279"/>
        <v>0</v>
      </c>
      <c r="BS69" s="529">
        <f t="shared" si="280"/>
        <v>0</v>
      </c>
      <c r="BT69" s="529">
        <f t="shared" si="281"/>
        <v>0</v>
      </c>
      <c r="BU69" s="529">
        <f t="shared" si="282"/>
        <v>0</v>
      </c>
      <c r="BV69" s="529">
        <f t="shared" si="283"/>
        <v>0</v>
      </c>
      <c r="BW69" s="529">
        <f t="shared" si="284"/>
        <v>0</v>
      </c>
      <c r="BX69" s="529">
        <f t="shared" si="309"/>
        <v>0</v>
      </c>
      <c r="BY69" s="529">
        <f t="shared" si="310"/>
        <v>0</v>
      </c>
      <c r="BZ69" s="529">
        <f t="shared" si="311"/>
        <v>0</v>
      </c>
      <c r="CB69" s="529">
        <f t="shared" si="285"/>
        <v>0</v>
      </c>
      <c r="CC69" s="529">
        <f t="shared" si="286"/>
        <v>7171.8</v>
      </c>
      <c r="CD69" s="529">
        <f t="shared" si="287"/>
        <v>11417.5</v>
      </c>
      <c r="CE69" s="529">
        <f t="shared" si="288"/>
        <v>240</v>
      </c>
      <c r="CF69" s="529">
        <f t="shared" si="289"/>
        <v>0</v>
      </c>
      <c r="CG69" s="529">
        <f t="shared" si="290"/>
        <v>0</v>
      </c>
      <c r="CH69" s="529">
        <f t="shared" si="291"/>
        <v>0</v>
      </c>
      <c r="CI69" s="529">
        <f t="shared" si="292"/>
        <v>0</v>
      </c>
      <c r="CJ69" s="529">
        <f t="shared" si="293"/>
        <v>0</v>
      </c>
      <c r="CK69" s="529">
        <f t="shared" si="294"/>
        <v>0</v>
      </c>
      <c r="CL69" s="529">
        <f t="shared" si="295"/>
        <v>0</v>
      </c>
      <c r="CM69" s="529">
        <f t="shared" si="296"/>
        <v>0</v>
      </c>
      <c r="CN69" s="529">
        <f t="shared" si="297"/>
        <v>0</v>
      </c>
      <c r="CO69" s="529">
        <f t="shared" si="298"/>
        <v>0</v>
      </c>
      <c r="CP69" s="529">
        <f t="shared" si="312"/>
        <v>0</v>
      </c>
      <c r="CQ69" s="529">
        <f t="shared" si="313"/>
        <v>0</v>
      </c>
      <c r="CR69" s="529">
        <f t="shared" si="314"/>
        <v>0</v>
      </c>
    </row>
    <row r="70" spans="1:96" x14ac:dyDescent="0.2">
      <c r="A70" s="761"/>
      <c r="B70" s="537" t="s">
        <v>113</v>
      </c>
      <c r="C70" s="538"/>
      <c r="D70" s="549"/>
      <c r="E70" s="540">
        <f t="shared" si="315"/>
        <v>0</v>
      </c>
      <c r="F70" s="541"/>
      <c r="G70" s="539"/>
      <c r="H70" s="540">
        <f t="shared" si="316"/>
        <v>0</v>
      </c>
      <c r="I70" s="538"/>
      <c r="J70" s="539"/>
      <c r="K70" s="540">
        <f t="shared" si="317"/>
        <v>0</v>
      </c>
      <c r="L70" s="538"/>
      <c r="M70" s="539"/>
      <c r="N70" s="540">
        <f t="shared" si="318"/>
        <v>0</v>
      </c>
      <c r="O70" s="538"/>
      <c r="P70" s="539"/>
      <c r="Q70" s="540">
        <f t="shared" si="319"/>
        <v>0</v>
      </c>
      <c r="R70" s="538"/>
      <c r="S70" s="539"/>
      <c r="T70" s="540">
        <f t="shared" si="320"/>
        <v>0</v>
      </c>
      <c r="U70" s="538"/>
      <c r="V70" s="629"/>
      <c r="W70" s="540">
        <f t="shared" si="321"/>
        <v>0</v>
      </c>
      <c r="X70" s="538"/>
      <c r="Y70" s="539">
        <f t="shared" si="299"/>
        <v>0</v>
      </c>
      <c r="Z70" s="540">
        <f t="shared" si="322"/>
        <v>0</v>
      </c>
      <c r="AA70" s="538"/>
      <c r="AB70" s="539">
        <f t="shared" si="300"/>
        <v>0</v>
      </c>
      <c r="AC70" s="540">
        <f t="shared" si="323"/>
        <v>0</v>
      </c>
      <c r="AD70" s="538"/>
      <c r="AE70" s="539">
        <f t="shared" si="301"/>
        <v>0</v>
      </c>
      <c r="AF70" s="540">
        <f t="shared" si="324"/>
        <v>0</v>
      </c>
      <c r="AG70" s="538"/>
      <c r="AH70" s="539">
        <f t="shared" si="302"/>
        <v>0</v>
      </c>
      <c r="AI70" s="540">
        <f t="shared" si="325"/>
        <v>0</v>
      </c>
      <c r="AJ70" s="538"/>
      <c r="AK70" s="539">
        <f t="shared" si="303"/>
        <v>0</v>
      </c>
      <c r="AL70" s="540">
        <f t="shared" si="326"/>
        <v>0</v>
      </c>
      <c r="AM70" s="538"/>
      <c r="AN70" s="539">
        <f t="shared" si="304"/>
        <v>0</v>
      </c>
      <c r="AO70" s="540">
        <f t="shared" si="327"/>
        <v>0</v>
      </c>
      <c r="AP70" s="538"/>
      <c r="AQ70" s="539">
        <f t="shared" si="305"/>
        <v>0</v>
      </c>
      <c r="AR70" s="540">
        <f t="shared" si="328"/>
        <v>0</v>
      </c>
      <c r="AS70" s="538"/>
      <c r="AT70" s="539">
        <f t="shared" si="306"/>
        <v>0</v>
      </c>
      <c r="AU70" s="540">
        <f t="shared" si="329"/>
        <v>0</v>
      </c>
      <c r="AV70" s="538"/>
      <c r="AW70" s="539">
        <f t="shared" si="307"/>
        <v>0</v>
      </c>
      <c r="AX70" s="540">
        <f t="shared" si="330"/>
        <v>0</v>
      </c>
      <c r="AY70" s="538"/>
      <c r="AZ70" s="539">
        <f t="shared" si="308"/>
        <v>0</v>
      </c>
      <c r="BA70" s="540">
        <f t="shared" si="331"/>
        <v>0</v>
      </c>
      <c r="BJ70" s="529">
        <f t="shared" si="271"/>
        <v>0</v>
      </c>
      <c r="BK70" s="529">
        <f t="shared" si="272"/>
        <v>0</v>
      </c>
      <c r="BL70" s="529">
        <f t="shared" si="273"/>
        <v>0</v>
      </c>
      <c r="BM70" s="529">
        <f t="shared" si="274"/>
        <v>0</v>
      </c>
      <c r="BN70" s="529">
        <f t="shared" si="275"/>
        <v>0</v>
      </c>
      <c r="BO70" s="529">
        <f t="shared" si="276"/>
        <v>0</v>
      </c>
      <c r="BP70" s="529">
        <f t="shared" si="277"/>
        <v>0</v>
      </c>
      <c r="BQ70" s="529">
        <f t="shared" si="278"/>
        <v>0</v>
      </c>
      <c r="BR70" s="529">
        <f t="shared" si="279"/>
        <v>0</v>
      </c>
      <c r="BS70" s="529">
        <f t="shared" si="280"/>
        <v>0</v>
      </c>
      <c r="BT70" s="529">
        <f t="shared" si="281"/>
        <v>0</v>
      </c>
      <c r="BU70" s="529">
        <f t="shared" si="282"/>
        <v>0</v>
      </c>
      <c r="BV70" s="529">
        <f t="shared" si="283"/>
        <v>0</v>
      </c>
      <c r="BW70" s="529">
        <f t="shared" si="284"/>
        <v>0</v>
      </c>
      <c r="BX70" s="529">
        <f t="shared" si="309"/>
        <v>0</v>
      </c>
      <c r="BY70" s="529">
        <f t="shared" si="310"/>
        <v>0</v>
      </c>
      <c r="BZ70" s="529">
        <f t="shared" si="311"/>
        <v>0</v>
      </c>
      <c r="CB70" s="529">
        <f t="shared" si="285"/>
        <v>0</v>
      </c>
      <c r="CC70" s="529">
        <f t="shared" si="286"/>
        <v>0</v>
      </c>
      <c r="CD70" s="529">
        <f t="shared" si="287"/>
        <v>0</v>
      </c>
      <c r="CE70" s="529">
        <f t="shared" si="288"/>
        <v>0</v>
      </c>
      <c r="CF70" s="529">
        <f t="shared" si="289"/>
        <v>0</v>
      </c>
      <c r="CG70" s="529">
        <f t="shared" si="290"/>
        <v>0</v>
      </c>
      <c r="CH70" s="529">
        <f t="shared" si="291"/>
        <v>0</v>
      </c>
      <c r="CI70" s="529">
        <f t="shared" si="292"/>
        <v>0</v>
      </c>
      <c r="CJ70" s="529">
        <f t="shared" si="293"/>
        <v>0</v>
      </c>
      <c r="CK70" s="529">
        <f t="shared" si="294"/>
        <v>0</v>
      </c>
      <c r="CL70" s="529">
        <f t="shared" si="295"/>
        <v>0</v>
      </c>
      <c r="CM70" s="529">
        <f t="shared" si="296"/>
        <v>0</v>
      </c>
      <c r="CN70" s="529">
        <f t="shared" si="297"/>
        <v>0</v>
      </c>
      <c r="CO70" s="529">
        <f t="shared" si="298"/>
        <v>0</v>
      </c>
      <c r="CP70" s="529">
        <f t="shared" si="312"/>
        <v>0</v>
      </c>
      <c r="CQ70" s="529">
        <f t="shared" si="313"/>
        <v>0</v>
      </c>
      <c r="CR70" s="529">
        <f t="shared" si="314"/>
        <v>0</v>
      </c>
    </row>
    <row r="71" spans="1:96" ht="13.5" x14ac:dyDescent="0.25">
      <c r="A71" s="761"/>
      <c r="B71" s="537" t="s">
        <v>619</v>
      </c>
      <c r="C71" s="543">
        <f>C67*0.46+C68*0.46+C69*0.24+C70*0.24</f>
        <v>0</v>
      </c>
      <c r="D71" s="548"/>
      <c r="E71" s="545">
        <f>SUM(E67:E70)</f>
        <v>0</v>
      </c>
      <c r="F71" s="543">
        <f>F67*0.46+F68*0.46+F69*0.24+F70*0.24</f>
        <v>4857.1440000000002</v>
      </c>
      <c r="G71" s="544"/>
      <c r="H71" s="545">
        <f>SUM(H67:H70)</f>
        <v>2.5634177999999999</v>
      </c>
      <c r="I71" s="543">
        <f>I67*0.46+I68*0.46+I69*0.24+I70*0.24</f>
        <v>5012.5769999999993</v>
      </c>
      <c r="J71" s="544"/>
      <c r="K71" s="545">
        <f>SUM(K67:K70)</f>
        <v>6.8265855000000002</v>
      </c>
      <c r="L71" s="543">
        <f>L67*0.46+L68*0.46+L69*0.24+L70*0.24</f>
        <v>57.599999999999994</v>
      </c>
      <c r="M71" s="544"/>
      <c r="N71" s="545">
        <f>SUM(N67:N70)</f>
        <v>3.7199999999999997E-2</v>
      </c>
      <c r="O71" s="543">
        <f>O67*0.46+O68*0.46+O69*0.24+O70*0.24</f>
        <v>1947.962</v>
      </c>
      <c r="P71" s="544"/>
      <c r="Q71" s="545">
        <f>SUM(Q67:Q70)</f>
        <v>1.2222270000000002</v>
      </c>
      <c r="R71" s="543">
        <f>R67*0.46+R68*0.46+R69*0.24+R70*0.24</f>
        <v>5708.0710000000008</v>
      </c>
      <c r="S71" s="544"/>
      <c r="T71" s="545">
        <f>SUM(T67:T70)</f>
        <v>4.4795948500000007</v>
      </c>
      <c r="U71" s="543">
        <f>U67*0.46+U68*0.46+U69*0.24+U70*0.24</f>
        <v>5980</v>
      </c>
      <c r="V71" s="630"/>
      <c r="W71" s="545">
        <f>SUM(W67:W70)</f>
        <v>5.4080000000000004</v>
      </c>
      <c r="X71" s="543">
        <f>X67*0.46+X68*0.46+X69*0.24+X70*0.24</f>
        <v>6613.42</v>
      </c>
      <c r="Y71" s="548"/>
      <c r="Z71" s="545">
        <f>SUM(Z67:Z70)</f>
        <v>6.1533559999999996</v>
      </c>
      <c r="AA71" s="543">
        <f>AA67*0.46+AA68*0.46+AA69*0.24+AA70*0.24</f>
        <v>5606.02</v>
      </c>
      <c r="AB71" s="548"/>
      <c r="AC71" s="545">
        <f>SUM(AC67:AC70)</f>
        <v>5.3744670000000001</v>
      </c>
      <c r="AD71" s="543">
        <f>AD67*0.46+AD68*0.46+AD69*0.24+AD70*0.24</f>
        <v>4503.8600000000006</v>
      </c>
      <c r="AE71" s="548"/>
      <c r="AF71" s="545">
        <f>SUM(AF67:AF70)</f>
        <v>4.4451140000000002</v>
      </c>
      <c r="AG71" s="543">
        <f>AG67*0.46+AG68*0.46+AG69*0.24+AG70*0.24</f>
        <v>4503.8600000000006</v>
      </c>
      <c r="AH71" s="548"/>
      <c r="AI71" s="545">
        <f>SUM(AI67:AI70)</f>
        <v>4.5821880000000004</v>
      </c>
      <c r="AJ71" s="543">
        <f>AJ67*0.46+AJ68*0.46+AJ69*0.24+AJ70*0.24</f>
        <v>4503.8600000000006</v>
      </c>
      <c r="AK71" s="548"/>
      <c r="AL71" s="545">
        <f>SUM(AL67:AL70)</f>
        <v>4.7192619999999996</v>
      </c>
      <c r="AM71" s="543">
        <f>AM67*0.46+AM68*0.46+AM69*0.24+AM70*0.24</f>
        <v>4503.8600000000006</v>
      </c>
      <c r="AN71" s="548"/>
      <c r="AO71" s="545">
        <f>SUM(AO67:AO70)</f>
        <v>4.8563359999999998</v>
      </c>
      <c r="AP71" s="543">
        <f>AP67*0.46+AP68*0.46+AP69*0.24+AP70*0.24</f>
        <v>4503.8600000000006</v>
      </c>
      <c r="AQ71" s="548"/>
      <c r="AR71" s="545">
        <f>SUM(AR67:AR70)</f>
        <v>5.0032009999999998</v>
      </c>
      <c r="AS71" s="543">
        <f>AS67*0.46+AS68*0.46+AS69*0.24+AS70*0.24</f>
        <v>4503.8600000000006</v>
      </c>
      <c r="AT71" s="548"/>
      <c r="AU71" s="545">
        <f>SUM(AU67:AU70)</f>
        <v>5.1500659999999998</v>
      </c>
      <c r="AV71" s="543">
        <f>AV67*0.46+AV68*0.46+AV69*0.24+AV70*0.24</f>
        <v>4503.8600000000006</v>
      </c>
      <c r="AW71" s="548"/>
      <c r="AX71" s="545">
        <f>SUM(AX67:AX70)</f>
        <v>5.3067219999999997</v>
      </c>
      <c r="AY71" s="543">
        <f>AY67*0.46+AY68*0.46+AY69*0.24+AY70*0.24</f>
        <v>4503.8600000000006</v>
      </c>
      <c r="AZ71" s="548"/>
      <c r="BA71" s="545">
        <f>SUM(BA67:BA70)</f>
        <v>5.4633779999999996</v>
      </c>
      <c r="BJ71" s="529">
        <f t="shared" si="271"/>
        <v>0</v>
      </c>
      <c r="BK71" s="529">
        <f t="shared" si="272"/>
        <v>2.5634177999999999</v>
      </c>
      <c r="BL71" s="529">
        <f t="shared" si="273"/>
        <v>6.8265855000000002</v>
      </c>
      <c r="BM71" s="529">
        <f t="shared" si="274"/>
        <v>3.7199999999999997E-2</v>
      </c>
      <c r="BN71" s="529">
        <f t="shared" si="275"/>
        <v>1.2222270000000002</v>
      </c>
      <c r="BO71" s="529">
        <f t="shared" si="276"/>
        <v>4.4795948500000007</v>
      </c>
      <c r="BP71" s="529">
        <f t="shared" si="277"/>
        <v>5.4080000000000004</v>
      </c>
      <c r="BQ71" s="529">
        <f t="shared" si="278"/>
        <v>6.1533559999999996</v>
      </c>
      <c r="BR71" s="529">
        <f t="shared" si="279"/>
        <v>5.3744670000000001</v>
      </c>
      <c r="BS71" s="529">
        <f t="shared" si="280"/>
        <v>4.4451140000000002</v>
      </c>
      <c r="BT71" s="529">
        <f t="shared" si="281"/>
        <v>4.5821880000000004</v>
      </c>
      <c r="BU71" s="529">
        <f t="shared" si="282"/>
        <v>4.7192619999999996</v>
      </c>
      <c r="BV71" s="529">
        <f t="shared" si="283"/>
        <v>4.8563359999999998</v>
      </c>
      <c r="BW71" s="529">
        <f t="shared" si="284"/>
        <v>5.0032009999999998</v>
      </c>
      <c r="BX71" s="529">
        <f t="shared" si="309"/>
        <v>5.1500659999999998</v>
      </c>
      <c r="BY71" s="529">
        <f t="shared" si="310"/>
        <v>5.3067219999999997</v>
      </c>
      <c r="BZ71" s="529">
        <f t="shared" si="311"/>
        <v>5.4633779999999996</v>
      </c>
      <c r="CB71" s="529">
        <f t="shared" si="285"/>
        <v>0</v>
      </c>
      <c r="CC71" s="529">
        <f t="shared" si="286"/>
        <v>4857.1440000000002</v>
      </c>
      <c r="CD71" s="529">
        <f t="shared" si="287"/>
        <v>5012.5769999999993</v>
      </c>
      <c r="CE71" s="529">
        <f t="shared" si="288"/>
        <v>57.599999999999994</v>
      </c>
      <c r="CF71" s="529">
        <f t="shared" si="289"/>
        <v>1947.962</v>
      </c>
      <c r="CG71" s="529">
        <f t="shared" si="290"/>
        <v>5708.0710000000008</v>
      </c>
      <c r="CH71" s="529">
        <f t="shared" si="291"/>
        <v>5980</v>
      </c>
      <c r="CI71" s="529">
        <f t="shared" si="292"/>
        <v>6613.42</v>
      </c>
      <c r="CJ71" s="529">
        <f t="shared" si="293"/>
        <v>5606.02</v>
      </c>
      <c r="CK71" s="529">
        <f t="shared" si="294"/>
        <v>4503.8600000000006</v>
      </c>
      <c r="CL71" s="529">
        <f t="shared" si="295"/>
        <v>4503.8600000000006</v>
      </c>
      <c r="CM71" s="529">
        <f t="shared" si="296"/>
        <v>4503.8600000000006</v>
      </c>
      <c r="CN71" s="529">
        <f t="shared" si="297"/>
        <v>4503.8600000000006</v>
      </c>
      <c r="CO71" s="529">
        <f t="shared" si="298"/>
        <v>4503.8600000000006</v>
      </c>
      <c r="CP71" s="529">
        <f t="shared" si="312"/>
        <v>4503.8600000000006</v>
      </c>
      <c r="CQ71" s="529">
        <f t="shared" si="313"/>
        <v>4503.8600000000006</v>
      </c>
      <c r="CR71" s="529">
        <f t="shared" si="314"/>
        <v>4503.8600000000006</v>
      </c>
    </row>
    <row r="72" spans="1:96" x14ac:dyDescent="0.2">
      <c r="A72" s="761" t="s">
        <v>629</v>
      </c>
      <c r="B72" s="537" t="s">
        <v>494</v>
      </c>
      <c r="C72" s="538"/>
      <c r="D72" s="549"/>
      <c r="E72" s="540">
        <f>C72*D72/1000000</f>
        <v>0</v>
      </c>
      <c r="F72" s="541"/>
      <c r="G72" s="539"/>
      <c r="H72" s="540">
        <f>F72*G72/1000000</f>
        <v>0</v>
      </c>
      <c r="I72" s="538">
        <v>2520.4</v>
      </c>
      <c r="J72" s="539">
        <v>816</v>
      </c>
      <c r="K72" s="540">
        <f>I72*J72/1000000</f>
        <v>2.0566464</v>
      </c>
      <c r="L72" s="538">
        <v>499.9</v>
      </c>
      <c r="M72" s="539">
        <v>317</v>
      </c>
      <c r="N72" s="540">
        <f>L72*M72/1000000</f>
        <v>0.15846829999999998</v>
      </c>
      <c r="O72" s="538">
        <v>2701.6</v>
      </c>
      <c r="P72" s="539">
        <v>309</v>
      </c>
      <c r="Q72" s="540">
        <f>O72*P72/1000000</f>
        <v>0.83479440000000005</v>
      </c>
      <c r="R72" s="538">
        <f>687.5+588+500+2000+1000+1000+500+997.4</f>
        <v>7272.9</v>
      </c>
      <c r="S72" s="539">
        <v>409</v>
      </c>
      <c r="T72" s="540">
        <f>R72*S72/1000000</f>
        <v>2.9746160999999995</v>
      </c>
      <c r="U72" s="538">
        <v>8000</v>
      </c>
      <c r="V72" s="629">
        <v>425</v>
      </c>
      <c r="W72" s="540">
        <f>U72*V72/1000000</f>
        <v>3.4</v>
      </c>
      <c r="X72" s="538">
        <f>ROUND(+U72*X$1,0)</f>
        <v>8847</v>
      </c>
      <c r="Y72" s="539">
        <f t="shared" ref="Y72:Y75" si="332">ROUND(V72*(1+Y$1),0)</f>
        <v>438</v>
      </c>
      <c r="Z72" s="540">
        <f>X72*Y72/1000000</f>
        <v>3.8749859999999998</v>
      </c>
      <c r="AA72" s="538">
        <f>ROUND(+X72*AA$1,0)</f>
        <v>7499</v>
      </c>
      <c r="AB72" s="539">
        <f t="shared" ref="AB72:AB75" si="333">ROUND(Y72*(1+AB$1),0)</f>
        <v>451</v>
      </c>
      <c r="AC72" s="540">
        <f>AA72*AB72/1000000</f>
        <v>3.3820489999999999</v>
      </c>
      <c r="AD72" s="538">
        <f>ROUND(+AA72*AD$1,0)</f>
        <v>6025</v>
      </c>
      <c r="AE72" s="539">
        <f t="shared" ref="AE72:AE75" si="334">ROUND(AB72*(1+AE$1),0)</f>
        <v>465</v>
      </c>
      <c r="AF72" s="540">
        <f>AD72*AE72/1000000</f>
        <v>2.801625</v>
      </c>
      <c r="AG72" s="538">
        <f>ROUND(+AD72*AG$1,0)</f>
        <v>6025</v>
      </c>
      <c r="AH72" s="539">
        <f t="shared" ref="AH72:AH75" si="335">ROUND(AE72*(1+AH$1),0)</f>
        <v>479</v>
      </c>
      <c r="AI72" s="540">
        <f>AG72*AH72/1000000</f>
        <v>2.8859750000000002</v>
      </c>
      <c r="AJ72" s="538">
        <f>ROUND(+AG72*AJ$1,0)</f>
        <v>6025</v>
      </c>
      <c r="AK72" s="539">
        <f t="shared" ref="AK72:AK75" si="336">ROUND(AH72*(1+AK$1),0)</f>
        <v>493</v>
      </c>
      <c r="AL72" s="540">
        <f>AJ72*AK72/1000000</f>
        <v>2.9703249999999999</v>
      </c>
      <c r="AM72" s="538">
        <f>ROUND(+AJ72*AM$1,0)</f>
        <v>6025</v>
      </c>
      <c r="AN72" s="539">
        <f t="shared" ref="AN72:AN75" si="337">ROUND(AK72*(1+AN$1),0)</f>
        <v>508</v>
      </c>
      <c r="AO72" s="540">
        <f>AM72*AN72/1000000</f>
        <v>3.0607000000000002</v>
      </c>
      <c r="AP72" s="538">
        <f>ROUND(+AM72*AP$1,0)</f>
        <v>6025</v>
      </c>
      <c r="AQ72" s="539">
        <f t="shared" ref="AQ72:AQ75" si="338">ROUND(AN72*(1+AQ$1),0)</f>
        <v>523</v>
      </c>
      <c r="AR72" s="540">
        <f>AP72*AQ72/1000000</f>
        <v>3.1510750000000001</v>
      </c>
      <c r="AS72" s="538">
        <f>ROUND(+AP72*AS$1,0)</f>
        <v>6025</v>
      </c>
      <c r="AT72" s="539">
        <f t="shared" ref="AT72:AT75" si="339">ROUND(AQ72*(1+AT$1),0)</f>
        <v>539</v>
      </c>
      <c r="AU72" s="540">
        <f>AS72*AT72/1000000</f>
        <v>3.2474750000000001</v>
      </c>
      <c r="AV72" s="538">
        <f>ROUND(+AS72*AV$1,0)</f>
        <v>6025</v>
      </c>
      <c r="AW72" s="539">
        <f t="shared" ref="AW72:AW75" si="340">ROUND(AT72*(1+AW$1),0)</f>
        <v>555</v>
      </c>
      <c r="AX72" s="540">
        <f>AV72*AW72/1000000</f>
        <v>3.3438750000000002</v>
      </c>
      <c r="AY72" s="538">
        <f>ROUND(+AV72*AY$1,0)</f>
        <v>6025</v>
      </c>
      <c r="AZ72" s="539">
        <f t="shared" ref="AZ72:AZ75" si="341">ROUND(AW72*(1+AZ$1),0)</f>
        <v>572</v>
      </c>
      <c r="BA72" s="540">
        <f>AY72*AZ72/1000000</f>
        <v>3.4462999999999999</v>
      </c>
      <c r="BJ72" s="529">
        <f t="shared" si="271"/>
        <v>0</v>
      </c>
      <c r="BK72" s="529">
        <f t="shared" si="272"/>
        <v>0</v>
      </c>
      <c r="BL72" s="529">
        <f t="shared" si="273"/>
        <v>2.0566464</v>
      </c>
      <c r="BM72" s="529">
        <f t="shared" si="274"/>
        <v>0.15846829999999998</v>
      </c>
      <c r="BN72" s="529">
        <f t="shared" si="275"/>
        <v>0.83479440000000005</v>
      </c>
      <c r="BO72" s="529">
        <f t="shared" si="276"/>
        <v>2.9746160999999995</v>
      </c>
      <c r="BP72" s="529">
        <f t="shared" si="277"/>
        <v>3.4</v>
      </c>
      <c r="BQ72" s="529">
        <f t="shared" si="278"/>
        <v>3.8749859999999998</v>
      </c>
      <c r="BR72" s="529">
        <f t="shared" si="279"/>
        <v>3.3820489999999999</v>
      </c>
      <c r="BS72" s="529">
        <f t="shared" si="280"/>
        <v>2.801625</v>
      </c>
      <c r="BT72" s="529">
        <f t="shared" si="281"/>
        <v>2.8859750000000002</v>
      </c>
      <c r="BU72" s="529">
        <f t="shared" si="282"/>
        <v>2.9703249999999999</v>
      </c>
      <c r="BV72" s="529">
        <f t="shared" si="283"/>
        <v>3.0607000000000002</v>
      </c>
      <c r="BW72" s="529">
        <f t="shared" si="284"/>
        <v>3.1510750000000001</v>
      </c>
      <c r="BX72" s="529">
        <f t="shared" si="309"/>
        <v>3.2474750000000001</v>
      </c>
      <c r="BY72" s="529">
        <f t="shared" si="310"/>
        <v>3.3438750000000002</v>
      </c>
      <c r="BZ72" s="529">
        <f t="shared" si="311"/>
        <v>3.4462999999999999</v>
      </c>
      <c r="CB72" s="529">
        <f t="shared" si="285"/>
        <v>0</v>
      </c>
      <c r="CC72" s="529">
        <f t="shared" si="286"/>
        <v>0</v>
      </c>
      <c r="CD72" s="529">
        <f t="shared" si="287"/>
        <v>2520.4</v>
      </c>
      <c r="CE72" s="529">
        <f t="shared" si="288"/>
        <v>499.9</v>
      </c>
      <c r="CF72" s="529">
        <f t="shared" si="289"/>
        <v>2701.6</v>
      </c>
      <c r="CG72" s="529">
        <f t="shared" si="290"/>
        <v>7272.9</v>
      </c>
      <c r="CH72" s="529">
        <f t="shared" si="291"/>
        <v>8000</v>
      </c>
      <c r="CI72" s="529">
        <f t="shared" si="292"/>
        <v>8847</v>
      </c>
      <c r="CJ72" s="529">
        <f t="shared" si="293"/>
        <v>7499</v>
      </c>
      <c r="CK72" s="529">
        <f t="shared" si="294"/>
        <v>6025</v>
      </c>
      <c r="CL72" s="529">
        <f t="shared" si="295"/>
        <v>6025</v>
      </c>
      <c r="CM72" s="529">
        <f t="shared" si="296"/>
        <v>6025</v>
      </c>
      <c r="CN72" s="529">
        <f t="shared" si="297"/>
        <v>6025</v>
      </c>
      <c r="CO72" s="529">
        <f t="shared" si="298"/>
        <v>6025</v>
      </c>
      <c r="CP72" s="529">
        <f t="shared" si="312"/>
        <v>6025</v>
      </c>
      <c r="CQ72" s="529">
        <f t="shared" si="313"/>
        <v>6025</v>
      </c>
      <c r="CR72" s="529">
        <f t="shared" si="314"/>
        <v>6025</v>
      </c>
    </row>
    <row r="73" spans="1:96" x14ac:dyDescent="0.2">
      <c r="A73" s="761"/>
      <c r="B73" s="537" t="s">
        <v>618</v>
      </c>
      <c r="C73" s="538"/>
      <c r="D73" s="549"/>
      <c r="E73" s="540">
        <f t="shared" ref="E73:E75" si="342">C73*D73/1000000</f>
        <v>0</v>
      </c>
      <c r="F73" s="541"/>
      <c r="G73" s="539"/>
      <c r="H73" s="540">
        <f t="shared" ref="H73:H75" si="343">F73*G73/1000000</f>
        <v>0</v>
      </c>
      <c r="I73" s="538"/>
      <c r="J73" s="539"/>
      <c r="K73" s="540">
        <f t="shared" ref="K73:K75" si="344">I73*J73/1000000</f>
        <v>0</v>
      </c>
      <c r="L73" s="538"/>
      <c r="M73" s="539"/>
      <c r="N73" s="540">
        <f t="shared" ref="N73:N75" si="345">L73*M73/1000000</f>
        <v>0</v>
      </c>
      <c r="O73" s="538"/>
      <c r="P73" s="539"/>
      <c r="Q73" s="540">
        <f t="shared" ref="Q73:Q75" si="346">O73*P73/1000000</f>
        <v>0</v>
      </c>
      <c r="R73" s="538"/>
      <c r="S73" s="539"/>
      <c r="T73" s="540">
        <f t="shared" ref="T73:T75" si="347">R73*S73/1000000</f>
        <v>0</v>
      </c>
      <c r="U73" s="538"/>
      <c r="V73" s="629"/>
      <c r="W73" s="540">
        <f t="shared" ref="W73:W75" si="348">U73*V73/1000000</f>
        <v>0</v>
      </c>
      <c r="X73" s="538"/>
      <c r="Y73" s="539">
        <f t="shared" si="332"/>
        <v>0</v>
      </c>
      <c r="Z73" s="540">
        <f t="shared" ref="Z73:Z75" si="349">X73*Y73/1000000</f>
        <v>0</v>
      </c>
      <c r="AA73" s="538"/>
      <c r="AB73" s="539">
        <f t="shared" si="333"/>
        <v>0</v>
      </c>
      <c r="AC73" s="540">
        <f t="shared" ref="AC73:AC75" si="350">AA73*AB73/1000000</f>
        <v>0</v>
      </c>
      <c r="AD73" s="538"/>
      <c r="AE73" s="539">
        <f t="shared" si="334"/>
        <v>0</v>
      </c>
      <c r="AF73" s="540">
        <f t="shared" ref="AF73:AF75" si="351">AD73*AE73/1000000</f>
        <v>0</v>
      </c>
      <c r="AG73" s="538"/>
      <c r="AH73" s="539">
        <f t="shared" si="335"/>
        <v>0</v>
      </c>
      <c r="AI73" s="540">
        <f t="shared" ref="AI73:AI75" si="352">AG73*AH73/1000000</f>
        <v>0</v>
      </c>
      <c r="AJ73" s="538"/>
      <c r="AK73" s="539">
        <f t="shared" si="336"/>
        <v>0</v>
      </c>
      <c r="AL73" s="540">
        <f t="shared" ref="AL73:AL75" si="353">AJ73*AK73/1000000</f>
        <v>0</v>
      </c>
      <c r="AM73" s="538"/>
      <c r="AN73" s="539">
        <f t="shared" si="337"/>
        <v>0</v>
      </c>
      <c r="AO73" s="540">
        <f t="shared" ref="AO73:AO75" si="354">AM73*AN73/1000000</f>
        <v>0</v>
      </c>
      <c r="AP73" s="538"/>
      <c r="AQ73" s="539">
        <f t="shared" si="338"/>
        <v>0</v>
      </c>
      <c r="AR73" s="540">
        <f t="shared" ref="AR73:AR75" si="355">AP73*AQ73/1000000</f>
        <v>0</v>
      </c>
      <c r="AS73" s="538"/>
      <c r="AT73" s="539">
        <f t="shared" si="339"/>
        <v>0</v>
      </c>
      <c r="AU73" s="540">
        <f t="shared" ref="AU73:AU75" si="356">AS73*AT73/1000000</f>
        <v>0</v>
      </c>
      <c r="AV73" s="538"/>
      <c r="AW73" s="539">
        <f t="shared" si="340"/>
        <v>0</v>
      </c>
      <c r="AX73" s="540">
        <f t="shared" ref="AX73:AX75" si="357">AV73*AW73/1000000</f>
        <v>0</v>
      </c>
      <c r="AY73" s="538"/>
      <c r="AZ73" s="539">
        <f t="shared" si="341"/>
        <v>0</v>
      </c>
      <c r="BA73" s="540">
        <f t="shared" ref="BA73:BA75" si="358">AY73*AZ73/1000000</f>
        <v>0</v>
      </c>
      <c r="BJ73" s="529">
        <f t="shared" si="271"/>
        <v>0</v>
      </c>
      <c r="BK73" s="529">
        <f t="shared" si="272"/>
        <v>0</v>
      </c>
      <c r="BL73" s="529">
        <f t="shared" si="273"/>
        <v>0</v>
      </c>
      <c r="BM73" s="529">
        <f t="shared" si="274"/>
        <v>0</v>
      </c>
      <c r="BN73" s="529">
        <f t="shared" si="275"/>
        <v>0</v>
      </c>
      <c r="BO73" s="529">
        <f t="shared" si="276"/>
        <v>0</v>
      </c>
      <c r="BP73" s="529">
        <f t="shared" si="277"/>
        <v>0</v>
      </c>
      <c r="BQ73" s="529">
        <f t="shared" si="278"/>
        <v>0</v>
      </c>
      <c r="BR73" s="529">
        <f t="shared" si="279"/>
        <v>0</v>
      </c>
      <c r="BS73" s="529">
        <f t="shared" si="280"/>
        <v>0</v>
      </c>
      <c r="BT73" s="529">
        <f t="shared" si="281"/>
        <v>0</v>
      </c>
      <c r="BU73" s="529">
        <f t="shared" si="282"/>
        <v>0</v>
      </c>
      <c r="BV73" s="529">
        <f t="shared" si="283"/>
        <v>0</v>
      </c>
      <c r="BW73" s="529">
        <f t="shared" si="284"/>
        <v>0</v>
      </c>
      <c r="BX73" s="529">
        <f t="shared" si="309"/>
        <v>0</v>
      </c>
      <c r="BY73" s="529">
        <f t="shared" si="310"/>
        <v>0</v>
      </c>
      <c r="BZ73" s="529">
        <f t="shared" si="311"/>
        <v>0</v>
      </c>
      <c r="CB73" s="529">
        <f t="shared" si="285"/>
        <v>0</v>
      </c>
      <c r="CC73" s="529">
        <f t="shared" si="286"/>
        <v>0</v>
      </c>
      <c r="CD73" s="529">
        <f t="shared" si="287"/>
        <v>0</v>
      </c>
      <c r="CE73" s="529">
        <f t="shared" si="288"/>
        <v>0</v>
      </c>
      <c r="CF73" s="529">
        <f t="shared" si="289"/>
        <v>0</v>
      </c>
      <c r="CG73" s="529">
        <f t="shared" si="290"/>
        <v>0</v>
      </c>
      <c r="CH73" s="529">
        <f t="shared" si="291"/>
        <v>0</v>
      </c>
      <c r="CI73" s="529">
        <f t="shared" si="292"/>
        <v>0</v>
      </c>
      <c r="CJ73" s="529">
        <f t="shared" si="293"/>
        <v>0</v>
      </c>
      <c r="CK73" s="529">
        <f t="shared" si="294"/>
        <v>0</v>
      </c>
      <c r="CL73" s="529">
        <f t="shared" si="295"/>
        <v>0</v>
      </c>
      <c r="CM73" s="529">
        <f t="shared" si="296"/>
        <v>0</v>
      </c>
      <c r="CN73" s="529">
        <f t="shared" si="297"/>
        <v>0</v>
      </c>
      <c r="CO73" s="529">
        <f t="shared" si="298"/>
        <v>0</v>
      </c>
      <c r="CP73" s="529">
        <f t="shared" si="312"/>
        <v>0</v>
      </c>
      <c r="CQ73" s="529">
        <f t="shared" si="313"/>
        <v>0</v>
      </c>
      <c r="CR73" s="529">
        <f t="shared" si="314"/>
        <v>0</v>
      </c>
    </row>
    <row r="74" spans="1:96" x14ac:dyDescent="0.2">
      <c r="A74" s="761"/>
      <c r="B74" s="537" t="s">
        <v>495</v>
      </c>
      <c r="C74" s="538"/>
      <c r="D74" s="549"/>
      <c r="E74" s="540">
        <f t="shared" si="342"/>
        <v>0</v>
      </c>
      <c r="F74" s="541"/>
      <c r="G74" s="539"/>
      <c r="H74" s="540">
        <f t="shared" si="343"/>
        <v>0</v>
      </c>
      <c r="I74" s="538"/>
      <c r="J74" s="539"/>
      <c r="K74" s="540">
        <f t="shared" si="344"/>
        <v>0</v>
      </c>
      <c r="L74" s="538"/>
      <c r="M74" s="539"/>
      <c r="N74" s="540">
        <f t="shared" si="345"/>
        <v>0</v>
      </c>
      <c r="O74" s="538">
        <v>3000</v>
      </c>
      <c r="P74" s="539">
        <v>175</v>
      </c>
      <c r="Q74" s="540">
        <f t="shared" si="346"/>
        <v>0.52500000000000002</v>
      </c>
      <c r="R74" s="538">
        <v>1600</v>
      </c>
      <c r="S74" s="539">
        <v>212</v>
      </c>
      <c r="T74" s="540">
        <f t="shared" si="347"/>
        <v>0.3392</v>
      </c>
      <c r="U74" s="538">
        <v>2000</v>
      </c>
      <c r="V74" s="629">
        <v>235</v>
      </c>
      <c r="W74" s="540">
        <f t="shared" si="348"/>
        <v>0.47</v>
      </c>
      <c r="X74" s="538">
        <f>ROUND(+U74*X$1,0)</f>
        <v>2212</v>
      </c>
      <c r="Y74" s="539">
        <f t="shared" si="332"/>
        <v>242</v>
      </c>
      <c r="Z74" s="540">
        <f t="shared" si="349"/>
        <v>0.535304</v>
      </c>
      <c r="AA74" s="538">
        <f>ROUND(+X74*AA$1,0)</f>
        <v>1875</v>
      </c>
      <c r="AB74" s="539">
        <f t="shared" si="333"/>
        <v>249</v>
      </c>
      <c r="AC74" s="540">
        <f t="shared" si="350"/>
        <v>0.46687499999999998</v>
      </c>
      <c r="AD74" s="538">
        <f>ROUND(+AA74*AD$1,0)</f>
        <v>1506</v>
      </c>
      <c r="AE74" s="539">
        <f t="shared" si="334"/>
        <v>256</v>
      </c>
      <c r="AF74" s="540">
        <f t="shared" si="351"/>
        <v>0.38553599999999999</v>
      </c>
      <c r="AG74" s="538">
        <f>ROUND(+AD74*AG$1,0)</f>
        <v>1506</v>
      </c>
      <c r="AH74" s="539">
        <f t="shared" si="335"/>
        <v>264</v>
      </c>
      <c r="AI74" s="540">
        <f t="shared" si="352"/>
        <v>0.39758399999999999</v>
      </c>
      <c r="AJ74" s="538">
        <f>ROUND(+AG74*AJ$1,0)</f>
        <v>1506</v>
      </c>
      <c r="AK74" s="539">
        <f t="shared" si="336"/>
        <v>272</v>
      </c>
      <c r="AL74" s="540">
        <f t="shared" si="353"/>
        <v>0.409632</v>
      </c>
      <c r="AM74" s="538">
        <f>ROUND(+AJ74*AM$1,0)</f>
        <v>1506</v>
      </c>
      <c r="AN74" s="539">
        <f t="shared" si="337"/>
        <v>280</v>
      </c>
      <c r="AO74" s="540">
        <f t="shared" si="354"/>
        <v>0.42168</v>
      </c>
      <c r="AP74" s="538">
        <f>ROUND(+AM74*AP$1,0)</f>
        <v>1506</v>
      </c>
      <c r="AQ74" s="539">
        <f t="shared" si="338"/>
        <v>288</v>
      </c>
      <c r="AR74" s="540">
        <f t="shared" si="355"/>
        <v>0.433728</v>
      </c>
      <c r="AS74" s="538">
        <f>ROUND(+AP74*AS$1,0)</f>
        <v>1506</v>
      </c>
      <c r="AT74" s="539">
        <f t="shared" si="339"/>
        <v>297</v>
      </c>
      <c r="AU74" s="540">
        <f t="shared" si="356"/>
        <v>0.44728200000000001</v>
      </c>
      <c r="AV74" s="538">
        <f>ROUND(+AS74*AV$1,0)</f>
        <v>1506</v>
      </c>
      <c r="AW74" s="539">
        <f t="shared" si="340"/>
        <v>306</v>
      </c>
      <c r="AX74" s="540">
        <f t="shared" si="357"/>
        <v>0.46083600000000002</v>
      </c>
      <c r="AY74" s="538">
        <f>ROUND(+AV74*AY$1,0)</f>
        <v>1506</v>
      </c>
      <c r="AZ74" s="539">
        <f t="shared" si="341"/>
        <v>315</v>
      </c>
      <c r="BA74" s="540">
        <f t="shared" si="358"/>
        <v>0.47438999999999998</v>
      </c>
      <c r="BJ74" s="529">
        <f t="shared" si="271"/>
        <v>0</v>
      </c>
      <c r="BK74" s="529">
        <f t="shared" si="272"/>
        <v>0</v>
      </c>
      <c r="BL74" s="529">
        <f t="shared" si="273"/>
        <v>0</v>
      </c>
      <c r="BM74" s="529">
        <f t="shared" si="274"/>
        <v>0</v>
      </c>
      <c r="BN74" s="529">
        <f t="shared" si="275"/>
        <v>0.52500000000000002</v>
      </c>
      <c r="BO74" s="529">
        <f t="shared" si="276"/>
        <v>0.3392</v>
      </c>
      <c r="BP74" s="529">
        <f t="shared" si="277"/>
        <v>0.47</v>
      </c>
      <c r="BQ74" s="529">
        <f t="shared" si="278"/>
        <v>0.535304</v>
      </c>
      <c r="BR74" s="529">
        <f t="shared" si="279"/>
        <v>0.46687499999999998</v>
      </c>
      <c r="BS74" s="529">
        <f t="shared" si="280"/>
        <v>0.38553599999999999</v>
      </c>
      <c r="BT74" s="529">
        <f t="shared" si="281"/>
        <v>0.39758399999999999</v>
      </c>
      <c r="BU74" s="529">
        <f t="shared" si="282"/>
        <v>0.409632</v>
      </c>
      <c r="BV74" s="529">
        <f t="shared" si="283"/>
        <v>0.42168</v>
      </c>
      <c r="BW74" s="529">
        <f t="shared" si="284"/>
        <v>0.433728</v>
      </c>
      <c r="BX74" s="529">
        <f t="shared" si="309"/>
        <v>0.44728200000000001</v>
      </c>
      <c r="BY74" s="529">
        <f t="shared" si="310"/>
        <v>0.46083600000000002</v>
      </c>
      <c r="BZ74" s="529">
        <f t="shared" si="311"/>
        <v>0.47438999999999998</v>
      </c>
      <c r="CB74" s="529">
        <f t="shared" si="285"/>
        <v>0</v>
      </c>
      <c r="CC74" s="529">
        <f t="shared" si="286"/>
        <v>0</v>
      </c>
      <c r="CD74" s="529">
        <f t="shared" si="287"/>
        <v>0</v>
      </c>
      <c r="CE74" s="529">
        <f t="shared" si="288"/>
        <v>0</v>
      </c>
      <c r="CF74" s="529">
        <f t="shared" si="289"/>
        <v>3000</v>
      </c>
      <c r="CG74" s="529">
        <f t="shared" si="290"/>
        <v>1600</v>
      </c>
      <c r="CH74" s="529">
        <f t="shared" si="291"/>
        <v>2000</v>
      </c>
      <c r="CI74" s="529">
        <f t="shared" si="292"/>
        <v>2212</v>
      </c>
      <c r="CJ74" s="529">
        <f t="shared" si="293"/>
        <v>1875</v>
      </c>
      <c r="CK74" s="529">
        <f t="shared" si="294"/>
        <v>1506</v>
      </c>
      <c r="CL74" s="529">
        <f t="shared" si="295"/>
        <v>1506</v>
      </c>
      <c r="CM74" s="529">
        <f t="shared" si="296"/>
        <v>1506</v>
      </c>
      <c r="CN74" s="529">
        <f t="shared" si="297"/>
        <v>1506</v>
      </c>
      <c r="CO74" s="529">
        <f t="shared" si="298"/>
        <v>1506</v>
      </c>
      <c r="CP74" s="529">
        <f t="shared" si="312"/>
        <v>1506</v>
      </c>
      <c r="CQ74" s="529">
        <f t="shared" si="313"/>
        <v>1506</v>
      </c>
      <c r="CR74" s="529">
        <f t="shared" si="314"/>
        <v>1506</v>
      </c>
    </row>
    <row r="75" spans="1:96" x14ac:dyDescent="0.2">
      <c r="A75" s="761"/>
      <c r="B75" s="537" t="s">
        <v>113</v>
      </c>
      <c r="C75" s="538"/>
      <c r="D75" s="549"/>
      <c r="E75" s="540">
        <f t="shared" si="342"/>
        <v>0</v>
      </c>
      <c r="F75" s="541"/>
      <c r="G75" s="539"/>
      <c r="H75" s="540">
        <f t="shared" si="343"/>
        <v>0</v>
      </c>
      <c r="I75" s="538"/>
      <c r="J75" s="539"/>
      <c r="K75" s="540">
        <f t="shared" si="344"/>
        <v>0</v>
      </c>
      <c r="L75" s="538"/>
      <c r="M75" s="539"/>
      <c r="N75" s="540">
        <f t="shared" si="345"/>
        <v>0</v>
      </c>
      <c r="O75" s="538"/>
      <c r="P75" s="539"/>
      <c r="Q75" s="540">
        <f t="shared" si="346"/>
        <v>0</v>
      </c>
      <c r="R75" s="538"/>
      <c r="S75" s="539"/>
      <c r="T75" s="540">
        <f t="shared" si="347"/>
        <v>0</v>
      </c>
      <c r="U75" s="538"/>
      <c r="V75" s="629"/>
      <c r="W75" s="540">
        <f t="shared" si="348"/>
        <v>0</v>
      </c>
      <c r="X75" s="538"/>
      <c r="Y75" s="539">
        <f t="shared" si="332"/>
        <v>0</v>
      </c>
      <c r="Z75" s="540">
        <f t="shared" si="349"/>
        <v>0</v>
      </c>
      <c r="AA75" s="538"/>
      <c r="AB75" s="539">
        <f t="shared" si="333"/>
        <v>0</v>
      </c>
      <c r="AC75" s="540">
        <f t="shared" si="350"/>
        <v>0</v>
      </c>
      <c r="AD75" s="538"/>
      <c r="AE75" s="539">
        <f t="shared" si="334"/>
        <v>0</v>
      </c>
      <c r="AF75" s="540">
        <f t="shared" si="351"/>
        <v>0</v>
      </c>
      <c r="AG75" s="538"/>
      <c r="AH75" s="539">
        <f t="shared" si="335"/>
        <v>0</v>
      </c>
      <c r="AI75" s="540">
        <f t="shared" si="352"/>
        <v>0</v>
      </c>
      <c r="AJ75" s="538"/>
      <c r="AK75" s="539">
        <f t="shared" si="336"/>
        <v>0</v>
      </c>
      <c r="AL75" s="540">
        <f t="shared" si="353"/>
        <v>0</v>
      </c>
      <c r="AM75" s="538"/>
      <c r="AN75" s="539">
        <f t="shared" si="337"/>
        <v>0</v>
      </c>
      <c r="AO75" s="540">
        <f t="shared" si="354"/>
        <v>0</v>
      </c>
      <c r="AP75" s="538"/>
      <c r="AQ75" s="539">
        <f t="shared" si="338"/>
        <v>0</v>
      </c>
      <c r="AR75" s="540">
        <f t="shared" si="355"/>
        <v>0</v>
      </c>
      <c r="AS75" s="538"/>
      <c r="AT75" s="539">
        <f t="shared" si="339"/>
        <v>0</v>
      </c>
      <c r="AU75" s="540">
        <f t="shared" si="356"/>
        <v>0</v>
      </c>
      <c r="AV75" s="538"/>
      <c r="AW75" s="539">
        <f t="shared" si="340"/>
        <v>0</v>
      </c>
      <c r="AX75" s="540">
        <f t="shared" si="357"/>
        <v>0</v>
      </c>
      <c r="AY75" s="538"/>
      <c r="AZ75" s="539">
        <f t="shared" si="341"/>
        <v>0</v>
      </c>
      <c r="BA75" s="540">
        <f t="shared" si="358"/>
        <v>0</v>
      </c>
      <c r="BJ75" s="529">
        <f t="shared" si="271"/>
        <v>0</v>
      </c>
      <c r="BK75" s="529">
        <f t="shared" si="272"/>
        <v>0</v>
      </c>
      <c r="BL75" s="529">
        <f t="shared" si="273"/>
        <v>0</v>
      </c>
      <c r="BM75" s="529">
        <f t="shared" si="274"/>
        <v>0</v>
      </c>
      <c r="BN75" s="529">
        <f t="shared" si="275"/>
        <v>0</v>
      </c>
      <c r="BO75" s="529">
        <f t="shared" si="276"/>
        <v>0</v>
      </c>
      <c r="BP75" s="529">
        <f t="shared" si="277"/>
        <v>0</v>
      </c>
      <c r="BQ75" s="529">
        <f t="shared" si="278"/>
        <v>0</v>
      </c>
      <c r="BR75" s="529">
        <f t="shared" si="279"/>
        <v>0</v>
      </c>
      <c r="BS75" s="529">
        <f t="shared" si="280"/>
        <v>0</v>
      </c>
      <c r="BT75" s="529">
        <f t="shared" si="281"/>
        <v>0</v>
      </c>
      <c r="BU75" s="529">
        <f t="shared" si="282"/>
        <v>0</v>
      </c>
      <c r="BV75" s="529">
        <f t="shared" si="283"/>
        <v>0</v>
      </c>
      <c r="BW75" s="529">
        <f t="shared" si="284"/>
        <v>0</v>
      </c>
      <c r="BX75" s="529">
        <f t="shared" si="309"/>
        <v>0</v>
      </c>
      <c r="BY75" s="529">
        <f t="shared" si="310"/>
        <v>0</v>
      </c>
      <c r="BZ75" s="529">
        <f t="shared" si="311"/>
        <v>0</v>
      </c>
      <c r="CB75" s="529">
        <f t="shared" si="285"/>
        <v>0</v>
      </c>
      <c r="CC75" s="529">
        <f t="shared" si="286"/>
        <v>0</v>
      </c>
      <c r="CD75" s="529">
        <f t="shared" si="287"/>
        <v>0</v>
      </c>
      <c r="CE75" s="529">
        <f t="shared" si="288"/>
        <v>0</v>
      </c>
      <c r="CF75" s="529">
        <f t="shared" si="289"/>
        <v>0</v>
      </c>
      <c r="CG75" s="529">
        <f t="shared" si="290"/>
        <v>0</v>
      </c>
      <c r="CH75" s="529">
        <f t="shared" si="291"/>
        <v>0</v>
      </c>
      <c r="CI75" s="529">
        <f t="shared" si="292"/>
        <v>0</v>
      </c>
      <c r="CJ75" s="529">
        <f t="shared" si="293"/>
        <v>0</v>
      </c>
      <c r="CK75" s="529">
        <f t="shared" si="294"/>
        <v>0</v>
      </c>
      <c r="CL75" s="529">
        <f t="shared" si="295"/>
        <v>0</v>
      </c>
      <c r="CM75" s="529">
        <f t="shared" si="296"/>
        <v>0</v>
      </c>
      <c r="CN75" s="529">
        <f t="shared" si="297"/>
        <v>0</v>
      </c>
      <c r="CO75" s="529">
        <f t="shared" si="298"/>
        <v>0</v>
      </c>
      <c r="CP75" s="529">
        <f t="shared" si="312"/>
        <v>0</v>
      </c>
      <c r="CQ75" s="529">
        <f t="shared" si="313"/>
        <v>0</v>
      </c>
      <c r="CR75" s="529">
        <f t="shared" si="314"/>
        <v>0</v>
      </c>
    </row>
    <row r="76" spans="1:96" ht="13.5" x14ac:dyDescent="0.25">
      <c r="A76" s="761"/>
      <c r="B76" s="537" t="s">
        <v>619</v>
      </c>
      <c r="C76" s="543">
        <f>C72*0.46+C73*0.46+C74*0.24+C75*0.24</f>
        <v>0</v>
      </c>
      <c r="D76" s="548"/>
      <c r="E76" s="545">
        <f>SUM(E72:E75)</f>
        <v>0</v>
      </c>
      <c r="F76" s="543">
        <f>F72*0.46+F73*0.46+F74*0.24+F75*0.24</f>
        <v>0</v>
      </c>
      <c r="G76" s="544"/>
      <c r="H76" s="545">
        <f>SUM(H72:H75)</f>
        <v>0</v>
      </c>
      <c r="I76" s="543">
        <f>I72*0.46+I73*0.46+I74*0.24+I75*0.24</f>
        <v>1159.384</v>
      </c>
      <c r="J76" s="544"/>
      <c r="K76" s="545">
        <f>SUM(K72:K75)</f>
        <v>2.0566464</v>
      </c>
      <c r="L76" s="543">
        <f>L72*0.46+L73*0.46+L74*0.24+L75*0.24</f>
        <v>229.95400000000001</v>
      </c>
      <c r="M76" s="544"/>
      <c r="N76" s="545">
        <f>SUM(N72:N75)</f>
        <v>0.15846829999999998</v>
      </c>
      <c r="O76" s="543">
        <f>O72*0.46+O73*0.46+O74*0.24+O75*0.24</f>
        <v>1962.7360000000001</v>
      </c>
      <c r="P76" s="544"/>
      <c r="Q76" s="545">
        <f>SUM(Q72:Q75)</f>
        <v>1.3597944000000002</v>
      </c>
      <c r="R76" s="543">
        <f>R72*0.46+R73*0.46+R74*0.24+R75*0.24</f>
        <v>3729.5340000000001</v>
      </c>
      <c r="S76" s="544"/>
      <c r="T76" s="545">
        <f>SUM(T72:T75)</f>
        <v>3.3138160999999995</v>
      </c>
      <c r="U76" s="543">
        <f>U72*0.46+U73*0.46+U74*0.24+U75*0.24</f>
        <v>4160</v>
      </c>
      <c r="V76" s="630"/>
      <c r="W76" s="545">
        <f>SUM(W72:W75)</f>
        <v>3.87</v>
      </c>
      <c r="X76" s="543">
        <f>X72*0.46+X73*0.46+X74*0.24+X75*0.24</f>
        <v>4600.5</v>
      </c>
      <c r="Y76" s="548"/>
      <c r="Z76" s="545">
        <f>SUM(Z72:Z75)</f>
        <v>4.4102899999999998</v>
      </c>
      <c r="AA76" s="543">
        <f>AA72*0.46+AA73*0.46+AA74*0.24+AA75*0.24</f>
        <v>3899.54</v>
      </c>
      <c r="AB76" s="548"/>
      <c r="AC76" s="545">
        <f>SUM(AC72:AC75)</f>
        <v>3.8489239999999998</v>
      </c>
      <c r="AD76" s="543">
        <f>AD72*0.46+AD73*0.46+AD74*0.24+AD75*0.24</f>
        <v>3132.94</v>
      </c>
      <c r="AE76" s="548"/>
      <c r="AF76" s="545">
        <f>SUM(AF72:AF75)</f>
        <v>3.1871610000000001</v>
      </c>
      <c r="AG76" s="543">
        <f>AG72*0.46+AG73*0.46+AG74*0.24+AG75*0.24</f>
        <v>3132.94</v>
      </c>
      <c r="AH76" s="548"/>
      <c r="AI76" s="545">
        <f>SUM(AI72:AI75)</f>
        <v>3.2835590000000003</v>
      </c>
      <c r="AJ76" s="543">
        <f>AJ72*0.46+AJ73*0.46+AJ74*0.24+AJ75*0.24</f>
        <v>3132.94</v>
      </c>
      <c r="AK76" s="548"/>
      <c r="AL76" s="545">
        <f>SUM(AL72:AL75)</f>
        <v>3.3799570000000001</v>
      </c>
      <c r="AM76" s="543">
        <f>AM72*0.46+AM73*0.46+AM74*0.24+AM75*0.24</f>
        <v>3132.94</v>
      </c>
      <c r="AN76" s="548"/>
      <c r="AO76" s="545">
        <f>SUM(AO72:AO75)</f>
        <v>3.48238</v>
      </c>
      <c r="AP76" s="543">
        <f>AP72*0.46+AP73*0.46+AP74*0.24+AP75*0.24</f>
        <v>3132.94</v>
      </c>
      <c r="AQ76" s="548"/>
      <c r="AR76" s="545">
        <f>SUM(AR72:AR75)</f>
        <v>3.584803</v>
      </c>
      <c r="AS76" s="543">
        <f>AS72*0.46+AS73*0.46+AS74*0.24+AS75*0.24</f>
        <v>3132.94</v>
      </c>
      <c r="AT76" s="548"/>
      <c r="AU76" s="545">
        <f>SUM(AU72:AU75)</f>
        <v>3.6947570000000001</v>
      </c>
      <c r="AV76" s="543">
        <f>AV72*0.46+AV73*0.46+AV74*0.24+AV75*0.24</f>
        <v>3132.94</v>
      </c>
      <c r="AW76" s="548"/>
      <c r="AX76" s="545">
        <f>SUM(AX72:AX75)</f>
        <v>3.8047110000000002</v>
      </c>
      <c r="AY76" s="543">
        <f>AY72*0.46+AY73*0.46+AY74*0.24+AY75*0.24</f>
        <v>3132.94</v>
      </c>
      <c r="AZ76" s="548"/>
      <c r="BA76" s="545">
        <f>SUM(BA72:BA75)</f>
        <v>3.92069</v>
      </c>
      <c r="BJ76" s="529">
        <f t="shared" si="271"/>
        <v>0</v>
      </c>
      <c r="BK76" s="529">
        <f t="shared" si="272"/>
        <v>0</v>
      </c>
      <c r="BL76" s="529">
        <f t="shared" si="273"/>
        <v>2.0566464</v>
      </c>
      <c r="BM76" s="529">
        <f t="shared" si="274"/>
        <v>0.15846829999999998</v>
      </c>
      <c r="BN76" s="529">
        <f t="shared" si="275"/>
        <v>1.3597944000000002</v>
      </c>
      <c r="BO76" s="529">
        <f t="shared" si="276"/>
        <v>3.3138160999999995</v>
      </c>
      <c r="BP76" s="529">
        <f t="shared" si="277"/>
        <v>3.87</v>
      </c>
      <c r="BQ76" s="529">
        <f t="shared" si="278"/>
        <v>4.4102899999999998</v>
      </c>
      <c r="BR76" s="529">
        <f t="shared" si="279"/>
        <v>3.8489239999999998</v>
      </c>
      <c r="BS76" s="529">
        <f t="shared" si="280"/>
        <v>3.1871610000000001</v>
      </c>
      <c r="BT76" s="529">
        <f t="shared" si="281"/>
        <v>3.2835590000000003</v>
      </c>
      <c r="BU76" s="529">
        <f t="shared" si="282"/>
        <v>3.3799570000000001</v>
      </c>
      <c r="BV76" s="529">
        <f t="shared" si="283"/>
        <v>3.48238</v>
      </c>
      <c r="BW76" s="529">
        <f t="shared" si="284"/>
        <v>3.584803</v>
      </c>
      <c r="BX76" s="529">
        <f t="shared" si="309"/>
        <v>3.6947570000000001</v>
      </c>
      <c r="BY76" s="529">
        <f t="shared" si="310"/>
        <v>3.8047110000000002</v>
      </c>
      <c r="BZ76" s="529">
        <f t="shared" si="311"/>
        <v>3.92069</v>
      </c>
      <c r="CB76" s="529">
        <f t="shared" si="285"/>
        <v>0</v>
      </c>
      <c r="CC76" s="529">
        <f t="shared" si="286"/>
        <v>0</v>
      </c>
      <c r="CD76" s="529">
        <f t="shared" si="287"/>
        <v>1159.384</v>
      </c>
      <c r="CE76" s="529">
        <f t="shared" si="288"/>
        <v>229.95400000000001</v>
      </c>
      <c r="CF76" s="529">
        <f t="shared" si="289"/>
        <v>1962.7360000000001</v>
      </c>
      <c r="CG76" s="529">
        <f t="shared" si="290"/>
        <v>3729.5340000000001</v>
      </c>
      <c r="CH76" s="529">
        <f t="shared" si="291"/>
        <v>4160</v>
      </c>
      <c r="CI76" s="529">
        <f t="shared" si="292"/>
        <v>4600.5</v>
      </c>
      <c r="CJ76" s="529">
        <f t="shared" si="293"/>
        <v>3899.54</v>
      </c>
      <c r="CK76" s="529">
        <f t="shared" si="294"/>
        <v>3132.94</v>
      </c>
      <c r="CL76" s="529">
        <f t="shared" si="295"/>
        <v>3132.94</v>
      </c>
      <c r="CM76" s="529">
        <f t="shared" si="296"/>
        <v>3132.94</v>
      </c>
      <c r="CN76" s="529">
        <f t="shared" si="297"/>
        <v>3132.94</v>
      </c>
      <c r="CO76" s="529">
        <f t="shared" si="298"/>
        <v>3132.94</v>
      </c>
      <c r="CP76" s="529">
        <f t="shared" si="312"/>
        <v>3132.94</v>
      </c>
      <c r="CQ76" s="529">
        <f t="shared" si="313"/>
        <v>3132.94</v>
      </c>
      <c r="CR76" s="529">
        <f t="shared" si="314"/>
        <v>3132.94</v>
      </c>
    </row>
    <row r="77" spans="1:96" x14ac:dyDescent="0.2">
      <c r="A77" s="761" t="s">
        <v>630</v>
      </c>
      <c r="B77" s="537" t="s">
        <v>494</v>
      </c>
      <c r="C77" s="538"/>
      <c r="D77" s="549"/>
      <c r="E77" s="540">
        <f>C77*D77/1000000</f>
        <v>0</v>
      </c>
      <c r="F77" s="538">
        <v>3023.7</v>
      </c>
      <c r="G77" s="539">
        <v>233</v>
      </c>
      <c r="H77" s="540">
        <f>F77*G77/1000000</f>
        <v>0.70452209999999993</v>
      </c>
      <c r="I77" s="538">
        <f>6228.45</f>
        <v>6228.45</v>
      </c>
      <c r="J77" s="539">
        <v>659</v>
      </c>
      <c r="K77" s="540">
        <f>I77*J77/1000000</f>
        <v>4.1045485499999996</v>
      </c>
      <c r="L77" s="538"/>
      <c r="M77" s="539"/>
      <c r="N77" s="540">
        <f>L77*M77/1000000</f>
        <v>0</v>
      </c>
      <c r="O77" s="538">
        <v>517.20000000000005</v>
      </c>
      <c r="P77" s="539">
        <v>285</v>
      </c>
      <c r="Q77" s="540">
        <f>O77*P77/1000000</f>
        <v>0.14740200000000001</v>
      </c>
      <c r="R77" s="538"/>
      <c r="S77" s="539"/>
      <c r="T77" s="540">
        <f>R77*S77/1000000</f>
        <v>0</v>
      </c>
      <c r="U77" s="538"/>
      <c r="V77" s="629"/>
      <c r="W77" s="540">
        <f>U77*V77/1000000</f>
        <v>0</v>
      </c>
      <c r="X77" s="538"/>
      <c r="Y77" s="539">
        <f t="shared" ref="Y77:Y80" si="359">ROUND(V77*(1+Y$1),0)</f>
        <v>0</v>
      </c>
      <c r="Z77" s="540">
        <f>X77*Y77/1000000</f>
        <v>0</v>
      </c>
      <c r="AA77" s="538"/>
      <c r="AB77" s="539">
        <f t="shared" ref="AB77:AB80" si="360">ROUND(Y77*(1+AB$1),0)</f>
        <v>0</v>
      </c>
      <c r="AC77" s="540">
        <f>AA77*AB77/1000000</f>
        <v>0</v>
      </c>
      <c r="AD77" s="538"/>
      <c r="AE77" s="539">
        <f t="shared" ref="AE77:AE80" si="361">ROUND(AB77*(1+AE$1),0)</f>
        <v>0</v>
      </c>
      <c r="AF77" s="540">
        <f>AD77*AE77/1000000</f>
        <v>0</v>
      </c>
      <c r="AG77" s="538"/>
      <c r="AH77" s="539">
        <f t="shared" ref="AH77:AH80" si="362">ROUND(AE77*(1+AH$1),0)</f>
        <v>0</v>
      </c>
      <c r="AI77" s="540">
        <f>AG77*AH77/1000000</f>
        <v>0</v>
      </c>
      <c r="AJ77" s="538"/>
      <c r="AK77" s="539">
        <f t="shared" ref="AK77:AK80" si="363">ROUND(AH77*(1+AK$1),0)</f>
        <v>0</v>
      </c>
      <c r="AL77" s="540">
        <f>AJ77*AK77/1000000</f>
        <v>0</v>
      </c>
      <c r="AM77" s="538"/>
      <c r="AN77" s="539">
        <f t="shared" ref="AN77:AN80" si="364">ROUND(AK77*(1+AN$1),0)</f>
        <v>0</v>
      </c>
      <c r="AO77" s="540">
        <f>AM77*AN77/1000000</f>
        <v>0</v>
      </c>
      <c r="AP77" s="538"/>
      <c r="AQ77" s="539">
        <f t="shared" ref="AQ77:AQ80" si="365">ROUND(AN77*(1+AQ$1),0)</f>
        <v>0</v>
      </c>
      <c r="AR77" s="540">
        <f>AP77*AQ77/1000000</f>
        <v>0</v>
      </c>
      <c r="AS77" s="538"/>
      <c r="AT77" s="539">
        <f t="shared" ref="AT77:AT80" si="366">ROUND(AQ77*(1+AT$1),0)</f>
        <v>0</v>
      </c>
      <c r="AU77" s="540">
        <f>AS77*AT77/1000000</f>
        <v>0</v>
      </c>
      <c r="AV77" s="538"/>
      <c r="AW77" s="539">
        <f t="shared" ref="AW77:AW80" si="367">ROUND(AT77*(1+AW$1),0)</f>
        <v>0</v>
      </c>
      <c r="AX77" s="540">
        <f>AV77*AW77/1000000</f>
        <v>0</v>
      </c>
      <c r="AY77" s="538"/>
      <c r="AZ77" s="539">
        <f t="shared" ref="AZ77:AZ80" si="368">ROUND(AW77*(1+AZ$1),0)</f>
        <v>0</v>
      </c>
      <c r="BA77" s="540">
        <f>AY77*AZ77/1000000</f>
        <v>0</v>
      </c>
      <c r="BJ77" s="529">
        <f t="shared" si="271"/>
        <v>0</v>
      </c>
      <c r="BK77" s="529">
        <f t="shared" si="272"/>
        <v>0.70452209999999993</v>
      </c>
      <c r="BL77" s="529">
        <f t="shared" si="273"/>
        <v>4.1045485499999996</v>
      </c>
      <c r="BM77" s="529">
        <f t="shared" si="274"/>
        <v>0</v>
      </c>
      <c r="BN77" s="529">
        <f t="shared" si="275"/>
        <v>0.14740200000000001</v>
      </c>
      <c r="BO77" s="529">
        <f t="shared" si="276"/>
        <v>0</v>
      </c>
      <c r="BP77" s="529">
        <f t="shared" si="277"/>
        <v>0</v>
      </c>
      <c r="BQ77" s="529">
        <f t="shared" si="278"/>
        <v>0</v>
      </c>
      <c r="BR77" s="529">
        <f t="shared" si="279"/>
        <v>0</v>
      </c>
      <c r="BS77" s="529">
        <f t="shared" si="280"/>
        <v>0</v>
      </c>
      <c r="BT77" s="529">
        <f t="shared" si="281"/>
        <v>0</v>
      </c>
      <c r="BU77" s="529">
        <f t="shared" si="282"/>
        <v>0</v>
      </c>
      <c r="BV77" s="529">
        <f t="shared" si="283"/>
        <v>0</v>
      </c>
      <c r="BW77" s="529">
        <f t="shared" si="284"/>
        <v>0</v>
      </c>
      <c r="BX77" s="529">
        <f t="shared" si="309"/>
        <v>0</v>
      </c>
      <c r="BY77" s="529">
        <f t="shared" si="310"/>
        <v>0</v>
      </c>
      <c r="BZ77" s="529">
        <f t="shared" si="311"/>
        <v>0</v>
      </c>
      <c r="CB77" s="529">
        <f t="shared" si="285"/>
        <v>0</v>
      </c>
      <c r="CC77" s="529">
        <f t="shared" si="286"/>
        <v>3023.7</v>
      </c>
      <c r="CD77" s="529">
        <f t="shared" si="287"/>
        <v>6228.45</v>
      </c>
      <c r="CE77" s="529">
        <f t="shared" si="288"/>
        <v>0</v>
      </c>
      <c r="CF77" s="529">
        <f t="shared" si="289"/>
        <v>517.20000000000005</v>
      </c>
      <c r="CG77" s="529">
        <f t="shared" si="290"/>
        <v>0</v>
      </c>
      <c r="CH77" s="529">
        <f t="shared" si="291"/>
        <v>0</v>
      </c>
      <c r="CI77" s="529">
        <f t="shared" si="292"/>
        <v>0</v>
      </c>
      <c r="CJ77" s="529">
        <f t="shared" si="293"/>
        <v>0</v>
      </c>
      <c r="CK77" s="529">
        <f t="shared" si="294"/>
        <v>0</v>
      </c>
      <c r="CL77" s="529">
        <f t="shared" si="295"/>
        <v>0</v>
      </c>
      <c r="CM77" s="529">
        <f t="shared" si="296"/>
        <v>0</v>
      </c>
      <c r="CN77" s="529">
        <f t="shared" si="297"/>
        <v>0</v>
      </c>
      <c r="CO77" s="529">
        <f t="shared" si="298"/>
        <v>0</v>
      </c>
      <c r="CP77" s="529">
        <f t="shared" si="312"/>
        <v>0</v>
      </c>
      <c r="CQ77" s="529">
        <f t="shared" si="313"/>
        <v>0</v>
      </c>
      <c r="CR77" s="529">
        <f t="shared" si="314"/>
        <v>0</v>
      </c>
    </row>
    <row r="78" spans="1:96" x14ac:dyDescent="0.2">
      <c r="A78" s="761"/>
      <c r="B78" s="537" t="s">
        <v>618</v>
      </c>
      <c r="C78" s="538"/>
      <c r="D78" s="549"/>
      <c r="E78" s="540">
        <f t="shared" ref="E78:E80" si="369">C78*D78/1000000</f>
        <v>0</v>
      </c>
      <c r="F78" s="541"/>
      <c r="G78" s="539"/>
      <c r="H78" s="540">
        <f t="shared" ref="H78:H80" si="370">F78*G78/1000000</f>
        <v>0</v>
      </c>
      <c r="I78" s="538">
        <v>1988.6</v>
      </c>
      <c r="J78" s="539">
        <v>158</v>
      </c>
      <c r="K78" s="540">
        <f t="shared" ref="K78:K80" si="371">I78*J78/1000000</f>
        <v>0.3141988</v>
      </c>
      <c r="L78" s="538"/>
      <c r="M78" s="539"/>
      <c r="N78" s="540">
        <f t="shared" ref="N78:N80" si="372">L78*M78/1000000</f>
        <v>0</v>
      </c>
      <c r="O78" s="538"/>
      <c r="P78" s="539"/>
      <c r="Q78" s="540">
        <f t="shared" ref="Q78:Q80" si="373">O78*P78/1000000</f>
        <v>0</v>
      </c>
      <c r="R78" s="538"/>
      <c r="S78" s="539"/>
      <c r="T78" s="540">
        <f t="shared" ref="T78:T80" si="374">R78*S78/1000000</f>
        <v>0</v>
      </c>
      <c r="U78" s="538"/>
      <c r="V78" s="629"/>
      <c r="W78" s="540">
        <f t="shared" ref="W78:W80" si="375">U78*V78/1000000</f>
        <v>0</v>
      </c>
      <c r="X78" s="538"/>
      <c r="Y78" s="539">
        <f t="shared" si="359"/>
        <v>0</v>
      </c>
      <c r="Z78" s="540">
        <f t="shared" ref="Z78:Z80" si="376">X78*Y78/1000000</f>
        <v>0</v>
      </c>
      <c r="AA78" s="538"/>
      <c r="AB78" s="539">
        <f t="shared" si="360"/>
        <v>0</v>
      </c>
      <c r="AC78" s="540">
        <f t="shared" ref="AC78:AC80" si="377">AA78*AB78/1000000</f>
        <v>0</v>
      </c>
      <c r="AD78" s="538"/>
      <c r="AE78" s="539">
        <f t="shared" si="361"/>
        <v>0</v>
      </c>
      <c r="AF78" s="540">
        <f t="shared" ref="AF78:AF80" si="378">AD78*AE78/1000000</f>
        <v>0</v>
      </c>
      <c r="AG78" s="538"/>
      <c r="AH78" s="539">
        <f t="shared" si="362"/>
        <v>0</v>
      </c>
      <c r="AI78" s="540">
        <f t="shared" ref="AI78:AI80" si="379">AG78*AH78/1000000</f>
        <v>0</v>
      </c>
      <c r="AJ78" s="538"/>
      <c r="AK78" s="539">
        <f t="shared" si="363"/>
        <v>0</v>
      </c>
      <c r="AL78" s="540">
        <f t="shared" ref="AL78:AL80" si="380">AJ78*AK78/1000000</f>
        <v>0</v>
      </c>
      <c r="AM78" s="538"/>
      <c r="AN78" s="539">
        <f t="shared" si="364"/>
        <v>0</v>
      </c>
      <c r="AO78" s="540">
        <f t="shared" ref="AO78:AO80" si="381">AM78*AN78/1000000</f>
        <v>0</v>
      </c>
      <c r="AP78" s="538"/>
      <c r="AQ78" s="539">
        <f t="shared" si="365"/>
        <v>0</v>
      </c>
      <c r="AR78" s="540">
        <f t="shared" ref="AR78:AR80" si="382">AP78*AQ78/1000000</f>
        <v>0</v>
      </c>
      <c r="AS78" s="538"/>
      <c r="AT78" s="539">
        <f t="shared" si="366"/>
        <v>0</v>
      </c>
      <c r="AU78" s="540">
        <f t="shared" ref="AU78:AU80" si="383">AS78*AT78/1000000</f>
        <v>0</v>
      </c>
      <c r="AV78" s="538"/>
      <c r="AW78" s="539">
        <f t="shared" si="367"/>
        <v>0</v>
      </c>
      <c r="AX78" s="540">
        <f t="shared" ref="AX78:AX80" si="384">AV78*AW78/1000000</f>
        <v>0</v>
      </c>
      <c r="AY78" s="538"/>
      <c r="AZ78" s="539">
        <f t="shared" si="368"/>
        <v>0</v>
      </c>
      <c r="BA78" s="540">
        <f t="shared" ref="BA78:BA80" si="385">AY78*AZ78/1000000</f>
        <v>0</v>
      </c>
      <c r="BJ78" s="529">
        <f t="shared" si="271"/>
        <v>0</v>
      </c>
      <c r="BK78" s="529">
        <f t="shared" si="272"/>
        <v>0</v>
      </c>
      <c r="BL78" s="529">
        <f t="shared" si="273"/>
        <v>0.3141988</v>
      </c>
      <c r="BM78" s="529">
        <f t="shared" si="274"/>
        <v>0</v>
      </c>
      <c r="BN78" s="529">
        <f t="shared" si="275"/>
        <v>0</v>
      </c>
      <c r="BO78" s="529">
        <f t="shared" si="276"/>
        <v>0</v>
      </c>
      <c r="BP78" s="529">
        <f t="shared" si="277"/>
        <v>0</v>
      </c>
      <c r="BQ78" s="529">
        <f t="shared" si="278"/>
        <v>0</v>
      </c>
      <c r="BR78" s="529">
        <f t="shared" si="279"/>
        <v>0</v>
      </c>
      <c r="BS78" s="529">
        <f t="shared" si="280"/>
        <v>0</v>
      </c>
      <c r="BT78" s="529">
        <f t="shared" si="281"/>
        <v>0</v>
      </c>
      <c r="BU78" s="529">
        <f t="shared" si="282"/>
        <v>0</v>
      </c>
      <c r="BV78" s="529">
        <f t="shared" si="283"/>
        <v>0</v>
      </c>
      <c r="BW78" s="529">
        <f t="shared" si="284"/>
        <v>0</v>
      </c>
      <c r="BX78" s="529">
        <f t="shared" si="309"/>
        <v>0</v>
      </c>
      <c r="BY78" s="529">
        <f t="shared" si="310"/>
        <v>0</v>
      </c>
      <c r="BZ78" s="529">
        <f t="shared" si="311"/>
        <v>0</v>
      </c>
      <c r="CB78" s="529">
        <f t="shared" si="285"/>
        <v>0</v>
      </c>
      <c r="CC78" s="529">
        <f t="shared" si="286"/>
        <v>0</v>
      </c>
      <c r="CD78" s="529">
        <f t="shared" si="287"/>
        <v>1988.6</v>
      </c>
      <c r="CE78" s="529">
        <f t="shared" si="288"/>
        <v>0</v>
      </c>
      <c r="CF78" s="529">
        <f t="shared" si="289"/>
        <v>0</v>
      </c>
      <c r="CG78" s="529">
        <f t="shared" si="290"/>
        <v>0</v>
      </c>
      <c r="CH78" s="529">
        <f t="shared" si="291"/>
        <v>0</v>
      </c>
      <c r="CI78" s="529">
        <f t="shared" si="292"/>
        <v>0</v>
      </c>
      <c r="CJ78" s="529">
        <f t="shared" si="293"/>
        <v>0</v>
      </c>
      <c r="CK78" s="529">
        <f t="shared" si="294"/>
        <v>0</v>
      </c>
      <c r="CL78" s="529">
        <f t="shared" si="295"/>
        <v>0</v>
      </c>
      <c r="CM78" s="529">
        <f t="shared" si="296"/>
        <v>0</v>
      </c>
      <c r="CN78" s="529">
        <f t="shared" si="297"/>
        <v>0</v>
      </c>
      <c r="CO78" s="529">
        <f t="shared" si="298"/>
        <v>0</v>
      </c>
      <c r="CP78" s="529">
        <f t="shared" si="312"/>
        <v>0</v>
      </c>
      <c r="CQ78" s="529">
        <f t="shared" si="313"/>
        <v>0</v>
      </c>
      <c r="CR78" s="529">
        <f t="shared" si="314"/>
        <v>0</v>
      </c>
    </row>
    <row r="79" spans="1:96" x14ac:dyDescent="0.2">
      <c r="A79" s="761"/>
      <c r="B79" s="537" t="s">
        <v>495</v>
      </c>
      <c r="C79" s="538"/>
      <c r="D79" s="549"/>
      <c r="E79" s="540">
        <f t="shared" si="369"/>
        <v>0</v>
      </c>
      <c r="F79" s="541"/>
      <c r="G79" s="539"/>
      <c r="H79" s="540">
        <f t="shared" si="370"/>
        <v>0</v>
      </c>
      <c r="I79" s="538"/>
      <c r="J79" s="539"/>
      <c r="K79" s="540">
        <f t="shared" si="371"/>
        <v>0</v>
      </c>
      <c r="L79" s="538"/>
      <c r="M79" s="539"/>
      <c r="N79" s="540">
        <f t="shared" si="372"/>
        <v>0</v>
      </c>
      <c r="O79" s="538"/>
      <c r="P79" s="539"/>
      <c r="Q79" s="540">
        <f t="shared" si="373"/>
        <v>0</v>
      </c>
      <c r="R79" s="538"/>
      <c r="S79" s="539"/>
      <c r="T79" s="540">
        <f t="shared" si="374"/>
        <v>0</v>
      </c>
      <c r="U79" s="538"/>
      <c r="V79" s="629"/>
      <c r="W79" s="540">
        <f t="shared" si="375"/>
        <v>0</v>
      </c>
      <c r="X79" s="538"/>
      <c r="Y79" s="539">
        <f t="shared" si="359"/>
        <v>0</v>
      </c>
      <c r="Z79" s="540">
        <f t="shared" si="376"/>
        <v>0</v>
      </c>
      <c r="AA79" s="538"/>
      <c r="AB79" s="539">
        <f t="shared" si="360"/>
        <v>0</v>
      </c>
      <c r="AC79" s="540">
        <f t="shared" si="377"/>
        <v>0</v>
      </c>
      <c r="AD79" s="538"/>
      <c r="AE79" s="539">
        <f t="shared" si="361"/>
        <v>0</v>
      </c>
      <c r="AF79" s="540">
        <f t="shared" si="378"/>
        <v>0</v>
      </c>
      <c r="AG79" s="538"/>
      <c r="AH79" s="539">
        <f t="shared" si="362"/>
        <v>0</v>
      </c>
      <c r="AI79" s="540">
        <f t="shared" si="379"/>
        <v>0</v>
      </c>
      <c r="AJ79" s="538"/>
      <c r="AK79" s="539">
        <f t="shared" si="363"/>
        <v>0</v>
      </c>
      <c r="AL79" s="540">
        <f t="shared" si="380"/>
        <v>0</v>
      </c>
      <c r="AM79" s="538"/>
      <c r="AN79" s="539">
        <f t="shared" si="364"/>
        <v>0</v>
      </c>
      <c r="AO79" s="540">
        <f t="shared" si="381"/>
        <v>0</v>
      </c>
      <c r="AP79" s="538"/>
      <c r="AQ79" s="539">
        <f t="shared" si="365"/>
        <v>0</v>
      </c>
      <c r="AR79" s="540">
        <f t="shared" si="382"/>
        <v>0</v>
      </c>
      <c r="AS79" s="538"/>
      <c r="AT79" s="539">
        <f t="shared" si="366"/>
        <v>0</v>
      </c>
      <c r="AU79" s="540">
        <f t="shared" si="383"/>
        <v>0</v>
      </c>
      <c r="AV79" s="538"/>
      <c r="AW79" s="539">
        <f t="shared" si="367"/>
        <v>0</v>
      </c>
      <c r="AX79" s="540">
        <f t="shared" si="384"/>
        <v>0</v>
      </c>
      <c r="AY79" s="538"/>
      <c r="AZ79" s="539">
        <f t="shared" si="368"/>
        <v>0</v>
      </c>
      <c r="BA79" s="540">
        <f t="shared" si="385"/>
        <v>0</v>
      </c>
      <c r="BJ79" s="529">
        <f t="shared" si="271"/>
        <v>0</v>
      </c>
      <c r="BK79" s="529">
        <f t="shared" si="272"/>
        <v>0</v>
      </c>
      <c r="BL79" s="529">
        <f t="shared" si="273"/>
        <v>0</v>
      </c>
      <c r="BM79" s="529">
        <f t="shared" si="274"/>
        <v>0</v>
      </c>
      <c r="BN79" s="529">
        <f t="shared" si="275"/>
        <v>0</v>
      </c>
      <c r="BO79" s="529">
        <f t="shared" si="276"/>
        <v>0</v>
      </c>
      <c r="BP79" s="529">
        <f t="shared" si="277"/>
        <v>0</v>
      </c>
      <c r="BQ79" s="529">
        <f t="shared" si="278"/>
        <v>0</v>
      </c>
      <c r="BR79" s="529">
        <f t="shared" si="279"/>
        <v>0</v>
      </c>
      <c r="BS79" s="529">
        <f t="shared" si="280"/>
        <v>0</v>
      </c>
      <c r="BT79" s="529">
        <f t="shared" si="281"/>
        <v>0</v>
      </c>
      <c r="BU79" s="529">
        <f t="shared" si="282"/>
        <v>0</v>
      </c>
      <c r="BV79" s="529">
        <f t="shared" si="283"/>
        <v>0</v>
      </c>
      <c r="BW79" s="529">
        <f t="shared" si="284"/>
        <v>0</v>
      </c>
      <c r="BX79" s="529">
        <f t="shared" si="309"/>
        <v>0</v>
      </c>
      <c r="BY79" s="529">
        <f t="shared" si="310"/>
        <v>0</v>
      </c>
      <c r="BZ79" s="529">
        <f t="shared" si="311"/>
        <v>0</v>
      </c>
      <c r="CB79" s="529">
        <f t="shared" si="285"/>
        <v>0</v>
      </c>
      <c r="CC79" s="529">
        <f t="shared" si="286"/>
        <v>0</v>
      </c>
      <c r="CD79" s="529">
        <f t="shared" si="287"/>
        <v>0</v>
      </c>
      <c r="CE79" s="529">
        <f t="shared" si="288"/>
        <v>0</v>
      </c>
      <c r="CF79" s="529">
        <f t="shared" si="289"/>
        <v>0</v>
      </c>
      <c r="CG79" s="529">
        <f t="shared" si="290"/>
        <v>0</v>
      </c>
      <c r="CH79" s="529">
        <f t="shared" si="291"/>
        <v>0</v>
      </c>
      <c r="CI79" s="529">
        <f t="shared" si="292"/>
        <v>0</v>
      </c>
      <c r="CJ79" s="529">
        <f t="shared" si="293"/>
        <v>0</v>
      </c>
      <c r="CK79" s="529">
        <f t="shared" si="294"/>
        <v>0</v>
      </c>
      <c r="CL79" s="529">
        <f t="shared" si="295"/>
        <v>0</v>
      </c>
      <c r="CM79" s="529">
        <f t="shared" si="296"/>
        <v>0</v>
      </c>
      <c r="CN79" s="529">
        <f t="shared" si="297"/>
        <v>0</v>
      </c>
      <c r="CO79" s="529">
        <f t="shared" si="298"/>
        <v>0</v>
      </c>
      <c r="CP79" s="529">
        <f t="shared" si="312"/>
        <v>0</v>
      </c>
      <c r="CQ79" s="529">
        <f t="shared" si="313"/>
        <v>0</v>
      </c>
      <c r="CR79" s="529">
        <f t="shared" si="314"/>
        <v>0</v>
      </c>
    </row>
    <row r="80" spans="1:96" x14ac:dyDescent="0.2">
      <c r="A80" s="761"/>
      <c r="B80" s="537" t="s">
        <v>113</v>
      </c>
      <c r="C80" s="538"/>
      <c r="D80" s="549"/>
      <c r="E80" s="540">
        <f t="shared" si="369"/>
        <v>0</v>
      </c>
      <c r="F80" s="541"/>
      <c r="G80" s="539"/>
      <c r="H80" s="540">
        <f t="shared" si="370"/>
        <v>0</v>
      </c>
      <c r="I80" s="538"/>
      <c r="J80" s="539"/>
      <c r="K80" s="540">
        <f t="shared" si="371"/>
        <v>0</v>
      </c>
      <c r="L80" s="538"/>
      <c r="M80" s="539"/>
      <c r="N80" s="540">
        <f t="shared" si="372"/>
        <v>0</v>
      </c>
      <c r="O80" s="538"/>
      <c r="P80" s="539"/>
      <c r="Q80" s="540">
        <f t="shared" si="373"/>
        <v>0</v>
      </c>
      <c r="R80" s="538"/>
      <c r="S80" s="539"/>
      <c r="T80" s="540">
        <f t="shared" si="374"/>
        <v>0</v>
      </c>
      <c r="U80" s="538"/>
      <c r="V80" s="629"/>
      <c r="W80" s="540">
        <f t="shared" si="375"/>
        <v>0</v>
      </c>
      <c r="X80" s="538"/>
      <c r="Y80" s="539">
        <f t="shared" si="359"/>
        <v>0</v>
      </c>
      <c r="Z80" s="540">
        <f t="shared" si="376"/>
        <v>0</v>
      </c>
      <c r="AA80" s="538"/>
      <c r="AB80" s="539">
        <f t="shared" si="360"/>
        <v>0</v>
      </c>
      <c r="AC80" s="540">
        <f t="shared" si="377"/>
        <v>0</v>
      </c>
      <c r="AD80" s="538"/>
      <c r="AE80" s="539">
        <f t="shared" si="361"/>
        <v>0</v>
      </c>
      <c r="AF80" s="540">
        <f t="shared" si="378"/>
        <v>0</v>
      </c>
      <c r="AG80" s="538"/>
      <c r="AH80" s="539">
        <f t="shared" si="362"/>
        <v>0</v>
      </c>
      <c r="AI80" s="540">
        <f t="shared" si="379"/>
        <v>0</v>
      </c>
      <c r="AJ80" s="538"/>
      <c r="AK80" s="539">
        <f t="shared" si="363"/>
        <v>0</v>
      </c>
      <c r="AL80" s="540">
        <f t="shared" si="380"/>
        <v>0</v>
      </c>
      <c r="AM80" s="538"/>
      <c r="AN80" s="539">
        <f t="shared" si="364"/>
        <v>0</v>
      </c>
      <c r="AO80" s="540">
        <f t="shared" si="381"/>
        <v>0</v>
      </c>
      <c r="AP80" s="538"/>
      <c r="AQ80" s="539">
        <f t="shared" si="365"/>
        <v>0</v>
      </c>
      <c r="AR80" s="540">
        <f t="shared" si="382"/>
        <v>0</v>
      </c>
      <c r="AS80" s="538"/>
      <c r="AT80" s="539">
        <f t="shared" si="366"/>
        <v>0</v>
      </c>
      <c r="AU80" s="540">
        <f t="shared" si="383"/>
        <v>0</v>
      </c>
      <c r="AV80" s="538"/>
      <c r="AW80" s="539">
        <f t="shared" si="367"/>
        <v>0</v>
      </c>
      <c r="AX80" s="540">
        <f t="shared" si="384"/>
        <v>0</v>
      </c>
      <c r="AY80" s="538"/>
      <c r="AZ80" s="539">
        <f t="shared" si="368"/>
        <v>0</v>
      </c>
      <c r="BA80" s="540">
        <f t="shared" si="385"/>
        <v>0</v>
      </c>
      <c r="BJ80" s="529">
        <f t="shared" si="271"/>
        <v>0</v>
      </c>
      <c r="BK80" s="529">
        <f t="shared" si="272"/>
        <v>0</v>
      </c>
      <c r="BL80" s="529">
        <f t="shared" si="273"/>
        <v>0</v>
      </c>
      <c r="BM80" s="529">
        <f t="shared" si="274"/>
        <v>0</v>
      </c>
      <c r="BN80" s="529">
        <f t="shared" si="275"/>
        <v>0</v>
      </c>
      <c r="BO80" s="529">
        <f t="shared" si="276"/>
        <v>0</v>
      </c>
      <c r="BP80" s="529">
        <f t="shared" si="277"/>
        <v>0</v>
      </c>
      <c r="BQ80" s="529">
        <f t="shared" si="278"/>
        <v>0</v>
      </c>
      <c r="BR80" s="529">
        <f t="shared" si="279"/>
        <v>0</v>
      </c>
      <c r="BS80" s="529">
        <f t="shared" si="280"/>
        <v>0</v>
      </c>
      <c r="BT80" s="529">
        <f t="shared" si="281"/>
        <v>0</v>
      </c>
      <c r="BU80" s="529">
        <f t="shared" si="282"/>
        <v>0</v>
      </c>
      <c r="BV80" s="529">
        <f t="shared" si="283"/>
        <v>0</v>
      </c>
      <c r="BW80" s="529">
        <f t="shared" si="284"/>
        <v>0</v>
      </c>
      <c r="BX80" s="529">
        <f t="shared" si="309"/>
        <v>0</v>
      </c>
      <c r="BY80" s="529">
        <f t="shared" si="310"/>
        <v>0</v>
      </c>
      <c r="BZ80" s="529">
        <f t="shared" si="311"/>
        <v>0</v>
      </c>
      <c r="CB80" s="529">
        <f t="shared" si="285"/>
        <v>0</v>
      </c>
      <c r="CC80" s="529">
        <f t="shared" si="286"/>
        <v>0</v>
      </c>
      <c r="CD80" s="529">
        <f t="shared" si="287"/>
        <v>0</v>
      </c>
      <c r="CE80" s="529">
        <f t="shared" si="288"/>
        <v>0</v>
      </c>
      <c r="CF80" s="529">
        <f t="shared" si="289"/>
        <v>0</v>
      </c>
      <c r="CG80" s="529">
        <f t="shared" si="290"/>
        <v>0</v>
      </c>
      <c r="CH80" s="529">
        <f t="shared" si="291"/>
        <v>0</v>
      </c>
      <c r="CI80" s="529">
        <f t="shared" si="292"/>
        <v>0</v>
      </c>
      <c r="CJ80" s="529">
        <f t="shared" si="293"/>
        <v>0</v>
      </c>
      <c r="CK80" s="529">
        <f t="shared" si="294"/>
        <v>0</v>
      </c>
      <c r="CL80" s="529">
        <f t="shared" si="295"/>
        <v>0</v>
      </c>
      <c r="CM80" s="529">
        <f t="shared" si="296"/>
        <v>0</v>
      </c>
      <c r="CN80" s="529">
        <f t="shared" si="297"/>
        <v>0</v>
      </c>
      <c r="CO80" s="529">
        <f t="shared" si="298"/>
        <v>0</v>
      </c>
      <c r="CP80" s="529">
        <f t="shared" si="312"/>
        <v>0</v>
      </c>
      <c r="CQ80" s="529">
        <f t="shared" si="313"/>
        <v>0</v>
      </c>
      <c r="CR80" s="529">
        <f t="shared" si="314"/>
        <v>0</v>
      </c>
    </row>
    <row r="81" spans="1:96" ht="13.5" x14ac:dyDescent="0.25">
      <c r="A81" s="761"/>
      <c r="B81" s="537" t="s">
        <v>619</v>
      </c>
      <c r="C81" s="543">
        <f>C77*0.46+C78*0.46+C79*0.24+C80*0.24</f>
        <v>0</v>
      </c>
      <c r="D81" s="548"/>
      <c r="E81" s="545">
        <f>SUM(E77:E80)</f>
        <v>0</v>
      </c>
      <c r="F81" s="543">
        <f>F77*0.46+F78*0.46+F79*0.24+F80*0.24</f>
        <v>1390.902</v>
      </c>
      <c r="G81" s="544"/>
      <c r="H81" s="545">
        <f>SUM(H77:H80)</f>
        <v>0.70452209999999993</v>
      </c>
      <c r="I81" s="543">
        <f>I77*0.46+I78*0.46+I79*0.24+I80*0.24</f>
        <v>3779.8429999999998</v>
      </c>
      <c r="J81" s="544"/>
      <c r="K81" s="545">
        <f>SUM(K77:K80)</f>
        <v>4.4187473499999994</v>
      </c>
      <c r="L81" s="543">
        <f>L77*0.46+L78*0.46+L79*0.24+L80*0.24</f>
        <v>0</v>
      </c>
      <c r="M81" s="544"/>
      <c r="N81" s="545">
        <f>SUM(N77:N80)</f>
        <v>0</v>
      </c>
      <c r="O81" s="543">
        <f>O77*0.46+O78*0.46+O79*0.24+O80*0.24</f>
        <v>237.91200000000003</v>
      </c>
      <c r="P81" s="544"/>
      <c r="Q81" s="545">
        <f>SUM(Q77:Q80)</f>
        <v>0.14740200000000001</v>
      </c>
      <c r="R81" s="543">
        <f>R77*0.46+R78*0.46+R79*0.24+R80*0.24</f>
        <v>0</v>
      </c>
      <c r="S81" s="544"/>
      <c r="T81" s="545">
        <f>SUM(T77:T80)</f>
        <v>0</v>
      </c>
      <c r="U81" s="543">
        <f>U77*0.46+U78*0.46+U79*0.24+U80*0.24</f>
        <v>0</v>
      </c>
      <c r="V81" s="630"/>
      <c r="W81" s="545">
        <f>SUM(W77:W80)</f>
        <v>0</v>
      </c>
      <c r="X81" s="543">
        <f>X77*0.46+X78*0.46+X79*0.24+X80*0.24</f>
        <v>0</v>
      </c>
      <c r="Y81" s="548"/>
      <c r="Z81" s="545">
        <f>SUM(Z77:Z80)</f>
        <v>0</v>
      </c>
      <c r="AA81" s="543">
        <f>AA77*0.46+AA78*0.46+AA79*0.24+AA80*0.24</f>
        <v>0</v>
      </c>
      <c r="AB81" s="548"/>
      <c r="AC81" s="545">
        <f>SUM(AC77:AC80)</f>
        <v>0</v>
      </c>
      <c r="AD81" s="543">
        <f>AD77*0.46+AD78*0.46+AD79*0.24+AD80*0.24</f>
        <v>0</v>
      </c>
      <c r="AE81" s="548"/>
      <c r="AF81" s="545">
        <f>SUM(AF77:AF80)</f>
        <v>0</v>
      </c>
      <c r="AG81" s="543">
        <f>AG77*0.46+AG78*0.46+AG79*0.24+AG80*0.24</f>
        <v>0</v>
      </c>
      <c r="AH81" s="548"/>
      <c r="AI81" s="545">
        <f>SUM(AI77:AI80)</f>
        <v>0</v>
      </c>
      <c r="AJ81" s="543">
        <f>AJ77*0.46+AJ78*0.46+AJ79*0.24+AJ80*0.24</f>
        <v>0</v>
      </c>
      <c r="AK81" s="548"/>
      <c r="AL81" s="545">
        <f>SUM(AL77:AL80)</f>
        <v>0</v>
      </c>
      <c r="AM81" s="543">
        <f>AM77*0.46+AM78*0.46+AM79*0.24+AM80*0.24</f>
        <v>0</v>
      </c>
      <c r="AN81" s="548"/>
      <c r="AO81" s="545">
        <f>SUM(AO77:AO80)</f>
        <v>0</v>
      </c>
      <c r="AP81" s="543">
        <f>AP77*0.46+AP78*0.46+AP79*0.24+AP80*0.24</f>
        <v>0</v>
      </c>
      <c r="AQ81" s="548"/>
      <c r="AR81" s="545">
        <f>SUM(AR77:AR80)</f>
        <v>0</v>
      </c>
      <c r="AS81" s="543">
        <f>AS77*0.46+AS78*0.46+AS79*0.24+AS80*0.24</f>
        <v>0</v>
      </c>
      <c r="AT81" s="548"/>
      <c r="AU81" s="545">
        <f>SUM(AU77:AU80)</f>
        <v>0</v>
      </c>
      <c r="AV81" s="543">
        <f>AV77*0.46+AV78*0.46+AV79*0.24+AV80*0.24</f>
        <v>0</v>
      </c>
      <c r="AW81" s="548"/>
      <c r="AX81" s="545">
        <f>SUM(AX77:AX80)</f>
        <v>0</v>
      </c>
      <c r="AY81" s="543">
        <f>AY77*0.46+AY78*0.46+AY79*0.24+AY80*0.24</f>
        <v>0</v>
      </c>
      <c r="AZ81" s="548"/>
      <c r="BA81" s="545">
        <f>SUM(BA77:BA80)</f>
        <v>0</v>
      </c>
      <c r="BJ81" s="529">
        <f t="shared" si="271"/>
        <v>0</v>
      </c>
      <c r="BK81" s="529">
        <f t="shared" si="272"/>
        <v>0.70452209999999993</v>
      </c>
      <c r="BL81" s="529">
        <f t="shared" si="273"/>
        <v>4.4187473499999994</v>
      </c>
      <c r="BM81" s="529">
        <f t="shared" si="274"/>
        <v>0</v>
      </c>
      <c r="BN81" s="529">
        <f t="shared" si="275"/>
        <v>0.14740200000000001</v>
      </c>
      <c r="BO81" s="529">
        <f t="shared" si="276"/>
        <v>0</v>
      </c>
      <c r="BP81" s="529">
        <f t="shared" si="277"/>
        <v>0</v>
      </c>
      <c r="BQ81" s="529">
        <f t="shared" si="278"/>
        <v>0</v>
      </c>
      <c r="BR81" s="529">
        <f t="shared" si="279"/>
        <v>0</v>
      </c>
      <c r="BS81" s="529">
        <f t="shared" si="280"/>
        <v>0</v>
      </c>
      <c r="BT81" s="529">
        <f t="shared" si="281"/>
        <v>0</v>
      </c>
      <c r="BU81" s="529">
        <f t="shared" si="282"/>
        <v>0</v>
      </c>
      <c r="BV81" s="529">
        <f t="shared" si="283"/>
        <v>0</v>
      </c>
      <c r="BW81" s="529">
        <f t="shared" si="284"/>
        <v>0</v>
      </c>
      <c r="BX81" s="529">
        <f t="shared" si="309"/>
        <v>0</v>
      </c>
      <c r="BY81" s="529">
        <f t="shared" si="310"/>
        <v>0</v>
      </c>
      <c r="BZ81" s="529">
        <f t="shared" si="311"/>
        <v>0</v>
      </c>
      <c r="CB81" s="529">
        <f t="shared" si="285"/>
        <v>0</v>
      </c>
      <c r="CC81" s="529">
        <f t="shared" si="286"/>
        <v>1390.902</v>
      </c>
      <c r="CD81" s="529">
        <f t="shared" si="287"/>
        <v>3779.8429999999998</v>
      </c>
      <c r="CE81" s="529">
        <f t="shared" si="288"/>
        <v>0</v>
      </c>
      <c r="CF81" s="529">
        <f t="shared" si="289"/>
        <v>237.91200000000003</v>
      </c>
      <c r="CG81" s="529">
        <f t="shared" si="290"/>
        <v>0</v>
      </c>
      <c r="CH81" s="529">
        <f t="shared" si="291"/>
        <v>0</v>
      </c>
      <c r="CI81" s="529">
        <f t="shared" si="292"/>
        <v>0</v>
      </c>
      <c r="CJ81" s="529">
        <f t="shared" si="293"/>
        <v>0</v>
      </c>
      <c r="CK81" s="529">
        <f t="shared" si="294"/>
        <v>0</v>
      </c>
      <c r="CL81" s="529">
        <f t="shared" si="295"/>
        <v>0</v>
      </c>
      <c r="CM81" s="529">
        <f t="shared" si="296"/>
        <v>0</v>
      </c>
      <c r="CN81" s="529">
        <f t="shared" si="297"/>
        <v>0</v>
      </c>
      <c r="CO81" s="529">
        <f t="shared" si="298"/>
        <v>0</v>
      </c>
      <c r="CP81" s="529">
        <f t="shared" si="312"/>
        <v>0</v>
      </c>
      <c r="CQ81" s="529">
        <f t="shared" si="313"/>
        <v>0</v>
      </c>
      <c r="CR81" s="529">
        <f t="shared" si="314"/>
        <v>0</v>
      </c>
    </row>
    <row r="82" spans="1:96" x14ac:dyDescent="0.2">
      <c r="A82" s="761" t="s">
        <v>631</v>
      </c>
      <c r="B82" s="537" t="s">
        <v>494</v>
      </c>
      <c r="C82" s="538"/>
      <c r="D82" s="549"/>
      <c r="E82" s="540">
        <f>C82*D82/1000000</f>
        <v>0</v>
      </c>
      <c r="F82" s="541"/>
      <c r="G82" s="539"/>
      <c r="H82" s="540">
        <f>F82*G82/1000000</f>
        <v>0</v>
      </c>
      <c r="I82" s="538"/>
      <c r="J82" s="539"/>
      <c r="K82" s="540">
        <f>I82*J82/1000000</f>
        <v>0</v>
      </c>
      <c r="L82" s="538"/>
      <c r="M82" s="539"/>
      <c r="N82" s="540">
        <f>L82*M82/1000000</f>
        <v>0</v>
      </c>
      <c r="O82" s="538">
        <v>510.3</v>
      </c>
      <c r="P82" s="539">
        <v>305</v>
      </c>
      <c r="Q82" s="540">
        <f>O82*P82/1000000</f>
        <v>0.15564149999999999</v>
      </c>
      <c r="R82" s="538">
        <f>500+500+512+812.5+502.6+500</f>
        <v>3327.1</v>
      </c>
      <c r="S82" s="539">
        <v>398</v>
      </c>
      <c r="T82" s="540">
        <f>R82*S82/1000000</f>
        <v>1.3241858</v>
      </c>
      <c r="U82" s="538">
        <v>4000</v>
      </c>
      <c r="V82" s="629">
        <v>425</v>
      </c>
      <c r="W82" s="540">
        <f>U82*V82/1000000</f>
        <v>1.7</v>
      </c>
      <c r="X82" s="538">
        <f>ROUND(+U82*X$1,0)</f>
        <v>4424</v>
      </c>
      <c r="Y82" s="539">
        <f t="shared" ref="Y82:Y85" si="386">ROUND(V82*(1+Y$1),0)</f>
        <v>438</v>
      </c>
      <c r="Z82" s="540">
        <f>X82*Y82/1000000</f>
        <v>1.9377120000000001</v>
      </c>
      <c r="AA82" s="538">
        <f>ROUND(+X82*AA$1,0)</f>
        <v>3750</v>
      </c>
      <c r="AB82" s="539">
        <f t="shared" ref="AB82:AB85" si="387">ROUND(Y82*(1+AB$1),0)</f>
        <v>451</v>
      </c>
      <c r="AC82" s="540">
        <f>AA82*AB82/1000000</f>
        <v>1.6912499999999999</v>
      </c>
      <c r="AD82" s="538">
        <f>ROUND(+AA82*AD$1,0)</f>
        <v>3013</v>
      </c>
      <c r="AE82" s="539">
        <f t="shared" ref="AE82:AE85" si="388">ROUND(AB82*(1+AE$1),0)</f>
        <v>465</v>
      </c>
      <c r="AF82" s="540">
        <f>AD82*AE82/1000000</f>
        <v>1.4010450000000001</v>
      </c>
      <c r="AG82" s="538">
        <f>ROUND(+AD82*AG$1,0)</f>
        <v>3013</v>
      </c>
      <c r="AH82" s="539">
        <f t="shared" ref="AH82:AH85" si="389">ROUND(AE82*(1+AH$1),0)</f>
        <v>479</v>
      </c>
      <c r="AI82" s="540">
        <f>AG82*AH82/1000000</f>
        <v>1.443227</v>
      </c>
      <c r="AJ82" s="538">
        <f>ROUND(+AG82*AJ$1,0)</f>
        <v>3013</v>
      </c>
      <c r="AK82" s="539">
        <f t="shared" ref="AK82:AK85" si="390">ROUND(AH82*(1+AK$1),0)</f>
        <v>493</v>
      </c>
      <c r="AL82" s="540">
        <f>AJ82*AK82/1000000</f>
        <v>1.485409</v>
      </c>
      <c r="AM82" s="538">
        <f>ROUND(+AJ82*AM$1,0)</f>
        <v>3013</v>
      </c>
      <c r="AN82" s="539">
        <f t="shared" ref="AN82:AN85" si="391">ROUND(AK82*(1+AN$1),0)</f>
        <v>508</v>
      </c>
      <c r="AO82" s="540">
        <f>AM82*AN82/1000000</f>
        <v>1.5306040000000001</v>
      </c>
      <c r="AP82" s="538">
        <f>ROUND(+AM82*AP$1,0)</f>
        <v>3013</v>
      </c>
      <c r="AQ82" s="539">
        <f t="shared" ref="AQ82:AQ85" si="392">ROUND(AN82*(1+AQ$1),0)</f>
        <v>523</v>
      </c>
      <c r="AR82" s="540">
        <f>AP82*AQ82/1000000</f>
        <v>1.5757989999999999</v>
      </c>
      <c r="AS82" s="538">
        <f>ROUND(+AP82*AS$1,0)</f>
        <v>3013</v>
      </c>
      <c r="AT82" s="539">
        <f t="shared" ref="AT82:AT85" si="393">ROUND(AQ82*(1+AT$1),0)</f>
        <v>539</v>
      </c>
      <c r="AU82" s="540">
        <f>AS82*AT82/1000000</f>
        <v>1.624007</v>
      </c>
      <c r="AV82" s="538">
        <f>ROUND(+AS82*AV$1,0)</f>
        <v>3013</v>
      </c>
      <c r="AW82" s="539">
        <f t="shared" ref="AW82:AW85" si="394">ROUND(AT82*(1+AW$1),0)</f>
        <v>555</v>
      </c>
      <c r="AX82" s="540">
        <f>AV82*AW82/1000000</f>
        <v>1.672215</v>
      </c>
      <c r="AY82" s="538">
        <f>ROUND(+AV82*AY$1,0)</f>
        <v>3013</v>
      </c>
      <c r="AZ82" s="539">
        <f t="shared" ref="AZ82:AZ85" si="395">ROUND(AW82*(1+AZ$1),0)</f>
        <v>572</v>
      </c>
      <c r="BA82" s="540">
        <f>AY82*AZ82/1000000</f>
        <v>1.723436</v>
      </c>
      <c r="BJ82" s="529">
        <f t="shared" si="271"/>
        <v>0</v>
      </c>
      <c r="BK82" s="529">
        <f t="shared" si="272"/>
        <v>0</v>
      </c>
      <c r="BL82" s="529">
        <f t="shared" si="273"/>
        <v>0</v>
      </c>
      <c r="BM82" s="529">
        <f t="shared" si="274"/>
        <v>0</v>
      </c>
      <c r="BN82" s="529">
        <f t="shared" si="275"/>
        <v>0.15564149999999999</v>
      </c>
      <c r="BO82" s="529">
        <f t="shared" si="276"/>
        <v>1.3241858</v>
      </c>
      <c r="BP82" s="529">
        <f t="shared" si="277"/>
        <v>1.7</v>
      </c>
      <c r="BQ82" s="529">
        <f t="shared" si="278"/>
        <v>1.9377120000000001</v>
      </c>
      <c r="BR82" s="529">
        <f t="shared" si="279"/>
        <v>1.6912499999999999</v>
      </c>
      <c r="BS82" s="529">
        <f t="shared" si="280"/>
        <v>1.4010450000000001</v>
      </c>
      <c r="BT82" s="529">
        <f t="shared" si="281"/>
        <v>1.443227</v>
      </c>
      <c r="BU82" s="529">
        <f t="shared" si="282"/>
        <v>1.485409</v>
      </c>
      <c r="BV82" s="529">
        <f t="shared" si="283"/>
        <v>1.5306040000000001</v>
      </c>
      <c r="BW82" s="529">
        <f t="shared" si="284"/>
        <v>1.5757989999999999</v>
      </c>
      <c r="BX82" s="529">
        <f t="shared" si="309"/>
        <v>1.624007</v>
      </c>
      <c r="BY82" s="529">
        <f t="shared" si="310"/>
        <v>1.672215</v>
      </c>
      <c r="BZ82" s="529">
        <f t="shared" si="311"/>
        <v>1.723436</v>
      </c>
      <c r="CB82" s="529">
        <f t="shared" si="285"/>
        <v>0</v>
      </c>
      <c r="CC82" s="529">
        <f t="shared" si="286"/>
        <v>0</v>
      </c>
      <c r="CD82" s="529">
        <f t="shared" si="287"/>
        <v>0</v>
      </c>
      <c r="CE82" s="529">
        <f t="shared" si="288"/>
        <v>0</v>
      </c>
      <c r="CF82" s="529">
        <f t="shared" si="289"/>
        <v>510.3</v>
      </c>
      <c r="CG82" s="529">
        <f t="shared" si="290"/>
        <v>3327.1</v>
      </c>
      <c r="CH82" s="529">
        <f t="shared" si="291"/>
        <v>4000</v>
      </c>
      <c r="CI82" s="529">
        <f t="shared" si="292"/>
        <v>4424</v>
      </c>
      <c r="CJ82" s="529">
        <f t="shared" si="293"/>
        <v>3750</v>
      </c>
      <c r="CK82" s="529">
        <f t="shared" si="294"/>
        <v>3013</v>
      </c>
      <c r="CL82" s="529">
        <f t="shared" si="295"/>
        <v>3013</v>
      </c>
      <c r="CM82" s="529">
        <f t="shared" si="296"/>
        <v>3013</v>
      </c>
      <c r="CN82" s="529">
        <f t="shared" si="297"/>
        <v>3013</v>
      </c>
      <c r="CO82" s="529">
        <f t="shared" si="298"/>
        <v>3013</v>
      </c>
      <c r="CP82" s="529">
        <f t="shared" si="312"/>
        <v>3013</v>
      </c>
      <c r="CQ82" s="529">
        <f t="shared" si="313"/>
        <v>3013</v>
      </c>
      <c r="CR82" s="529">
        <f t="shared" si="314"/>
        <v>3013</v>
      </c>
    </row>
    <row r="83" spans="1:96" x14ac:dyDescent="0.2">
      <c r="A83" s="761"/>
      <c r="B83" s="537" t="s">
        <v>618</v>
      </c>
      <c r="C83" s="538"/>
      <c r="D83" s="549"/>
      <c r="E83" s="540">
        <v>0</v>
      </c>
      <c r="F83" s="541"/>
      <c r="G83" s="539"/>
      <c r="H83" s="540">
        <f t="shared" ref="H83:H85" si="396">F83*G83/1000000</f>
        <v>0</v>
      </c>
      <c r="I83" s="538"/>
      <c r="J83" s="539"/>
      <c r="K83" s="540">
        <f t="shared" ref="K83:K85" si="397">I83*J83/1000000</f>
        <v>0</v>
      </c>
      <c r="L83" s="538"/>
      <c r="M83" s="539"/>
      <c r="N83" s="540">
        <f t="shared" ref="N83:N85" si="398">L83*M83/1000000</f>
        <v>0</v>
      </c>
      <c r="O83" s="538"/>
      <c r="P83" s="539"/>
      <c r="Q83" s="540">
        <f t="shared" ref="Q83:Q85" si="399">O83*P83/1000000</f>
        <v>0</v>
      </c>
      <c r="R83" s="538"/>
      <c r="S83" s="539"/>
      <c r="T83" s="540">
        <f t="shared" ref="T83:T85" si="400">R83*S83/1000000</f>
        <v>0</v>
      </c>
      <c r="U83" s="538"/>
      <c r="V83" s="629"/>
      <c r="W83" s="540">
        <f t="shared" ref="W83:W85" si="401">U83*V83/1000000</f>
        <v>0</v>
      </c>
      <c r="X83" s="538"/>
      <c r="Y83" s="539">
        <f t="shared" si="386"/>
        <v>0</v>
      </c>
      <c r="Z83" s="540">
        <f t="shared" ref="Z83:Z85" si="402">X83*Y83/1000000</f>
        <v>0</v>
      </c>
      <c r="AA83" s="538"/>
      <c r="AB83" s="539">
        <f t="shared" si="387"/>
        <v>0</v>
      </c>
      <c r="AC83" s="540">
        <f t="shared" ref="AC83:AC85" si="403">AA83*AB83/1000000</f>
        <v>0</v>
      </c>
      <c r="AD83" s="538"/>
      <c r="AE83" s="539">
        <f t="shared" si="388"/>
        <v>0</v>
      </c>
      <c r="AF83" s="540">
        <f t="shared" ref="AF83:AF85" si="404">AD83*AE83/1000000</f>
        <v>0</v>
      </c>
      <c r="AG83" s="538"/>
      <c r="AH83" s="539">
        <f t="shared" si="389"/>
        <v>0</v>
      </c>
      <c r="AI83" s="540">
        <f t="shared" ref="AI83:AI85" si="405">AG83*AH83/1000000</f>
        <v>0</v>
      </c>
      <c r="AJ83" s="538"/>
      <c r="AK83" s="539">
        <f t="shared" si="390"/>
        <v>0</v>
      </c>
      <c r="AL83" s="540">
        <f t="shared" ref="AL83:AL85" si="406">AJ83*AK83/1000000</f>
        <v>0</v>
      </c>
      <c r="AM83" s="538"/>
      <c r="AN83" s="539">
        <f t="shared" si="391"/>
        <v>0</v>
      </c>
      <c r="AO83" s="540">
        <f t="shared" ref="AO83:AO85" si="407">AM83*AN83/1000000</f>
        <v>0</v>
      </c>
      <c r="AP83" s="538"/>
      <c r="AQ83" s="539">
        <f t="shared" si="392"/>
        <v>0</v>
      </c>
      <c r="AR83" s="540">
        <f t="shared" ref="AR83:AR85" si="408">AP83*AQ83/1000000</f>
        <v>0</v>
      </c>
      <c r="AS83" s="538"/>
      <c r="AT83" s="539">
        <f t="shared" si="393"/>
        <v>0</v>
      </c>
      <c r="AU83" s="540">
        <f t="shared" ref="AU83:AU85" si="409">AS83*AT83/1000000</f>
        <v>0</v>
      </c>
      <c r="AV83" s="538"/>
      <c r="AW83" s="539">
        <f t="shared" si="394"/>
        <v>0</v>
      </c>
      <c r="AX83" s="540">
        <f t="shared" ref="AX83:AX85" si="410">AV83*AW83/1000000</f>
        <v>0</v>
      </c>
      <c r="AY83" s="538"/>
      <c r="AZ83" s="539">
        <f t="shared" si="395"/>
        <v>0</v>
      </c>
      <c r="BA83" s="540">
        <f t="shared" ref="BA83:BA85" si="411">AY83*AZ83/1000000</f>
        <v>0</v>
      </c>
      <c r="BJ83" s="529">
        <f t="shared" si="271"/>
        <v>0</v>
      </c>
      <c r="BK83" s="529">
        <f t="shared" si="272"/>
        <v>0</v>
      </c>
      <c r="BL83" s="529">
        <f t="shared" si="273"/>
        <v>0</v>
      </c>
      <c r="BM83" s="529">
        <f t="shared" si="274"/>
        <v>0</v>
      </c>
      <c r="BN83" s="529">
        <f t="shared" si="275"/>
        <v>0</v>
      </c>
      <c r="BO83" s="529">
        <f t="shared" si="276"/>
        <v>0</v>
      </c>
      <c r="BP83" s="529">
        <f t="shared" si="277"/>
        <v>0</v>
      </c>
      <c r="BQ83" s="529">
        <f t="shared" si="278"/>
        <v>0</v>
      </c>
      <c r="BR83" s="529">
        <f t="shared" si="279"/>
        <v>0</v>
      </c>
      <c r="BS83" s="529">
        <f t="shared" si="280"/>
        <v>0</v>
      </c>
      <c r="BT83" s="529">
        <f t="shared" si="281"/>
        <v>0</v>
      </c>
      <c r="BU83" s="529">
        <f t="shared" si="282"/>
        <v>0</v>
      </c>
      <c r="BV83" s="529">
        <f t="shared" si="283"/>
        <v>0</v>
      </c>
      <c r="BW83" s="529">
        <f t="shared" si="284"/>
        <v>0</v>
      </c>
      <c r="BX83" s="529">
        <f t="shared" si="309"/>
        <v>0</v>
      </c>
      <c r="BY83" s="529">
        <f t="shared" si="310"/>
        <v>0</v>
      </c>
      <c r="BZ83" s="529">
        <f t="shared" si="311"/>
        <v>0</v>
      </c>
      <c r="CB83" s="529">
        <f t="shared" si="285"/>
        <v>0</v>
      </c>
      <c r="CC83" s="529">
        <f t="shared" si="286"/>
        <v>0</v>
      </c>
      <c r="CD83" s="529">
        <f t="shared" si="287"/>
        <v>0</v>
      </c>
      <c r="CE83" s="529">
        <f t="shared" si="288"/>
        <v>0</v>
      </c>
      <c r="CF83" s="529">
        <f t="shared" si="289"/>
        <v>0</v>
      </c>
      <c r="CG83" s="529">
        <f t="shared" si="290"/>
        <v>0</v>
      </c>
      <c r="CH83" s="529">
        <f t="shared" si="291"/>
        <v>0</v>
      </c>
      <c r="CI83" s="529">
        <f t="shared" si="292"/>
        <v>0</v>
      </c>
      <c r="CJ83" s="529">
        <f t="shared" si="293"/>
        <v>0</v>
      </c>
      <c r="CK83" s="529">
        <f t="shared" si="294"/>
        <v>0</v>
      </c>
      <c r="CL83" s="529">
        <f t="shared" si="295"/>
        <v>0</v>
      </c>
      <c r="CM83" s="529">
        <f t="shared" si="296"/>
        <v>0</v>
      </c>
      <c r="CN83" s="529">
        <f t="shared" si="297"/>
        <v>0</v>
      </c>
      <c r="CO83" s="529">
        <f t="shared" si="298"/>
        <v>0</v>
      </c>
      <c r="CP83" s="529">
        <f t="shared" si="312"/>
        <v>0</v>
      </c>
      <c r="CQ83" s="529">
        <f t="shared" si="313"/>
        <v>0</v>
      </c>
      <c r="CR83" s="529">
        <f t="shared" si="314"/>
        <v>0</v>
      </c>
    </row>
    <row r="84" spans="1:96" x14ac:dyDescent="0.2">
      <c r="A84" s="761"/>
      <c r="B84" s="537" t="s">
        <v>495</v>
      </c>
      <c r="C84" s="538"/>
      <c r="D84" s="549"/>
      <c r="E84" s="540">
        <f t="shared" ref="E84:E85" si="412">C84*D84/1000000</f>
        <v>0</v>
      </c>
      <c r="F84" s="541"/>
      <c r="G84" s="539"/>
      <c r="H84" s="540">
        <f t="shared" si="396"/>
        <v>0</v>
      </c>
      <c r="I84" s="538"/>
      <c r="J84" s="539"/>
      <c r="K84" s="540">
        <f t="shared" si="397"/>
        <v>0</v>
      </c>
      <c r="L84" s="538"/>
      <c r="M84" s="539"/>
      <c r="N84" s="540">
        <f t="shared" si="398"/>
        <v>0</v>
      </c>
      <c r="O84" s="538"/>
      <c r="P84" s="539"/>
      <c r="Q84" s="540">
        <f t="shared" si="399"/>
        <v>0</v>
      </c>
      <c r="R84" s="538">
        <f>125+1000+1000+1000</f>
        <v>3125</v>
      </c>
      <c r="S84" s="539">
        <v>234</v>
      </c>
      <c r="T84" s="540">
        <f t="shared" si="400"/>
        <v>0.73124999999999996</v>
      </c>
      <c r="U84" s="538">
        <v>3705</v>
      </c>
      <c r="V84" s="629">
        <v>235</v>
      </c>
      <c r="W84" s="540">
        <f t="shared" si="401"/>
        <v>0.87067499999999998</v>
      </c>
      <c r="X84" s="538">
        <f>ROUND(+U84*X$1,0)</f>
        <v>4097</v>
      </c>
      <c r="Y84" s="539">
        <f t="shared" si="386"/>
        <v>242</v>
      </c>
      <c r="Z84" s="540">
        <f t="shared" si="402"/>
        <v>0.99147399999999997</v>
      </c>
      <c r="AA84" s="538">
        <f>ROUND(+X84*AA$1,0)</f>
        <v>3473</v>
      </c>
      <c r="AB84" s="539">
        <f t="shared" si="387"/>
        <v>249</v>
      </c>
      <c r="AC84" s="540">
        <f t="shared" si="403"/>
        <v>0.86477700000000002</v>
      </c>
      <c r="AD84" s="538">
        <f>ROUND(+AA84*AD$1,0)</f>
        <v>2790</v>
      </c>
      <c r="AE84" s="539">
        <f t="shared" si="388"/>
        <v>256</v>
      </c>
      <c r="AF84" s="540">
        <f t="shared" si="404"/>
        <v>0.71423999999999999</v>
      </c>
      <c r="AG84" s="538">
        <f>ROUND(+AD84*AG$1,0)</f>
        <v>2790</v>
      </c>
      <c r="AH84" s="539">
        <f t="shared" si="389"/>
        <v>264</v>
      </c>
      <c r="AI84" s="540">
        <f t="shared" si="405"/>
        <v>0.73655999999999999</v>
      </c>
      <c r="AJ84" s="538">
        <f>ROUND(+AG84*AJ$1,0)</f>
        <v>2790</v>
      </c>
      <c r="AK84" s="539">
        <f t="shared" si="390"/>
        <v>272</v>
      </c>
      <c r="AL84" s="540">
        <f t="shared" si="406"/>
        <v>0.75888</v>
      </c>
      <c r="AM84" s="538">
        <f>ROUND(+AJ84*AM$1,0)</f>
        <v>2790</v>
      </c>
      <c r="AN84" s="539">
        <f t="shared" si="391"/>
        <v>280</v>
      </c>
      <c r="AO84" s="540">
        <f t="shared" si="407"/>
        <v>0.78120000000000001</v>
      </c>
      <c r="AP84" s="538">
        <f>ROUND(+AM84*AP$1,0)</f>
        <v>2790</v>
      </c>
      <c r="AQ84" s="539">
        <f t="shared" si="392"/>
        <v>288</v>
      </c>
      <c r="AR84" s="540">
        <f t="shared" si="408"/>
        <v>0.80352000000000001</v>
      </c>
      <c r="AS84" s="538">
        <f>ROUND(+AP84*AS$1,0)</f>
        <v>2790</v>
      </c>
      <c r="AT84" s="539">
        <f t="shared" si="393"/>
        <v>297</v>
      </c>
      <c r="AU84" s="540">
        <f t="shared" si="409"/>
        <v>0.82862999999999998</v>
      </c>
      <c r="AV84" s="538">
        <f>ROUND(+AS84*AV$1,0)</f>
        <v>2790</v>
      </c>
      <c r="AW84" s="539">
        <f t="shared" si="394"/>
        <v>306</v>
      </c>
      <c r="AX84" s="540">
        <f t="shared" si="410"/>
        <v>0.85374000000000005</v>
      </c>
      <c r="AY84" s="538">
        <f>ROUND(+AV84*AY$1,0)</f>
        <v>2790</v>
      </c>
      <c r="AZ84" s="539">
        <f t="shared" si="395"/>
        <v>315</v>
      </c>
      <c r="BA84" s="540">
        <f t="shared" si="411"/>
        <v>0.87885000000000002</v>
      </c>
      <c r="BJ84" s="529">
        <f t="shared" si="271"/>
        <v>0</v>
      </c>
      <c r="BK84" s="529">
        <f t="shared" si="272"/>
        <v>0</v>
      </c>
      <c r="BL84" s="529">
        <f t="shared" si="273"/>
        <v>0</v>
      </c>
      <c r="BM84" s="529">
        <f t="shared" si="274"/>
        <v>0</v>
      </c>
      <c r="BN84" s="529">
        <f t="shared" si="275"/>
        <v>0</v>
      </c>
      <c r="BO84" s="529">
        <f t="shared" si="276"/>
        <v>0.73124999999999996</v>
      </c>
      <c r="BP84" s="529">
        <f t="shared" si="277"/>
        <v>0.87067499999999998</v>
      </c>
      <c r="BQ84" s="529">
        <f t="shared" si="278"/>
        <v>0.99147399999999997</v>
      </c>
      <c r="BR84" s="529">
        <f t="shared" si="279"/>
        <v>0.86477700000000002</v>
      </c>
      <c r="BS84" s="529">
        <f t="shared" si="280"/>
        <v>0.71423999999999999</v>
      </c>
      <c r="BT84" s="529">
        <f t="shared" si="281"/>
        <v>0.73655999999999999</v>
      </c>
      <c r="BU84" s="529">
        <f t="shared" si="282"/>
        <v>0.75888</v>
      </c>
      <c r="BV84" s="529">
        <f t="shared" si="283"/>
        <v>0.78120000000000001</v>
      </c>
      <c r="BW84" s="529">
        <f t="shared" si="284"/>
        <v>0.80352000000000001</v>
      </c>
      <c r="BX84" s="529">
        <f t="shared" si="309"/>
        <v>0.82862999999999998</v>
      </c>
      <c r="BY84" s="529">
        <f t="shared" si="310"/>
        <v>0.85374000000000005</v>
      </c>
      <c r="BZ84" s="529">
        <f t="shared" si="311"/>
        <v>0.87885000000000002</v>
      </c>
      <c r="CB84" s="529">
        <f t="shared" si="285"/>
        <v>0</v>
      </c>
      <c r="CC84" s="529">
        <f t="shared" si="286"/>
        <v>0</v>
      </c>
      <c r="CD84" s="529">
        <f t="shared" si="287"/>
        <v>0</v>
      </c>
      <c r="CE84" s="529">
        <f t="shared" si="288"/>
        <v>0</v>
      </c>
      <c r="CF84" s="529">
        <f t="shared" si="289"/>
        <v>0</v>
      </c>
      <c r="CG84" s="529">
        <f t="shared" si="290"/>
        <v>3125</v>
      </c>
      <c r="CH84" s="529">
        <f t="shared" si="291"/>
        <v>3705</v>
      </c>
      <c r="CI84" s="529">
        <f t="shared" si="292"/>
        <v>4097</v>
      </c>
      <c r="CJ84" s="529">
        <f t="shared" si="293"/>
        <v>3473</v>
      </c>
      <c r="CK84" s="529">
        <f t="shared" si="294"/>
        <v>2790</v>
      </c>
      <c r="CL84" s="529">
        <f t="shared" si="295"/>
        <v>2790</v>
      </c>
      <c r="CM84" s="529">
        <f t="shared" si="296"/>
        <v>2790</v>
      </c>
      <c r="CN84" s="529">
        <f t="shared" si="297"/>
        <v>2790</v>
      </c>
      <c r="CO84" s="529">
        <f t="shared" si="298"/>
        <v>2790</v>
      </c>
      <c r="CP84" s="529">
        <f t="shared" si="312"/>
        <v>2790</v>
      </c>
      <c r="CQ84" s="529">
        <f t="shared" si="313"/>
        <v>2790</v>
      </c>
      <c r="CR84" s="529">
        <f t="shared" si="314"/>
        <v>2790</v>
      </c>
    </row>
    <row r="85" spans="1:96" x14ac:dyDescent="0.2">
      <c r="A85" s="761"/>
      <c r="B85" s="537" t="s">
        <v>113</v>
      </c>
      <c r="C85" s="538"/>
      <c r="D85" s="549"/>
      <c r="E85" s="540">
        <f t="shared" si="412"/>
        <v>0</v>
      </c>
      <c r="F85" s="541"/>
      <c r="G85" s="539"/>
      <c r="H85" s="540">
        <f t="shared" si="396"/>
        <v>0</v>
      </c>
      <c r="I85" s="538"/>
      <c r="J85" s="539"/>
      <c r="K85" s="540">
        <f t="shared" si="397"/>
        <v>0</v>
      </c>
      <c r="L85" s="538"/>
      <c r="M85" s="539"/>
      <c r="N85" s="540">
        <f t="shared" si="398"/>
        <v>0</v>
      </c>
      <c r="O85" s="538"/>
      <c r="P85" s="539"/>
      <c r="Q85" s="540">
        <f t="shared" si="399"/>
        <v>0</v>
      </c>
      <c r="R85" s="538"/>
      <c r="S85" s="539"/>
      <c r="T85" s="540">
        <f t="shared" si="400"/>
        <v>0</v>
      </c>
      <c r="U85" s="538"/>
      <c r="V85" s="629"/>
      <c r="W85" s="540">
        <f t="shared" si="401"/>
        <v>0</v>
      </c>
      <c r="X85" s="538"/>
      <c r="Y85" s="539">
        <f t="shared" si="386"/>
        <v>0</v>
      </c>
      <c r="Z85" s="540">
        <f t="shared" si="402"/>
        <v>0</v>
      </c>
      <c r="AA85" s="538"/>
      <c r="AB85" s="539">
        <f t="shared" si="387"/>
        <v>0</v>
      </c>
      <c r="AC85" s="540">
        <f t="shared" si="403"/>
        <v>0</v>
      </c>
      <c r="AD85" s="538"/>
      <c r="AE85" s="539">
        <f t="shared" si="388"/>
        <v>0</v>
      </c>
      <c r="AF85" s="540">
        <f t="shared" si="404"/>
        <v>0</v>
      </c>
      <c r="AG85" s="538"/>
      <c r="AH85" s="539">
        <f t="shared" si="389"/>
        <v>0</v>
      </c>
      <c r="AI85" s="540">
        <f t="shared" si="405"/>
        <v>0</v>
      </c>
      <c r="AJ85" s="538"/>
      <c r="AK85" s="539">
        <f t="shared" si="390"/>
        <v>0</v>
      </c>
      <c r="AL85" s="540">
        <f t="shared" si="406"/>
        <v>0</v>
      </c>
      <c r="AM85" s="538"/>
      <c r="AN85" s="539">
        <f t="shared" si="391"/>
        <v>0</v>
      </c>
      <c r="AO85" s="540">
        <f t="shared" si="407"/>
        <v>0</v>
      </c>
      <c r="AP85" s="538"/>
      <c r="AQ85" s="539">
        <f t="shared" si="392"/>
        <v>0</v>
      </c>
      <c r="AR85" s="540">
        <f t="shared" si="408"/>
        <v>0</v>
      </c>
      <c r="AS85" s="538"/>
      <c r="AT85" s="539">
        <f t="shared" si="393"/>
        <v>0</v>
      </c>
      <c r="AU85" s="540">
        <f t="shared" si="409"/>
        <v>0</v>
      </c>
      <c r="AV85" s="538"/>
      <c r="AW85" s="539">
        <f t="shared" si="394"/>
        <v>0</v>
      </c>
      <c r="AX85" s="540">
        <f t="shared" si="410"/>
        <v>0</v>
      </c>
      <c r="AY85" s="538"/>
      <c r="AZ85" s="539">
        <f t="shared" si="395"/>
        <v>0</v>
      </c>
      <c r="BA85" s="540">
        <f t="shared" si="411"/>
        <v>0</v>
      </c>
      <c r="BJ85" s="529">
        <f t="shared" si="271"/>
        <v>0</v>
      </c>
      <c r="BK85" s="529">
        <f t="shared" si="272"/>
        <v>0</v>
      </c>
      <c r="BL85" s="529">
        <f t="shared" si="273"/>
        <v>0</v>
      </c>
      <c r="BM85" s="529">
        <f t="shared" si="274"/>
        <v>0</v>
      </c>
      <c r="BN85" s="529">
        <f t="shared" si="275"/>
        <v>0</v>
      </c>
      <c r="BO85" s="529">
        <f t="shared" si="276"/>
        <v>0</v>
      </c>
      <c r="BP85" s="529">
        <f t="shared" si="277"/>
        <v>0</v>
      </c>
      <c r="BQ85" s="529">
        <f t="shared" si="278"/>
        <v>0</v>
      </c>
      <c r="BR85" s="529">
        <f t="shared" si="279"/>
        <v>0</v>
      </c>
      <c r="BS85" s="529">
        <f t="shared" si="280"/>
        <v>0</v>
      </c>
      <c r="BT85" s="529">
        <f t="shared" si="281"/>
        <v>0</v>
      </c>
      <c r="BU85" s="529">
        <f t="shared" si="282"/>
        <v>0</v>
      </c>
      <c r="BV85" s="529">
        <f t="shared" si="283"/>
        <v>0</v>
      </c>
      <c r="BW85" s="529">
        <f t="shared" si="284"/>
        <v>0</v>
      </c>
      <c r="BX85" s="529">
        <f t="shared" si="309"/>
        <v>0</v>
      </c>
      <c r="BY85" s="529">
        <f t="shared" si="310"/>
        <v>0</v>
      </c>
      <c r="BZ85" s="529">
        <f t="shared" si="311"/>
        <v>0</v>
      </c>
      <c r="CB85" s="529">
        <f t="shared" si="285"/>
        <v>0</v>
      </c>
      <c r="CC85" s="529">
        <f t="shared" si="286"/>
        <v>0</v>
      </c>
      <c r="CD85" s="529">
        <f t="shared" si="287"/>
        <v>0</v>
      </c>
      <c r="CE85" s="529">
        <f t="shared" si="288"/>
        <v>0</v>
      </c>
      <c r="CF85" s="529">
        <f t="shared" si="289"/>
        <v>0</v>
      </c>
      <c r="CG85" s="529">
        <f t="shared" si="290"/>
        <v>0</v>
      </c>
      <c r="CH85" s="529">
        <f t="shared" si="291"/>
        <v>0</v>
      </c>
      <c r="CI85" s="529">
        <f t="shared" si="292"/>
        <v>0</v>
      </c>
      <c r="CJ85" s="529">
        <f t="shared" si="293"/>
        <v>0</v>
      </c>
      <c r="CK85" s="529">
        <f t="shared" si="294"/>
        <v>0</v>
      </c>
      <c r="CL85" s="529">
        <f t="shared" si="295"/>
        <v>0</v>
      </c>
      <c r="CM85" s="529">
        <f t="shared" si="296"/>
        <v>0</v>
      </c>
      <c r="CN85" s="529">
        <f t="shared" si="297"/>
        <v>0</v>
      </c>
      <c r="CO85" s="529">
        <f t="shared" si="298"/>
        <v>0</v>
      </c>
      <c r="CP85" s="529">
        <f t="shared" si="312"/>
        <v>0</v>
      </c>
      <c r="CQ85" s="529">
        <f t="shared" si="313"/>
        <v>0</v>
      </c>
      <c r="CR85" s="529">
        <f t="shared" si="314"/>
        <v>0</v>
      </c>
    </row>
    <row r="86" spans="1:96" ht="14.25" thickBot="1" x14ac:dyDescent="0.3">
      <c r="A86" s="761"/>
      <c r="B86" s="537" t="s">
        <v>619</v>
      </c>
      <c r="C86" s="538">
        <f>C82*0.46+C83*0.46+C84*0.24+C85*0.24</f>
        <v>0</v>
      </c>
      <c r="D86" s="549"/>
      <c r="E86" s="545">
        <f>SUM(E82:E85)</f>
        <v>0</v>
      </c>
      <c r="F86" s="538">
        <f>F82*0.46+F83*0.46+F84*0.24+F85*0.24</f>
        <v>0</v>
      </c>
      <c r="G86" s="539"/>
      <c r="H86" s="545">
        <f>SUM(H82:H85)</f>
        <v>0</v>
      </c>
      <c r="I86" s="538">
        <f>I82*0.46+I83*0.46+I84*0.24+I85*0.24</f>
        <v>0</v>
      </c>
      <c r="J86" s="539"/>
      <c r="K86" s="545">
        <f>SUM(K82:K85)</f>
        <v>0</v>
      </c>
      <c r="L86" s="538">
        <f>L82*0.46+L83*0.46+L84*0.24+L85*0.24</f>
        <v>0</v>
      </c>
      <c r="M86" s="539"/>
      <c r="N86" s="545">
        <f>SUM(N82:N85)</f>
        <v>0</v>
      </c>
      <c r="O86" s="538">
        <f>O82*0.46+O83*0.46+O84*0.24+O85*0.24</f>
        <v>234.73800000000003</v>
      </c>
      <c r="P86" s="539"/>
      <c r="Q86" s="545">
        <f>SUM(Q82:Q85)</f>
        <v>0.15564149999999999</v>
      </c>
      <c r="R86" s="538">
        <f>R82*0.46+R83*0.46+R84*0.24+R85*0.24</f>
        <v>2280.4660000000003</v>
      </c>
      <c r="S86" s="539"/>
      <c r="T86" s="545">
        <f>SUM(T82:T85)</f>
        <v>2.0554357999999997</v>
      </c>
      <c r="U86" s="538">
        <f>U82*0.46+U83*0.46+U84*0.24+U85*0.24</f>
        <v>2729.2</v>
      </c>
      <c r="V86" s="629"/>
      <c r="W86" s="545">
        <f>SUM(W82:W85)</f>
        <v>2.570675</v>
      </c>
      <c r="X86" s="538">
        <f>X82*0.46+X83*0.46+X84*0.24+X85*0.24</f>
        <v>3018.32</v>
      </c>
      <c r="Y86" s="549"/>
      <c r="Z86" s="545">
        <f>SUM(Z82:Z85)</f>
        <v>2.9291860000000001</v>
      </c>
      <c r="AA86" s="538">
        <f>AA82*0.46+AA83*0.46+AA84*0.24+AA85*0.24</f>
        <v>2558.52</v>
      </c>
      <c r="AB86" s="549"/>
      <c r="AC86" s="545">
        <f>SUM(AC82:AC85)</f>
        <v>2.5560269999999998</v>
      </c>
      <c r="AD86" s="538">
        <f>AD82*0.46+AD83*0.46+AD84*0.24+AD85*0.24</f>
        <v>2055.58</v>
      </c>
      <c r="AE86" s="549"/>
      <c r="AF86" s="545">
        <f>SUM(AF82:AF85)</f>
        <v>2.1152850000000001</v>
      </c>
      <c r="AG86" s="538">
        <f>AG82*0.46+AG83*0.46+AG84*0.24+AG85*0.24</f>
        <v>2055.58</v>
      </c>
      <c r="AH86" s="549"/>
      <c r="AI86" s="545">
        <f>SUM(AI82:AI85)</f>
        <v>2.1797870000000001</v>
      </c>
      <c r="AJ86" s="538">
        <f>AJ82*0.46+AJ83*0.46+AJ84*0.24+AJ85*0.24</f>
        <v>2055.58</v>
      </c>
      <c r="AK86" s="549"/>
      <c r="AL86" s="545">
        <f>SUM(AL82:AL85)</f>
        <v>2.2442890000000002</v>
      </c>
      <c r="AM86" s="538">
        <f>AM82*0.46+AM83*0.46+AM84*0.24+AM85*0.24</f>
        <v>2055.58</v>
      </c>
      <c r="AN86" s="549"/>
      <c r="AO86" s="545">
        <f>SUM(AO82:AO85)</f>
        <v>2.311804</v>
      </c>
      <c r="AP86" s="538">
        <f>AP82*0.46+AP83*0.46+AP84*0.24+AP85*0.24</f>
        <v>2055.58</v>
      </c>
      <c r="AQ86" s="549"/>
      <c r="AR86" s="545">
        <f>SUM(AR82:AR85)</f>
        <v>2.3793189999999997</v>
      </c>
      <c r="AS86" s="538">
        <f>AS82*0.46+AS83*0.46+AS84*0.24+AS85*0.24</f>
        <v>2055.58</v>
      </c>
      <c r="AT86" s="549"/>
      <c r="AU86" s="545">
        <f>SUM(AU82:AU85)</f>
        <v>2.4526370000000002</v>
      </c>
      <c r="AV86" s="538">
        <f>AV82*0.46+AV83*0.46+AV84*0.24+AV85*0.24</f>
        <v>2055.58</v>
      </c>
      <c r="AW86" s="549"/>
      <c r="AX86" s="545">
        <f>SUM(AX82:AX85)</f>
        <v>2.5259550000000002</v>
      </c>
      <c r="AY86" s="538">
        <f>AY82*0.46+AY83*0.46+AY84*0.24+AY85*0.24</f>
        <v>2055.58</v>
      </c>
      <c r="AZ86" s="549"/>
      <c r="BA86" s="545">
        <f>SUM(BA82:BA85)</f>
        <v>2.6022859999999999</v>
      </c>
      <c r="BJ86" s="529">
        <f t="shared" si="271"/>
        <v>0</v>
      </c>
      <c r="BK86" s="529">
        <f t="shared" si="272"/>
        <v>0</v>
      </c>
      <c r="BL86" s="529">
        <f t="shared" si="273"/>
        <v>0</v>
      </c>
      <c r="BM86" s="529">
        <f t="shared" si="274"/>
        <v>0</v>
      </c>
      <c r="BN86" s="529">
        <f t="shared" si="275"/>
        <v>0.15564149999999999</v>
      </c>
      <c r="BO86" s="529">
        <f t="shared" si="276"/>
        <v>2.0554357999999997</v>
      </c>
      <c r="BP86" s="529">
        <f t="shared" si="277"/>
        <v>2.570675</v>
      </c>
      <c r="BQ86" s="529">
        <f t="shared" si="278"/>
        <v>2.9291860000000001</v>
      </c>
      <c r="BR86" s="529">
        <f t="shared" si="279"/>
        <v>2.5560269999999998</v>
      </c>
      <c r="BS86" s="529">
        <f t="shared" si="280"/>
        <v>2.1152850000000001</v>
      </c>
      <c r="BT86" s="529">
        <f t="shared" si="281"/>
        <v>2.1797870000000001</v>
      </c>
      <c r="BU86" s="529">
        <f t="shared" si="282"/>
        <v>2.2442890000000002</v>
      </c>
      <c r="BV86" s="529">
        <f t="shared" si="283"/>
        <v>2.311804</v>
      </c>
      <c r="BW86" s="529">
        <f t="shared" si="284"/>
        <v>2.3793189999999997</v>
      </c>
      <c r="BX86" s="529">
        <f t="shared" si="309"/>
        <v>2.4526370000000002</v>
      </c>
      <c r="BY86" s="529">
        <f t="shared" si="310"/>
        <v>2.5259550000000002</v>
      </c>
      <c r="BZ86" s="529">
        <f t="shared" si="311"/>
        <v>2.6022859999999999</v>
      </c>
      <c r="CB86" s="529">
        <f t="shared" si="285"/>
        <v>0</v>
      </c>
      <c r="CC86" s="529">
        <f t="shared" si="286"/>
        <v>0</v>
      </c>
      <c r="CD86" s="529">
        <f t="shared" si="287"/>
        <v>0</v>
      </c>
      <c r="CE86" s="529">
        <f t="shared" si="288"/>
        <v>0</v>
      </c>
      <c r="CF86" s="529">
        <f t="shared" si="289"/>
        <v>234.73800000000003</v>
      </c>
      <c r="CG86" s="529">
        <f t="shared" si="290"/>
        <v>2280.4660000000003</v>
      </c>
      <c r="CH86" s="529">
        <f t="shared" si="291"/>
        <v>2729.2</v>
      </c>
      <c r="CI86" s="529">
        <f t="shared" si="292"/>
        <v>3018.32</v>
      </c>
      <c r="CJ86" s="529">
        <f t="shared" si="293"/>
        <v>2558.52</v>
      </c>
      <c r="CK86" s="529">
        <f t="shared" si="294"/>
        <v>2055.58</v>
      </c>
      <c r="CL86" s="529">
        <f t="shared" si="295"/>
        <v>2055.58</v>
      </c>
      <c r="CM86" s="529">
        <f t="shared" si="296"/>
        <v>2055.58</v>
      </c>
      <c r="CN86" s="529">
        <f t="shared" si="297"/>
        <v>2055.58</v>
      </c>
      <c r="CO86" s="529">
        <f t="shared" si="298"/>
        <v>2055.58</v>
      </c>
      <c r="CP86" s="529">
        <f t="shared" si="312"/>
        <v>2055.58</v>
      </c>
      <c r="CQ86" s="529">
        <f t="shared" si="313"/>
        <v>2055.58</v>
      </c>
      <c r="CR86" s="529">
        <f t="shared" si="314"/>
        <v>2055.58</v>
      </c>
    </row>
    <row r="87" spans="1:96" x14ac:dyDescent="0.2">
      <c r="A87" s="754" t="s">
        <v>500</v>
      </c>
      <c r="B87" s="550" t="s">
        <v>494</v>
      </c>
      <c r="C87" s="551">
        <f>SUMIF($B$37:$B$86,$B87,C$37:C$86)</f>
        <v>0</v>
      </c>
      <c r="D87" s="552"/>
      <c r="E87" s="553">
        <f>SUMIF($B$37:$B$86,$B87,E$37:E$86)</f>
        <v>0</v>
      </c>
      <c r="F87" s="551">
        <f t="shared" ref="F87:R91" si="413">SUMIF($B$37:$B$86,$B87,F$37:F$86)</f>
        <v>34719.949999999997</v>
      </c>
      <c r="G87" s="552"/>
      <c r="H87" s="553">
        <f>SUMIF($B$37:$B$86,$B87,H$37:H$86)</f>
        <v>8.1214446000000002</v>
      </c>
      <c r="I87" s="551">
        <f t="shared" ref="I87" si="414">SUMIF($B$37:$B$86,$B87,I$37:I$86)</f>
        <v>30837.9</v>
      </c>
      <c r="J87" s="552"/>
      <c r="K87" s="553">
        <f>SUMIF($B$37:$B$86,$B87,K$37:K$86)</f>
        <v>19.455516699999997</v>
      </c>
      <c r="L87" s="551">
        <f t="shared" ref="L87" si="415">SUMIF($B$37:$B$86,$B87,L$37:L$86)</f>
        <v>5222.5999999999995</v>
      </c>
      <c r="M87" s="552"/>
      <c r="N87" s="553">
        <f>SUMIF($B$37:$B$86,$B87,N$37:N$86)</f>
        <v>1.2335469999999999</v>
      </c>
      <c r="O87" s="551">
        <f t="shared" ref="O87" si="416">SUMIF($B$37:$B$86,$B87,O$37:O$86)</f>
        <v>70571.600000000006</v>
      </c>
      <c r="P87" s="552"/>
      <c r="Q87" s="553">
        <f>SUMIF($B$37:$B$86,$B87,Q$37:Q$86)</f>
        <v>20.419431300000003</v>
      </c>
      <c r="R87" s="551">
        <f t="shared" ref="R87" si="417">SUMIF($B$37:$B$86,$B87,R$37:R$86)</f>
        <v>48552.049999999996</v>
      </c>
      <c r="S87" s="552"/>
      <c r="T87" s="553">
        <f t="shared" ref="T87:U91" si="418">SUMIF($B$37:$B$86,$B87,T$37:T$86)</f>
        <v>18.339711149999999</v>
      </c>
      <c r="U87" s="551">
        <f t="shared" si="418"/>
        <v>46000</v>
      </c>
      <c r="V87" s="631">
        <f>IFERROR(W87*1000000/U87,0)</f>
        <v>420.97826086956519</v>
      </c>
      <c r="W87" s="553">
        <f t="shared" ref="W87:AA91" si="419">SUMIF($B$37:$B$86,$B87,W$37:W$86)</f>
        <v>19.364999999999998</v>
      </c>
      <c r="X87" s="551">
        <f t="shared" si="419"/>
        <v>50872</v>
      </c>
      <c r="Y87" s="631">
        <f>IFERROR(Z87*1000000/X87,0)</f>
        <v>433.69566755779209</v>
      </c>
      <c r="Z87" s="553">
        <f t="shared" si="419"/>
        <v>22.062965999999999</v>
      </c>
      <c r="AA87" s="551">
        <f t="shared" si="419"/>
        <v>43122</v>
      </c>
      <c r="AB87" s="631">
        <f>IFERROR(AC87*1000000/AA87,0)</f>
        <v>446.69567738045544</v>
      </c>
      <c r="AC87" s="553">
        <f t="shared" ref="AC87:AD91" si="420">SUMIF($B$37:$B$86,$B87,AC$37:AC$86)</f>
        <v>19.262411</v>
      </c>
      <c r="AD87" s="551">
        <f t="shared" si="420"/>
        <v>34645</v>
      </c>
      <c r="AE87" s="631">
        <f>IFERROR(AF87*1000000/AD87,0)</f>
        <v>460.0218790590273</v>
      </c>
      <c r="AF87" s="553">
        <f t="shared" ref="AF87:AG91" si="421">SUMIF($B$37:$B$86,$B87,AF$37:AF$86)</f>
        <v>15.937457999999999</v>
      </c>
      <c r="AG87" s="551">
        <f t="shared" si="421"/>
        <v>34645</v>
      </c>
      <c r="AH87" s="631">
        <f>IFERROR(AI87*1000000/AG87,0)</f>
        <v>474.02187905902724</v>
      </c>
      <c r="AI87" s="553">
        <f t="shared" ref="AI87:AJ91" si="422">SUMIF($B$37:$B$86,$B87,AI$37:AI$86)</f>
        <v>16.422487999999998</v>
      </c>
      <c r="AJ87" s="551">
        <f t="shared" si="422"/>
        <v>34645</v>
      </c>
      <c r="AK87" s="631">
        <f>IFERROR(AL87*1000000/AJ87,0)</f>
        <v>488.0218790590273</v>
      </c>
      <c r="AL87" s="553">
        <f t="shared" ref="AL87:AM91" si="423">SUMIF($B$37:$B$86,$B87,AL$37:AL$86)</f>
        <v>16.907518</v>
      </c>
      <c r="AM87" s="551">
        <f t="shared" si="423"/>
        <v>34645</v>
      </c>
      <c r="AN87" s="631">
        <f>IFERROR(AO87*1000000/AM87,0)</f>
        <v>502.73926973589261</v>
      </c>
      <c r="AO87" s="553">
        <f t="shared" ref="AO87:AP91" si="424">SUMIF($B$37:$B$86,$B87,AO$37:AO$86)</f>
        <v>17.417401999999999</v>
      </c>
      <c r="AP87" s="551">
        <f t="shared" si="424"/>
        <v>34645</v>
      </c>
      <c r="AQ87" s="631">
        <f>IFERROR(AR87*1000000/AP87,0)</f>
        <v>517.73926973589266</v>
      </c>
      <c r="AR87" s="553">
        <f t="shared" ref="AR87:BA91" si="425">SUMIF($B$37:$B$86,$B87,AR$37:AR$86)</f>
        <v>17.937076999999999</v>
      </c>
      <c r="AS87" s="551">
        <f t="shared" si="425"/>
        <v>34645</v>
      </c>
      <c r="AT87" s="631">
        <f>IFERROR(AU87*1000000/AS87,0)</f>
        <v>533.45666041275797</v>
      </c>
      <c r="AU87" s="553">
        <f t="shared" si="425"/>
        <v>18.481605999999999</v>
      </c>
      <c r="AV87" s="551">
        <f t="shared" si="425"/>
        <v>34645</v>
      </c>
      <c r="AW87" s="631">
        <f>IFERROR(AX87*1000000/AV87,0)</f>
        <v>549.45666041275797</v>
      </c>
      <c r="AX87" s="553">
        <f t="shared" si="425"/>
        <v>19.035926</v>
      </c>
      <c r="AY87" s="551">
        <f t="shared" si="425"/>
        <v>34645</v>
      </c>
      <c r="AZ87" s="631">
        <f>IFERROR(BA87*1000000/AY87,0)</f>
        <v>566.00014432096987</v>
      </c>
      <c r="BA87" s="553">
        <f t="shared" si="425"/>
        <v>19.609075000000001</v>
      </c>
      <c r="BJ87" s="529">
        <f t="shared" si="271"/>
        <v>0</v>
      </c>
      <c r="BK87" s="529">
        <f t="shared" si="272"/>
        <v>8.1214446000000002</v>
      </c>
      <c r="BL87" s="529">
        <f t="shared" si="273"/>
        <v>19.455516699999997</v>
      </c>
      <c r="BM87" s="529">
        <f t="shared" si="274"/>
        <v>1.2335469999999999</v>
      </c>
      <c r="BN87" s="529">
        <f t="shared" si="275"/>
        <v>20.419431300000003</v>
      </c>
      <c r="BO87" s="529">
        <f t="shared" si="276"/>
        <v>18.339711149999999</v>
      </c>
      <c r="BP87" s="529">
        <f t="shared" si="277"/>
        <v>19.364999999999998</v>
      </c>
      <c r="BQ87" s="529">
        <f t="shared" si="278"/>
        <v>22.062965999999999</v>
      </c>
      <c r="BR87" s="529">
        <f t="shared" si="279"/>
        <v>19.262411</v>
      </c>
      <c r="BS87" s="529">
        <f t="shared" si="280"/>
        <v>15.937457999999999</v>
      </c>
      <c r="BT87" s="529">
        <f t="shared" si="281"/>
        <v>16.422487999999998</v>
      </c>
      <c r="BU87" s="529">
        <f t="shared" si="282"/>
        <v>16.907518</v>
      </c>
      <c r="BV87" s="529">
        <f t="shared" si="283"/>
        <v>17.417401999999999</v>
      </c>
      <c r="BW87" s="529">
        <f t="shared" si="284"/>
        <v>17.937076999999999</v>
      </c>
      <c r="BX87" s="529">
        <f t="shared" si="309"/>
        <v>18.481605999999999</v>
      </c>
      <c r="BY87" s="529">
        <f t="shared" si="310"/>
        <v>19.035926</v>
      </c>
      <c r="BZ87" s="529">
        <f t="shared" si="311"/>
        <v>19.609075000000001</v>
      </c>
      <c r="CB87" s="529">
        <f t="shared" si="285"/>
        <v>0</v>
      </c>
      <c r="CC87" s="529">
        <f t="shared" si="286"/>
        <v>34719.949999999997</v>
      </c>
      <c r="CD87" s="529">
        <f t="shared" si="287"/>
        <v>30837.9</v>
      </c>
      <c r="CE87" s="529">
        <f t="shared" si="288"/>
        <v>5222.5999999999995</v>
      </c>
      <c r="CF87" s="529">
        <f t="shared" si="289"/>
        <v>70571.600000000006</v>
      </c>
      <c r="CG87" s="529">
        <f t="shared" si="290"/>
        <v>48552.049999999996</v>
      </c>
      <c r="CH87" s="529">
        <f t="shared" si="291"/>
        <v>46000</v>
      </c>
      <c r="CI87" s="529">
        <f t="shared" si="292"/>
        <v>50872</v>
      </c>
      <c r="CJ87" s="529">
        <f t="shared" si="293"/>
        <v>43122</v>
      </c>
      <c r="CK87" s="529">
        <f t="shared" si="294"/>
        <v>34645</v>
      </c>
      <c r="CL87" s="529">
        <f t="shared" si="295"/>
        <v>34645</v>
      </c>
      <c r="CM87" s="529">
        <f t="shared" si="296"/>
        <v>34645</v>
      </c>
      <c r="CN87" s="529">
        <f t="shared" si="297"/>
        <v>34645</v>
      </c>
      <c r="CO87" s="529">
        <f t="shared" si="298"/>
        <v>34645</v>
      </c>
      <c r="CP87" s="529">
        <f t="shared" si="312"/>
        <v>34645</v>
      </c>
      <c r="CQ87" s="529">
        <f t="shared" si="313"/>
        <v>34645</v>
      </c>
      <c r="CR87" s="529">
        <f t="shared" si="314"/>
        <v>34645</v>
      </c>
    </row>
    <row r="88" spans="1:96" x14ac:dyDescent="0.2">
      <c r="A88" s="755"/>
      <c r="B88" s="555" t="s">
        <v>618</v>
      </c>
      <c r="C88" s="559">
        <f t="shared" ref="C88:C91" si="426">SUMIF($B$37:$B$86,$B88,C$37:C$86)</f>
        <v>0</v>
      </c>
      <c r="D88" s="557"/>
      <c r="E88" s="558">
        <f>SUMIF($B$37:$B$86,$B88,E$37:E$86)</f>
        <v>0</v>
      </c>
      <c r="F88" s="559">
        <f t="shared" si="413"/>
        <v>0</v>
      </c>
      <c r="G88" s="557"/>
      <c r="H88" s="558">
        <f>SUMIF($B$37:$B$86,$B88,H$37:H$86)</f>
        <v>0</v>
      </c>
      <c r="I88" s="559">
        <f t="shared" si="413"/>
        <v>11150.26</v>
      </c>
      <c r="J88" s="557"/>
      <c r="K88" s="558">
        <f>SUMIF($B$37:$B$86,$B88,K$37:K$86)</f>
        <v>2.2664032800000005</v>
      </c>
      <c r="L88" s="559">
        <f t="shared" si="413"/>
        <v>2117.91</v>
      </c>
      <c r="M88" s="557"/>
      <c r="N88" s="558">
        <f>SUMIF($B$37:$B$86,$B88,N$37:N$86)</f>
        <v>1.4084101499999999</v>
      </c>
      <c r="O88" s="559">
        <f t="shared" si="413"/>
        <v>726.2</v>
      </c>
      <c r="P88" s="557"/>
      <c r="Q88" s="558">
        <f>SUMIF($B$37:$B$86,$B88,Q$37:Q$86)</f>
        <v>0.14160900000000001</v>
      </c>
      <c r="R88" s="559">
        <f t="shared" si="413"/>
        <v>5977.8</v>
      </c>
      <c r="S88" s="557"/>
      <c r="T88" s="558">
        <f t="shared" si="418"/>
        <v>1.1656709999999999</v>
      </c>
      <c r="U88" s="556">
        <f t="shared" si="418"/>
        <v>21740</v>
      </c>
      <c r="V88" s="632">
        <f t="shared" ref="V88:V90" si="427">IFERROR(W88*1000000/U88,0)</f>
        <v>0</v>
      </c>
      <c r="W88" s="558">
        <f t="shared" si="419"/>
        <v>0</v>
      </c>
      <c r="X88" s="559">
        <f t="shared" si="419"/>
        <v>0</v>
      </c>
      <c r="Y88" s="632">
        <f t="shared" ref="Y88:Y90" si="428">IFERROR(Z88*1000000/X88,0)</f>
        <v>0</v>
      </c>
      <c r="Z88" s="558">
        <f t="shared" si="419"/>
        <v>0</v>
      </c>
      <c r="AA88" s="559">
        <f t="shared" si="419"/>
        <v>0</v>
      </c>
      <c r="AB88" s="632">
        <f t="shared" ref="AB88:AB90" si="429">IFERROR(AC88*1000000/AA88,0)</f>
        <v>0</v>
      </c>
      <c r="AC88" s="558">
        <f t="shared" si="420"/>
        <v>0</v>
      </c>
      <c r="AD88" s="559">
        <f t="shared" si="420"/>
        <v>0</v>
      </c>
      <c r="AE88" s="632">
        <f t="shared" ref="AE88:AE90" si="430">IFERROR(AF88*1000000/AD88,0)</f>
        <v>0</v>
      </c>
      <c r="AF88" s="558">
        <f t="shared" si="421"/>
        <v>0</v>
      </c>
      <c r="AG88" s="559">
        <f t="shared" si="421"/>
        <v>0</v>
      </c>
      <c r="AH88" s="632">
        <f t="shared" ref="AH88:AH90" si="431">IFERROR(AI88*1000000/AG88,0)</f>
        <v>0</v>
      </c>
      <c r="AI88" s="558">
        <f t="shared" si="422"/>
        <v>0</v>
      </c>
      <c r="AJ88" s="559">
        <f t="shared" si="422"/>
        <v>0</v>
      </c>
      <c r="AK88" s="632">
        <f t="shared" ref="AK88:AK90" si="432">IFERROR(AL88*1000000/AJ88,0)</f>
        <v>0</v>
      </c>
      <c r="AL88" s="558">
        <f t="shared" si="423"/>
        <v>0</v>
      </c>
      <c r="AM88" s="559">
        <f t="shared" si="423"/>
        <v>0</v>
      </c>
      <c r="AN88" s="632">
        <f t="shared" ref="AN88:AN90" si="433">IFERROR(AO88*1000000/AM88,0)</f>
        <v>0</v>
      </c>
      <c r="AO88" s="558">
        <f t="shared" si="424"/>
        <v>0</v>
      </c>
      <c r="AP88" s="559">
        <f t="shared" si="424"/>
        <v>0</v>
      </c>
      <c r="AQ88" s="632">
        <f t="shared" ref="AQ88:AQ90" si="434">IFERROR(AR88*1000000/AP88,0)</f>
        <v>0</v>
      </c>
      <c r="AR88" s="558">
        <f t="shared" si="425"/>
        <v>0</v>
      </c>
      <c r="AS88" s="559">
        <f t="shared" si="425"/>
        <v>0</v>
      </c>
      <c r="AT88" s="632">
        <f t="shared" ref="AT88:AT90" si="435">IFERROR(AU88*1000000/AS88,0)</f>
        <v>0</v>
      </c>
      <c r="AU88" s="558">
        <f t="shared" si="425"/>
        <v>0</v>
      </c>
      <c r="AV88" s="559">
        <f t="shared" si="425"/>
        <v>0</v>
      </c>
      <c r="AW88" s="632">
        <f t="shared" ref="AW88:AW90" si="436">IFERROR(AX88*1000000/AV88,0)</f>
        <v>0</v>
      </c>
      <c r="AX88" s="558">
        <f t="shared" si="425"/>
        <v>0</v>
      </c>
      <c r="AY88" s="559">
        <f t="shared" si="425"/>
        <v>0</v>
      </c>
      <c r="AZ88" s="632">
        <f t="shared" ref="AZ88:AZ90" si="437">IFERROR(BA88*1000000/AY88,0)</f>
        <v>0</v>
      </c>
      <c r="BA88" s="558">
        <f t="shared" si="425"/>
        <v>0</v>
      </c>
      <c r="BJ88" s="529">
        <f t="shared" si="271"/>
        <v>0</v>
      </c>
      <c r="BK88" s="529">
        <f t="shared" si="272"/>
        <v>0</v>
      </c>
      <c r="BL88" s="529">
        <f t="shared" si="273"/>
        <v>2.2664032800000005</v>
      </c>
      <c r="BM88" s="529">
        <f t="shared" si="274"/>
        <v>1.4084101499999999</v>
      </c>
      <c r="BN88" s="529">
        <f t="shared" si="275"/>
        <v>0.14160900000000001</v>
      </c>
      <c r="BO88" s="529">
        <f t="shared" si="276"/>
        <v>1.1656709999999999</v>
      </c>
      <c r="BP88" s="529">
        <f t="shared" si="277"/>
        <v>0</v>
      </c>
      <c r="BQ88" s="529">
        <f t="shared" si="278"/>
        <v>0</v>
      </c>
      <c r="BR88" s="529">
        <f t="shared" si="279"/>
        <v>0</v>
      </c>
      <c r="BS88" s="529">
        <f t="shared" si="280"/>
        <v>0</v>
      </c>
      <c r="BT88" s="529">
        <f t="shared" si="281"/>
        <v>0</v>
      </c>
      <c r="BU88" s="529">
        <f t="shared" si="282"/>
        <v>0</v>
      </c>
      <c r="BV88" s="529">
        <f t="shared" si="283"/>
        <v>0</v>
      </c>
      <c r="BW88" s="529">
        <f t="shared" si="284"/>
        <v>0</v>
      </c>
      <c r="BX88" s="529">
        <f t="shared" si="309"/>
        <v>0</v>
      </c>
      <c r="BY88" s="529">
        <f t="shared" si="310"/>
        <v>0</v>
      </c>
      <c r="BZ88" s="529">
        <f t="shared" si="311"/>
        <v>0</v>
      </c>
      <c r="CB88" s="529">
        <f t="shared" si="285"/>
        <v>0</v>
      </c>
      <c r="CC88" s="529">
        <f t="shared" si="286"/>
        <v>0</v>
      </c>
      <c r="CD88" s="529">
        <f t="shared" si="287"/>
        <v>11150.26</v>
      </c>
      <c r="CE88" s="529">
        <f t="shared" si="288"/>
        <v>2117.91</v>
      </c>
      <c r="CF88" s="529">
        <f t="shared" si="289"/>
        <v>726.2</v>
      </c>
      <c r="CG88" s="529">
        <f t="shared" si="290"/>
        <v>5977.8</v>
      </c>
      <c r="CH88" s="529">
        <f t="shared" si="291"/>
        <v>21740</v>
      </c>
      <c r="CI88" s="529">
        <f t="shared" si="292"/>
        <v>0</v>
      </c>
      <c r="CJ88" s="529">
        <f t="shared" si="293"/>
        <v>0</v>
      </c>
      <c r="CK88" s="529">
        <f t="shared" si="294"/>
        <v>0</v>
      </c>
      <c r="CL88" s="529">
        <f t="shared" si="295"/>
        <v>0</v>
      </c>
      <c r="CM88" s="529">
        <f t="shared" si="296"/>
        <v>0</v>
      </c>
      <c r="CN88" s="529">
        <f t="shared" si="297"/>
        <v>0</v>
      </c>
      <c r="CO88" s="529">
        <f t="shared" si="298"/>
        <v>0</v>
      </c>
      <c r="CP88" s="529">
        <f t="shared" si="312"/>
        <v>0</v>
      </c>
      <c r="CQ88" s="529">
        <f t="shared" si="313"/>
        <v>0</v>
      </c>
      <c r="CR88" s="529">
        <f t="shared" si="314"/>
        <v>0</v>
      </c>
    </row>
    <row r="89" spans="1:96" x14ac:dyDescent="0.2">
      <c r="A89" s="755"/>
      <c r="B89" s="555" t="s">
        <v>495</v>
      </c>
      <c r="C89" s="559">
        <f t="shared" si="426"/>
        <v>0</v>
      </c>
      <c r="D89" s="557"/>
      <c r="E89" s="558">
        <f>SUMIF($B$37:$B$86,$B89,E$37:E$86)</f>
        <v>0</v>
      </c>
      <c r="F89" s="559">
        <f t="shared" si="413"/>
        <v>11006.45</v>
      </c>
      <c r="G89" s="557"/>
      <c r="H89" s="558">
        <f>SUMIF($B$37:$B$86,$B89,H$37:H$86)</f>
        <v>1.4888759999999999</v>
      </c>
      <c r="I89" s="559">
        <f t="shared" si="413"/>
        <v>22485.8</v>
      </c>
      <c r="J89" s="557"/>
      <c r="K89" s="558">
        <f>SUMIF($B$37:$B$86,$B89,K$37:K$86)</f>
        <v>6.9426296000000001</v>
      </c>
      <c r="L89" s="559">
        <f t="shared" si="413"/>
        <v>240</v>
      </c>
      <c r="M89" s="557"/>
      <c r="N89" s="558">
        <f>SUMIF($B$37:$B$86,$B89,N$37:N$86)</f>
        <v>3.7199999999999997E-2</v>
      </c>
      <c r="O89" s="559">
        <f t="shared" si="413"/>
        <v>3000</v>
      </c>
      <c r="P89" s="557"/>
      <c r="Q89" s="558">
        <f>SUMIF($B$37:$B$86,$B89,Q$37:Q$86)</f>
        <v>0.52500000000000002</v>
      </c>
      <c r="R89" s="559">
        <f t="shared" si="413"/>
        <v>10850</v>
      </c>
      <c r="S89" s="557"/>
      <c r="T89" s="558">
        <f t="shared" si="418"/>
        <v>2.3910749999999998</v>
      </c>
      <c r="U89" s="556">
        <f t="shared" si="418"/>
        <v>12705</v>
      </c>
      <c r="V89" s="632">
        <f t="shared" si="427"/>
        <v>236.57418339236517</v>
      </c>
      <c r="W89" s="558">
        <f t="shared" si="419"/>
        <v>3.0056749999999997</v>
      </c>
      <c r="X89" s="559">
        <f t="shared" si="419"/>
        <v>14051</v>
      </c>
      <c r="Y89" s="632">
        <f t="shared" si="428"/>
        <v>243.57426517685576</v>
      </c>
      <c r="Z89" s="558">
        <f t="shared" si="419"/>
        <v>3.4224620000000003</v>
      </c>
      <c r="AA89" s="559">
        <f t="shared" si="419"/>
        <v>11911</v>
      </c>
      <c r="AB89" s="632">
        <f t="shared" si="429"/>
        <v>250.73159264545379</v>
      </c>
      <c r="AC89" s="558">
        <f t="shared" si="420"/>
        <v>2.9864640000000002</v>
      </c>
      <c r="AD89" s="559">
        <f t="shared" si="420"/>
        <v>9568</v>
      </c>
      <c r="AE89" s="632">
        <f t="shared" si="430"/>
        <v>257.88879598662209</v>
      </c>
      <c r="AF89" s="558">
        <f t="shared" si="421"/>
        <v>2.4674800000000001</v>
      </c>
      <c r="AG89" s="559">
        <f t="shared" si="421"/>
        <v>9568</v>
      </c>
      <c r="AH89" s="632">
        <f t="shared" si="431"/>
        <v>265.88879598662209</v>
      </c>
      <c r="AI89" s="558">
        <f t="shared" si="422"/>
        <v>2.5440239999999998</v>
      </c>
      <c r="AJ89" s="559">
        <f t="shared" si="422"/>
        <v>9568</v>
      </c>
      <c r="AK89" s="632">
        <f t="shared" si="432"/>
        <v>273.88879598662203</v>
      </c>
      <c r="AL89" s="558">
        <f t="shared" si="423"/>
        <v>2.6205679999999996</v>
      </c>
      <c r="AM89" s="559">
        <f t="shared" si="423"/>
        <v>9568</v>
      </c>
      <c r="AN89" s="632">
        <f t="shared" si="433"/>
        <v>282.04619565217394</v>
      </c>
      <c r="AO89" s="558">
        <f t="shared" si="424"/>
        <v>2.6986180000000002</v>
      </c>
      <c r="AP89" s="559">
        <f t="shared" si="424"/>
        <v>9568</v>
      </c>
      <c r="AQ89" s="632">
        <f t="shared" si="434"/>
        <v>290.20359531772573</v>
      </c>
      <c r="AR89" s="558">
        <f t="shared" si="425"/>
        <v>2.7766679999999999</v>
      </c>
      <c r="AS89" s="559">
        <f t="shared" si="425"/>
        <v>9568</v>
      </c>
      <c r="AT89" s="632">
        <f t="shared" si="435"/>
        <v>299.20359531772579</v>
      </c>
      <c r="AU89" s="558">
        <f t="shared" si="425"/>
        <v>2.8627800000000003</v>
      </c>
      <c r="AV89" s="559">
        <f t="shared" si="425"/>
        <v>9568</v>
      </c>
      <c r="AW89" s="632">
        <f t="shared" si="436"/>
        <v>308.20359531772579</v>
      </c>
      <c r="AX89" s="558">
        <f t="shared" si="425"/>
        <v>2.9488920000000003</v>
      </c>
      <c r="AY89" s="559">
        <f t="shared" si="425"/>
        <v>9568</v>
      </c>
      <c r="AZ89" s="632">
        <f t="shared" si="437"/>
        <v>317.36099498327758</v>
      </c>
      <c r="BA89" s="558">
        <f t="shared" si="425"/>
        <v>3.0365099999999998</v>
      </c>
      <c r="BJ89" s="529">
        <f t="shared" si="271"/>
        <v>0</v>
      </c>
      <c r="BK89" s="529">
        <f t="shared" si="272"/>
        <v>1.4888759999999999</v>
      </c>
      <c r="BL89" s="529">
        <f t="shared" si="273"/>
        <v>6.9426296000000001</v>
      </c>
      <c r="BM89" s="529">
        <f t="shared" si="274"/>
        <v>3.7199999999999997E-2</v>
      </c>
      <c r="BN89" s="529">
        <f t="shared" si="275"/>
        <v>0.52500000000000002</v>
      </c>
      <c r="BO89" s="529">
        <f t="shared" si="276"/>
        <v>2.3910749999999998</v>
      </c>
      <c r="BP89" s="529">
        <f t="shared" si="277"/>
        <v>3.0056749999999997</v>
      </c>
      <c r="BQ89" s="529">
        <f t="shared" si="278"/>
        <v>3.4224620000000003</v>
      </c>
      <c r="BR89" s="529">
        <f t="shared" si="279"/>
        <v>2.9864640000000002</v>
      </c>
      <c r="BS89" s="529">
        <f t="shared" si="280"/>
        <v>2.4674800000000001</v>
      </c>
      <c r="BT89" s="529">
        <f t="shared" si="281"/>
        <v>2.5440239999999998</v>
      </c>
      <c r="BU89" s="529">
        <f t="shared" si="282"/>
        <v>2.6205679999999996</v>
      </c>
      <c r="BV89" s="529">
        <f t="shared" si="283"/>
        <v>2.6986180000000002</v>
      </c>
      <c r="BW89" s="529">
        <f t="shared" si="284"/>
        <v>2.7766679999999999</v>
      </c>
      <c r="BX89" s="529">
        <f t="shared" si="309"/>
        <v>2.8627800000000003</v>
      </c>
      <c r="BY89" s="529">
        <f t="shared" si="310"/>
        <v>2.9488920000000003</v>
      </c>
      <c r="BZ89" s="529">
        <f t="shared" si="311"/>
        <v>3.0365099999999998</v>
      </c>
      <c r="CB89" s="529">
        <f t="shared" si="285"/>
        <v>0</v>
      </c>
      <c r="CC89" s="529">
        <f t="shared" si="286"/>
        <v>11006.45</v>
      </c>
      <c r="CD89" s="529">
        <f t="shared" si="287"/>
        <v>22485.8</v>
      </c>
      <c r="CE89" s="529">
        <f t="shared" si="288"/>
        <v>240</v>
      </c>
      <c r="CF89" s="529">
        <f t="shared" si="289"/>
        <v>3000</v>
      </c>
      <c r="CG89" s="529">
        <f t="shared" si="290"/>
        <v>10850</v>
      </c>
      <c r="CH89" s="529">
        <f t="shared" si="291"/>
        <v>12705</v>
      </c>
      <c r="CI89" s="529">
        <f t="shared" si="292"/>
        <v>14051</v>
      </c>
      <c r="CJ89" s="529">
        <f t="shared" si="293"/>
        <v>11911</v>
      </c>
      <c r="CK89" s="529">
        <f t="shared" si="294"/>
        <v>9568</v>
      </c>
      <c r="CL89" s="529">
        <f t="shared" si="295"/>
        <v>9568</v>
      </c>
      <c r="CM89" s="529">
        <f t="shared" si="296"/>
        <v>9568</v>
      </c>
      <c r="CN89" s="529">
        <f t="shared" si="297"/>
        <v>9568</v>
      </c>
      <c r="CO89" s="529">
        <f t="shared" si="298"/>
        <v>9568</v>
      </c>
      <c r="CP89" s="529">
        <f t="shared" si="312"/>
        <v>9568</v>
      </c>
      <c r="CQ89" s="529">
        <f t="shared" si="313"/>
        <v>9568</v>
      </c>
      <c r="CR89" s="529">
        <f t="shared" si="314"/>
        <v>9568</v>
      </c>
    </row>
    <row r="90" spans="1:96" x14ac:dyDescent="0.2">
      <c r="A90" s="755"/>
      <c r="B90" s="555" t="s">
        <v>113</v>
      </c>
      <c r="C90" s="559">
        <f t="shared" si="426"/>
        <v>0</v>
      </c>
      <c r="D90" s="557"/>
      <c r="E90" s="558">
        <f>SUMIF($B$37:$B$86,$B90,E$37:E$86)</f>
        <v>0</v>
      </c>
      <c r="F90" s="559">
        <f t="shared" si="413"/>
        <v>0</v>
      </c>
      <c r="G90" s="557"/>
      <c r="H90" s="558">
        <f>SUMIF($B$37:$B$86,$B90,H$37:H$86)</f>
        <v>0</v>
      </c>
      <c r="I90" s="559">
        <f t="shared" si="413"/>
        <v>0</v>
      </c>
      <c r="J90" s="557"/>
      <c r="K90" s="558">
        <f>SUMIF($B$37:$B$86,$B90,K$37:K$86)</f>
        <v>0</v>
      </c>
      <c r="L90" s="559">
        <f t="shared" si="413"/>
        <v>0</v>
      </c>
      <c r="M90" s="557"/>
      <c r="N90" s="558">
        <f>SUMIF($B$37:$B$86,$B90,N$37:N$86)</f>
        <v>0</v>
      </c>
      <c r="O90" s="559">
        <f t="shared" si="413"/>
        <v>0</v>
      </c>
      <c r="P90" s="557"/>
      <c r="Q90" s="558">
        <f>SUMIF($B$37:$B$86,$B90,Q$37:Q$86)</f>
        <v>0</v>
      </c>
      <c r="R90" s="559">
        <f t="shared" si="413"/>
        <v>0</v>
      </c>
      <c r="S90" s="557"/>
      <c r="T90" s="558">
        <f>SUMIF($B$37:$B$86,$B90,T$37:T$86)</f>
        <v>0</v>
      </c>
      <c r="U90" s="559">
        <f t="shared" si="418"/>
        <v>0</v>
      </c>
      <c r="V90" s="632">
        <f t="shared" si="427"/>
        <v>0</v>
      </c>
      <c r="W90" s="558">
        <f>SUMIF($B$37:$B$86,$B90,W$37:W$86)</f>
        <v>0</v>
      </c>
      <c r="X90" s="559">
        <f t="shared" si="419"/>
        <v>0</v>
      </c>
      <c r="Y90" s="632">
        <f t="shared" si="428"/>
        <v>0</v>
      </c>
      <c r="Z90" s="558">
        <f>SUMIF($B$37:$B$86,$B90,Z$37:Z$86)</f>
        <v>0</v>
      </c>
      <c r="AA90" s="559">
        <f t="shared" si="419"/>
        <v>0</v>
      </c>
      <c r="AB90" s="632">
        <f t="shared" si="429"/>
        <v>0</v>
      </c>
      <c r="AC90" s="558">
        <f>SUMIF($B$37:$B$86,$B90,AC$37:AC$86)</f>
        <v>0</v>
      </c>
      <c r="AD90" s="559">
        <f t="shared" si="420"/>
        <v>0</v>
      </c>
      <c r="AE90" s="632">
        <f t="shared" si="430"/>
        <v>0</v>
      </c>
      <c r="AF90" s="558">
        <f>SUMIF($B$37:$B$86,$B90,AF$37:AF$86)</f>
        <v>0</v>
      </c>
      <c r="AG90" s="559">
        <f t="shared" si="421"/>
        <v>0</v>
      </c>
      <c r="AH90" s="632">
        <f t="shared" si="431"/>
        <v>0</v>
      </c>
      <c r="AI90" s="558">
        <f>SUMIF($B$37:$B$86,$B90,AI$37:AI$86)</f>
        <v>0</v>
      </c>
      <c r="AJ90" s="559">
        <f t="shared" si="422"/>
        <v>0</v>
      </c>
      <c r="AK90" s="632">
        <f t="shared" si="432"/>
        <v>0</v>
      </c>
      <c r="AL90" s="558">
        <f>SUMIF($B$37:$B$86,$B90,AL$37:AL$86)</f>
        <v>0</v>
      </c>
      <c r="AM90" s="559">
        <f t="shared" si="423"/>
        <v>0</v>
      </c>
      <c r="AN90" s="632">
        <f t="shared" si="433"/>
        <v>0</v>
      </c>
      <c r="AO90" s="558">
        <f>SUMIF($B$37:$B$86,$B90,AO$37:AO$86)</f>
        <v>0</v>
      </c>
      <c r="AP90" s="559">
        <f t="shared" si="424"/>
        <v>0</v>
      </c>
      <c r="AQ90" s="632">
        <f t="shared" si="434"/>
        <v>0</v>
      </c>
      <c r="AR90" s="558">
        <f>SUMIF($B$37:$B$86,$B90,AR$37:AR$86)</f>
        <v>0</v>
      </c>
      <c r="AS90" s="559">
        <f t="shared" si="425"/>
        <v>0</v>
      </c>
      <c r="AT90" s="632">
        <f t="shared" si="435"/>
        <v>0</v>
      </c>
      <c r="AU90" s="558">
        <f>SUMIF($B$37:$B$86,$B90,AU$37:AU$86)</f>
        <v>0</v>
      </c>
      <c r="AV90" s="559">
        <f t="shared" si="425"/>
        <v>0</v>
      </c>
      <c r="AW90" s="632">
        <f t="shared" si="436"/>
        <v>0</v>
      </c>
      <c r="AX90" s="558">
        <f>SUMIF($B$37:$B$86,$B90,AX$37:AX$86)</f>
        <v>0</v>
      </c>
      <c r="AY90" s="559">
        <f t="shared" si="425"/>
        <v>0</v>
      </c>
      <c r="AZ90" s="632">
        <f t="shared" si="437"/>
        <v>0</v>
      </c>
      <c r="BA90" s="558">
        <f>SUMIF($B$37:$B$86,$B90,BA$37:BA$86)</f>
        <v>0</v>
      </c>
      <c r="BJ90" s="529">
        <f t="shared" si="271"/>
        <v>0</v>
      </c>
      <c r="BK90" s="529">
        <f t="shared" si="272"/>
        <v>0</v>
      </c>
      <c r="BL90" s="529">
        <f t="shared" si="273"/>
        <v>0</v>
      </c>
      <c r="BM90" s="529">
        <f t="shared" si="274"/>
        <v>0</v>
      </c>
      <c r="BN90" s="529">
        <f t="shared" si="275"/>
        <v>0</v>
      </c>
      <c r="BO90" s="529">
        <f t="shared" si="276"/>
        <v>0</v>
      </c>
      <c r="BP90" s="529">
        <f t="shared" si="277"/>
        <v>0</v>
      </c>
      <c r="BQ90" s="529">
        <f t="shared" si="278"/>
        <v>0</v>
      </c>
      <c r="BR90" s="529">
        <f t="shared" si="279"/>
        <v>0</v>
      </c>
      <c r="BS90" s="529">
        <f t="shared" si="280"/>
        <v>0</v>
      </c>
      <c r="BT90" s="529">
        <f t="shared" si="281"/>
        <v>0</v>
      </c>
      <c r="BU90" s="529">
        <f t="shared" si="282"/>
        <v>0</v>
      </c>
      <c r="BV90" s="529">
        <f t="shared" si="283"/>
        <v>0</v>
      </c>
      <c r="BW90" s="529">
        <f t="shared" si="284"/>
        <v>0</v>
      </c>
      <c r="BX90" s="529">
        <f t="shared" si="309"/>
        <v>0</v>
      </c>
      <c r="BY90" s="529">
        <f t="shared" si="310"/>
        <v>0</v>
      </c>
      <c r="BZ90" s="529">
        <f t="shared" si="311"/>
        <v>0</v>
      </c>
      <c r="CB90" s="529">
        <f t="shared" si="285"/>
        <v>0</v>
      </c>
      <c r="CC90" s="529">
        <f t="shared" si="286"/>
        <v>0</v>
      </c>
      <c r="CD90" s="529">
        <f t="shared" si="287"/>
        <v>0</v>
      </c>
      <c r="CE90" s="529">
        <f t="shared" si="288"/>
        <v>0</v>
      </c>
      <c r="CF90" s="529">
        <f t="shared" si="289"/>
        <v>0</v>
      </c>
      <c r="CG90" s="529">
        <f t="shared" si="290"/>
        <v>0</v>
      </c>
      <c r="CH90" s="529">
        <f t="shared" si="291"/>
        <v>0</v>
      </c>
      <c r="CI90" s="529">
        <f t="shared" si="292"/>
        <v>0</v>
      </c>
      <c r="CJ90" s="529">
        <f t="shared" si="293"/>
        <v>0</v>
      </c>
      <c r="CK90" s="529">
        <f t="shared" si="294"/>
        <v>0</v>
      </c>
      <c r="CL90" s="529">
        <f t="shared" si="295"/>
        <v>0</v>
      </c>
      <c r="CM90" s="529">
        <f t="shared" si="296"/>
        <v>0</v>
      </c>
      <c r="CN90" s="529">
        <f t="shared" si="297"/>
        <v>0</v>
      </c>
      <c r="CO90" s="529">
        <f t="shared" si="298"/>
        <v>0</v>
      </c>
      <c r="CP90" s="529">
        <f t="shared" si="312"/>
        <v>0</v>
      </c>
      <c r="CQ90" s="529">
        <f t="shared" si="313"/>
        <v>0</v>
      </c>
      <c r="CR90" s="529">
        <f t="shared" si="314"/>
        <v>0</v>
      </c>
    </row>
    <row r="91" spans="1:96" ht="14.25" thickBot="1" x14ac:dyDescent="0.3">
      <c r="A91" s="756"/>
      <c r="B91" s="560" t="s">
        <v>622</v>
      </c>
      <c r="C91" s="561">
        <f t="shared" si="426"/>
        <v>0</v>
      </c>
      <c r="D91" s="562"/>
      <c r="E91" s="563">
        <f>SUMIF($B$37:$B$86,$B91,E$37:E$86)</f>
        <v>0</v>
      </c>
      <c r="F91" s="561">
        <f t="shared" si="413"/>
        <v>18612.724999999999</v>
      </c>
      <c r="G91" s="567"/>
      <c r="H91" s="563">
        <f>SUMIF($B$37:$B$86,$B91,H$37:H$86)</f>
        <v>9.6103205999999997</v>
      </c>
      <c r="I91" s="561">
        <f t="shared" si="413"/>
        <v>24711.145599999996</v>
      </c>
      <c r="J91" s="562"/>
      <c r="K91" s="563">
        <f>SUMIF($B$37:$B$86,$B91,K$37:K$86)</f>
        <v>28.664549580000003</v>
      </c>
      <c r="L91" s="561">
        <f t="shared" si="413"/>
        <v>3434.2346000000002</v>
      </c>
      <c r="M91" s="562"/>
      <c r="N91" s="563">
        <f>SUMIF($B$37:$B$86,$B91,N$37:N$86)</f>
        <v>2.6791571499999995</v>
      </c>
      <c r="O91" s="561">
        <f t="shared" si="413"/>
        <v>33516.98799999999</v>
      </c>
      <c r="P91" s="562"/>
      <c r="Q91" s="563">
        <f>SUMIF($B$37:$B$86,$B91,Q$37:Q$86)</f>
        <v>21.086040300000001</v>
      </c>
      <c r="R91" s="561">
        <f t="shared" si="413"/>
        <v>27687.731</v>
      </c>
      <c r="S91" s="562"/>
      <c r="T91" s="563">
        <f>SUMIF($B$37:$B$86,$B91,T$37:T$86)</f>
        <v>21.896457150000003</v>
      </c>
      <c r="U91" s="561">
        <f t="shared" si="418"/>
        <v>34209.599999999999</v>
      </c>
      <c r="V91" s="625"/>
      <c r="W91" s="563">
        <f>SUMIF($B$37:$B$86,$B91,W$37:W$86)</f>
        <v>22.370675000000002</v>
      </c>
      <c r="X91" s="561">
        <f t="shared" si="419"/>
        <v>26773.360000000001</v>
      </c>
      <c r="Y91" s="562"/>
      <c r="Z91" s="563">
        <f>SUMIF($B$37:$B$86,$B91,Z$37:Z$86)</f>
        <v>25.485427999999999</v>
      </c>
      <c r="AA91" s="561">
        <f t="shared" si="419"/>
        <v>22694.760000000002</v>
      </c>
      <c r="AB91" s="562"/>
      <c r="AC91" s="563">
        <f>SUMIF($B$37:$B$86,$B91,AC$37:AC$86)</f>
        <v>22.248875000000002</v>
      </c>
      <c r="AD91" s="561">
        <f t="shared" si="420"/>
        <v>18233.02</v>
      </c>
      <c r="AE91" s="562"/>
      <c r="AF91" s="563">
        <f>SUMIF($B$37:$B$86,$B91,AF$37:AF$86)</f>
        <v>18.404938000000001</v>
      </c>
      <c r="AG91" s="561">
        <f t="shared" si="421"/>
        <v>18233.02</v>
      </c>
      <c r="AH91" s="562"/>
      <c r="AI91" s="563">
        <f>SUMIF($B$37:$B$86,$B91,AI$37:AI$86)</f>
        <v>18.966512000000002</v>
      </c>
      <c r="AJ91" s="561">
        <f t="shared" si="422"/>
        <v>18233.02</v>
      </c>
      <c r="AK91" s="562"/>
      <c r="AL91" s="563">
        <f>SUMIF($B$37:$B$86,$B91,AL$37:AL$86)</f>
        <v>19.528086000000002</v>
      </c>
      <c r="AM91" s="561">
        <f t="shared" si="423"/>
        <v>18233.02</v>
      </c>
      <c r="AN91" s="562"/>
      <c r="AO91" s="563">
        <f>SUMIF($B$37:$B$86,$B91,AO$37:AO$86)</f>
        <v>20.116019999999999</v>
      </c>
      <c r="AP91" s="561">
        <f t="shared" si="424"/>
        <v>18233.02</v>
      </c>
      <c r="AQ91" s="562"/>
      <c r="AR91" s="563">
        <f>SUMIF($B$37:$B$86,$B91,AR$37:AR$86)</f>
        <v>20.713744999999999</v>
      </c>
      <c r="AS91" s="561">
        <f t="shared" si="425"/>
        <v>18233.02</v>
      </c>
      <c r="AT91" s="562"/>
      <c r="AU91" s="563">
        <f>SUMIF($B$37:$B$86,$B91,AU$37:AU$86)</f>
        <v>21.344386</v>
      </c>
      <c r="AV91" s="561">
        <f t="shared" si="425"/>
        <v>18233.02</v>
      </c>
      <c r="AW91" s="562"/>
      <c r="AX91" s="563">
        <f>SUMIF($B$37:$B$86,$B91,AX$37:AX$86)</f>
        <v>21.984818000000001</v>
      </c>
      <c r="AY91" s="561">
        <f t="shared" si="425"/>
        <v>18233.02</v>
      </c>
      <c r="AZ91" s="562"/>
      <c r="BA91" s="563">
        <f>SUMIF($B$37:$B$86,$B91,BA$37:BA$86)</f>
        <v>22.645585000000001</v>
      </c>
      <c r="BJ91" s="529">
        <f t="shared" si="271"/>
        <v>0</v>
      </c>
      <c r="BK91" s="529">
        <f t="shared" si="272"/>
        <v>9.6103205999999997</v>
      </c>
      <c r="BL91" s="529">
        <f t="shared" si="273"/>
        <v>28.664549580000003</v>
      </c>
      <c r="BM91" s="529">
        <f t="shared" si="274"/>
        <v>2.6791571499999995</v>
      </c>
      <c r="BN91" s="529">
        <f t="shared" si="275"/>
        <v>21.086040300000001</v>
      </c>
      <c r="BO91" s="529">
        <f t="shared" si="276"/>
        <v>21.896457150000003</v>
      </c>
      <c r="BP91" s="529">
        <f t="shared" si="277"/>
        <v>22.370675000000002</v>
      </c>
      <c r="BQ91" s="529">
        <f t="shared" si="278"/>
        <v>25.485427999999999</v>
      </c>
      <c r="BR91" s="529">
        <f t="shared" si="279"/>
        <v>22.248875000000002</v>
      </c>
      <c r="BS91" s="529">
        <f t="shared" si="280"/>
        <v>18.404938000000001</v>
      </c>
      <c r="BT91" s="529">
        <f t="shared" si="281"/>
        <v>18.966512000000002</v>
      </c>
      <c r="BU91" s="529">
        <f t="shared" si="282"/>
        <v>19.528086000000002</v>
      </c>
      <c r="BV91" s="529">
        <f t="shared" si="283"/>
        <v>20.116019999999999</v>
      </c>
      <c r="BW91" s="529">
        <f t="shared" si="284"/>
        <v>20.713744999999999</v>
      </c>
      <c r="BX91" s="529">
        <f t="shared" si="309"/>
        <v>21.344386</v>
      </c>
      <c r="BY91" s="529">
        <f t="shared" si="310"/>
        <v>21.984818000000001</v>
      </c>
      <c r="BZ91" s="529">
        <f t="shared" si="311"/>
        <v>22.645585000000001</v>
      </c>
      <c r="CB91" s="529">
        <f t="shared" si="285"/>
        <v>0</v>
      </c>
      <c r="CC91" s="529">
        <f t="shared" si="286"/>
        <v>18612.724999999999</v>
      </c>
      <c r="CD91" s="529">
        <f t="shared" si="287"/>
        <v>24711.145599999996</v>
      </c>
      <c r="CE91" s="529">
        <f t="shared" si="288"/>
        <v>3434.2346000000002</v>
      </c>
      <c r="CF91" s="529">
        <f t="shared" si="289"/>
        <v>33516.98799999999</v>
      </c>
      <c r="CG91" s="529">
        <f t="shared" si="290"/>
        <v>27687.731</v>
      </c>
      <c r="CH91" s="529">
        <f t="shared" si="291"/>
        <v>34209.599999999999</v>
      </c>
      <c r="CI91" s="529">
        <f t="shared" si="292"/>
        <v>26773.360000000001</v>
      </c>
      <c r="CJ91" s="529">
        <f t="shared" si="293"/>
        <v>22694.760000000002</v>
      </c>
      <c r="CK91" s="529">
        <f t="shared" si="294"/>
        <v>18233.02</v>
      </c>
      <c r="CL91" s="529">
        <f t="shared" si="295"/>
        <v>18233.02</v>
      </c>
      <c r="CM91" s="529">
        <f t="shared" si="296"/>
        <v>18233.02</v>
      </c>
      <c r="CN91" s="529">
        <f t="shared" si="297"/>
        <v>18233.02</v>
      </c>
      <c r="CO91" s="529">
        <f t="shared" si="298"/>
        <v>18233.02</v>
      </c>
      <c r="CP91" s="529">
        <f t="shared" si="312"/>
        <v>18233.02</v>
      </c>
      <c r="CQ91" s="529">
        <f t="shared" si="313"/>
        <v>18233.02</v>
      </c>
      <c r="CR91" s="529">
        <f t="shared" si="314"/>
        <v>18233.02</v>
      </c>
    </row>
    <row r="92" spans="1:96" x14ac:dyDescent="0.2">
      <c r="A92" s="761" t="s">
        <v>632</v>
      </c>
      <c r="B92" s="537" t="s">
        <v>494</v>
      </c>
      <c r="C92" s="538"/>
      <c r="D92" s="549"/>
      <c r="E92" s="540">
        <f>C92*D92/1000000</f>
        <v>0</v>
      </c>
      <c r="F92" s="541"/>
      <c r="G92" s="539"/>
      <c r="H92" s="540">
        <f>F92*G92/1000000</f>
        <v>0</v>
      </c>
      <c r="I92" s="538"/>
      <c r="J92" s="539"/>
      <c r="K92" s="540">
        <f>I92*J92/1000000</f>
        <v>0</v>
      </c>
      <c r="L92" s="538"/>
      <c r="M92" s="539"/>
      <c r="N92" s="540">
        <f>L92*M92/1000000</f>
        <v>0</v>
      </c>
      <c r="O92" s="538"/>
      <c r="P92" s="539"/>
      <c r="Q92" s="540">
        <f>O92*P92/1000000</f>
        <v>0</v>
      </c>
      <c r="R92" s="538"/>
      <c r="S92" s="539"/>
      <c r="T92" s="540">
        <f>R92*S92/1000000</f>
        <v>0</v>
      </c>
      <c r="U92" s="538"/>
      <c r="V92" s="629"/>
      <c r="W92" s="540">
        <f t="shared" ref="W92:W94" si="438">U92*V92/1000000</f>
        <v>0</v>
      </c>
      <c r="X92" s="538"/>
      <c r="Y92" s="539">
        <f t="shared" ref="Y92:Y94" si="439">ROUND(V92*(1+Y$1),0)</f>
        <v>0</v>
      </c>
      <c r="Z92" s="540">
        <f t="shared" ref="Z92:Z94" si="440">X92*Y92/1000000</f>
        <v>0</v>
      </c>
      <c r="AA92" s="538"/>
      <c r="AB92" s="539">
        <f t="shared" ref="AB92:AB94" si="441">ROUND(Y92*(1+AB$1),0)</f>
        <v>0</v>
      </c>
      <c r="AC92" s="540">
        <f t="shared" ref="AC92:AC94" si="442">AA92*AB92/1000000</f>
        <v>0</v>
      </c>
      <c r="AD92" s="538"/>
      <c r="AE92" s="539">
        <f t="shared" ref="AE92:AE94" si="443">ROUND(AB92*(1+AE$1),0)</f>
        <v>0</v>
      </c>
      <c r="AF92" s="540">
        <f t="shared" ref="AF92:AF94" si="444">AD92*AE92/1000000</f>
        <v>0</v>
      </c>
      <c r="AG92" s="538"/>
      <c r="AH92" s="539">
        <f t="shared" ref="AH92:AH94" si="445">ROUND(AE92*(1+AH$1),0)</f>
        <v>0</v>
      </c>
      <c r="AI92" s="540">
        <f t="shared" ref="AI92:AI94" si="446">AG92*AH92/1000000</f>
        <v>0</v>
      </c>
      <c r="AJ92" s="538"/>
      <c r="AK92" s="539">
        <f t="shared" ref="AK92:AK94" si="447">ROUND(AH92*(1+AK$1),0)</f>
        <v>0</v>
      </c>
      <c r="AL92" s="540">
        <f t="shared" ref="AL92:AL94" si="448">AJ92*AK92/1000000</f>
        <v>0</v>
      </c>
      <c r="AM92" s="538"/>
      <c r="AN92" s="539">
        <f t="shared" ref="AN92:AN94" si="449">ROUND(AK92*(1+AN$1),0)</f>
        <v>0</v>
      </c>
      <c r="AO92" s="540">
        <f t="shared" ref="AO92:AO94" si="450">AM92*AN92/1000000</f>
        <v>0</v>
      </c>
      <c r="AP92" s="538"/>
      <c r="AQ92" s="539">
        <f t="shared" ref="AQ92:AQ94" si="451">ROUND(AN92*(1+AQ$1),0)</f>
        <v>0</v>
      </c>
      <c r="AR92" s="540">
        <f t="shared" ref="AR92:AR94" si="452">AP92*AQ92/1000000</f>
        <v>0</v>
      </c>
      <c r="AS92" s="538"/>
      <c r="AT92" s="539">
        <f t="shared" ref="AT92:AT94" si="453">ROUND(AQ92*(1+AT$1),0)</f>
        <v>0</v>
      </c>
      <c r="AU92" s="540">
        <f t="shared" ref="AU92:AU94" si="454">AS92*AT92/1000000</f>
        <v>0</v>
      </c>
      <c r="AV92" s="538"/>
      <c r="AW92" s="539">
        <f t="shared" ref="AW92:AW94" si="455">ROUND(AT92*(1+AW$1),0)</f>
        <v>0</v>
      </c>
      <c r="AX92" s="540">
        <f t="shared" ref="AX92:AX94" si="456">AV92*AW92/1000000</f>
        <v>0</v>
      </c>
      <c r="AY92" s="538"/>
      <c r="AZ92" s="539">
        <f t="shared" ref="AZ92:AZ94" si="457">ROUND(AW92*(1+AZ$1),0)</f>
        <v>0</v>
      </c>
      <c r="BA92" s="540">
        <f t="shared" ref="BA92:BA94" si="458">AY92*AZ92/1000000</f>
        <v>0</v>
      </c>
      <c r="BJ92" s="529">
        <f t="shared" si="271"/>
        <v>0</v>
      </c>
      <c r="BK92" s="529">
        <f t="shared" si="272"/>
        <v>0</v>
      </c>
      <c r="BL92" s="529">
        <f t="shared" si="273"/>
        <v>0</v>
      </c>
      <c r="BM92" s="529">
        <f t="shared" si="274"/>
        <v>0</v>
      </c>
      <c r="BN92" s="529">
        <f t="shared" si="275"/>
        <v>0</v>
      </c>
      <c r="BO92" s="529">
        <f t="shared" si="276"/>
        <v>0</v>
      </c>
      <c r="BP92" s="529">
        <f t="shared" si="277"/>
        <v>0</v>
      </c>
      <c r="BQ92" s="529">
        <f t="shared" si="278"/>
        <v>0</v>
      </c>
      <c r="BR92" s="529">
        <f t="shared" si="279"/>
        <v>0</v>
      </c>
      <c r="BS92" s="529">
        <f t="shared" si="280"/>
        <v>0</v>
      </c>
      <c r="BT92" s="529">
        <f t="shared" si="281"/>
        <v>0</v>
      </c>
      <c r="BU92" s="529">
        <f t="shared" si="282"/>
        <v>0</v>
      </c>
      <c r="BV92" s="529">
        <f t="shared" si="283"/>
        <v>0</v>
      </c>
      <c r="BW92" s="529">
        <f t="shared" si="284"/>
        <v>0</v>
      </c>
      <c r="BX92" s="529">
        <f t="shared" si="309"/>
        <v>0</v>
      </c>
      <c r="BY92" s="529">
        <f t="shared" si="310"/>
        <v>0</v>
      </c>
      <c r="BZ92" s="529">
        <f t="shared" si="311"/>
        <v>0</v>
      </c>
      <c r="CB92" s="529">
        <f t="shared" si="285"/>
        <v>0</v>
      </c>
      <c r="CC92" s="529">
        <f t="shared" si="286"/>
        <v>0</v>
      </c>
      <c r="CD92" s="529">
        <f t="shared" si="287"/>
        <v>0</v>
      </c>
      <c r="CE92" s="529">
        <f t="shared" si="288"/>
        <v>0</v>
      </c>
      <c r="CF92" s="529">
        <f t="shared" si="289"/>
        <v>0</v>
      </c>
      <c r="CG92" s="529">
        <f t="shared" si="290"/>
        <v>0</v>
      </c>
      <c r="CH92" s="529">
        <f t="shared" si="291"/>
        <v>0</v>
      </c>
      <c r="CI92" s="529">
        <f t="shared" si="292"/>
        <v>0</v>
      </c>
      <c r="CJ92" s="529">
        <f t="shared" si="293"/>
        <v>0</v>
      </c>
      <c r="CK92" s="529">
        <f t="shared" si="294"/>
        <v>0</v>
      </c>
      <c r="CL92" s="529">
        <f t="shared" si="295"/>
        <v>0</v>
      </c>
      <c r="CM92" s="529">
        <f t="shared" si="296"/>
        <v>0</v>
      </c>
      <c r="CN92" s="529">
        <f t="shared" si="297"/>
        <v>0</v>
      </c>
      <c r="CO92" s="529">
        <f t="shared" si="298"/>
        <v>0</v>
      </c>
      <c r="CP92" s="529">
        <f t="shared" si="312"/>
        <v>0</v>
      </c>
      <c r="CQ92" s="529">
        <f t="shared" si="313"/>
        <v>0</v>
      </c>
      <c r="CR92" s="529">
        <f t="shared" si="314"/>
        <v>0</v>
      </c>
    </row>
    <row r="93" spans="1:96" x14ac:dyDescent="0.2">
      <c r="A93" s="761"/>
      <c r="B93" s="537" t="s">
        <v>495</v>
      </c>
      <c r="C93" s="538"/>
      <c r="D93" s="549"/>
      <c r="E93" s="540">
        <f t="shared" ref="E93:E94" si="459">C93*D93/1000000</f>
        <v>0</v>
      </c>
      <c r="F93" s="541">
        <v>457.7</v>
      </c>
      <c r="G93" s="539">
        <v>135</v>
      </c>
      <c r="H93" s="540">
        <f>F93*G93/1000000</f>
        <v>6.1789499999999997E-2</v>
      </c>
      <c r="I93" s="538">
        <v>4982.8</v>
      </c>
      <c r="J93" s="539">
        <v>228</v>
      </c>
      <c r="K93" s="540">
        <f t="shared" ref="K93:K94" si="460">I93*J93/1000000</f>
        <v>1.1360784000000002</v>
      </c>
      <c r="L93" s="538"/>
      <c r="M93" s="539"/>
      <c r="N93" s="540">
        <f t="shared" ref="N93:N94" si="461">L93*M93/1000000</f>
        <v>0</v>
      </c>
      <c r="O93" s="538"/>
      <c r="P93" s="539"/>
      <c r="Q93" s="540">
        <f t="shared" ref="Q93:Q94" si="462">O93*P93/1000000</f>
        <v>0</v>
      </c>
      <c r="R93" s="538"/>
      <c r="S93" s="539"/>
      <c r="T93" s="540">
        <f t="shared" ref="T93:T94" si="463">R93*S93/1000000</f>
        <v>0</v>
      </c>
      <c r="U93" s="538"/>
      <c r="V93" s="629"/>
      <c r="W93" s="540">
        <f t="shared" si="438"/>
        <v>0</v>
      </c>
      <c r="X93" s="538"/>
      <c r="Y93" s="539">
        <f t="shared" si="439"/>
        <v>0</v>
      </c>
      <c r="Z93" s="540">
        <f t="shared" si="440"/>
        <v>0</v>
      </c>
      <c r="AA93" s="538"/>
      <c r="AB93" s="539">
        <f t="shared" si="441"/>
        <v>0</v>
      </c>
      <c r="AC93" s="540">
        <f t="shared" si="442"/>
        <v>0</v>
      </c>
      <c r="AD93" s="538"/>
      <c r="AE93" s="539">
        <f t="shared" si="443"/>
        <v>0</v>
      </c>
      <c r="AF93" s="540">
        <f t="shared" si="444"/>
        <v>0</v>
      </c>
      <c r="AG93" s="538"/>
      <c r="AH93" s="539">
        <f t="shared" si="445"/>
        <v>0</v>
      </c>
      <c r="AI93" s="540">
        <f t="shared" si="446"/>
        <v>0</v>
      </c>
      <c r="AJ93" s="538"/>
      <c r="AK93" s="539">
        <f t="shared" si="447"/>
        <v>0</v>
      </c>
      <c r="AL93" s="540">
        <f t="shared" si="448"/>
        <v>0</v>
      </c>
      <c r="AM93" s="538"/>
      <c r="AN93" s="539">
        <f t="shared" si="449"/>
        <v>0</v>
      </c>
      <c r="AO93" s="540">
        <f t="shared" si="450"/>
        <v>0</v>
      </c>
      <c r="AP93" s="538"/>
      <c r="AQ93" s="539">
        <f t="shared" si="451"/>
        <v>0</v>
      </c>
      <c r="AR93" s="540">
        <f t="shared" si="452"/>
        <v>0</v>
      </c>
      <c r="AS93" s="538"/>
      <c r="AT93" s="539">
        <f t="shared" si="453"/>
        <v>0</v>
      </c>
      <c r="AU93" s="540">
        <f t="shared" si="454"/>
        <v>0</v>
      </c>
      <c r="AV93" s="538"/>
      <c r="AW93" s="539">
        <f t="shared" si="455"/>
        <v>0</v>
      </c>
      <c r="AX93" s="540">
        <f t="shared" si="456"/>
        <v>0</v>
      </c>
      <c r="AY93" s="538"/>
      <c r="AZ93" s="539">
        <f t="shared" si="457"/>
        <v>0</v>
      </c>
      <c r="BA93" s="540">
        <f t="shared" si="458"/>
        <v>0</v>
      </c>
      <c r="BJ93" s="529">
        <f t="shared" si="271"/>
        <v>0</v>
      </c>
      <c r="BK93" s="529">
        <f t="shared" si="272"/>
        <v>6.1789499999999997E-2</v>
      </c>
      <c r="BL93" s="529">
        <f t="shared" si="273"/>
        <v>1.1360784000000002</v>
      </c>
      <c r="BM93" s="529">
        <f t="shared" si="274"/>
        <v>0</v>
      </c>
      <c r="BN93" s="529">
        <f t="shared" si="275"/>
        <v>0</v>
      </c>
      <c r="BO93" s="529">
        <f t="shared" si="276"/>
        <v>0</v>
      </c>
      <c r="BP93" s="529">
        <f t="shared" si="277"/>
        <v>0</v>
      </c>
      <c r="BQ93" s="529">
        <f t="shared" si="278"/>
        <v>0</v>
      </c>
      <c r="BR93" s="529">
        <f t="shared" si="279"/>
        <v>0</v>
      </c>
      <c r="BS93" s="529">
        <f t="shared" si="280"/>
        <v>0</v>
      </c>
      <c r="BT93" s="529">
        <f t="shared" si="281"/>
        <v>0</v>
      </c>
      <c r="BU93" s="529">
        <f t="shared" si="282"/>
        <v>0</v>
      </c>
      <c r="BV93" s="529">
        <f t="shared" si="283"/>
        <v>0</v>
      </c>
      <c r="BW93" s="529">
        <f t="shared" si="284"/>
        <v>0</v>
      </c>
      <c r="BX93" s="529">
        <f t="shared" si="309"/>
        <v>0</v>
      </c>
      <c r="BY93" s="529">
        <f t="shared" si="310"/>
        <v>0</v>
      </c>
      <c r="BZ93" s="529">
        <f t="shared" si="311"/>
        <v>0</v>
      </c>
      <c r="CB93" s="529">
        <f t="shared" si="285"/>
        <v>0</v>
      </c>
      <c r="CC93" s="529">
        <f t="shared" si="286"/>
        <v>457.7</v>
      </c>
      <c r="CD93" s="529">
        <f t="shared" si="287"/>
        <v>4982.8</v>
      </c>
      <c r="CE93" s="529">
        <f t="shared" si="288"/>
        <v>0</v>
      </c>
      <c r="CF93" s="529">
        <f t="shared" si="289"/>
        <v>0</v>
      </c>
      <c r="CG93" s="529">
        <f t="shared" si="290"/>
        <v>0</v>
      </c>
      <c r="CH93" s="529">
        <f t="shared" si="291"/>
        <v>0</v>
      </c>
      <c r="CI93" s="529">
        <f t="shared" si="292"/>
        <v>0</v>
      </c>
      <c r="CJ93" s="529">
        <f t="shared" si="293"/>
        <v>0</v>
      </c>
      <c r="CK93" s="529">
        <f t="shared" si="294"/>
        <v>0</v>
      </c>
      <c r="CL93" s="529">
        <f t="shared" si="295"/>
        <v>0</v>
      </c>
      <c r="CM93" s="529">
        <f t="shared" si="296"/>
        <v>0</v>
      </c>
      <c r="CN93" s="529">
        <f t="shared" si="297"/>
        <v>0</v>
      </c>
      <c r="CO93" s="529">
        <f t="shared" si="298"/>
        <v>0</v>
      </c>
      <c r="CP93" s="529">
        <f t="shared" si="312"/>
        <v>0</v>
      </c>
      <c r="CQ93" s="529">
        <f t="shared" si="313"/>
        <v>0</v>
      </c>
      <c r="CR93" s="529">
        <f t="shared" si="314"/>
        <v>0</v>
      </c>
    </row>
    <row r="94" spans="1:96" x14ac:dyDescent="0.2">
      <c r="A94" s="761"/>
      <c r="B94" s="537" t="s">
        <v>113</v>
      </c>
      <c r="C94" s="538"/>
      <c r="D94" s="549"/>
      <c r="E94" s="540">
        <f t="shared" si="459"/>
        <v>0</v>
      </c>
      <c r="F94" s="541"/>
      <c r="G94" s="539"/>
      <c r="H94" s="540">
        <f>F94*G94/1000000</f>
        <v>0</v>
      </c>
      <c r="I94" s="538"/>
      <c r="J94" s="539"/>
      <c r="K94" s="540">
        <f t="shared" si="460"/>
        <v>0</v>
      </c>
      <c r="L94" s="538"/>
      <c r="M94" s="539"/>
      <c r="N94" s="540">
        <f t="shared" si="461"/>
        <v>0</v>
      </c>
      <c r="O94" s="538"/>
      <c r="P94" s="539"/>
      <c r="Q94" s="540">
        <f t="shared" si="462"/>
        <v>0</v>
      </c>
      <c r="R94" s="538"/>
      <c r="S94" s="539"/>
      <c r="T94" s="540">
        <f t="shared" si="463"/>
        <v>0</v>
      </c>
      <c r="U94" s="538"/>
      <c r="V94" s="629"/>
      <c r="W94" s="540">
        <f t="shared" si="438"/>
        <v>0</v>
      </c>
      <c r="X94" s="538"/>
      <c r="Y94" s="539">
        <f t="shared" si="439"/>
        <v>0</v>
      </c>
      <c r="Z94" s="540">
        <f t="shared" si="440"/>
        <v>0</v>
      </c>
      <c r="AA94" s="538"/>
      <c r="AB94" s="539">
        <f t="shared" si="441"/>
        <v>0</v>
      </c>
      <c r="AC94" s="540">
        <f t="shared" si="442"/>
        <v>0</v>
      </c>
      <c r="AD94" s="538"/>
      <c r="AE94" s="539">
        <f t="shared" si="443"/>
        <v>0</v>
      </c>
      <c r="AF94" s="540">
        <f t="shared" si="444"/>
        <v>0</v>
      </c>
      <c r="AG94" s="538"/>
      <c r="AH94" s="539">
        <f t="shared" si="445"/>
        <v>0</v>
      </c>
      <c r="AI94" s="540">
        <f t="shared" si="446"/>
        <v>0</v>
      </c>
      <c r="AJ94" s="538"/>
      <c r="AK94" s="539">
        <f t="shared" si="447"/>
        <v>0</v>
      </c>
      <c r="AL94" s="540">
        <f t="shared" si="448"/>
        <v>0</v>
      </c>
      <c r="AM94" s="538"/>
      <c r="AN94" s="539">
        <f t="shared" si="449"/>
        <v>0</v>
      </c>
      <c r="AO94" s="540">
        <f t="shared" si="450"/>
        <v>0</v>
      </c>
      <c r="AP94" s="538"/>
      <c r="AQ94" s="539">
        <f t="shared" si="451"/>
        <v>0</v>
      </c>
      <c r="AR94" s="540">
        <f t="shared" si="452"/>
        <v>0</v>
      </c>
      <c r="AS94" s="538"/>
      <c r="AT94" s="539">
        <f t="shared" si="453"/>
        <v>0</v>
      </c>
      <c r="AU94" s="540">
        <f t="shared" si="454"/>
        <v>0</v>
      </c>
      <c r="AV94" s="538"/>
      <c r="AW94" s="539">
        <f t="shared" si="455"/>
        <v>0</v>
      </c>
      <c r="AX94" s="540">
        <f t="shared" si="456"/>
        <v>0</v>
      </c>
      <c r="AY94" s="538"/>
      <c r="AZ94" s="539">
        <f t="shared" si="457"/>
        <v>0</v>
      </c>
      <c r="BA94" s="540">
        <f t="shared" si="458"/>
        <v>0</v>
      </c>
      <c r="BJ94" s="529">
        <f t="shared" si="271"/>
        <v>0</v>
      </c>
      <c r="BK94" s="529">
        <f t="shared" si="272"/>
        <v>0</v>
      </c>
      <c r="BL94" s="529">
        <f t="shared" si="273"/>
        <v>0</v>
      </c>
      <c r="BM94" s="529">
        <f t="shared" si="274"/>
        <v>0</v>
      </c>
      <c r="BN94" s="529">
        <f t="shared" si="275"/>
        <v>0</v>
      </c>
      <c r="BO94" s="529">
        <f t="shared" si="276"/>
        <v>0</v>
      </c>
      <c r="BP94" s="529">
        <f t="shared" si="277"/>
        <v>0</v>
      </c>
      <c r="BQ94" s="529">
        <f t="shared" si="278"/>
        <v>0</v>
      </c>
      <c r="BR94" s="529">
        <f t="shared" si="279"/>
        <v>0</v>
      </c>
      <c r="BS94" s="529">
        <f t="shared" si="280"/>
        <v>0</v>
      </c>
      <c r="BT94" s="529">
        <f t="shared" si="281"/>
        <v>0</v>
      </c>
      <c r="BU94" s="529">
        <f t="shared" si="282"/>
        <v>0</v>
      </c>
      <c r="BV94" s="529">
        <f t="shared" si="283"/>
        <v>0</v>
      </c>
      <c r="BW94" s="529">
        <f t="shared" si="284"/>
        <v>0</v>
      </c>
      <c r="BX94" s="529">
        <f t="shared" si="309"/>
        <v>0</v>
      </c>
      <c r="BY94" s="529">
        <f t="shared" si="310"/>
        <v>0</v>
      </c>
      <c r="BZ94" s="529">
        <f t="shared" si="311"/>
        <v>0</v>
      </c>
      <c r="CB94" s="529">
        <f t="shared" si="285"/>
        <v>0</v>
      </c>
      <c r="CC94" s="529">
        <f t="shared" si="286"/>
        <v>0</v>
      </c>
      <c r="CD94" s="529">
        <f t="shared" si="287"/>
        <v>0</v>
      </c>
      <c r="CE94" s="529">
        <f t="shared" si="288"/>
        <v>0</v>
      </c>
      <c r="CF94" s="529">
        <f t="shared" si="289"/>
        <v>0</v>
      </c>
      <c r="CG94" s="529">
        <f t="shared" si="290"/>
        <v>0</v>
      </c>
      <c r="CH94" s="529">
        <f t="shared" si="291"/>
        <v>0</v>
      </c>
      <c r="CI94" s="529">
        <f t="shared" si="292"/>
        <v>0</v>
      </c>
      <c r="CJ94" s="529">
        <f t="shared" si="293"/>
        <v>0</v>
      </c>
      <c r="CK94" s="529">
        <f t="shared" si="294"/>
        <v>0</v>
      </c>
      <c r="CL94" s="529">
        <f t="shared" si="295"/>
        <v>0</v>
      </c>
      <c r="CM94" s="529">
        <f t="shared" si="296"/>
        <v>0</v>
      </c>
      <c r="CN94" s="529">
        <f t="shared" si="297"/>
        <v>0</v>
      </c>
      <c r="CO94" s="529">
        <f t="shared" si="298"/>
        <v>0</v>
      </c>
      <c r="CP94" s="529">
        <f t="shared" si="312"/>
        <v>0</v>
      </c>
      <c r="CQ94" s="529">
        <f t="shared" si="313"/>
        <v>0</v>
      </c>
      <c r="CR94" s="529">
        <f t="shared" si="314"/>
        <v>0</v>
      </c>
    </row>
    <row r="95" spans="1:96" ht="13.5" x14ac:dyDescent="0.25">
      <c r="A95" s="761"/>
      <c r="B95" s="537" t="s">
        <v>619</v>
      </c>
      <c r="C95" s="543">
        <f>C92*0.46+C93*0.24+C94*0.24</f>
        <v>0</v>
      </c>
      <c r="D95" s="548"/>
      <c r="E95" s="545">
        <f>SUM(E92:E94)</f>
        <v>0</v>
      </c>
      <c r="F95" s="569">
        <f>F92*0.46+F93*0.24+F94*0.24</f>
        <v>109.848</v>
      </c>
      <c r="G95" s="544"/>
      <c r="H95" s="545">
        <f>SUM(H92:H94)</f>
        <v>6.1789499999999997E-2</v>
      </c>
      <c r="I95" s="543">
        <f>I92*0.46+I93*0.24+I94*0.24</f>
        <v>1195.8720000000001</v>
      </c>
      <c r="J95" s="544"/>
      <c r="K95" s="545">
        <f>SUM(K92:K94)</f>
        <v>1.1360784000000002</v>
      </c>
      <c r="L95" s="543">
        <f>L92*0.46+L93*0.24+L94*0.24</f>
        <v>0</v>
      </c>
      <c r="M95" s="544"/>
      <c r="N95" s="545">
        <f>SUM(N92:N94)</f>
        <v>0</v>
      </c>
      <c r="O95" s="543">
        <f>O92*0.46+O93*0.24+O94*0.24</f>
        <v>0</v>
      </c>
      <c r="P95" s="544"/>
      <c r="Q95" s="545">
        <f>SUM(Q92:Q94)</f>
        <v>0</v>
      </c>
      <c r="R95" s="543">
        <f>R92*0.46+R93*0.24+R94*0.24</f>
        <v>0</v>
      </c>
      <c r="S95" s="544"/>
      <c r="T95" s="545">
        <f>SUM(T92:T94)</f>
        <v>0</v>
      </c>
      <c r="U95" s="543">
        <f>U92*0.46+U93*0.24+U94*0.24</f>
        <v>0</v>
      </c>
      <c r="V95" s="630"/>
      <c r="W95" s="545">
        <f>SUM(W92:W94)</f>
        <v>0</v>
      </c>
      <c r="X95" s="543">
        <f>X92*0.46+X93*0.24+X94*0.24</f>
        <v>0</v>
      </c>
      <c r="Y95" s="548"/>
      <c r="Z95" s="545">
        <f>SUM(Z92:Z94)</f>
        <v>0</v>
      </c>
      <c r="AA95" s="543">
        <f>AA92*0.46+AA93*0.24+AA94*0.24</f>
        <v>0</v>
      </c>
      <c r="AB95" s="548"/>
      <c r="AC95" s="545">
        <f>SUM(AC92:AC94)</f>
        <v>0</v>
      </c>
      <c r="AD95" s="543">
        <f>AD92*0.46+AD93*0.24+AD94*0.24</f>
        <v>0</v>
      </c>
      <c r="AE95" s="548"/>
      <c r="AF95" s="545">
        <f>SUM(AF92:AF94)</f>
        <v>0</v>
      </c>
      <c r="AG95" s="543">
        <f>AG92*0.46+AG93*0.24+AG94*0.24</f>
        <v>0</v>
      </c>
      <c r="AH95" s="548"/>
      <c r="AI95" s="545">
        <f>SUM(AI92:AI94)</f>
        <v>0</v>
      </c>
      <c r="AJ95" s="543">
        <f>AJ92*0.46+AJ93*0.24+AJ94*0.24</f>
        <v>0</v>
      </c>
      <c r="AK95" s="548"/>
      <c r="AL95" s="545">
        <f>SUM(AL92:AL94)</f>
        <v>0</v>
      </c>
      <c r="AM95" s="543">
        <f>AM92*0.46+AM93*0.24+AM94*0.24</f>
        <v>0</v>
      </c>
      <c r="AN95" s="548"/>
      <c r="AO95" s="545">
        <f>SUM(AO92:AO94)</f>
        <v>0</v>
      </c>
      <c r="AP95" s="543">
        <f>AP92*0.46+AP93*0.24+AP94*0.24</f>
        <v>0</v>
      </c>
      <c r="AQ95" s="548"/>
      <c r="AR95" s="545">
        <f>SUM(AR92:AR94)</f>
        <v>0</v>
      </c>
      <c r="AS95" s="543">
        <f>AS92*0.46+AS93*0.24+AS94*0.24</f>
        <v>0</v>
      </c>
      <c r="AT95" s="548"/>
      <c r="AU95" s="545">
        <f>SUM(AU92:AU94)</f>
        <v>0</v>
      </c>
      <c r="AV95" s="543">
        <f>AV92*0.46+AV93*0.24+AV94*0.24</f>
        <v>0</v>
      </c>
      <c r="AW95" s="548"/>
      <c r="AX95" s="545">
        <f>SUM(AX92:AX94)</f>
        <v>0</v>
      </c>
      <c r="AY95" s="543">
        <f>AY92*0.46+AY93*0.24+AY94*0.24</f>
        <v>0</v>
      </c>
      <c r="AZ95" s="548"/>
      <c r="BA95" s="545">
        <f>SUM(BA92:BA94)</f>
        <v>0</v>
      </c>
      <c r="BJ95" s="529">
        <f t="shared" si="271"/>
        <v>0</v>
      </c>
      <c r="BK95" s="529">
        <f t="shared" si="272"/>
        <v>6.1789499999999997E-2</v>
      </c>
      <c r="BL95" s="529">
        <f t="shared" si="273"/>
        <v>1.1360784000000002</v>
      </c>
      <c r="BM95" s="529">
        <f t="shared" si="274"/>
        <v>0</v>
      </c>
      <c r="BN95" s="529">
        <f t="shared" si="275"/>
        <v>0</v>
      </c>
      <c r="BO95" s="529">
        <f t="shared" si="276"/>
        <v>0</v>
      </c>
      <c r="BP95" s="529">
        <f t="shared" si="277"/>
        <v>0</v>
      </c>
      <c r="BQ95" s="529">
        <f t="shared" si="278"/>
        <v>0</v>
      </c>
      <c r="BR95" s="529">
        <f t="shared" si="279"/>
        <v>0</v>
      </c>
      <c r="BS95" s="529">
        <f t="shared" si="280"/>
        <v>0</v>
      </c>
      <c r="BT95" s="529">
        <f t="shared" si="281"/>
        <v>0</v>
      </c>
      <c r="BU95" s="529">
        <f t="shared" si="282"/>
        <v>0</v>
      </c>
      <c r="BV95" s="529">
        <f t="shared" si="283"/>
        <v>0</v>
      </c>
      <c r="BW95" s="529">
        <f t="shared" si="284"/>
        <v>0</v>
      </c>
      <c r="BX95" s="529">
        <f t="shared" si="309"/>
        <v>0</v>
      </c>
      <c r="BY95" s="529">
        <f t="shared" si="310"/>
        <v>0</v>
      </c>
      <c r="BZ95" s="529">
        <f t="shared" si="311"/>
        <v>0</v>
      </c>
      <c r="CB95" s="529">
        <f t="shared" si="285"/>
        <v>0</v>
      </c>
      <c r="CC95" s="529">
        <f t="shared" si="286"/>
        <v>109.848</v>
      </c>
      <c r="CD95" s="529">
        <f t="shared" si="287"/>
        <v>1195.8720000000001</v>
      </c>
      <c r="CE95" s="529">
        <f t="shared" si="288"/>
        <v>0</v>
      </c>
      <c r="CF95" s="529">
        <f t="shared" si="289"/>
        <v>0</v>
      </c>
      <c r="CG95" s="529">
        <f t="shared" si="290"/>
        <v>0</v>
      </c>
      <c r="CH95" s="529">
        <f t="shared" si="291"/>
        <v>0</v>
      </c>
      <c r="CI95" s="529">
        <f t="shared" si="292"/>
        <v>0</v>
      </c>
      <c r="CJ95" s="529">
        <f t="shared" si="293"/>
        <v>0</v>
      </c>
      <c r="CK95" s="529">
        <f t="shared" si="294"/>
        <v>0</v>
      </c>
      <c r="CL95" s="529">
        <f t="shared" si="295"/>
        <v>0</v>
      </c>
      <c r="CM95" s="529">
        <f t="shared" si="296"/>
        <v>0</v>
      </c>
      <c r="CN95" s="529">
        <f t="shared" si="297"/>
        <v>0</v>
      </c>
      <c r="CO95" s="529">
        <f t="shared" si="298"/>
        <v>0</v>
      </c>
      <c r="CP95" s="529">
        <f t="shared" si="312"/>
        <v>0</v>
      </c>
      <c r="CQ95" s="529">
        <f t="shared" si="313"/>
        <v>0</v>
      </c>
      <c r="CR95" s="529">
        <f t="shared" si="314"/>
        <v>0</v>
      </c>
    </row>
    <row r="96" spans="1:96" x14ac:dyDescent="0.2">
      <c r="A96" s="761" t="s">
        <v>633</v>
      </c>
      <c r="B96" s="537" t="s">
        <v>494</v>
      </c>
      <c r="C96" s="538"/>
      <c r="D96" s="549"/>
      <c r="E96" s="540">
        <f>C96*D96/1000000</f>
        <v>0</v>
      </c>
      <c r="F96" s="541">
        <v>128</v>
      </c>
      <c r="G96" s="539">
        <v>233</v>
      </c>
      <c r="H96" s="540">
        <f>F96*G96/1000000</f>
        <v>2.9824E-2</v>
      </c>
      <c r="I96" s="538">
        <f>2605.55</f>
        <v>2605.5500000000002</v>
      </c>
      <c r="J96" s="539">
        <v>502</v>
      </c>
      <c r="K96" s="540">
        <f>I96*J96/1000000</f>
        <v>1.3079861000000002</v>
      </c>
      <c r="L96" s="538"/>
      <c r="M96" s="539"/>
      <c r="N96" s="540">
        <f>L96*M96/1000000</f>
        <v>0</v>
      </c>
      <c r="O96" s="538">
        <v>2703.4</v>
      </c>
      <c r="P96" s="539">
        <v>290</v>
      </c>
      <c r="Q96" s="540">
        <f>O96*P96/1000000</f>
        <v>0.78398599999999996</v>
      </c>
      <c r="R96" s="538"/>
      <c r="S96" s="539"/>
      <c r="T96" s="540">
        <f>R96*S96/1000000</f>
        <v>0</v>
      </c>
      <c r="U96" s="538">
        <v>3000</v>
      </c>
      <c r="V96" s="629">
        <v>420</v>
      </c>
      <c r="W96" s="540">
        <f>U96*V96/1000000</f>
        <v>1.26</v>
      </c>
      <c r="X96" s="538">
        <f>ROUND(+U96*X$1,0)</f>
        <v>3318</v>
      </c>
      <c r="Y96" s="539">
        <f t="shared" ref="Y96:Y99" si="464">ROUND(V96*(1+Y$1),0)</f>
        <v>433</v>
      </c>
      <c r="Z96" s="540">
        <f>X96*Y96/1000000</f>
        <v>1.4366939999999999</v>
      </c>
      <c r="AA96" s="538">
        <f>ROUND(+X96*AA$1,0)</f>
        <v>2813</v>
      </c>
      <c r="AB96" s="539">
        <f t="shared" ref="AB96:AB99" si="465">ROUND(Y96*(1+AB$1),0)</f>
        <v>446</v>
      </c>
      <c r="AC96" s="540">
        <f>AA96*AB96/1000000</f>
        <v>1.2545980000000001</v>
      </c>
      <c r="AD96" s="538">
        <f>ROUND(+AA96*AD$1,0)</f>
        <v>2260</v>
      </c>
      <c r="AE96" s="539">
        <f t="shared" ref="AE96:AE99" si="466">ROUND(AB96*(1+AE$1),0)</f>
        <v>459</v>
      </c>
      <c r="AF96" s="540">
        <f>AD96*AE96/1000000</f>
        <v>1.0373399999999999</v>
      </c>
      <c r="AG96" s="538">
        <f>ROUND(+AD96*AG$1,0)</f>
        <v>2260</v>
      </c>
      <c r="AH96" s="539">
        <f t="shared" ref="AH96:AH99" si="467">ROUND(AE96*(1+AH$1),0)</f>
        <v>473</v>
      </c>
      <c r="AI96" s="540">
        <f>AG96*AH96/1000000</f>
        <v>1.06898</v>
      </c>
      <c r="AJ96" s="538">
        <f>ROUND(+AG96*AJ$1,0)</f>
        <v>2260</v>
      </c>
      <c r="AK96" s="539">
        <f t="shared" ref="AK96:AK99" si="468">ROUND(AH96*(1+AK$1),0)</f>
        <v>487</v>
      </c>
      <c r="AL96" s="540">
        <f>AJ96*AK96/1000000</f>
        <v>1.1006199999999999</v>
      </c>
      <c r="AM96" s="538">
        <f>ROUND(+AJ96*AM$1,0)</f>
        <v>2260</v>
      </c>
      <c r="AN96" s="539">
        <f t="shared" ref="AN96:AN99" si="469">ROUND(AK96*(1+AN$1),0)</f>
        <v>502</v>
      </c>
      <c r="AO96" s="540">
        <f>AM96*AN96/1000000</f>
        <v>1.13452</v>
      </c>
      <c r="AP96" s="538">
        <f>ROUND(+AM96*AP$1,0)</f>
        <v>2260</v>
      </c>
      <c r="AQ96" s="539">
        <f t="shared" ref="AQ96:AQ99" si="470">ROUND(AN96*(1+AQ$1),0)</f>
        <v>517</v>
      </c>
      <c r="AR96" s="540">
        <f>AP96*AQ96/1000000</f>
        <v>1.16842</v>
      </c>
      <c r="AS96" s="538">
        <f>ROUND(+AP96*AS$1,0)</f>
        <v>2260</v>
      </c>
      <c r="AT96" s="539">
        <f t="shared" ref="AT96:AT99" si="471">ROUND(AQ96*(1+AT$1),0)</f>
        <v>533</v>
      </c>
      <c r="AU96" s="540">
        <f>AS96*AT96/1000000</f>
        <v>1.20458</v>
      </c>
      <c r="AV96" s="538">
        <f>ROUND(+AS96*AV$1,0)</f>
        <v>2260</v>
      </c>
      <c r="AW96" s="539">
        <f t="shared" ref="AW96:AW99" si="472">ROUND(AT96*(1+AW$1),0)</f>
        <v>549</v>
      </c>
      <c r="AX96" s="540">
        <f>AV96*AW96/1000000</f>
        <v>1.24074</v>
      </c>
      <c r="AY96" s="538">
        <f>ROUND(+AV96*AY$1,0)</f>
        <v>2260</v>
      </c>
      <c r="AZ96" s="539">
        <f t="shared" ref="AZ96:AZ99" si="473">ROUND(AW96*(1+AZ$1),0)</f>
        <v>565</v>
      </c>
      <c r="BA96" s="540">
        <f>AY96*AZ96/1000000</f>
        <v>1.2768999999999999</v>
      </c>
      <c r="BJ96" s="529">
        <f t="shared" si="271"/>
        <v>0</v>
      </c>
      <c r="BK96" s="529">
        <f t="shared" si="272"/>
        <v>2.9824E-2</v>
      </c>
      <c r="BL96" s="529">
        <f t="shared" si="273"/>
        <v>1.3079861000000002</v>
      </c>
      <c r="BM96" s="529">
        <f t="shared" si="274"/>
        <v>0</v>
      </c>
      <c r="BN96" s="529">
        <f t="shared" si="275"/>
        <v>0.78398599999999996</v>
      </c>
      <c r="BO96" s="529">
        <f t="shared" si="276"/>
        <v>0</v>
      </c>
      <c r="BP96" s="529">
        <f t="shared" si="277"/>
        <v>1.26</v>
      </c>
      <c r="BQ96" s="529">
        <f t="shared" si="278"/>
        <v>1.4366939999999999</v>
      </c>
      <c r="BR96" s="529">
        <f t="shared" si="279"/>
        <v>1.2545980000000001</v>
      </c>
      <c r="BS96" s="529">
        <f t="shared" si="280"/>
        <v>1.0373399999999999</v>
      </c>
      <c r="BT96" s="529">
        <f t="shared" si="281"/>
        <v>1.06898</v>
      </c>
      <c r="BU96" s="529">
        <f t="shared" si="282"/>
        <v>1.1006199999999999</v>
      </c>
      <c r="BV96" s="529">
        <f t="shared" si="283"/>
        <v>1.13452</v>
      </c>
      <c r="BW96" s="529">
        <f t="shared" si="284"/>
        <v>1.16842</v>
      </c>
      <c r="BX96" s="529">
        <f t="shared" si="309"/>
        <v>1.20458</v>
      </c>
      <c r="BY96" s="529">
        <f t="shared" si="310"/>
        <v>1.24074</v>
      </c>
      <c r="BZ96" s="529">
        <f t="shared" si="311"/>
        <v>1.2768999999999999</v>
      </c>
      <c r="CB96" s="529">
        <f t="shared" si="285"/>
        <v>0</v>
      </c>
      <c r="CC96" s="529">
        <f t="shared" si="286"/>
        <v>128</v>
      </c>
      <c r="CD96" s="529">
        <f t="shared" si="287"/>
        <v>2605.5500000000002</v>
      </c>
      <c r="CE96" s="529">
        <f t="shared" si="288"/>
        <v>0</v>
      </c>
      <c r="CF96" s="529">
        <f t="shared" si="289"/>
        <v>2703.4</v>
      </c>
      <c r="CG96" s="529">
        <f t="shared" si="290"/>
        <v>0</v>
      </c>
      <c r="CH96" s="529">
        <f t="shared" si="291"/>
        <v>3000</v>
      </c>
      <c r="CI96" s="529">
        <f t="shared" si="292"/>
        <v>3318</v>
      </c>
      <c r="CJ96" s="529">
        <f t="shared" si="293"/>
        <v>2813</v>
      </c>
      <c r="CK96" s="529">
        <f t="shared" si="294"/>
        <v>2260</v>
      </c>
      <c r="CL96" s="529">
        <f t="shared" si="295"/>
        <v>2260</v>
      </c>
      <c r="CM96" s="529">
        <f t="shared" si="296"/>
        <v>2260</v>
      </c>
      <c r="CN96" s="529">
        <f t="shared" si="297"/>
        <v>2260</v>
      </c>
      <c r="CO96" s="529">
        <f t="shared" si="298"/>
        <v>2260</v>
      </c>
      <c r="CP96" s="529">
        <f t="shared" si="312"/>
        <v>2260</v>
      </c>
      <c r="CQ96" s="529">
        <f t="shared" si="313"/>
        <v>2260</v>
      </c>
      <c r="CR96" s="529">
        <f t="shared" si="314"/>
        <v>2260</v>
      </c>
    </row>
    <row r="97" spans="1:96" x14ac:dyDescent="0.2">
      <c r="A97" s="761"/>
      <c r="B97" s="537" t="s">
        <v>618</v>
      </c>
      <c r="C97" s="538"/>
      <c r="D97" s="549"/>
      <c r="E97" s="540">
        <f t="shared" ref="E97:E99" si="474">C97*D97/1000000</f>
        <v>0</v>
      </c>
      <c r="F97" s="541"/>
      <c r="G97" s="539"/>
      <c r="H97" s="540">
        <f>F97*G97/1000000</f>
        <v>0</v>
      </c>
      <c r="I97" s="538">
        <v>2480.8000000000002</v>
      </c>
      <c r="J97" s="539">
        <v>158</v>
      </c>
      <c r="K97" s="540">
        <f t="shared" ref="K97:K99" si="475">I97*J97/1000000</f>
        <v>0.39196640000000005</v>
      </c>
      <c r="L97" s="538"/>
      <c r="M97" s="539"/>
      <c r="N97" s="540">
        <f t="shared" ref="N97:N99" si="476">L97*M97/1000000</f>
        <v>0</v>
      </c>
      <c r="O97" s="538">
        <v>2358</v>
      </c>
      <c r="P97" s="539">
        <v>195</v>
      </c>
      <c r="Q97" s="540">
        <f t="shared" ref="Q97:Q99" si="477">O97*P97/1000000</f>
        <v>0.45981</v>
      </c>
      <c r="R97" s="538">
        <f>651.1+66.5</f>
        <v>717.6</v>
      </c>
      <c r="S97" s="539">
        <v>195</v>
      </c>
      <c r="T97" s="540">
        <f t="shared" ref="T97:T99" si="478">R97*S97/1000000</f>
        <v>0.139932</v>
      </c>
      <c r="U97" s="538"/>
      <c r="V97" s="629"/>
      <c r="W97" s="540">
        <f t="shared" ref="W97:W99" si="479">U97*V97/1000000</f>
        <v>0</v>
      </c>
      <c r="X97" s="538"/>
      <c r="Y97" s="539">
        <f t="shared" si="464"/>
        <v>0</v>
      </c>
      <c r="Z97" s="540">
        <f t="shared" ref="Z97:Z99" si="480">X97*Y97/1000000</f>
        <v>0</v>
      </c>
      <c r="AA97" s="538"/>
      <c r="AB97" s="539">
        <f t="shared" si="465"/>
        <v>0</v>
      </c>
      <c r="AC97" s="540">
        <f t="shared" ref="AC97:AC99" si="481">AA97*AB97/1000000</f>
        <v>0</v>
      </c>
      <c r="AD97" s="538"/>
      <c r="AE97" s="539">
        <f t="shared" si="466"/>
        <v>0</v>
      </c>
      <c r="AF97" s="540">
        <f t="shared" ref="AF97:AF99" si="482">AD97*AE97/1000000</f>
        <v>0</v>
      </c>
      <c r="AG97" s="538"/>
      <c r="AH97" s="539">
        <f t="shared" si="467"/>
        <v>0</v>
      </c>
      <c r="AI97" s="540">
        <f t="shared" ref="AI97:AI99" si="483">AG97*AH97/1000000</f>
        <v>0</v>
      </c>
      <c r="AJ97" s="538"/>
      <c r="AK97" s="539">
        <f t="shared" si="468"/>
        <v>0</v>
      </c>
      <c r="AL97" s="540">
        <f t="shared" ref="AL97:AL99" si="484">AJ97*AK97/1000000</f>
        <v>0</v>
      </c>
      <c r="AM97" s="538"/>
      <c r="AN97" s="539">
        <f t="shared" si="469"/>
        <v>0</v>
      </c>
      <c r="AO97" s="540">
        <f t="shared" ref="AO97:AO99" si="485">AM97*AN97/1000000</f>
        <v>0</v>
      </c>
      <c r="AP97" s="538"/>
      <c r="AQ97" s="539">
        <f t="shared" si="470"/>
        <v>0</v>
      </c>
      <c r="AR97" s="540">
        <f t="shared" ref="AR97:AR99" si="486">AP97*AQ97/1000000</f>
        <v>0</v>
      </c>
      <c r="AS97" s="538"/>
      <c r="AT97" s="539">
        <f t="shared" si="471"/>
        <v>0</v>
      </c>
      <c r="AU97" s="540">
        <f t="shared" ref="AU97:AU99" si="487">AS97*AT97/1000000</f>
        <v>0</v>
      </c>
      <c r="AV97" s="538"/>
      <c r="AW97" s="539">
        <f t="shared" si="472"/>
        <v>0</v>
      </c>
      <c r="AX97" s="540">
        <f t="shared" ref="AX97:AX99" si="488">AV97*AW97/1000000</f>
        <v>0</v>
      </c>
      <c r="AY97" s="538"/>
      <c r="AZ97" s="539">
        <f t="shared" si="473"/>
        <v>0</v>
      </c>
      <c r="BA97" s="540">
        <f t="shared" ref="BA97:BA99" si="489">AY97*AZ97/1000000</f>
        <v>0</v>
      </c>
      <c r="BJ97" s="529">
        <f t="shared" si="271"/>
        <v>0</v>
      </c>
      <c r="BK97" s="529">
        <f t="shared" si="272"/>
        <v>0</v>
      </c>
      <c r="BL97" s="529">
        <f t="shared" si="273"/>
        <v>0.39196640000000005</v>
      </c>
      <c r="BM97" s="529">
        <f t="shared" si="274"/>
        <v>0</v>
      </c>
      <c r="BN97" s="529">
        <f t="shared" si="275"/>
        <v>0.45981</v>
      </c>
      <c r="BO97" s="529">
        <f t="shared" si="276"/>
        <v>0.139932</v>
      </c>
      <c r="BP97" s="529">
        <f t="shared" si="277"/>
        <v>0</v>
      </c>
      <c r="BQ97" s="529">
        <f t="shared" si="278"/>
        <v>0</v>
      </c>
      <c r="BR97" s="529">
        <f t="shared" si="279"/>
        <v>0</v>
      </c>
      <c r="BS97" s="529">
        <f t="shared" si="280"/>
        <v>0</v>
      </c>
      <c r="BT97" s="529">
        <f t="shared" si="281"/>
        <v>0</v>
      </c>
      <c r="BU97" s="529">
        <f t="shared" si="282"/>
        <v>0</v>
      </c>
      <c r="BV97" s="529">
        <f t="shared" si="283"/>
        <v>0</v>
      </c>
      <c r="BW97" s="529">
        <f t="shared" si="284"/>
        <v>0</v>
      </c>
      <c r="BX97" s="529">
        <f t="shared" si="309"/>
        <v>0</v>
      </c>
      <c r="BY97" s="529">
        <f t="shared" si="310"/>
        <v>0</v>
      </c>
      <c r="BZ97" s="529">
        <f t="shared" si="311"/>
        <v>0</v>
      </c>
      <c r="CB97" s="529">
        <f t="shared" si="285"/>
        <v>0</v>
      </c>
      <c r="CC97" s="529">
        <f t="shared" si="286"/>
        <v>0</v>
      </c>
      <c r="CD97" s="529">
        <f t="shared" si="287"/>
        <v>2480.8000000000002</v>
      </c>
      <c r="CE97" s="529">
        <f t="shared" si="288"/>
        <v>0</v>
      </c>
      <c r="CF97" s="529">
        <f t="shared" si="289"/>
        <v>2358</v>
      </c>
      <c r="CG97" s="529">
        <f t="shared" si="290"/>
        <v>717.6</v>
      </c>
      <c r="CH97" s="529">
        <f t="shared" si="291"/>
        <v>0</v>
      </c>
      <c r="CI97" s="529">
        <f t="shared" si="292"/>
        <v>0</v>
      </c>
      <c r="CJ97" s="529">
        <f t="shared" si="293"/>
        <v>0</v>
      </c>
      <c r="CK97" s="529">
        <f t="shared" si="294"/>
        <v>0</v>
      </c>
      <c r="CL97" s="529">
        <f t="shared" si="295"/>
        <v>0</v>
      </c>
      <c r="CM97" s="529">
        <f t="shared" si="296"/>
        <v>0</v>
      </c>
      <c r="CN97" s="529">
        <f t="shared" si="297"/>
        <v>0</v>
      </c>
      <c r="CO97" s="529">
        <f t="shared" si="298"/>
        <v>0</v>
      </c>
      <c r="CP97" s="529">
        <f t="shared" si="312"/>
        <v>0</v>
      </c>
      <c r="CQ97" s="529">
        <f t="shared" si="313"/>
        <v>0</v>
      </c>
      <c r="CR97" s="529">
        <f t="shared" si="314"/>
        <v>0</v>
      </c>
    </row>
    <row r="98" spans="1:96" x14ac:dyDescent="0.2">
      <c r="A98" s="761"/>
      <c r="B98" s="537" t="s">
        <v>495</v>
      </c>
      <c r="C98" s="538"/>
      <c r="D98" s="549"/>
      <c r="E98" s="540">
        <f t="shared" si="474"/>
        <v>0</v>
      </c>
      <c r="F98" s="541">
        <v>64</v>
      </c>
      <c r="G98" s="539">
        <v>136</v>
      </c>
      <c r="H98" s="540">
        <f>F98*G98/1000000</f>
        <v>8.7039999999999999E-3</v>
      </c>
      <c r="I98" s="538">
        <v>4440.5</v>
      </c>
      <c r="J98" s="539">
        <v>268</v>
      </c>
      <c r="K98" s="540">
        <f t="shared" si="475"/>
        <v>1.1900539999999999</v>
      </c>
      <c r="L98" s="538"/>
      <c r="M98" s="539"/>
      <c r="N98" s="540">
        <f t="shared" si="476"/>
        <v>0</v>
      </c>
      <c r="O98" s="538">
        <v>1467.5</v>
      </c>
      <c r="P98" s="539">
        <v>175</v>
      </c>
      <c r="Q98" s="540">
        <f t="shared" si="477"/>
        <v>0.2568125</v>
      </c>
      <c r="R98" s="538"/>
      <c r="S98" s="539"/>
      <c r="T98" s="540">
        <f t="shared" si="478"/>
        <v>0</v>
      </c>
      <c r="U98" s="538"/>
      <c r="V98" s="629"/>
      <c r="W98" s="540">
        <f t="shared" si="479"/>
        <v>0</v>
      </c>
      <c r="X98" s="538"/>
      <c r="Y98" s="539">
        <f t="shared" si="464"/>
        <v>0</v>
      </c>
      <c r="Z98" s="540">
        <f t="shared" si="480"/>
        <v>0</v>
      </c>
      <c r="AA98" s="538"/>
      <c r="AB98" s="539">
        <f t="shared" si="465"/>
        <v>0</v>
      </c>
      <c r="AC98" s="540">
        <f t="shared" si="481"/>
        <v>0</v>
      </c>
      <c r="AD98" s="538"/>
      <c r="AE98" s="539">
        <f t="shared" si="466"/>
        <v>0</v>
      </c>
      <c r="AF98" s="540">
        <f t="shared" si="482"/>
        <v>0</v>
      </c>
      <c r="AG98" s="538"/>
      <c r="AH98" s="539">
        <f t="shared" si="467"/>
        <v>0</v>
      </c>
      <c r="AI98" s="540">
        <f t="shared" si="483"/>
        <v>0</v>
      </c>
      <c r="AJ98" s="538"/>
      <c r="AK98" s="539">
        <f t="shared" si="468"/>
        <v>0</v>
      </c>
      <c r="AL98" s="540">
        <f t="shared" si="484"/>
        <v>0</v>
      </c>
      <c r="AM98" s="538"/>
      <c r="AN98" s="539">
        <f t="shared" si="469"/>
        <v>0</v>
      </c>
      <c r="AO98" s="540">
        <f t="shared" si="485"/>
        <v>0</v>
      </c>
      <c r="AP98" s="538"/>
      <c r="AQ98" s="539">
        <f t="shared" si="470"/>
        <v>0</v>
      </c>
      <c r="AR98" s="540">
        <f t="shared" si="486"/>
        <v>0</v>
      </c>
      <c r="AS98" s="538"/>
      <c r="AT98" s="539">
        <f t="shared" si="471"/>
        <v>0</v>
      </c>
      <c r="AU98" s="540">
        <f t="shared" si="487"/>
        <v>0</v>
      </c>
      <c r="AV98" s="538"/>
      <c r="AW98" s="539">
        <f t="shared" si="472"/>
        <v>0</v>
      </c>
      <c r="AX98" s="540">
        <f t="shared" si="488"/>
        <v>0</v>
      </c>
      <c r="AY98" s="538"/>
      <c r="AZ98" s="539">
        <f t="shared" si="473"/>
        <v>0</v>
      </c>
      <c r="BA98" s="540">
        <f t="shared" si="489"/>
        <v>0</v>
      </c>
      <c r="BJ98" s="529">
        <f t="shared" ref="BJ98:BJ129" si="490">E98</f>
        <v>0</v>
      </c>
      <c r="BK98" s="529">
        <f t="shared" ref="BK98:BK129" si="491">H98</f>
        <v>8.7039999999999999E-3</v>
      </c>
      <c r="BL98" s="529">
        <f t="shared" ref="BL98:BL129" si="492">K98</f>
        <v>1.1900539999999999</v>
      </c>
      <c r="BM98" s="529">
        <f t="shared" ref="BM98:BM129" si="493">N98</f>
        <v>0</v>
      </c>
      <c r="BN98" s="529">
        <f t="shared" ref="BN98:BN129" si="494">Q98</f>
        <v>0.2568125</v>
      </c>
      <c r="BO98" s="529">
        <f t="shared" ref="BO98:BO129" si="495">T98</f>
        <v>0</v>
      </c>
      <c r="BP98" s="529">
        <f t="shared" ref="BP98:BP129" si="496">W98</f>
        <v>0</v>
      </c>
      <c r="BQ98" s="529">
        <f t="shared" ref="BQ98:BQ129" si="497">Z98</f>
        <v>0</v>
      </c>
      <c r="BR98" s="529">
        <f t="shared" ref="BR98:BR129" si="498">AC98</f>
        <v>0</v>
      </c>
      <c r="BS98" s="529">
        <f t="shared" ref="BS98:BS129" si="499">AF98</f>
        <v>0</v>
      </c>
      <c r="BT98" s="529">
        <f t="shared" ref="BT98:BT129" si="500">AI98</f>
        <v>0</v>
      </c>
      <c r="BU98" s="529">
        <f t="shared" ref="BU98:BU129" si="501">AL98</f>
        <v>0</v>
      </c>
      <c r="BV98" s="529">
        <f t="shared" ref="BV98:BV129" si="502">AO98</f>
        <v>0</v>
      </c>
      <c r="BW98" s="529">
        <f t="shared" ref="BW98:BW129" si="503">AR98</f>
        <v>0</v>
      </c>
      <c r="BX98" s="529">
        <f t="shared" si="309"/>
        <v>0</v>
      </c>
      <c r="BY98" s="529">
        <f t="shared" si="310"/>
        <v>0</v>
      </c>
      <c r="BZ98" s="529">
        <f t="shared" si="311"/>
        <v>0</v>
      </c>
      <c r="CB98" s="529">
        <f t="shared" ref="CB98:CB129" si="504">C98</f>
        <v>0</v>
      </c>
      <c r="CC98" s="529">
        <f t="shared" ref="CC98:CC129" si="505">F98</f>
        <v>64</v>
      </c>
      <c r="CD98" s="529">
        <f t="shared" ref="CD98:CD129" si="506">I98</f>
        <v>4440.5</v>
      </c>
      <c r="CE98" s="529">
        <f t="shared" ref="CE98:CE129" si="507">L98</f>
        <v>0</v>
      </c>
      <c r="CF98" s="529">
        <f t="shared" ref="CF98:CF129" si="508">O98</f>
        <v>1467.5</v>
      </c>
      <c r="CG98" s="529">
        <f t="shared" ref="CG98:CG129" si="509">R98</f>
        <v>0</v>
      </c>
      <c r="CH98" s="529">
        <f t="shared" ref="CH98:CH129" si="510">U98</f>
        <v>0</v>
      </c>
      <c r="CI98" s="529">
        <f t="shared" ref="CI98:CI129" si="511">X98</f>
        <v>0</v>
      </c>
      <c r="CJ98" s="529">
        <f t="shared" ref="CJ98:CJ129" si="512">AA98</f>
        <v>0</v>
      </c>
      <c r="CK98" s="529">
        <f t="shared" ref="CK98:CK129" si="513">AD98</f>
        <v>0</v>
      </c>
      <c r="CL98" s="529">
        <f t="shared" ref="CL98:CL129" si="514">AG98</f>
        <v>0</v>
      </c>
      <c r="CM98" s="529">
        <f t="shared" ref="CM98:CM129" si="515">AJ98</f>
        <v>0</v>
      </c>
      <c r="CN98" s="529">
        <f t="shared" ref="CN98:CN129" si="516">AM98</f>
        <v>0</v>
      </c>
      <c r="CO98" s="529">
        <f t="shared" ref="CO98:CO129" si="517">AP98</f>
        <v>0</v>
      </c>
      <c r="CP98" s="529">
        <f t="shared" si="312"/>
        <v>0</v>
      </c>
      <c r="CQ98" s="529">
        <f t="shared" si="313"/>
        <v>0</v>
      </c>
      <c r="CR98" s="529">
        <f t="shared" si="314"/>
        <v>0</v>
      </c>
    </row>
    <row r="99" spans="1:96" x14ac:dyDescent="0.2">
      <c r="A99" s="761"/>
      <c r="B99" s="537" t="s">
        <v>113</v>
      </c>
      <c r="C99" s="538"/>
      <c r="D99" s="549"/>
      <c r="E99" s="540">
        <f t="shared" si="474"/>
        <v>0</v>
      </c>
      <c r="F99" s="541"/>
      <c r="G99" s="539"/>
      <c r="H99" s="540">
        <f>F99*G99/1000000</f>
        <v>0</v>
      </c>
      <c r="I99" s="538"/>
      <c r="J99" s="539"/>
      <c r="K99" s="540">
        <f t="shared" si="475"/>
        <v>0</v>
      </c>
      <c r="L99" s="538"/>
      <c r="M99" s="539"/>
      <c r="N99" s="540">
        <f t="shared" si="476"/>
        <v>0</v>
      </c>
      <c r="O99" s="538"/>
      <c r="P99" s="539"/>
      <c r="Q99" s="540">
        <f t="shared" si="477"/>
        <v>0</v>
      </c>
      <c r="R99" s="538"/>
      <c r="S99" s="539"/>
      <c r="T99" s="540">
        <f t="shared" si="478"/>
        <v>0</v>
      </c>
      <c r="U99" s="538"/>
      <c r="V99" s="629"/>
      <c r="W99" s="540">
        <f t="shared" si="479"/>
        <v>0</v>
      </c>
      <c r="X99" s="538"/>
      <c r="Y99" s="539">
        <f t="shared" si="464"/>
        <v>0</v>
      </c>
      <c r="Z99" s="540">
        <f t="shared" si="480"/>
        <v>0</v>
      </c>
      <c r="AA99" s="538"/>
      <c r="AB99" s="539">
        <f t="shared" si="465"/>
        <v>0</v>
      </c>
      <c r="AC99" s="540">
        <f t="shared" si="481"/>
        <v>0</v>
      </c>
      <c r="AD99" s="538"/>
      <c r="AE99" s="539">
        <f t="shared" si="466"/>
        <v>0</v>
      </c>
      <c r="AF99" s="540">
        <f t="shared" si="482"/>
        <v>0</v>
      </c>
      <c r="AG99" s="538"/>
      <c r="AH99" s="539">
        <f t="shared" si="467"/>
        <v>0</v>
      </c>
      <c r="AI99" s="540">
        <f t="shared" si="483"/>
        <v>0</v>
      </c>
      <c r="AJ99" s="538"/>
      <c r="AK99" s="539">
        <f t="shared" si="468"/>
        <v>0</v>
      </c>
      <c r="AL99" s="540">
        <f t="shared" si="484"/>
        <v>0</v>
      </c>
      <c r="AM99" s="538"/>
      <c r="AN99" s="539">
        <f t="shared" si="469"/>
        <v>0</v>
      </c>
      <c r="AO99" s="540">
        <f t="shared" si="485"/>
        <v>0</v>
      </c>
      <c r="AP99" s="538"/>
      <c r="AQ99" s="539">
        <f t="shared" si="470"/>
        <v>0</v>
      </c>
      <c r="AR99" s="540">
        <f t="shared" si="486"/>
        <v>0</v>
      </c>
      <c r="AS99" s="538"/>
      <c r="AT99" s="539">
        <f t="shared" si="471"/>
        <v>0</v>
      </c>
      <c r="AU99" s="540">
        <f t="shared" si="487"/>
        <v>0</v>
      </c>
      <c r="AV99" s="538"/>
      <c r="AW99" s="539">
        <f t="shared" si="472"/>
        <v>0</v>
      </c>
      <c r="AX99" s="540">
        <f t="shared" si="488"/>
        <v>0</v>
      </c>
      <c r="AY99" s="538"/>
      <c r="AZ99" s="539">
        <f t="shared" si="473"/>
        <v>0</v>
      </c>
      <c r="BA99" s="540">
        <f t="shared" si="489"/>
        <v>0</v>
      </c>
      <c r="BJ99" s="529">
        <f t="shared" si="490"/>
        <v>0</v>
      </c>
      <c r="BK99" s="529">
        <f t="shared" si="491"/>
        <v>0</v>
      </c>
      <c r="BL99" s="529">
        <f t="shared" si="492"/>
        <v>0</v>
      </c>
      <c r="BM99" s="529">
        <f t="shared" si="493"/>
        <v>0</v>
      </c>
      <c r="BN99" s="529">
        <f t="shared" si="494"/>
        <v>0</v>
      </c>
      <c r="BO99" s="529">
        <f t="shared" si="495"/>
        <v>0</v>
      </c>
      <c r="BP99" s="529">
        <f t="shared" si="496"/>
        <v>0</v>
      </c>
      <c r="BQ99" s="529">
        <f t="shared" si="497"/>
        <v>0</v>
      </c>
      <c r="BR99" s="529">
        <f t="shared" si="498"/>
        <v>0</v>
      </c>
      <c r="BS99" s="529">
        <f t="shared" si="499"/>
        <v>0</v>
      </c>
      <c r="BT99" s="529">
        <f t="shared" si="500"/>
        <v>0</v>
      </c>
      <c r="BU99" s="529">
        <f t="shared" si="501"/>
        <v>0</v>
      </c>
      <c r="BV99" s="529">
        <f t="shared" si="502"/>
        <v>0</v>
      </c>
      <c r="BW99" s="529">
        <f t="shared" si="503"/>
        <v>0</v>
      </c>
      <c r="BX99" s="529">
        <f t="shared" si="309"/>
        <v>0</v>
      </c>
      <c r="BY99" s="529">
        <f t="shared" si="310"/>
        <v>0</v>
      </c>
      <c r="BZ99" s="529">
        <f t="shared" si="311"/>
        <v>0</v>
      </c>
      <c r="CB99" s="529">
        <f t="shared" si="504"/>
        <v>0</v>
      </c>
      <c r="CC99" s="529">
        <f t="shared" si="505"/>
        <v>0</v>
      </c>
      <c r="CD99" s="529">
        <f t="shared" si="506"/>
        <v>0</v>
      </c>
      <c r="CE99" s="529">
        <f t="shared" si="507"/>
        <v>0</v>
      </c>
      <c r="CF99" s="529">
        <f t="shared" si="508"/>
        <v>0</v>
      </c>
      <c r="CG99" s="529">
        <f t="shared" si="509"/>
        <v>0</v>
      </c>
      <c r="CH99" s="529">
        <f t="shared" si="510"/>
        <v>0</v>
      </c>
      <c r="CI99" s="529">
        <f t="shared" si="511"/>
        <v>0</v>
      </c>
      <c r="CJ99" s="529">
        <f t="shared" si="512"/>
        <v>0</v>
      </c>
      <c r="CK99" s="529">
        <f t="shared" si="513"/>
        <v>0</v>
      </c>
      <c r="CL99" s="529">
        <f t="shared" si="514"/>
        <v>0</v>
      </c>
      <c r="CM99" s="529">
        <f t="shared" si="515"/>
        <v>0</v>
      </c>
      <c r="CN99" s="529">
        <f t="shared" si="516"/>
        <v>0</v>
      </c>
      <c r="CO99" s="529">
        <f t="shared" si="517"/>
        <v>0</v>
      </c>
      <c r="CP99" s="529">
        <f t="shared" si="312"/>
        <v>0</v>
      </c>
      <c r="CQ99" s="529">
        <f t="shared" si="313"/>
        <v>0</v>
      </c>
      <c r="CR99" s="529">
        <f t="shared" si="314"/>
        <v>0</v>
      </c>
    </row>
    <row r="100" spans="1:96" ht="13.5" x14ac:dyDescent="0.25">
      <c r="A100" s="761"/>
      <c r="B100" s="537" t="s">
        <v>619</v>
      </c>
      <c r="C100" s="543">
        <f>C96*0.46+C97*0.46+C98*0.24+C99*0.24</f>
        <v>0</v>
      </c>
      <c r="D100" s="548"/>
      <c r="E100" s="545">
        <f>SUM(E96:E99)</f>
        <v>0</v>
      </c>
      <c r="F100" s="543">
        <f>F96*0.46+F97*0.46+F98*0.24+F99*0.24</f>
        <v>74.240000000000009</v>
      </c>
      <c r="G100" s="544"/>
      <c r="H100" s="545">
        <f>SUM(H96:H99)</f>
        <v>3.8528E-2</v>
      </c>
      <c r="I100" s="543">
        <f>I96*0.46+I97*0.46+I98*0.24+I99*0.24</f>
        <v>3405.4410000000007</v>
      </c>
      <c r="J100" s="544"/>
      <c r="K100" s="545">
        <f>SUM(K96:K99)</f>
        <v>2.8900065000000001</v>
      </c>
      <c r="L100" s="543">
        <f>L96*0.46+L97*0.46+L98*0.24+L99*0.24</f>
        <v>0</v>
      </c>
      <c r="M100" s="544"/>
      <c r="N100" s="545">
        <f>SUM(N96:N99)</f>
        <v>0</v>
      </c>
      <c r="O100" s="543">
        <f>O96*0.46+O97*0.46+O98*0.24+O99*0.24</f>
        <v>2680.444</v>
      </c>
      <c r="P100" s="544"/>
      <c r="Q100" s="545">
        <f>SUM(Q96:Q99)</f>
        <v>1.5006084999999998</v>
      </c>
      <c r="R100" s="543">
        <f>R96*0.46+R97*0.46+R98*0.24+R99*0.24</f>
        <v>330.096</v>
      </c>
      <c r="S100" s="544"/>
      <c r="T100" s="545">
        <f>SUM(T96:T99)</f>
        <v>0.139932</v>
      </c>
      <c r="U100" s="543">
        <f>U96*0.46+U97*0.46+U98*0.24+U99*0.24</f>
        <v>1380</v>
      </c>
      <c r="V100" s="630"/>
      <c r="W100" s="545">
        <f>SUM(W96:W99)</f>
        <v>1.26</v>
      </c>
      <c r="X100" s="543">
        <f>X96*0.46+X97*0.46+X98*0.24+X99*0.24</f>
        <v>1526.28</v>
      </c>
      <c r="Y100" s="548"/>
      <c r="Z100" s="545">
        <f>SUM(Z96:Z99)</f>
        <v>1.4366939999999999</v>
      </c>
      <c r="AA100" s="543">
        <f>AA96*0.46+AA97*0.46+AA98*0.24+AA99*0.24</f>
        <v>1293.98</v>
      </c>
      <c r="AB100" s="548"/>
      <c r="AC100" s="545">
        <f>SUM(AC96:AC99)</f>
        <v>1.2545980000000001</v>
      </c>
      <c r="AD100" s="543">
        <f>AD96*0.46+AD97*0.46+AD98*0.24+AD99*0.24</f>
        <v>1039.6000000000001</v>
      </c>
      <c r="AE100" s="548"/>
      <c r="AF100" s="545">
        <f>SUM(AF96:AF99)</f>
        <v>1.0373399999999999</v>
      </c>
      <c r="AG100" s="543">
        <f>AG96*0.46+AG97*0.46+AG98*0.24+AG99*0.24</f>
        <v>1039.6000000000001</v>
      </c>
      <c r="AH100" s="548"/>
      <c r="AI100" s="545">
        <f>SUM(AI96:AI99)</f>
        <v>1.06898</v>
      </c>
      <c r="AJ100" s="543">
        <f>AJ96*0.46+AJ97*0.46+AJ98*0.24+AJ99*0.24</f>
        <v>1039.6000000000001</v>
      </c>
      <c r="AK100" s="548"/>
      <c r="AL100" s="545">
        <f>SUM(AL96:AL99)</f>
        <v>1.1006199999999999</v>
      </c>
      <c r="AM100" s="543">
        <f>AM96*0.46+AM97*0.46+AM98*0.24+AM99*0.24</f>
        <v>1039.6000000000001</v>
      </c>
      <c r="AN100" s="548"/>
      <c r="AO100" s="545">
        <f>SUM(AO96:AO99)</f>
        <v>1.13452</v>
      </c>
      <c r="AP100" s="543">
        <f>AP96*0.46+AP97*0.46+AP98*0.24+AP99*0.24</f>
        <v>1039.6000000000001</v>
      </c>
      <c r="AQ100" s="548"/>
      <c r="AR100" s="545">
        <f>SUM(AR96:AR99)</f>
        <v>1.16842</v>
      </c>
      <c r="AS100" s="543">
        <f>AS96*0.46+AS97*0.46+AS98*0.24+AS99*0.24</f>
        <v>1039.6000000000001</v>
      </c>
      <c r="AT100" s="548"/>
      <c r="AU100" s="545">
        <f>SUM(AU96:AU99)</f>
        <v>1.20458</v>
      </c>
      <c r="AV100" s="543">
        <f>AV96*0.46+AV97*0.46+AV98*0.24+AV99*0.24</f>
        <v>1039.6000000000001</v>
      </c>
      <c r="AW100" s="548"/>
      <c r="AX100" s="545">
        <f>SUM(AX96:AX99)</f>
        <v>1.24074</v>
      </c>
      <c r="AY100" s="543">
        <f>AY96*0.46+AY97*0.46+AY98*0.24+AY99*0.24</f>
        <v>1039.6000000000001</v>
      </c>
      <c r="AZ100" s="548"/>
      <c r="BA100" s="545">
        <f>SUM(BA96:BA99)</f>
        <v>1.2768999999999999</v>
      </c>
      <c r="BJ100" s="529">
        <f t="shared" si="490"/>
        <v>0</v>
      </c>
      <c r="BK100" s="529">
        <f t="shared" si="491"/>
        <v>3.8528E-2</v>
      </c>
      <c r="BL100" s="529">
        <f t="shared" si="492"/>
        <v>2.8900065000000001</v>
      </c>
      <c r="BM100" s="529">
        <f t="shared" si="493"/>
        <v>0</v>
      </c>
      <c r="BN100" s="529">
        <f t="shared" si="494"/>
        <v>1.5006084999999998</v>
      </c>
      <c r="BO100" s="529">
        <f t="shared" si="495"/>
        <v>0.139932</v>
      </c>
      <c r="BP100" s="529">
        <f t="shared" si="496"/>
        <v>1.26</v>
      </c>
      <c r="BQ100" s="529">
        <f t="shared" si="497"/>
        <v>1.4366939999999999</v>
      </c>
      <c r="BR100" s="529">
        <f t="shared" si="498"/>
        <v>1.2545980000000001</v>
      </c>
      <c r="BS100" s="529">
        <f t="shared" si="499"/>
        <v>1.0373399999999999</v>
      </c>
      <c r="BT100" s="529">
        <f t="shared" si="500"/>
        <v>1.06898</v>
      </c>
      <c r="BU100" s="529">
        <f t="shared" si="501"/>
        <v>1.1006199999999999</v>
      </c>
      <c r="BV100" s="529">
        <f t="shared" si="502"/>
        <v>1.13452</v>
      </c>
      <c r="BW100" s="529">
        <f t="shared" si="503"/>
        <v>1.16842</v>
      </c>
      <c r="BX100" s="529">
        <f t="shared" si="309"/>
        <v>1.20458</v>
      </c>
      <c r="BY100" s="529">
        <f t="shared" si="310"/>
        <v>1.24074</v>
      </c>
      <c r="BZ100" s="529">
        <f t="shared" si="311"/>
        <v>1.2768999999999999</v>
      </c>
      <c r="CB100" s="529">
        <f t="shared" si="504"/>
        <v>0</v>
      </c>
      <c r="CC100" s="529">
        <f t="shared" si="505"/>
        <v>74.240000000000009</v>
      </c>
      <c r="CD100" s="529">
        <f t="shared" si="506"/>
        <v>3405.4410000000007</v>
      </c>
      <c r="CE100" s="529">
        <f t="shared" si="507"/>
        <v>0</v>
      </c>
      <c r="CF100" s="529">
        <f t="shared" si="508"/>
        <v>2680.444</v>
      </c>
      <c r="CG100" s="529">
        <f t="shared" si="509"/>
        <v>330.096</v>
      </c>
      <c r="CH100" s="529">
        <f t="shared" si="510"/>
        <v>1380</v>
      </c>
      <c r="CI100" s="529">
        <f t="shared" si="511"/>
        <v>1526.28</v>
      </c>
      <c r="CJ100" s="529">
        <f t="shared" si="512"/>
        <v>1293.98</v>
      </c>
      <c r="CK100" s="529">
        <f t="shared" si="513"/>
        <v>1039.6000000000001</v>
      </c>
      <c r="CL100" s="529">
        <f t="shared" si="514"/>
        <v>1039.6000000000001</v>
      </c>
      <c r="CM100" s="529">
        <f t="shared" si="515"/>
        <v>1039.6000000000001</v>
      </c>
      <c r="CN100" s="529">
        <f t="shared" si="516"/>
        <v>1039.6000000000001</v>
      </c>
      <c r="CO100" s="529">
        <f t="shared" si="517"/>
        <v>1039.6000000000001</v>
      </c>
      <c r="CP100" s="529">
        <f t="shared" si="312"/>
        <v>1039.6000000000001</v>
      </c>
      <c r="CQ100" s="529">
        <f t="shared" si="313"/>
        <v>1039.6000000000001</v>
      </c>
      <c r="CR100" s="529">
        <f t="shared" si="314"/>
        <v>1039.6000000000001</v>
      </c>
    </row>
    <row r="101" spans="1:96" x14ac:dyDescent="0.2">
      <c r="A101" s="761" t="s">
        <v>711</v>
      </c>
      <c r="B101" s="537" t="s">
        <v>494</v>
      </c>
      <c r="C101" s="538"/>
      <c r="D101" s="549"/>
      <c r="E101" s="540">
        <f>C101*D101/1000000</f>
        <v>0</v>
      </c>
      <c r="F101" s="541"/>
      <c r="G101" s="539"/>
      <c r="H101" s="540">
        <f>F101*G101/1000000</f>
        <v>0</v>
      </c>
      <c r="I101" s="538">
        <v>62.9</v>
      </c>
      <c r="J101" s="539">
        <v>860</v>
      </c>
      <c r="K101" s="540">
        <f>I101*J101/1000000</f>
        <v>5.4094000000000003E-2</v>
      </c>
      <c r="L101" s="538"/>
      <c r="M101" s="539"/>
      <c r="N101" s="540">
        <f>L101*M101/1000000</f>
        <v>0</v>
      </c>
      <c r="O101" s="538">
        <v>1218.2</v>
      </c>
      <c r="P101" s="539">
        <v>285</v>
      </c>
      <c r="Q101" s="540">
        <f>O101*P101/1000000</f>
        <v>0.34718700000000002</v>
      </c>
      <c r="R101" s="538">
        <v>812.5</v>
      </c>
      <c r="S101" s="539">
        <v>352</v>
      </c>
      <c r="T101" s="540">
        <f>R101*S101/1000000</f>
        <v>0.28599999999999998</v>
      </c>
      <c r="U101" s="538"/>
      <c r="V101" s="629"/>
      <c r="W101" s="540">
        <f>U101*V101/1000000</f>
        <v>0</v>
      </c>
      <c r="X101" s="538"/>
      <c r="Y101" s="539">
        <f t="shared" ref="Y101:Y103" si="518">ROUND(V101*(1+Y$1),0)</f>
        <v>0</v>
      </c>
      <c r="Z101" s="540">
        <f>X101*Y101/1000000</f>
        <v>0</v>
      </c>
      <c r="AA101" s="538"/>
      <c r="AB101" s="539">
        <f t="shared" ref="AB101:AB103" si="519">ROUND(Y101*(1+AB$1),0)</f>
        <v>0</v>
      </c>
      <c r="AC101" s="540">
        <f>AA101*AB101/1000000</f>
        <v>0</v>
      </c>
      <c r="AD101" s="538"/>
      <c r="AE101" s="539">
        <f t="shared" ref="AE101:AE103" si="520">ROUND(AB101*(1+AE$1),0)</f>
        <v>0</v>
      </c>
      <c r="AF101" s="540">
        <f>AD101*AE101/1000000</f>
        <v>0</v>
      </c>
      <c r="AG101" s="538"/>
      <c r="AH101" s="539">
        <f t="shared" ref="AH101:AH103" si="521">ROUND(AE101*(1+AH$1),0)</f>
        <v>0</v>
      </c>
      <c r="AI101" s="540">
        <f>AG101*AH101/1000000</f>
        <v>0</v>
      </c>
      <c r="AJ101" s="538"/>
      <c r="AK101" s="539">
        <f t="shared" ref="AK101:AK103" si="522">ROUND(AH101*(1+AK$1),0)</f>
        <v>0</v>
      </c>
      <c r="AL101" s="540">
        <f>AJ101*AK101/1000000</f>
        <v>0</v>
      </c>
      <c r="AM101" s="538"/>
      <c r="AN101" s="539">
        <f t="shared" ref="AN101:AN103" si="523">ROUND(AK101*(1+AN$1),0)</f>
        <v>0</v>
      </c>
      <c r="AO101" s="540">
        <f>AM101*AN101/1000000</f>
        <v>0</v>
      </c>
      <c r="AP101" s="538"/>
      <c r="AQ101" s="539">
        <f t="shared" ref="AQ101:AQ103" si="524">ROUND(AN101*(1+AQ$1),0)</f>
        <v>0</v>
      </c>
      <c r="AR101" s="540">
        <f>AP101*AQ101/1000000</f>
        <v>0</v>
      </c>
      <c r="AS101" s="538"/>
      <c r="AT101" s="539">
        <f t="shared" ref="AT101:AT103" si="525">ROUND(AQ101*(1+AT$1),0)</f>
        <v>0</v>
      </c>
      <c r="AU101" s="540">
        <f>AS101*AT101/1000000</f>
        <v>0</v>
      </c>
      <c r="AV101" s="538"/>
      <c r="AW101" s="539">
        <f t="shared" ref="AW101:AW103" si="526">ROUND(AT101*(1+AW$1),0)</f>
        <v>0</v>
      </c>
      <c r="AX101" s="540">
        <f>AV101*AW101/1000000</f>
        <v>0</v>
      </c>
      <c r="AY101" s="538"/>
      <c r="AZ101" s="539">
        <f t="shared" ref="AZ101:AZ103" si="527">ROUND(AW101*(1+AZ$1),0)</f>
        <v>0</v>
      </c>
      <c r="BA101" s="540">
        <f>AY101*AZ101/1000000</f>
        <v>0</v>
      </c>
      <c r="BJ101" s="529">
        <f t="shared" si="490"/>
        <v>0</v>
      </c>
      <c r="BK101" s="529">
        <f t="shared" si="491"/>
        <v>0</v>
      </c>
      <c r="BL101" s="529">
        <f t="shared" si="492"/>
        <v>5.4094000000000003E-2</v>
      </c>
      <c r="BM101" s="529">
        <f t="shared" si="493"/>
        <v>0</v>
      </c>
      <c r="BN101" s="529">
        <f t="shared" si="494"/>
        <v>0.34718700000000002</v>
      </c>
      <c r="BO101" s="529">
        <f t="shared" si="495"/>
        <v>0.28599999999999998</v>
      </c>
      <c r="BP101" s="529">
        <f t="shared" si="496"/>
        <v>0</v>
      </c>
      <c r="BQ101" s="529">
        <f t="shared" si="497"/>
        <v>0</v>
      </c>
      <c r="BR101" s="529">
        <f t="shared" si="498"/>
        <v>0</v>
      </c>
      <c r="BS101" s="529">
        <f t="shared" si="499"/>
        <v>0</v>
      </c>
      <c r="BT101" s="529">
        <f t="shared" si="500"/>
        <v>0</v>
      </c>
      <c r="BU101" s="529">
        <f t="shared" si="501"/>
        <v>0</v>
      </c>
      <c r="BV101" s="529">
        <f t="shared" si="502"/>
        <v>0</v>
      </c>
      <c r="BW101" s="529">
        <f t="shared" si="503"/>
        <v>0</v>
      </c>
      <c r="BX101" s="529">
        <f t="shared" si="309"/>
        <v>0</v>
      </c>
      <c r="BY101" s="529">
        <f t="shared" si="310"/>
        <v>0</v>
      </c>
      <c r="BZ101" s="529">
        <f t="shared" si="311"/>
        <v>0</v>
      </c>
      <c r="CB101" s="529">
        <f t="shared" si="504"/>
        <v>0</v>
      </c>
      <c r="CC101" s="529">
        <f t="shared" si="505"/>
        <v>0</v>
      </c>
      <c r="CD101" s="529">
        <f t="shared" si="506"/>
        <v>62.9</v>
      </c>
      <c r="CE101" s="529">
        <f t="shared" si="507"/>
        <v>0</v>
      </c>
      <c r="CF101" s="529">
        <f t="shared" si="508"/>
        <v>1218.2</v>
      </c>
      <c r="CG101" s="529">
        <f t="shared" si="509"/>
        <v>812.5</v>
      </c>
      <c r="CH101" s="529">
        <f t="shared" si="510"/>
        <v>0</v>
      </c>
      <c r="CI101" s="529">
        <f t="shared" si="511"/>
        <v>0</v>
      </c>
      <c r="CJ101" s="529">
        <f t="shared" si="512"/>
        <v>0</v>
      </c>
      <c r="CK101" s="529">
        <f t="shared" si="513"/>
        <v>0</v>
      </c>
      <c r="CL101" s="529">
        <f t="shared" si="514"/>
        <v>0</v>
      </c>
      <c r="CM101" s="529">
        <f t="shared" si="515"/>
        <v>0</v>
      </c>
      <c r="CN101" s="529">
        <f t="shared" si="516"/>
        <v>0</v>
      </c>
      <c r="CO101" s="529">
        <f t="shared" si="517"/>
        <v>0</v>
      </c>
      <c r="CP101" s="529">
        <f t="shared" si="312"/>
        <v>0</v>
      </c>
      <c r="CQ101" s="529">
        <f t="shared" si="313"/>
        <v>0</v>
      </c>
      <c r="CR101" s="529">
        <f t="shared" si="314"/>
        <v>0</v>
      </c>
    </row>
    <row r="102" spans="1:96" x14ac:dyDescent="0.2">
      <c r="A102" s="761"/>
      <c r="B102" s="537" t="s">
        <v>495</v>
      </c>
      <c r="C102" s="538"/>
      <c r="D102" s="549"/>
      <c r="E102" s="540">
        <f t="shared" ref="E102:E103" si="528">C102*D102/1000000</f>
        <v>0</v>
      </c>
      <c r="F102" s="541">
        <v>64</v>
      </c>
      <c r="G102" s="539">
        <v>135</v>
      </c>
      <c r="H102" s="540">
        <f>F102*G102/1000000</f>
        <v>8.6400000000000001E-3</v>
      </c>
      <c r="I102" s="538"/>
      <c r="J102" s="539"/>
      <c r="K102" s="540">
        <f t="shared" ref="K102:K103" si="529">I102*J102/1000000</f>
        <v>0</v>
      </c>
      <c r="L102" s="538"/>
      <c r="M102" s="539"/>
      <c r="N102" s="540">
        <f t="shared" ref="N102:N103" si="530">L102*M102/1000000</f>
        <v>0</v>
      </c>
      <c r="O102" s="538">
        <v>188.8</v>
      </c>
      <c r="P102" s="539">
        <v>170</v>
      </c>
      <c r="Q102" s="540">
        <f t="shared" ref="Q102:Q103" si="531">O102*P102/1000000</f>
        <v>3.2096000000000006E-2</v>
      </c>
      <c r="R102" s="538">
        <f>562.5+383.3</f>
        <v>945.8</v>
      </c>
      <c r="S102" s="539">
        <v>197</v>
      </c>
      <c r="T102" s="540">
        <f t="shared" ref="T102:T103" si="532">R102*S102/1000000</f>
        <v>0.18632259999999998</v>
      </c>
      <c r="U102" s="538"/>
      <c r="V102" s="629"/>
      <c r="W102" s="540">
        <f t="shared" ref="W102:W103" si="533">U102*V102/1000000</f>
        <v>0</v>
      </c>
      <c r="X102" s="538"/>
      <c r="Y102" s="539">
        <f t="shared" si="518"/>
        <v>0</v>
      </c>
      <c r="Z102" s="540">
        <f t="shared" ref="Z102:Z103" si="534">X102*Y102/1000000</f>
        <v>0</v>
      </c>
      <c r="AA102" s="538"/>
      <c r="AB102" s="539">
        <f t="shared" si="519"/>
        <v>0</v>
      </c>
      <c r="AC102" s="540">
        <f t="shared" ref="AC102:AC103" si="535">AA102*AB102/1000000</f>
        <v>0</v>
      </c>
      <c r="AD102" s="538"/>
      <c r="AE102" s="539">
        <f t="shared" si="520"/>
        <v>0</v>
      </c>
      <c r="AF102" s="540">
        <f t="shared" ref="AF102:AF103" si="536">AD102*AE102/1000000</f>
        <v>0</v>
      </c>
      <c r="AG102" s="538"/>
      <c r="AH102" s="539">
        <f t="shared" si="521"/>
        <v>0</v>
      </c>
      <c r="AI102" s="540">
        <f t="shared" ref="AI102:AI103" si="537">AG102*AH102/1000000</f>
        <v>0</v>
      </c>
      <c r="AJ102" s="538"/>
      <c r="AK102" s="539">
        <f t="shared" si="522"/>
        <v>0</v>
      </c>
      <c r="AL102" s="540">
        <f t="shared" ref="AL102:AL103" si="538">AJ102*AK102/1000000</f>
        <v>0</v>
      </c>
      <c r="AM102" s="538"/>
      <c r="AN102" s="539">
        <f t="shared" si="523"/>
        <v>0</v>
      </c>
      <c r="AO102" s="540">
        <f t="shared" ref="AO102:AO103" si="539">AM102*AN102/1000000</f>
        <v>0</v>
      </c>
      <c r="AP102" s="538"/>
      <c r="AQ102" s="539">
        <f t="shared" si="524"/>
        <v>0</v>
      </c>
      <c r="AR102" s="540">
        <f t="shared" ref="AR102:AR103" si="540">AP102*AQ102/1000000</f>
        <v>0</v>
      </c>
      <c r="AS102" s="538"/>
      <c r="AT102" s="539">
        <f t="shared" si="525"/>
        <v>0</v>
      </c>
      <c r="AU102" s="540">
        <f t="shared" ref="AU102:AU103" si="541">AS102*AT102/1000000</f>
        <v>0</v>
      </c>
      <c r="AV102" s="538"/>
      <c r="AW102" s="539">
        <f t="shared" si="526"/>
        <v>0</v>
      </c>
      <c r="AX102" s="540">
        <f t="shared" ref="AX102:AX103" si="542">AV102*AW102/1000000</f>
        <v>0</v>
      </c>
      <c r="AY102" s="538"/>
      <c r="AZ102" s="539">
        <f t="shared" si="527"/>
        <v>0</v>
      </c>
      <c r="BA102" s="540">
        <f t="shared" ref="BA102:BA103" si="543">AY102*AZ102/1000000</f>
        <v>0</v>
      </c>
      <c r="BJ102" s="529">
        <f t="shared" si="490"/>
        <v>0</v>
      </c>
      <c r="BK102" s="529">
        <f t="shared" si="491"/>
        <v>8.6400000000000001E-3</v>
      </c>
      <c r="BL102" s="529">
        <f t="shared" si="492"/>
        <v>0</v>
      </c>
      <c r="BM102" s="529">
        <f t="shared" si="493"/>
        <v>0</v>
      </c>
      <c r="BN102" s="529">
        <f t="shared" si="494"/>
        <v>3.2096000000000006E-2</v>
      </c>
      <c r="BO102" s="529">
        <f t="shared" si="495"/>
        <v>0.18632259999999998</v>
      </c>
      <c r="BP102" s="529">
        <f t="shared" si="496"/>
        <v>0</v>
      </c>
      <c r="BQ102" s="529">
        <f t="shared" si="497"/>
        <v>0</v>
      </c>
      <c r="BR102" s="529">
        <f t="shared" si="498"/>
        <v>0</v>
      </c>
      <c r="BS102" s="529">
        <f t="shared" si="499"/>
        <v>0</v>
      </c>
      <c r="BT102" s="529">
        <f t="shared" si="500"/>
        <v>0</v>
      </c>
      <c r="BU102" s="529">
        <f t="shared" si="501"/>
        <v>0</v>
      </c>
      <c r="BV102" s="529">
        <f t="shared" si="502"/>
        <v>0</v>
      </c>
      <c r="BW102" s="529">
        <f t="shared" si="503"/>
        <v>0</v>
      </c>
      <c r="BX102" s="529">
        <f t="shared" si="309"/>
        <v>0</v>
      </c>
      <c r="BY102" s="529">
        <f t="shared" si="310"/>
        <v>0</v>
      </c>
      <c r="BZ102" s="529">
        <f t="shared" si="311"/>
        <v>0</v>
      </c>
      <c r="CB102" s="529">
        <f t="shared" si="504"/>
        <v>0</v>
      </c>
      <c r="CC102" s="529">
        <f t="shared" si="505"/>
        <v>64</v>
      </c>
      <c r="CD102" s="529">
        <f t="shared" si="506"/>
        <v>0</v>
      </c>
      <c r="CE102" s="529">
        <f t="shared" si="507"/>
        <v>0</v>
      </c>
      <c r="CF102" s="529">
        <f t="shared" si="508"/>
        <v>188.8</v>
      </c>
      <c r="CG102" s="529">
        <f t="shared" si="509"/>
        <v>945.8</v>
      </c>
      <c r="CH102" s="529">
        <f t="shared" si="510"/>
        <v>0</v>
      </c>
      <c r="CI102" s="529">
        <f t="shared" si="511"/>
        <v>0</v>
      </c>
      <c r="CJ102" s="529">
        <f t="shared" si="512"/>
        <v>0</v>
      </c>
      <c r="CK102" s="529">
        <f t="shared" si="513"/>
        <v>0</v>
      </c>
      <c r="CL102" s="529">
        <f t="shared" si="514"/>
        <v>0</v>
      </c>
      <c r="CM102" s="529">
        <f t="shared" si="515"/>
        <v>0</v>
      </c>
      <c r="CN102" s="529">
        <f t="shared" si="516"/>
        <v>0</v>
      </c>
      <c r="CO102" s="529">
        <f t="shared" si="517"/>
        <v>0</v>
      </c>
      <c r="CP102" s="529">
        <f t="shared" si="312"/>
        <v>0</v>
      </c>
      <c r="CQ102" s="529">
        <f t="shared" si="313"/>
        <v>0</v>
      </c>
      <c r="CR102" s="529">
        <f t="shared" si="314"/>
        <v>0</v>
      </c>
    </row>
    <row r="103" spans="1:96" x14ac:dyDescent="0.2">
      <c r="A103" s="761"/>
      <c r="B103" s="537" t="s">
        <v>113</v>
      </c>
      <c r="C103" s="538"/>
      <c r="D103" s="549"/>
      <c r="E103" s="540">
        <f t="shared" si="528"/>
        <v>0</v>
      </c>
      <c r="F103" s="541"/>
      <c r="G103" s="539"/>
      <c r="H103" s="540">
        <f>F103*G103/1000000</f>
        <v>0</v>
      </c>
      <c r="I103" s="538"/>
      <c r="J103" s="539"/>
      <c r="K103" s="540">
        <f t="shared" si="529"/>
        <v>0</v>
      </c>
      <c r="L103" s="538"/>
      <c r="M103" s="539"/>
      <c r="N103" s="540">
        <f t="shared" si="530"/>
        <v>0</v>
      </c>
      <c r="O103" s="538"/>
      <c r="P103" s="539"/>
      <c r="Q103" s="540">
        <f t="shared" si="531"/>
        <v>0</v>
      </c>
      <c r="R103" s="538"/>
      <c r="S103" s="539"/>
      <c r="T103" s="540">
        <f t="shared" si="532"/>
        <v>0</v>
      </c>
      <c r="U103" s="538"/>
      <c r="V103" s="629"/>
      <c r="W103" s="540">
        <f t="shared" si="533"/>
        <v>0</v>
      </c>
      <c r="X103" s="538"/>
      <c r="Y103" s="539">
        <f t="shared" si="518"/>
        <v>0</v>
      </c>
      <c r="Z103" s="540">
        <f t="shared" si="534"/>
        <v>0</v>
      </c>
      <c r="AA103" s="538"/>
      <c r="AB103" s="539">
        <f t="shared" si="519"/>
        <v>0</v>
      </c>
      <c r="AC103" s="540">
        <f t="shared" si="535"/>
        <v>0</v>
      </c>
      <c r="AD103" s="538"/>
      <c r="AE103" s="539">
        <f t="shared" si="520"/>
        <v>0</v>
      </c>
      <c r="AF103" s="540">
        <f t="shared" si="536"/>
        <v>0</v>
      </c>
      <c r="AG103" s="538"/>
      <c r="AH103" s="539">
        <f t="shared" si="521"/>
        <v>0</v>
      </c>
      <c r="AI103" s="540">
        <f t="shared" si="537"/>
        <v>0</v>
      </c>
      <c r="AJ103" s="538"/>
      <c r="AK103" s="539">
        <f t="shared" si="522"/>
        <v>0</v>
      </c>
      <c r="AL103" s="540">
        <f t="shared" si="538"/>
        <v>0</v>
      </c>
      <c r="AM103" s="538"/>
      <c r="AN103" s="539">
        <f t="shared" si="523"/>
        <v>0</v>
      </c>
      <c r="AO103" s="540">
        <f t="shared" si="539"/>
        <v>0</v>
      </c>
      <c r="AP103" s="538"/>
      <c r="AQ103" s="539">
        <f t="shared" si="524"/>
        <v>0</v>
      </c>
      <c r="AR103" s="540">
        <f t="shared" si="540"/>
        <v>0</v>
      </c>
      <c r="AS103" s="538"/>
      <c r="AT103" s="539">
        <f t="shared" si="525"/>
        <v>0</v>
      </c>
      <c r="AU103" s="540">
        <f t="shared" si="541"/>
        <v>0</v>
      </c>
      <c r="AV103" s="538"/>
      <c r="AW103" s="539">
        <f t="shared" si="526"/>
        <v>0</v>
      </c>
      <c r="AX103" s="540">
        <f t="shared" si="542"/>
        <v>0</v>
      </c>
      <c r="AY103" s="538"/>
      <c r="AZ103" s="539">
        <f t="shared" si="527"/>
        <v>0</v>
      </c>
      <c r="BA103" s="540">
        <f t="shared" si="543"/>
        <v>0</v>
      </c>
      <c r="BJ103" s="529">
        <f t="shared" si="490"/>
        <v>0</v>
      </c>
      <c r="BK103" s="529">
        <f t="shared" si="491"/>
        <v>0</v>
      </c>
      <c r="BL103" s="529">
        <f t="shared" si="492"/>
        <v>0</v>
      </c>
      <c r="BM103" s="529">
        <f t="shared" si="493"/>
        <v>0</v>
      </c>
      <c r="BN103" s="529">
        <f t="shared" si="494"/>
        <v>0</v>
      </c>
      <c r="BO103" s="529">
        <f t="shared" si="495"/>
        <v>0</v>
      </c>
      <c r="BP103" s="529">
        <f t="shared" si="496"/>
        <v>0</v>
      </c>
      <c r="BQ103" s="529">
        <f t="shared" si="497"/>
        <v>0</v>
      </c>
      <c r="BR103" s="529">
        <f t="shared" si="498"/>
        <v>0</v>
      </c>
      <c r="BS103" s="529">
        <f t="shared" si="499"/>
        <v>0</v>
      </c>
      <c r="BT103" s="529">
        <f t="shared" si="500"/>
        <v>0</v>
      </c>
      <c r="BU103" s="529">
        <f t="shared" si="501"/>
        <v>0</v>
      </c>
      <c r="BV103" s="529">
        <f t="shared" si="502"/>
        <v>0</v>
      </c>
      <c r="BW103" s="529">
        <f t="shared" si="503"/>
        <v>0</v>
      </c>
      <c r="BX103" s="529">
        <f t="shared" si="309"/>
        <v>0</v>
      </c>
      <c r="BY103" s="529">
        <f t="shared" si="310"/>
        <v>0</v>
      </c>
      <c r="BZ103" s="529">
        <f t="shared" si="311"/>
        <v>0</v>
      </c>
      <c r="CB103" s="529">
        <f t="shared" si="504"/>
        <v>0</v>
      </c>
      <c r="CC103" s="529">
        <f t="shared" si="505"/>
        <v>0</v>
      </c>
      <c r="CD103" s="529">
        <f t="shared" si="506"/>
        <v>0</v>
      </c>
      <c r="CE103" s="529">
        <f t="shared" si="507"/>
        <v>0</v>
      </c>
      <c r="CF103" s="529">
        <f t="shared" si="508"/>
        <v>0</v>
      </c>
      <c r="CG103" s="529">
        <f t="shared" si="509"/>
        <v>0</v>
      </c>
      <c r="CH103" s="529">
        <f t="shared" si="510"/>
        <v>0</v>
      </c>
      <c r="CI103" s="529">
        <f t="shared" si="511"/>
        <v>0</v>
      </c>
      <c r="CJ103" s="529">
        <f t="shared" si="512"/>
        <v>0</v>
      </c>
      <c r="CK103" s="529">
        <f t="shared" si="513"/>
        <v>0</v>
      </c>
      <c r="CL103" s="529">
        <f t="shared" si="514"/>
        <v>0</v>
      </c>
      <c r="CM103" s="529">
        <f t="shared" si="515"/>
        <v>0</v>
      </c>
      <c r="CN103" s="529">
        <f t="shared" si="516"/>
        <v>0</v>
      </c>
      <c r="CO103" s="529">
        <f t="shared" si="517"/>
        <v>0</v>
      </c>
      <c r="CP103" s="529">
        <f t="shared" si="312"/>
        <v>0</v>
      </c>
      <c r="CQ103" s="529">
        <f t="shared" si="313"/>
        <v>0</v>
      </c>
      <c r="CR103" s="529">
        <f t="shared" si="314"/>
        <v>0</v>
      </c>
    </row>
    <row r="104" spans="1:96" ht="14.25" thickBot="1" x14ac:dyDescent="0.3">
      <c r="A104" s="761"/>
      <c r="B104" s="537" t="s">
        <v>619</v>
      </c>
      <c r="C104" s="538">
        <f>C101*0.46+C102*0.24+C103*0.24</f>
        <v>0</v>
      </c>
      <c r="D104" s="549"/>
      <c r="E104" s="540">
        <f>SUM(E101:E103)</f>
        <v>0</v>
      </c>
      <c r="F104" s="541">
        <f>F101*0.46+F102*0.24+F103*0.24</f>
        <v>15.36</v>
      </c>
      <c r="G104" s="539"/>
      <c r="H104" s="540">
        <f>SUM(H101:H103)</f>
        <v>8.6400000000000001E-3</v>
      </c>
      <c r="I104" s="538">
        <f>I101*0.46+I102*0.24+I103*0.24</f>
        <v>28.934000000000001</v>
      </c>
      <c r="J104" s="539"/>
      <c r="K104" s="540">
        <f>SUM(K101:K103)</f>
        <v>5.4094000000000003E-2</v>
      </c>
      <c r="L104" s="538">
        <f>L101*0.46+L102*0.24+L103*0.24</f>
        <v>0</v>
      </c>
      <c r="M104" s="539"/>
      <c r="N104" s="540">
        <f>SUM(N101:N103)</f>
        <v>0</v>
      </c>
      <c r="O104" s="538">
        <f>O101*0.46+O102*0.24+O103*0.24</f>
        <v>605.68400000000008</v>
      </c>
      <c r="P104" s="539"/>
      <c r="Q104" s="540">
        <f>SUM(Q101:Q103)</f>
        <v>0.37928300000000004</v>
      </c>
      <c r="R104" s="538">
        <f>R101*0.46+R102*0.24+R103*0.24</f>
        <v>600.74199999999996</v>
      </c>
      <c r="S104" s="539"/>
      <c r="T104" s="540">
        <f>SUM(T101:T103)</f>
        <v>0.47232259999999993</v>
      </c>
      <c r="U104" s="538">
        <f>U101*0.46+U102*0.24+U103*0.24</f>
        <v>0</v>
      </c>
      <c r="V104" s="629"/>
      <c r="W104" s="540">
        <f>SUM(W101:W103)</f>
        <v>0</v>
      </c>
      <c r="X104" s="538">
        <f>X101*0.46+X102*0.24+X103*0.24</f>
        <v>0</v>
      </c>
      <c r="Y104" s="549"/>
      <c r="Z104" s="540">
        <f>SUM(Z101:Z103)</f>
        <v>0</v>
      </c>
      <c r="AA104" s="538">
        <f>AA101*0.46+AA102*0.24+AA103*0.24</f>
        <v>0</v>
      </c>
      <c r="AB104" s="549"/>
      <c r="AC104" s="540">
        <f>SUM(AC101:AC103)</f>
        <v>0</v>
      </c>
      <c r="AD104" s="538">
        <f>AD101*0.46+AD102*0.24+AD103*0.24</f>
        <v>0</v>
      </c>
      <c r="AE104" s="549"/>
      <c r="AF104" s="540">
        <f>SUM(AF101:AF103)</f>
        <v>0</v>
      </c>
      <c r="AG104" s="538">
        <f>AG101*0.46+AG102*0.24+AG103*0.24</f>
        <v>0</v>
      </c>
      <c r="AH104" s="549"/>
      <c r="AI104" s="540">
        <f>SUM(AI101:AI103)</f>
        <v>0</v>
      </c>
      <c r="AJ104" s="538">
        <f>AJ101*0.46+AJ102*0.24+AJ103*0.24</f>
        <v>0</v>
      </c>
      <c r="AK104" s="549"/>
      <c r="AL104" s="540">
        <f>SUM(AL101:AL103)</f>
        <v>0</v>
      </c>
      <c r="AM104" s="538">
        <f>AM101*0.46+AM102*0.24+AM103*0.24</f>
        <v>0</v>
      </c>
      <c r="AN104" s="549"/>
      <c r="AO104" s="540">
        <f>SUM(AO101:AO103)</f>
        <v>0</v>
      </c>
      <c r="AP104" s="538">
        <f>AP101*0.46+AP102*0.24+AP103*0.24</f>
        <v>0</v>
      </c>
      <c r="AQ104" s="549"/>
      <c r="AR104" s="540">
        <f>SUM(AR101:AR103)</f>
        <v>0</v>
      </c>
      <c r="AS104" s="538">
        <f>AS101*0.46+AS102*0.24+AS103*0.24</f>
        <v>0</v>
      </c>
      <c r="AT104" s="549"/>
      <c r="AU104" s="540">
        <f>SUM(AU101:AU103)</f>
        <v>0</v>
      </c>
      <c r="AV104" s="538">
        <f>AV101*0.46+AV102*0.24+AV103*0.24</f>
        <v>0</v>
      </c>
      <c r="AW104" s="549"/>
      <c r="AX104" s="540">
        <f>SUM(AX101:AX103)</f>
        <v>0</v>
      </c>
      <c r="AY104" s="538">
        <f>AY101*0.46+AY102*0.24+AY103*0.24</f>
        <v>0</v>
      </c>
      <c r="AZ104" s="549"/>
      <c r="BA104" s="540">
        <f>SUM(BA101:BA103)</f>
        <v>0</v>
      </c>
      <c r="BJ104" s="529">
        <f t="shared" si="490"/>
        <v>0</v>
      </c>
      <c r="BK104" s="529">
        <f t="shared" si="491"/>
        <v>8.6400000000000001E-3</v>
      </c>
      <c r="BL104" s="529">
        <f t="shared" si="492"/>
        <v>5.4094000000000003E-2</v>
      </c>
      <c r="BM104" s="529">
        <f t="shared" si="493"/>
        <v>0</v>
      </c>
      <c r="BN104" s="529">
        <f t="shared" si="494"/>
        <v>0.37928300000000004</v>
      </c>
      <c r="BO104" s="529">
        <f t="shared" si="495"/>
        <v>0.47232259999999993</v>
      </c>
      <c r="BP104" s="529">
        <f t="shared" si="496"/>
        <v>0</v>
      </c>
      <c r="BQ104" s="529">
        <f t="shared" si="497"/>
        <v>0</v>
      </c>
      <c r="BR104" s="529">
        <f t="shared" si="498"/>
        <v>0</v>
      </c>
      <c r="BS104" s="529">
        <f t="shared" si="499"/>
        <v>0</v>
      </c>
      <c r="BT104" s="529">
        <f t="shared" si="500"/>
        <v>0</v>
      </c>
      <c r="BU104" s="529">
        <f t="shared" si="501"/>
        <v>0</v>
      </c>
      <c r="BV104" s="529">
        <f t="shared" si="502"/>
        <v>0</v>
      </c>
      <c r="BW104" s="529">
        <f t="shared" si="503"/>
        <v>0</v>
      </c>
      <c r="BX104" s="529">
        <f t="shared" si="309"/>
        <v>0</v>
      </c>
      <c r="BY104" s="529">
        <f t="shared" si="310"/>
        <v>0</v>
      </c>
      <c r="BZ104" s="529">
        <f t="shared" si="311"/>
        <v>0</v>
      </c>
      <c r="CB104" s="529">
        <f t="shared" si="504"/>
        <v>0</v>
      </c>
      <c r="CC104" s="529">
        <f t="shared" si="505"/>
        <v>15.36</v>
      </c>
      <c r="CD104" s="529">
        <f t="shared" si="506"/>
        <v>28.934000000000001</v>
      </c>
      <c r="CE104" s="529">
        <f t="shared" si="507"/>
        <v>0</v>
      </c>
      <c r="CF104" s="529">
        <f t="shared" si="508"/>
        <v>605.68400000000008</v>
      </c>
      <c r="CG104" s="529">
        <f t="shared" si="509"/>
        <v>600.74199999999996</v>
      </c>
      <c r="CH104" s="529">
        <f t="shared" si="510"/>
        <v>0</v>
      </c>
      <c r="CI104" s="529">
        <f t="shared" si="511"/>
        <v>0</v>
      </c>
      <c r="CJ104" s="529">
        <f t="shared" si="512"/>
        <v>0</v>
      </c>
      <c r="CK104" s="529">
        <f t="shared" si="513"/>
        <v>0</v>
      </c>
      <c r="CL104" s="529">
        <f t="shared" si="514"/>
        <v>0</v>
      </c>
      <c r="CM104" s="529">
        <f t="shared" si="515"/>
        <v>0</v>
      </c>
      <c r="CN104" s="529">
        <f t="shared" si="516"/>
        <v>0</v>
      </c>
      <c r="CO104" s="529">
        <f t="shared" si="517"/>
        <v>0</v>
      </c>
      <c r="CP104" s="529">
        <f t="shared" si="312"/>
        <v>0</v>
      </c>
      <c r="CQ104" s="529">
        <f t="shared" si="313"/>
        <v>0</v>
      </c>
      <c r="CR104" s="529">
        <f t="shared" si="314"/>
        <v>0</v>
      </c>
    </row>
    <row r="105" spans="1:96" x14ac:dyDescent="0.2">
      <c r="A105" s="754" t="s">
        <v>503</v>
      </c>
      <c r="B105" s="550" t="s">
        <v>494</v>
      </c>
      <c r="C105" s="551">
        <f>SUMIF($B$92:$B$104,$B105,C$92:C$104)</f>
        <v>0</v>
      </c>
      <c r="D105" s="552"/>
      <c r="E105" s="553">
        <f>SUMIF($B$92:$B$104,$B105,E$92:E$104)</f>
        <v>0</v>
      </c>
      <c r="F105" s="551">
        <f t="shared" ref="F105:R109" si="544">SUMIF($B$92:$B$104,$B105,F$92:F$104)</f>
        <v>128</v>
      </c>
      <c r="G105" s="552"/>
      <c r="H105" s="553">
        <f>SUMIF($B$92:$B$104,$B105,H$92:H$104)</f>
        <v>2.9824E-2</v>
      </c>
      <c r="I105" s="551">
        <f t="shared" ref="I105" si="545">SUMIF($B$92:$B$104,$B105,I$92:I$104)</f>
        <v>2668.4500000000003</v>
      </c>
      <c r="J105" s="552"/>
      <c r="K105" s="553">
        <f>SUMIF($B$92:$B$104,$B105,K$92:K$104)</f>
        <v>1.3620801000000002</v>
      </c>
      <c r="L105" s="551">
        <f t="shared" ref="L105" si="546">SUMIF($B$92:$B$104,$B105,L$92:L$104)</f>
        <v>0</v>
      </c>
      <c r="M105" s="552"/>
      <c r="N105" s="553">
        <f>SUMIF($B$92:$B$104,$B105,N$92:N$104)</f>
        <v>0</v>
      </c>
      <c r="O105" s="551">
        <f t="shared" ref="O105" si="547">SUMIF($B$92:$B$104,$B105,O$92:O$104)</f>
        <v>3921.6000000000004</v>
      </c>
      <c r="P105" s="552"/>
      <c r="Q105" s="553">
        <f>SUMIF($B$92:$B$104,$B105,Q$92:Q$104)</f>
        <v>1.131173</v>
      </c>
      <c r="R105" s="551">
        <f t="shared" ref="R105" si="548">SUMIF($B$92:$B$104,$B105,R$92:R$104)</f>
        <v>812.5</v>
      </c>
      <c r="S105" s="552"/>
      <c r="T105" s="553">
        <f>SUMIF($B$92:$B$104,$B105,T$92:T$104)</f>
        <v>0.28599999999999998</v>
      </c>
      <c r="U105" s="551">
        <f>SUMIF($B$92:$B$104,$B105,U$92:U$104)</f>
        <v>3000</v>
      </c>
      <c r="V105" s="631">
        <f>+W105*1000000/U105</f>
        <v>420</v>
      </c>
      <c r="W105" s="570">
        <f>SUMIF($B$92:$B$104,$B105,W$92:W$104)</f>
        <v>1.26</v>
      </c>
      <c r="X105" s="551">
        <f>SUMIF($B$92:$B$104,$B105,X$92:X$104)</f>
        <v>3318</v>
      </c>
      <c r="Y105" s="552"/>
      <c r="Z105" s="570">
        <f>SUMIF($B$92:$B$104,$B105,Z$92:Z$104)</f>
        <v>1.4366939999999999</v>
      </c>
      <c r="AA105" s="551">
        <f>SUMIF($B$92:$B$104,$B105,AA$92:AA$104)</f>
        <v>2813</v>
      </c>
      <c r="AB105" s="552"/>
      <c r="AC105" s="570">
        <f>SUMIF($B$92:$B$104,$B105,AC$92:AC$104)</f>
        <v>1.2545980000000001</v>
      </c>
      <c r="AD105" s="551">
        <f>SUMIF($B$92:$B$104,$B105,AD$92:AD$104)</f>
        <v>2260</v>
      </c>
      <c r="AE105" s="552"/>
      <c r="AF105" s="570">
        <f>SUMIF($B$92:$B$104,$B105,AF$92:AF$104)</f>
        <v>1.0373399999999999</v>
      </c>
      <c r="AG105" s="551">
        <f>SUMIF($B$92:$B$104,$B105,AG$92:AG$104)</f>
        <v>2260</v>
      </c>
      <c r="AH105" s="552"/>
      <c r="AI105" s="570">
        <f>SUMIF($B$92:$B$104,$B105,AI$92:AI$104)</f>
        <v>1.06898</v>
      </c>
      <c r="AJ105" s="551">
        <f>SUMIF($B$92:$B$104,$B105,AJ$92:AJ$104)</f>
        <v>2260</v>
      </c>
      <c r="AK105" s="552"/>
      <c r="AL105" s="570">
        <f>SUMIF($B$92:$B$104,$B105,AL$92:AL$104)</f>
        <v>1.1006199999999999</v>
      </c>
      <c r="AM105" s="551">
        <f>SUMIF($B$92:$B$104,$B105,AM$92:AM$104)</f>
        <v>2260</v>
      </c>
      <c r="AN105" s="552"/>
      <c r="AO105" s="570">
        <f>SUMIF($B$92:$B$104,$B105,AO$92:AO$104)</f>
        <v>1.13452</v>
      </c>
      <c r="AP105" s="551">
        <f>SUMIF($B$92:$B$104,$B105,AP$92:AP$104)</f>
        <v>2260</v>
      </c>
      <c r="AQ105" s="552"/>
      <c r="AR105" s="570">
        <f>SUMIF($B$92:$B$104,$B105,AR$92:AR$104)</f>
        <v>1.16842</v>
      </c>
      <c r="AS105" s="551">
        <f>SUMIF($B$92:$B$104,$B105,AS$92:AS$104)</f>
        <v>2260</v>
      </c>
      <c r="AT105" s="552"/>
      <c r="AU105" s="570">
        <f>SUMIF($B$92:$B$104,$B105,AU$92:AU$104)</f>
        <v>1.20458</v>
      </c>
      <c r="AV105" s="551">
        <f>SUMIF($B$92:$B$104,$B105,AV$92:AV$104)</f>
        <v>2260</v>
      </c>
      <c r="AW105" s="552"/>
      <c r="AX105" s="570">
        <f>SUMIF($B$92:$B$104,$B105,AX$92:AX$104)</f>
        <v>1.24074</v>
      </c>
      <c r="AY105" s="551">
        <f>SUMIF($B$92:$B$104,$B105,AY$92:AY$104)</f>
        <v>2260</v>
      </c>
      <c r="AZ105" s="552"/>
      <c r="BA105" s="570">
        <f>SUMIF($B$92:$B$104,$B105,BA$92:BA$104)</f>
        <v>1.2768999999999999</v>
      </c>
      <c r="BJ105" s="529">
        <f t="shared" si="490"/>
        <v>0</v>
      </c>
      <c r="BK105" s="529">
        <f t="shared" si="491"/>
        <v>2.9824E-2</v>
      </c>
      <c r="BL105" s="529">
        <f t="shared" si="492"/>
        <v>1.3620801000000002</v>
      </c>
      <c r="BM105" s="529">
        <f t="shared" si="493"/>
        <v>0</v>
      </c>
      <c r="BN105" s="529">
        <f t="shared" si="494"/>
        <v>1.131173</v>
      </c>
      <c r="BO105" s="529">
        <f t="shared" si="495"/>
        <v>0.28599999999999998</v>
      </c>
      <c r="BP105" s="529">
        <f t="shared" si="496"/>
        <v>1.26</v>
      </c>
      <c r="BQ105" s="529">
        <f t="shared" si="497"/>
        <v>1.4366939999999999</v>
      </c>
      <c r="BR105" s="529">
        <f t="shared" si="498"/>
        <v>1.2545980000000001</v>
      </c>
      <c r="BS105" s="529">
        <f t="shared" si="499"/>
        <v>1.0373399999999999</v>
      </c>
      <c r="BT105" s="529">
        <f t="shared" si="500"/>
        <v>1.06898</v>
      </c>
      <c r="BU105" s="529">
        <f t="shared" si="501"/>
        <v>1.1006199999999999</v>
      </c>
      <c r="BV105" s="529">
        <f t="shared" si="502"/>
        <v>1.13452</v>
      </c>
      <c r="BW105" s="529">
        <f t="shared" si="503"/>
        <v>1.16842</v>
      </c>
      <c r="BX105" s="529">
        <f t="shared" si="309"/>
        <v>1.20458</v>
      </c>
      <c r="BY105" s="529">
        <f t="shared" si="310"/>
        <v>1.24074</v>
      </c>
      <c r="BZ105" s="529">
        <f t="shared" si="311"/>
        <v>1.2768999999999999</v>
      </c>
      <c r="CB105" s="529">
        <f t="shared" si="504"/>
        <v>0</v>
      </c>
      <c r="CC105" s="529">
        <f t="shared" si="505"/>
        <v>128</v>
      </c>
      <c r="CD105" s="529">
        <f t="shared" si="506"/>
        <v>2668.4500000000003</v>
      </c>
      <c r="CE105" s="529">
        <f t="shared" si="507"/>
        <v>0</v>
      </c>
      <c r="CF105" s="529">
        <f t="shared" si="508"/>
        <v>3921.6000000000004</v>
      </c>
      <c r="CG105" s="529">
        <f t="shared" si="509"/>
        <v>812.5</v>
      </c>
      <c r="CH105" s="529">
        <f t="shared" si="510"/>
        <v>3000</v>
      </c>
      <c r="CI105" s="529">
        <f t="shared" si="511"/>
        <v>3318</v>
      </c>
      <c r="CJ105" s="529">
        <f t="shared" si="512"/>
        <v>2813</v>
      </c>
      <c r="CK105" s="529">
        <f t="shared" si="513"/>
        <v>2260</v>
      </c>
      <c r="CL105" s="529">
        <f t="shared" si="514"/>
        <v>2260</v>
      </c>
      <c r="CM105" s="529">
        <f t="shared" si="515"/>
        <v>2260</v>
      </c>
      <c r="CN105" s="529">
        <f t="shared" si="516"/>
        <v>2260</v>
      </c>
      <c r="CO105" s="529">
        <f t="shared" si="517"/>
        <v>2260</v>
      </c>
      <c r="CP105" s="529">
        <f t="shared" si="312"/>
        <v>2260</v>
      </c>
      <c r="CQ105" s="529">
        <f t="shared" si="313"/>
        <v>2260</v>
      </c>
      <c r="CR105" s="529">
        <f t="shared" si="314"/>
        <v>2260</v>
      </c>
    </row>
    <row r="106" spans="1:96" x14ac:dyDescent="0.2">
      <c r="A106" s="755"/>
      <c r="B106" s="555" t="s">
        <v>618</v>
      </c>
      <c r="C106" s="559">
        <f t="shared" ref="C106:C109" si="549">SUMIF($B$92:$B$104,$B106,C$92:C$104)</f>
        <v>0</v>
      </c>
      <c r="D106" s="557"/>
      <c r="E106" s="558">
        <f>SUMIF($B$92:$B$104,$B106,E$92:E$104)</f>
        <v>0</v>
      </c>
      <c r="F106" s="559">
        <f t="shared" si="544"/>
        <v>0</v>
      </c>
      <c r="G106" s="557"/>
      <c r="H106" s="558">
        <f>SUMIF($B$92:$B$104,$B106,H$92:H$104)</f>
        <v>0</v>
      </c>
      <c r="I106" s="559">
        <f t="shared" si="544"/>
        <v>2480.8000000000002</v>
      </c>
      <c r="J106" s="557"/>
      <c r="K106" s="558">
        <f>SUMIF($B$92:$B$104,$B106,K$92:K$104)</f>
        <v>0.39196640000000005</v>
      </c>
      <c r="L106" s="559">
        <f t="shared" si="544"/>
        <v>0</v>
      </c>
      <c r="M106" s="557"/>
      <c r="N106" s="558">
        <f>SUMIF($B$92:$B$104,$B106,N$92:N$104)</f>
        <v>0</v>
      </c>
      <c r="O106" s="559">
        <f t="shared" si="544"/>
        <v>2358</v>
      </c>
      <c r="P106" s="557"/>
      <c r="Q106" s="558">
        <f>SUMIF($B$92:$B$104,$B106,Q$92:Q$104)</f>
        <v>0.45981</v>
      </c>
      <c r="R106" s="559">
        <f t="shared" si="544"/>
        <v>717.6</v>
      </c>
      <c r="S106" s="557"/>
      <c r="T106" s="558">
        <f>SUMIF($B$92:$B$104,$B106,T$92:T$104)</f>
        <v>0.139932</v>
      </c>
      <c r="U106" s="559">
        <f>SUMIF($B$92:$B$104,$B106,U$92:U$104)</f>
        <v>0</v>
      </c>
      <c r="V106" s="632"/>
      <c r="W106" s="558">
        <f t="shared" ref="W106:W109" si="550">SUMIF($B$92:$B$104,$B106,W$92:W$104)</f>
        <v>0</v>
      </c>
      <c r="X106" s="559">
        <f>SUMIF($B$92:$B$104,$B106,X$92:X$104)</f>
        <v>0</v>
      </c>
      <c r="Y106" s="557"/>
      <c r="Z106" s="558">
        <f t="shared" ref="X106:AA109" si="551">SUMIF($B$92:$B$104,$B106,Z$92:Z$104)</f>
        <v>0</v>
      </c>
      <c r="AA106" s="559">
        <f>SUMIF($B$92:$B$104,$B106,AA$92:AA$104)</f>
        <v>0</v>
      </c>
      <c r="AB106" s="557"/>
      <c r="AC106" s="558">
        <f t="shared" ref="AC106:AD109" si="552">SUMIF($B$92:$B$104,$B106,AC$92:AC$104)</f>
        <v>0</v>
      </c>
      <c r="AD106" s="559">
        <f>SUMIF($B$92:$B$104,$B106,AD$92:AD$104)</f>
        <v>0</v>
      </c>
      <c r="AE106" s="557"/>
      <c r="AF106" s="558">
        <f t="shared" ref="AF106:AG109" si="553">SUMIF($B$92:$B$104,$B106,AF$92:AF$104)</f>
        <v>0</v>
      </c>
      <c r="AG106" s="559">
        <f>SUMIF($B$92:$B$104,$B106,AG$92:AG$104)</f>
        <v>0</v>
      </c>
      <c r="AH106" s="557"/>
      <c r="AI106" s="558">
        <f t="shared" ref="AI106:AJ109" si="554">SUMIF($B$92:$B$104,$B106,AI$92:AI$104)</f>
        <v>0</v>
      </c>
      <c r="AJ106" s="559">
        <f>SUMIF($B$92:$B$104,$B106,AJ$92:AJ$104)</f>
        <v>0</v>
      </c>
      <c r="AK106" s="557"/>
      <c r="AL106" s="558">
        <f t="shared" ref="AL106:AM109" si="555">SUMIF($B$92:$B$104,$B106,AL$92:AL$104)</f>
        <v>0</v>
      </c>
      <c r="AM106" s="559">
        <f>SUMIF($B$92:$B$104,$B106,AM$92:AM$104)</f>
        <v>0</v>
      </c>
      <c r="AN106" s="557"/>
      <c r="AO106" s="558">
        <f t="shared" ref="AO106:AP109" si="556">SUMIF($B$92:$B$104,$B106,AO$92:AO$104)</f>
        <v>0</v>
      </c>
      <c r="AP106" s="559">
        <f>SUMIF($B$92:$B$104,$B106,AP$92:AP$104)</f>
        <v>0</v>
      </c>
      <c r="AQ106" s="557"/>
      <c r="AR106" s="558">
        <f t="shared" ref="AR106:AS109" si="557">SUMIF($B$92:$B$104,$B106,AR$92:AR$104)</f>
        <v>0</v>
      </c>
      <c r="AS106" s="559">
        <f>SUMIF($B$92:$B$104,$B106,AS$92:AS$104)</f>
        <v>0</v>
      </c>
      <c r="AT106" s="557"/>
      <c r="AU106" s="558">
        <f t="shared" ref="AU106:AV109" si="558">SUMIF($B$92:$B$104,$B106,AU$92:AU$104)</f>
        <v>0</v>
      </c>
      <c r="AV106" s="559">
        <f>SUMIF($B$92:$B$104,$B106,AV$92:AV$104)</f>
        <v>0</v>
      </c>
      <c r="AW106" s="557"/>
      <c r="AX106" s="558">
        <f t="shared" ref="AX106:AY109" si="559">SUMIF($B$92:$B$104,$B106,AX$92:AX$104)</f>
        <v>0</v>
      </c>
      <c r="AY106" s="559">
        <f>SUMIF($B$92:$B$104,$B106,AY$92:AY$104)</f>
        <v>0</v>
      </c>
      <c r="AZ106" s="557"/>
      <c r="BA106" s="558">
        <f t="shared" ref="BA106:BA109" si="560">SUMIF($B$92:$B$104,$B106,BA$92:BA$104)</f>
        <v>0</v>
      </c>
      <c r="BJ106" s="529">
        <f t="shared" si="490"/>
        <v>0</v>
      </c>
      <c r="BK106" s="529">
        <f t="shared" si="491"/>
        <v>0</v>
      </c>
      <c r="BL106" s="529">
        <f t="shared" si="492"/>
        <v>0.39196640000000005</v>
      </c>
      <c r="BM106" s="529">
        <f t="shared" si="493"/>
        <v>0</v>
      </c>
      <c r="BN106" s="529">
        <f t="shared" si="494"/>
        <v>0.45981</v>
      </c>
      <c r="BO106" s="529">
        <f t="shared" si="495"/>
        <v>0.139932</v>
      </c>
      <c r="BP106" s="529">
        <f t="shared" si="496"/>
        <v>0</v>
      </c>
      <c r="BQ106" s="529">
        <f t="shared" si="497"/>
        <v>0</v>
      </c>
      <c r="BR106" s="529">
        <f t="shared" si="498"/>
        <v>0</v>
      </c>
      <c r="BS106" s="529">
        <f t="shared" si="499"/>
        <v>0</v>
      </c>
      <c r="BT106" s="529">
        <f t="shared" si="500"/>
        <v>0</v>
      </c>
      <c r="BU106" s="529">
        <f t="shared" si="501"/>
        <v>0</v>
      </c>
      <c r="BV106" s="529">
        <f t="shared" si="502"/>
        <v>0</v>
      </c>
      <c r="BW106" s="529">
        <f t="shared" si="503"/>
        <v>0</v>
      </c>
      <c r="BX106" s="529">
        <f t="shared" si="309"/>
        <v>0</v>
      </c>
      <c r="BY106" s="529">
        <f t="shared" si="310"/>
        <v>0</v>
      </c>
      <c r="BZ106" s="529">
        <f t="shared" si="311"/>
        <v>0</v>
      </c>
      <c r="CB106" s="529">
        <f t="shared" si="504"/>
        <v>0</v>
      </c>
      <c r="CC106" s="529">
        <f t="shared" si="505"/>
        <v>0</v>
      </c>
      <c r="CD106" s="529">
        <f t="shared" si="506"/>
        <v>2480.8000000000002</v>
      </c>
      <c r="CE106" s="529">
        <f t="shared" si="507"/>
        <v>0</v>
      </c>
      <c r="CF106" s="529">
        <f t="shared" si="508"/>
        <v>2358</v>
      </c>
      <c r="CG106" s="529">
        <f t="shared" si="509"/>
        <v>717.6</v>
      </c>
      <c r="CH106" s="529">
        <f t="shared" si="510"/>
        <v>0</v>
      </c>
      <c r="CI106" s="529">
        <f t="shared" si="511"/>
        <v>0</v>
      </c>
      <c r="CJ106" s="529">
        <f t="shared" si="512"/>
        <v>0</v>
      </c>
      <c r="CK106" s="529">
        <f t="shared" si="513"/>
        <v>0</v>
      </c>
      <c r="CL106" s="529">
        <f t="shared" si="514"/>
        <v>0</v>
      </c>
      <c r="CM106" s="529">
        <f t="shared" si="515"/>
        <v>0</v>
      </c>
      <c r="CN106" s="529">
        <f t="shared" si="516"/>
        <v>0</v>
      </c>
      <c r="CO106" s="529">
        <f t="shared" si="517"/>
        <v>0</v>
      </c>
      <c r="CP106" s="529">
        <f t="shared" si="312"/>
        <v>0</v>
      </c>
      <c r="CQ106" s="529">
        <f t="shared" si="313"/>
        <v>0</v>
      </c>
      <c r="CR106" s="529">
        <f t="shared" si="314"/>
        <v>0</v>
      </c>
    </row>
    <row r="107" spans="1:96" x14ac:dyDescent="0.2">
      <c r="A107" s="755"/>
      <c r="B107" s="555" t="s">
        <v>495</v>
      </c>
      <c r="C107" s="559">
        <f t="shared" si="549"/>
        <v>0</v>
      </c>
      <c r="D107" s="557"/>
      <c r="E107" s="558">
        <f>SUMIF($B$92:$B$104,$B107,E$92:E$104)</f>
        <v>0</v>
      </c>
      <c r="F107" s="559">
        <f t="shared" si="544"/>
        <v>585.70000000000005</v>
      </c>
      <c r="G107" s="557"/>
      <c r="H107" s="558">
        <f>SUMIF($B$92:$B$104,$B107,H$92:H$104)</f>
        <v>7.9133499999999996E-2</v>
      </c>
      <c r="I107" s="559">
        <f t="shared" si="544"/>
        <v>9423.2999999999993</v>
      </c>
      <c r="J107" s="557"/>
      <c r="K107" s="558">
        <f>SUMIF($B$92:$B$104,$B107,K$92:K$104)</f>
        <v>2.3261324000000001</v>
      </c>
      <c r="L107" s="559">
        <f t="shared" si="544"/>
        <v>0</v>
      </c>
      <c r="M107" s="557"/>
      <c r="N107" s="558">
        <f>SUMIF($B$92:$B$104,$B107,N$92:N$104)</f>
        <v>0</v>
      </c>
      <c r="O107" s="559">
        <f t="shared" si="544"/>
        <v>1656.3</v>
      </c>
      <c r="P107" s="557"/>
      <c r="Q107" s="558">
        <f>SUMIF($B$92:$B$104,$B107,Q$92:Q$104)</f>
        <v>0.28890850000000001</v>
      </c>
      <c r="R107" s="559">
        <f t="shared" si="544"/>
        <v>945.8</v>
      </c>
      <c r="S107" s="557"/>
      <c r="T107" s="558">
        <f>SUMIF($B$92:$B$104,$B107,T$92:T$104)</f>
        <v>0.18632259999999998</v>
      </c>
      <c r="U107" s="559">
        <f t="shared" ref="U107:U109" si="561">SUMIF($B$92:$B$104,$B107,U$92:U$104)</f>
        <v>0</v>
      </c>
      <c r="V107" s="632"/>
      <c r="W107" s="571">
        <f t="shared" si="550"/>
        <v>0</v>
      </c>
      <c r="X107" s="559">
        <f t="shared" si="551"/>
        <v>0</v>
      </c>
      <c r="Y107" s="557"/>
      <c r="Z107" s="571">
        <f t="shared" si="551"/>
        <v>0</v>
      </c>
      <c r="AA107" s="559">
        <f t="shared" si="551"/>
        <v>0</v>
      </c>
      <c r="AB107" s="557"/>
      <c r="AC107" s="571">
        <f t="shared" si="552"/>
        <v>0</v>
      </c>
      <c r="AD107" s="559">
        <f t="shared" si="552"/>
        <v>0</v>
      </c>
      <c r="AE107" s="557"/>
      <c r="AF107" s="571">
        <f t="shared" si="553"/>
        <v>0</v>
      </c>
      <c r="AG107" s="559">
        <f t="shared" si="553"/>
        <v>0</v>
      </c>
      <c r="AH107" s="557"/>
      <c r="AI107" s="571">
        <f t="shared" si="554"/>
        <v>0</v>
      </c>
      <c r="AJ107" s="559">
        <f t="shared" si="554"/>
        <v>0</v>
      </c>
      <c r="AK107" s="557"/>
      <c r="AL107" s="571">
        <f t="shared" si="555"/>
        <v>0</v>
      </c>
      <c r="AM107" s="559">
        <f t="shared" si="555"/>
        <v>0</v>
      </c>
      <c r="AN107" s="557"/>
      <c r="AO107" s="571">
        <f t="shared" si="556"/>
        <v>0</v>
      </c>
      <c r="AP107" s="559">
        <f t="shared" si="556"/>
        <v>0</v>
      </c>
      <c r="AQ107" s="557"/>
      <c r="AR107" s="571">
        <f t="shared" si="557"/>
        <v>0</v>
      </c>
      <c r="AS107" s="559">
        <f t="shared" si="557"/>
        <v>0</v>
      </c>
      <c r="AT107" s="557"/>
      <c r="AU107" s="571">
        <f t="shared" si="558"/>
        <v>0</v>
      </c>
      <c r="AV107" s="559">
        <f t="shared" si="558"/>
        <v>0</v>
      </c>
      <c r="AW107" s="557"/>
      <c r="AX107" s="571">
        <f t="shared" si="559"/>
        <v>0</v>
      </c>
      <c r="AY107" s="559">
        <f t="shared" si="559"/>
        <v>0</v>
      </c>
      <c r="AZ107" s="557"/>
      <c r="BA107" s="571">
        <f t="shared" si="560"/>
        <v>0</v>
      </c>
      <c r="BJ107" s="529">
        <f t="shared" si="490"/>
        <v>0</v>
      </c>
      <c r="BK107" s="529">
        <f t="shared" si="491"/>
        <v>7.9133499999999996E-2</v>
      </c>
      <c r="BL107" s="529">
        <f t="shared" si="492"/>
        <v>2.3261324000000001</v>
      </c>
      <c r="BM107" s="529">
        <f t="shared" si="493"/>
        <v>0</v>
      </c>
      <c r="BN107" s="529">
        <f t="shared" si="494"/>
        <v>0.28890850000000001</v>
      </c>
      <c r="BO107" s="529">
        <f t="shared" si="495"/>
        <v>0.18632259999999998</v>
      </c>
      <c r="BP107" s="529">
        <f t="shared" si="496"/>
        <v>0</v>
      </c>
      <c r="BQ107" s="529">
        <f t="shared" si="497"/>
        <v>0</v>
      </c>
      <c r="BR107" s="529">
        <f t="shared" si="498"/>
        <v>0</v>
      </c>
      <c r="BS107" s="529">
        <f t="shared" si="499"/>
        <v>0</v>
      </c>
      <c r="BT107" s="529">
        <f t="shared" si="500"/>
        <v>0</v>
      </c>
      <c r="BU107" s="529">
        <f t="shared" si="501"/>
        <v>0</v>
      </c>
      <c r="BV107" s="529">
        <f t="shared" si="502"/>
        <v>0</v>
      </c>
      <c r="BW107" s="529">
        <f t="shared" si="503"/>
        <v>0</v>
      </c>
      <c r="BX107" s="529">
        <f t="shared" si="309"/>
        <v>0</v>
      </c>
      <c r="BY107" s="529">
        <f t="shared" si="310"/>
        <v>0</v>
      </c>
      <c r="BZ107" s="529">
        <f t="shared" si="311"/>
        <v>0</v>
      </c>
      <c r="CB107" s="529">
        <f t="shared" si="504"/>
        <v>0</v>
      </c>
      <c r="CC107" s="529">
        <f t="shared" si="505"/>
        <v>585.70000000000005</v>
      </c>
      <c r="CD107" s="529">
        <f t="shared" si="506"/>
        <v>9423.2999999999993</v>
      </c>
      <c r="CE107" s="529">
        <f t="shared" si="507"/>
        <v>0</v>
      </c>
      <c r="CF107" s="529">
        <f t="shared" si="508"/>
        <v>1656.3</v>
      </c>
      <c r="CG107" s="529">
        <f t="shared" si="509"/>
        <v>945.8</v>
      </c>
      <c r="CH107" s="529">
        <f t="shared" si="510"/>
        <v>0</v>
      </c>
      <c r="CI107" s="529">
        <f t="shared" si="511"/>
        <v>0</v>
      </c>
      <c r="CJ107" s="529">
        <f t="shared" si="512"/>
        <v>0</v>
      </c>
      <c r="CK107" s="529">
        <f t="shared" si="513"/>
        <v>0</v>
      </c>
      <c r="CL107" s="529">
        <f t="shared" si="514"/>
        <v>0</v>
      </c>
      <c r="CM107" s="529">
        <f t="shared" si="515"/>
        <v>0</v>
      </c>
      <c r="CN107" s="529">
        <f t="shared" si="516"/>
        <v>0</v>
      </c>
      <c r="CO107" s="529">
        <f t="shared" si="517"/>
        <v>0</v>
      </c>
      <c r="CP107" s="529">
        <f t="shared" si="312"/>
        <v>0</v>
      </c>
      <c r="CQ107" s="529">
        <f t="shared" si="313"/>
        <v>0</v>
      </c>
      <c r="CR107" s="529">
        <f t="shared" si="314"/>
        <v>0</v>
      </c>
    </row>
    <row r="108" spans="1:96" x14ac:dyDescent="0.2">
      <c r="A108" s="755"/>
      <c r="B108" s="555" t="s">
        <v>113</v>
      </c>
      <c r="C108" s="559">
        <f t="shared" si="549"/>
        <v>0</v>
      </c>
      <c r="D108" s="557"/>
      <c r="E108" s="558">
        <f>SUMIF($B$92:$B$104,$B108,E$92:E$104)</f>
        <v>0</v>
      </c>
      <c r="F108" s="559">
        <f t="shared" si="544"/>
        <v>0</v>
      </c>
      <c r="G108" s="557"/>
      <c r="H108" s="558">
        <f>SUMIF($B$92:$B$104,$B108,H$92:H$104)</f>
        <v>0</v>
      </c>
      <c r="I108" s="559">
        <f t="shared" si="544"/>
        <v>0</v>
      </c>
      <c r="J108" s="557"/>
      <c r="K108" s="558">
        <f>SUMIF($B$92:$B$104,$B108,K$92:K$104)</f>
        <v>0</v>
      </c>
      <c r="L108" s="559">
        <f t="shared" si="544"/>
        <v>0</v>
      </c>
      <c r="M108" s="557"/>
      <c r="N108" s="558">
        <f>SUMIF($B$92:$B$104,$B108,N$92:N$104)</f>
        <v>0</v>
      </c>
      <c r="O108" s="559">
        <f t="shared" si="544"/>
        <v>0</v>
      </c>
      <c r="P108" s="557"/>
      <c r="Q108" s="558">
        <f>SUMIF($B$92:$B$104,$B108,Q$92:Q$104)</f>
        <v>0</v>
      </c>
      <c r="R108" s="559">
        <f t="shared" si="544"/>
        <v>0</v>
      </c>
      <c r="S108" s="557"/>
      <c r="T108" s="558">
        <f>SUMIF($B$92:$B$104,$B108,T$92:T$104)</f>
        <v>0</v>
      </c>
      <c r="U108" s="559">
        <f t="shared" si="561"/>
        <v>0</v>
      </c>
      <c r="V108" s="632"/>
      <c r="W108" s="571">
        <f t="shared" si="550"/>
        <v>0</v>
      </c>
      <c r="X108" s="559">
        <f t="shared" si="551"/>
        <v>0</v>
      </c>
      <c r="Y108" s="557"/>
      <c r="Z108" s="571">
        <f t="shared" si="551"/>
        <v>0</v>
      </c>
      <c r="AA108" s="559">
        <f t="shared" si="551"/>
        <v>0</v>
      </c>
      <c r="AB108" s="557"/>
      <c r="AC108" s="571">
        <f t="shared" si="552"/>
        <v>0</v>
      </c>
      <c r="AD108" s="559">
        <f t="shared" si="552"/>
        <v>0</v>
      </c>
      <c r="AE108" s="557"/>
      <c r="AF108" s="571">
        <f t="shared" si="553"/>
        <v>0</v>
      </c>
      <c r="AG108" s="559">
        <f t="shared" si="553"/>
        <v>0</v>
      </c>
      <c r="AH108" s="557"/>
      <c r="AI108" s="571">
        <f t="shared" si="554"/>
        <v>0</v>
      </c>
      <c r="AJ108" s="559">
        <f t="shared" si="554"/>
        <v>0</v>
      </c>
      <c r="AK108" s="557"/>
      <c r="AL108" s="571">
        <f t="shared" si="555"/>
        <v>0</v>
      </c>
      <c r="AM108" s="559">
        <f t="shared" si="555"/>
        <v>0</v>
      </c>
      <c r="AN108" s="557"/>
      <c r="AO108" s="571">
        <f t="shared" si="556"/>
        <v>0</v>
      </c>
      <c r="AP108" s="559">
        <f t="shared" si="556"/>
        <v>0</v>
      </c>
      <c r="AQ108" s="557"/>
      <c r="AR108" s="571">
        <f t="shared" si="557"/>
        <v>0</v>
      </c>
      <c r="AS108" s="559">
        <f t="shared" si="557"/>
        <v>0</v>
      </c>
      <c r="AT108" s="557"/>
      <c r="AU108" s="571">
        <f t="shared" si="558"/>
        <v>0</v>
      </c>
      <c r="AV108" s="559">
        <f t="shared" si="558"/>
        <v>0</v>
      </c>
      <c r="AW108" s="557"/>
      <c r="AX108" s="571">
        <f t="shared" si="559"/>
        <v>0</v>
      </c>
      <c r="AY108" s="559">
        <f t="shared" si="559"/>
        <v>0</v>
      </c>
      <c r="AZ108" s="557"/>
      <c r="BA108" s="571">
        <f t="shared" si="560"/>
        <v>0</v>
      </c>
      <c r="BJ108" s="529">
        <f t="shared" si="490"/>
        <v>0</v>
      </c>
      <c r="BK108" s="529">
        <f t="shared" si="491"/>
        <v>0</v>
      </c>
      <c r="BL108" s="529">
        <f t="shared" si="492"/>
        <v>0</v>
      </c>
      <c r="BM108" s="529">
        <f t="shared" si="493"/>
        <v>0</v>
      </c>
      <c r="BN108" s="529">
        <f t="shared" si="494"/>
        <v>0</v>
      </c>
      <c r="BO108" s="529">
        <f t="shared" si="495"/>
        <v>0</v>
      </c>
      <c r="BP108" s="529">
        <f t="shared" si="496"/>
        <v>0</v>
      </c>
      <c r="BQ108" s="529">
        <f t="shared" si="497"/>
        <v>0</v>
      </c>
      <c r="BR108" s="529">
        <f t="shared" si="498"/>
        <v>0</v>
      </c>
      <c r="BS108" s="529">
        <f t="shared" si="499"/>
        <v>0</v>
      </c>
      <c r="BT108" s="529">
        <f t="shared" si="500"/>
        <v>0</v>
      </c>
      <c r="BU108" s="529">
        <f t="shared" si="501"/>
        <v>0</v>
      </c>
      <c r="BV108" s="529">
        <f t="shared" si="502"/>
        <v>0</v>
      </c>
      <c r="BW108" s="529">
        <f t="shared" si="503"/>
        <v>0</v>
      </c>
      <c r="BX108" s="529">
        <f t="shared" si="309"/>
        <v>0</v>
      </c>
      <c r="BY108" s="529">
        <f t="shared" si="310"/>
        <v>0</v>
      </c>
      <c r="BZ108" s="529">
        <f t="shared" si="311"/>
        <v>0</v>
      </c>
      <c r="CB108" s="529">
        <f t="shared" si="504"/>
        <v>0</v>
      </c>
      <c r="CC108" s="529">
        <f t="shared" si="505"/>
        <v>0</v>
      </c>
      <c r="CD108" s="529">
        <f t="shared" si="506"/>
        <v>0</v>
      </c>
      <c r="CE108" s="529">
        <f t="shared" si="507"/>
        <v>0</v>
      </c>
      <c r="CF108" s="529">
        <f t="shared" si="508"/>
        <v>0</v>
      </c>
      <c r="CG108" s="529">
        <f t="shared" si="509"/>
        <v>0</v>
      </c>
      <c r="CH108" s="529">
        <f t="shared" si="510"/>
        <v>0</v>
      </c>
      <c r="CI108" s="529">
        <f t="shared" si="511"/>
        <v>0</v>
      </c>
      <c r="CJ108" s="529">
        <f t="shared" si="512"/>
        <v>0</v>
      </c>
      <c r="CK108" s="529">
        <f t="shared" si="513"/>
        <v>0</v>
      </c>
      <c r="CL108" s="529">
        <f t="shared" si="514"/>
        <v>0</v>
      </c>
      <c r="CM108" s="529">
        <f t="shared" si="515"/>
        <v>0</v>
      </c>
      <c r="CN108" s="529">
        <f t="shared" si="516"/>
        <v>0</v>
      </c>
      <c r="CO108" s="529">
        <f t="shared" si="517"/>
        <v>0</v>
      </c>
      <c r="CP108" s="529">
        <f t="shared" si="312"/>
        <v>0</v>
      </c>
      <c r="CQ108" s="529">
        <f t="shared" si="313"/>
        <v>0</v>
      </c>
      <c r="CR108" s="529">
        <f t="shared" si="314"/>
        <v>0</v>
      </c>
    </row>
    <row r="109" spans="1:96" ht="14.25" thickBot="1" x14ac:dyDescent="0.3">
      <c r="A109" s="756"/>
      <c r="B109" s="560" t="s">
        <v>622</v>
      </c>
      <c r="C109" s="561">
        <f t="shared" si="549"/>
        <v>0</v>
      </c>
      <c r="D109" s="562"/>
      <c r="E109" s="563">
        <f>SUMIF($B$92:$B$104,$B109,E$92:E$104)</f>
        <v>0</v>
      </c>
      <c r="F109" s="561">
        <f t="shared" si="544"/>
        <v>199.44800000000004</v>
      </c>
      <c r="G109" s="567"/>
      <c r="H109" s="563">
        <f>SUMIF($B$92:$B$104,$B109,H$92:H$104)</f>
        <v>0.1089575</v>
      </c>
      <c r="I109" s="561">
        <f t="shared" si="544"/>
        <v>4630.2470000000012</v>
      </c>
      <c r="J109" s="562"/>
      <c r="K109" s="563">
        <f>SUMIF($B$92:$B$104,$B109,K$92:K$104)</f>
        <v>4.0801789000000008</v>
      </c>
      <c r="L109" s="561">
        <f t="shared" si="544"/>
        <v>0</v>
      </c>
      <c r="M109" s="562"/>
      <c r="N109" s="563">
        <f>SUMIF($B$92:$B$104,$B109,N$92:N$104)</f>
        <v>0</v>
      </c>
      <c r="O109" s="561">
        <f t="shared" si="544"/>
        <v>3286.1280000000002</v>
      </c>
      <c r="P109" s="562"/>
      <c r="Q109" s="563">
        <f>SUMIF($B$92:$B$104,$B109,Q$92:Q$104)</f>
        <v>1.8798914999999998</v>
      </c>
      <c r="R109" s="561">
        <f t="shared" si="544"/>
        <v>930.83799999999997</v>
      </c>
      <c r="S109" s="562"/>
      <c r="T109" s="563">
        <f>SUMIF($B$92:$B$104,$B109,T$92:T$104)</f>
        <v>0.61225459999999998</v>
      </c>
      <c r="U109" s="561">
        <f t="shared" si="561"/>
        <v>1380</v>
      </c>
      <c r="V109" s="625"/>
      <c r="W109" s="572">
        <f t="shared" si="550"/>
        <v>1.26</v>
      </c>
      <c r="X109" s="561">
        <f t="shared" si="551"/>
        <v>1526.28</v>
      </c>
      <c r="Y109" s="562"/>
      <c r="Z109" s="572">
        <f t="shared" si="551"/>
        <v>1.4366939999999999</v>
      </c>
      <c r="AA109" s="561">
        <f t="shared" si="551"/>
        <v>1293.98</v>
      </c>
      <c r="AB109" s="562"/>
      <c r="AC109" s="572">
        <f t="shared" si="552"/>
        <v>1.2545980000000001</v>
      </c>
      <c r="AD109" s="561">
        <f t="shared" si="552"/>
        <v>1039.6000000000001</v>
      </c>
      <c r="AE109" s="562"/>
      <c r="AF109" s="572">
        <f t="shared" si="553"/>
        <v>1.0373399999999999</v>
      </c>
      <c r="AG109" s="561">
        <f t="shared" si="553"/>
        <v>1039.6000000000001</v>
      </c>
      <c r="AH109" s="562"/>
      <c r="AI109" s="572">
        <f t="shared" si="554"/>
        <v>1.06898</v>
      </c>
      <c r="AJ109" s="561">
        <f t="shared" si="554"/>
        <v>1039.6000000000001</v>
      </c>
      <c r="AK109" s="562"/>
      <c r="AL109" s="572">
        <f t="shared" si="555"/>
        <v>1.1006199999999999</v>
      </c>
      <c r="AM109" s="561">
        <f t="shared" si="555"/>
        <v>1039.6000000000001</v>
      </c>
      <c r="AN109" s="562"/>
      <c r="AO109" s="572">
        <f t="shared" si="556"/>
        <v>1.13452</v>
      </c>
      <c r="AP109" s="561">
        <f t="shared" si="556"/>
        <v>1039.6000000000001</v>
      </c>
      <c r="AQ109" s="562"/>
      <c r="AR109" s="572">
        <f t="shared" si="557"/>
        <v>1.16842</v>
      </c>
      <c r="AS109" s="561">
        <f t="shared" si="557"/>
        <v>1039.6000000000001</v>
      </c>
      <c r="AT109" s="562"/>
      <c r="AU109" s="572">
        <f t="shared" si="558"/>
        <v>1.20458</v>
      </c>
      <c r="AV109" s="561">
        <f t="shared" si="558"/>
        <v>1039.6000000000001</v>
      </c>
      <c r="AW109" s="562"/>
      <c r="AX109" s="572">
        <f t="shared" si="559"/>
        <v>1.24074</v>
      </c>
      <c r="AY109" s="561">
        <f t="shared" si="559"/>
        <v>1039.6000000000001</v>
      </c>
      <c r="AZ109" s="562"/>
      <c r="BA109" s="572">
        <f t="shared" si="560"/>
        <v>1.2768999999999999</v>
      </c>
      <c r="BJ109" s="529">
        <f t="shared" si="490"/>
        <v>0</v>
      </c>
      <c r="BK109" s="529">
        <f t="shared" si="491"/>
        <v>0.1089575</v>
      </c>
      <c r="BL109" s="529">
        <f t="shared" si="492"/>
        <v>4.0801789000000008</v>
      </c>
      <c r="BM109" s="529">
        <f t="shared" si="493"/>
        <v>0</v>
      </c>
      <c r="BN109" s="529">
        <f t="shared" si="494"/>
        <v>1.8798914999999998</v>
      </c>
      <c r="BO109" s="529">
        <f t="shared" si="495"/>
        <v>0.61225459999999998</v>
      </c>
      <c r="BP109" s="529">
        <f t="shared" si="496"/>
        <v>1.26</v>
      </c>
      <c r="BQ109" s="529">
        <f t="shared" si="497"/>
        <v>1.4366939999999999</v>
      </c>
      <c r="BR109" s="529">
        <f t="shared" si="498"/>
        <v>1.2545980000000001</v>
      </c>
      <c r="BS109" s="529">
        <f t="shared" si="499"/>
        <v>1.0373399999999999</v>
      </c>
      <c r="BT109" s="529">
        <f t="shared" si="500"/>
        <v>1.06898</v>
      </c>
      <c r="BU109" s="529">
        <f t="shared" si="501"/>
        <v>1.1006199999999999</v>
      </c>
      <c r="BV109" s="529">
        <f t="shared" si="502"/>
        <v>1.13452</v>
      </c>
      <c r="BW109" s="529">
        <f t="shared" si="503"/>
        <v>1.16842</v>
      </c>
      <c r="BX109" s="529">
        <f t="shared" si="309"/>
        <v>1.20458</v>
      </c>
      <c r="BY109" s="529">
        <f t="shared" si="310"/>
        <v>1.24074</v>
      </c>
      <c r="BZ109" s="529">
        <f t="shared" si="311"/>
        <v>1.2768999999999999</v>
      </c>
      <c r="CB109" s="529">
        <f t="shared" si="504"/>
        <v>0</v>
      </c>
      <c r="CC109" s="529">
        <f t="shared" si="505"/>
        <v>199.44800000000004</v>
      </c>
      <c r="CD109" s="529">
        <f t="shared" si="506"/>
        <v>4630.2470000000012</v>
      </c>
      <c r="CE109" s="529">
        <f t="shared" si="507"/>
        <v>0</v>
      </c>
      <c r="CF109" s="529">
        <f t="shared" si="508"/>
        <v>3286.1280000000002</v>
      </c>
      <c r="CG109" s="529">
        <f t="shared" si="509"/>
        <v>930.83799999999997</v>
      </c>
      <c r="CH109" s="529">
        <f t="shared" si="510"/>
        <v>1380</v>
      </c>
      <c r="CI109" s="529">
        <f t="shared" si="511"/>
        <v>1526.28</v>
      </c>
      <c r="CJ109" s="529">
        <f t="shared" si="512"/>
        <v>1293.98</v>
      </c>
      <c r="CK109" s="529">
        <f t="shared" si="513"/>
        <v>1039.6000000000001</v>
      </c>
      <c r="CL109" s="529">
        <f t="shared" si="514"/>
        <v>1039.6000000000001</v>
      </c>
      <c r="CM109" s="529">
        <f t="shared" si="515"/>
        <v>1039.6000000000001</v>
      </c>
      <c r="CN109" s="529">
        <f t="shared" si="516"/>
        <v>1039.6000000000001</v>
      </c>
      <c r="CO109" s="529">
        <f t="shared" si="517"/>
        <v>1039.6000000000001</v>
      </c>
      <c r="CP109" s="529">
        <f t="shared" si="312"/>
        <v>1039.6000000000001</v>
      </c>
      <c r="CQ109" s="529">
        <f t="shared" si="313"/>
        <v>1039.6000000000001</v>
      </c>
      <c r="CR109" s="529">
        <f t="shared" si="314"/>
        <v>1039.6000000000001</v>
      </c>
    </row>
    <row r="110" spans="1:96" x14ac:dyDescent="0.2">
      <c r="A110" s="761" t="s">
        <v>634</v>
      </c>
      <c r="B110" s="537" t="s">
        <v>494</v>
      </c>
      <c r="C110" s="538"/>
      <c r="D110" s="549"/>
      <c r="E110" s="540">
        <f t="shared" ref="E110:E112" si="562">C110*D110/1000000</f>
        <v>0</v>
      </c>
      <c r="F110" s="541"/>
      <c r="G110" s="539"/>
      <c r="H110" s="540">
        <f t="shared" ref="H110:H112" si="563">F110*G110/1000000</f>
        <v>0</v>
      </c>
      <c r="I110" s="538"/>
      <c r="J110" s="539"/>
      <c r="K110" s="540">
        <f t="shared" ref="K110:K112" si="564">I110*J110/1000000</f>
        <v>0</v>
      </c>
      <c r="L110" s="538"/>
      <c r="M110" s="539"/>
      <c r="N110" s="540">
        <f t="shared" ref="N110:N112" si="565">L110*M110/1000000</f>
        <v>0</v>
      </c>
      <c r="O110" s="538"/>
      <c r="P110" s="539"/>
      <c r="Q110" s="540">
        <f>O110*P110/1000000</f>
        <v>0</v>
      </c>
      <c r="R110" s="538"/>
      <c r="S110" s="539"/>
      <c r="T110" s="540">
        <f>R110*S110/1000000</f>
        <v>0</v>
      </c>
      <c r="U110" s="538"/>
      <c r="V110" s="629"/>
      <c r="W110" s="540">
        <f>U110*V110/1000000</f>
        <v>0</v>
      </c>
      <c r="X110" s="538"/>
      <c r="Y110" s="539">
        <f t="shared" ref="Y110:Y112" si="566">ROUND(V110*(1+Y$1),0)</f>
        <v>0</v>
      </c>
      <c r="Z110" s="540">
        <f>X110*Y110/1000000</f>
        <v>0</v>
      </c>
      <c r="AA110" s="538"/>
      <c r="AB110" s="539">
        <f t="shared" ref="AB110:AB112" si="567">ROUND(Y110*(1+AB$1),0)</f>
        <v>0</v>
      </c>
      <c r="AC110" s="540">
        <f>AA110*AB110/1000000</f>
        <v>0</v>
      </c>
      <c r="AD110" s="538"/>
      <c r="AE110" s="539">
        <f t="shared" ref="AE110:AE112" si="568">ROUND(AB110*(1+AE$1),0)</f>
        <v>0</v>
      </c>
      <c r="AF110" s="540">
        <f>AD110*AE110/1000000</f>
        <v>0</v>
      </c>
      <c r="AG110" s="538"/>
      <c r="AH110" s="539">
        <f t="shared" ref="AH110:AH112" si="569">ROUND(AE110*(1+AH$1),0)</f>
        <v>0</v>
      </c>
      <c r="AI110" s="540">
        <f>AG110*AH110/1000000</f>
        <v>0</v>
      </c>
      <c r="AJ110" s="538"/>
      <c r="AK110" s="539">
        <f t="shared" ref="AK110:AK112" si="570">ROUND(AH110*(1+AK$1),0)</f>
        <v>0</v>
      </c>
      <c r="AL110" s="540">
        <f>AJ110*AK110/1000000</f>
        <v>0</v>
      </c>
      <c r="AM110" s="538"/>
      <c r="AN110" s="539">
        <f t="shared" ref="AN110:AN112" si="571">ROUND(AK110*(1+AN$1),0)</f>
        <v>0</v>
      </c>
      <c r="AO110" s="540">
        <f>AM110*AN110/1000000</f>
        <v>0</v>
      </c>
      <c r="AP110" s="538"/>
      <c r="AQ110" s="539">
        <f t="shared" ref="AQ110:AQ112" si="572">ROUND(AN110*(1+AQ$1),0)</f>
        <v>0</v>
      </c>
      <c r="AR110" s="540">
        <f>AP110*AQ110/1000000</f>
        <v>0</v>
      </c>
      <c r="AS110" s="538"/>
      <c r="AT110" s="539">
        <f t="shared" ref="AT110:AT112" si="573">ROUND(AQ110*(1+AT$1),0)</f>
        <v>0</v>
      </c>
      <c r="AU110" s="540">
        <f>AS110*AT110/1000000</f>
        <v>0</v>
      </c>
      <c r="AV110" s="538"/>
      <c r="AW110" s="539">
        <f t="shared" ref="AW110:AW112" si="574">ROUND(AT110*(1+AW$1),0)</f>
        <v>0</v>
      </c>
      <c r="AX110" s="540">
        <f>AV110*AW110/1000000</f>
        <v>0</v>
      </c>
      <c r="AY110" s="538"/>
      <c r="AZ110" s="539">
        <f t="shared" ref="AZ110:AZ112" si="575">ROUND(AW110*(1+AZ$1),0)</f>
        <v>0</v>
      </c>
      <c r="BA110" s="540">
        <f>AY110*AZ110/1000000</f>
        <v>0</v>
      </c>
      <c r="BJ110" s="529">
        <f t="shared" si="490"/>
        <v>0</v>
      </c>
      <c r="BK110" s="529">
        <f t="shared" si="491"/>
        <v>0</v>
      </c>
      <c r="BL110" s="529">
        <f t="shared" si="492"/>
        <v>0</v>
      </c>
      <c r="BM110" s="529">
        <f t="shared" si="493"/>
        <v>0</v>
      </c>
      <c r="BN110" s="529">
        <f t="shared" si="494"/>
        <v>0</v>
      </c>
      <c r="BO110" s="529">
        <f t="shared" si="495"/>
        <v>0</v>
      </c>
      <c r="BP110" s="529">
        <f t="shared" si="496"/>
        <v>0</v>
      </c>
      <c r="BQ110" s="529">
        <f t="shared" si="497"/>
        <v>0</v>
      </c>
      <c r="BR110" s="529">
        <f t="shared" si="498"/>
        <v>0</v>
      </c>
      <c r="BS110" s="529">
        <f t="shared" si="499"/>
        <v>0</v>
      </c>
      <c r="BT110" s="529">
        <f t="shared" si="500"/>
        <v>0</v>
      </c>
      <c r="BU110" s="529">
        <f t="shared" si="501"/>
        <v>0</v>
      </c>
      <c r="BV110" s="529">
        <f t="shared" si="502"/>
        <v>0</v>
      </c>
      <c r="BW110" s="529">
        <f t="shared" si="503"/>
        <v>0</v>
      </c>
      <c r="BX110" s="529">
        <f t="shared" si="309"/>
        <v>0</v>
      </c>
      <c r="BY110" s="529">
        <f t="shared" si="310"/>
        <v>0</v>
      </c>
      <c r="BZ110" s="529">
        <f t="shared" si="311"/>
        <v>0</v>
      </c>
      <c r="CB110" s="529">
        <f t="shared" si="504"/>
        <v>0</v>
      </c>
      <c r="CC110" s="529">
        <f t="shared" si="505"/>
        <v>0</v>
      </c>
      <c r="CD110" s="529">
        <f t="shared" si="506"/>
        <v>0</v>
      </c>
      <c r="CE110" s="529">
        <f t="shared" si="507"/>
        <v>0</v>
      </c>
      <c r="CF110" s="529">
        <f t="shared" si="508"/>
        <v>0</v>
      </c>
      <c r="CG110" s="529">
        <f t="shared" si="509"/>
        <v>0</v>
      </c>
      <c r="CH110" s="529">
        <f t="shared" si="510"/>
        <v>0</v>
      </c>
      <c r="CI110" s="529">
        <f t="shared" si="511"/>
        <v>0</v>
      </c>
      <c r="CJ110" s="529">
        <f t="shared" si="512"/>
        <v>0</v>
      </c>
      <c r="CK110" s="529">
        <f t="shared" si="513"/>
        <v>0</v>
      </c>
      <c r="CL110" s="529">
        <f t="shared" si="514"/>
        <v>0</v>
      </c>
      <c r="CM110" s="529">
        <f t="shared" si="515"/>
        <v>0</v>
      </c>
      <c r="CN110" s="529">
        <f t="shared" si="516"/>
        <v>0</v>
      </c>
      <c r="CO110" s="529">
        <f t="shared" si="517"/>
        <v>0</v>
      </c>
      <c r="CP110" s="529">
        <f t="shared" si="312"/>
        <v>0</v>
      </c>
      <c r="CQ110" s="529">
        <f t="shared" si="313"/>
        <v>0</v>
      </c>
      <c r="CR110" s="529">
        <f t="shared" si="314"/>
        <v>0</v>
      </c>
    </row>
    <row r="111" spans="1:96" x14ac:dyDescent="0.2">
      <c r="A111" s="761"/>
      <c r="B111" s="537" t="s">
        <v>495</v>
      </c>
      <c r="C111" s="538"/>
      <c r="D111" s="549"/>
      <c r="E111" s="540">
        <f t="shared" si="562"/>
        <v>0</v>
      </c>
      <c r="F111" s="541"/>
      <c r="G111" s="539"/>
      <c r="H111" s="540">
        <f t="shared" si="563"/>
        <v>0</v>
      </c>
      <c r="I111" s="538"/>
      <c r="J111" s="539"/>
      <c r="K111" s="540">
        <f t="shared" si="564"/>
        <v>0</v>
      </c>
      <c r="L111" s="538"/>
      <c r="M111" s="539"/>
      <c r="N111" s="540">
        <f t="shared" si="565"/>
        <v>0</v>
      </c>
      <c r="O111" s="538"/>
      <c r="P111" s="539"/>
      <c r="Q111" s="540">
        <f t="shared" ref="Q111:Q112" si="576">O111*P111/1000000</f>
        <v>0</v>
      </c>
      <c r="R111" s="538"/>
      <c r="S111" s="539"/>
      <c r="T111" s="540">
        <f t="shared" ref="T111:T112" si="577">R111*S111/1000000</f>
        <v>0</v>
      </c>
      <c r="U111" s="538"/>
      <c r="V111" s="629"/>
      <c r="W111" s="540">
        <f t="shared" ref="W111:W112" si="578">U111*V111/1000000</f>
        <v>0</v>
      </c>
      <c r="X111" s="538"/>
      <c r="Y111" s="539">
        <f t="shared" si="566"/>
        <v>0</v>
      </c>
      <c r="Z111" s="540">
        <f t="shared" ref="Z111:Z112" si="579">X111*Y111/1000000</f>
        <v>0</v>
      </c>
      <c r="AA111" s="538"/>
      <c r="AB111" s="539">
        <f t="shared" si="567"/>
        <v>0</v>
      </c>
      <c r="AC111" s="540">
        <f t="shared" ref="AC111:AC112" si="580">AA111*AB111/1000000</f>
        <v>0</v>
      </c>
      <c r="AD111" s="538"/>
      <c r="AE111" s="539">
        <f t="shared" si="568"/>
        <v>0</v>
      </c>
      <c r="AF111" s="540">
        <f t="shared" ref="AF111:AF112" si="581">AD111*AE111/1000000</f>
        <v>0</v>
      </c>
      <c r="AG111" s="538"/>
      <c r="AH111" s="539">
        <f t="shared" si="569"/>
        <v>0</v>
      </c>
      <c r="AI111" s="540">
        <f t="shared" ref="AI111:AI112" si="582">AG111*AH111/1000000</f>
        <v>0</v>
      </c>
      <c r="AJ111" s="538"/>
      <c r="AK111" s="539">
        <f t="shared" si="570"/>
        <v>0</v>
      </c>
      <c r="AL111" s="540">
        <f t="shared" ref="AL111:AL112" si="583">AJ111*AK111/1000000</f>
        <v>0</v>
      </c>
      <c r="AM111" s="538"/>
      <c r="AN111" s="539">
        <f t="shared" si="571"/>
        <v>0</v>
      </c>
      <c r="AO111" s="540">
        <f t="shared" ref="AO111:AO112" si="584">AM111*AN111/1000000</f>
        <v>0</v>
      </c>
      <c r="AP111" s="538"/>
      <c r="AQ111" s="539">
        <f t="shared" si="572"/>
        <v>0</v>
      </c>
      <c r="AR111" s="540">
        <f t="shared" ref="AR111:AR112" si="585">AP111*AQ111/1000000</f>
        <v>0</v>
      </c>
      <c r="AS111" s="538"/>
      <c r="AT111" s="539">
        <f t="shared" si="573"/>
        <v>0</v>
      </c>
      <c r="AU111" s="540">
        <f t="shared" ref="AU111:AU112" si="586">AS111*AT111/1000000</f>
        <v>0</v>
      </c>
      <c r="AV111" s="538"/>
      <c r="AW111" s="539">
        <f t="shared" si="574"/>
        <v>0</v>
      </c>
      <c r="AX111" s="540">
        <f t="shared" ref="AX111:AX112" si="587">AV111*AW111/1000000</f>
        <v>0</v>
      </c>
      <c r="AY111" s="538"/>
      <c r="AZ111" s="539">
        <f t="shared" si="575"/>
        <v>0</v>
      </c>
      <c r="BA111" s="540">
        <f t="shared" ref="BA111:BA112" si="588">AY111*AZ111/1000000</f>
        <v>0</v>
      </c>
      <c r="BJ111" s="529">
        <f t="shared" si="490"/>
        <v>0</v>
      </c>
      <c r="BK111" s="529">
        <f t="shared" si="491"/>
        <v>0</v>
      </c>
      <c r="BL111" s="529">
        <f t="shared" si="492"/>
        <v>0</v>
      </c>
      <c r="BM111" s="529">
        <f t="shared" si="493"/>
        <v>0</v>
      </c>
      <c r="BN111" s="529">
        <f t="shared" si="494"/>
        <v>0</v>
      </c>
      <c r="BO111" s="529">
        <f t="shared" si="495"/>
        <v>0</v>
      </c>
      <c r="BP111" s="529">
        <f t="shared" si="496"/>
        <v>0</v>
      </c>
      <c r="BQ111" s="529">
        <f t="shared" si="497"/>
        <v>0</v>
      </c>
      <c r="BR111" s="529">
        <f t="shared" si="498"/>
        <v>0</v>
      </c>
      <c r="BS111" s="529">
        <f t="shared" si="499"/>
        <v>0</v>
      </c>
      <c r="BT111" s="529">
        <f t="shared" si="500"/>
        <v>0</v>
      </c>
      <c r="BU111" s="529">
        <f t="shared" si="501"/>
        <v>0</v>
      </c>
      <c r="BV111" s="529">
        <f t="shared" si="502"/>
        <v>0</v>
      </c>
      <c r="BW111" s="529">
        <f t="shared" si="503"/>
        <v>0</v>
      </c>
      <c r="BX111" s="529">
        <f t="shared" si="309"/>
        <v>0</v>
      </c>
      <c r="BY111" s="529">
        <f t="shared" si="310"/>
        <v>0</v>
      </c>
      <c r="BZ111" s="529">
        <f t="shared" si="311"/>
        <v>0</v>
      </c>
      <c r="CB111" s="529">
        <f t="shared" si="504"/>
        <v>0</v>
      </c>
      <c r="CC111" s="529">
        <f t="shared" si="505"/>
        <v>0</v>
      </c>
      <c r="CD111" s="529">
        <f t="shared" si="506"/>
        <v>0</v>
      </c>
      <c r="CE111" s="529">
        <f t="shared" si="507"/>
        <v>0</v>
      </c>
      <c r="CF111" s="529">
        <f t="shared" si="508"/>
        <v>0</v>
      </c>
      <c r="CG111" s="529">
        <f t="shared" si="509"/>
        <v>0</v>
      </c>
      <c r="CH111" s="529">
        <f t="shared" si="510"/>
        <v>0</v>
      </c>
      <c r="CI111" s="529">
        <f t="shared" si="511"/>
        <v>0</v>
      </c>
      <c r="CJ111" s="529">
        <f t="shared" si="512"/>
        <v>0</v>
      </c>
      <c r="CK111" s="529">
        <f t="shared" si="513"/>
        <v>0</v>
      </c>
      <c r="CL111" s="529">
        <f t="shared" si="514"/>
        <v>0</v>
      </c>
      <c r="CM111" s="529">
        <f t="shared" si="515"/>
        <v>0</v>
      </c>
      <c r="CN111" s="529">
        <f t="shared" si="516"/>
        <v>0</v>
      </c>
      <c r="CO111" s="529">
        <f t="shared" si="517"/>
        <v>0</v>
      </c>
      <c r="CP111" s="529">
        <f t="shared" si="312"/>
        <v>0</v>
      </c>
      <c r="CQ111" s="529">
        <f t="shared" si="313"/>
        <v>0</v>
      </c>
      <c r="CR111" s="529">
        <f t="shared" si="314"/>
        <v>0</v>
      </c>
    </row>
    <row r="112" spans="1:96" x14ac:dyDescent="0.2">
      <c r="A112" s="761"/>
      <c r="B112" s="537" t="s">
        <v>502</v>
      </c>
      <c r="C112" s="538"/>
      <c r="D112" s="549"/>
      <c r="E112" s="540">
        <f t="shared" si="562"/>
        <v>0</v>
      </c>
      <c r="F112" s="541"/>
      <c r="G112" s="539"/>
      <c r="H112" s="540">
        <f t="shared" si="563"/>
        <v>0</v>
      </c>
      <c r="I112" s="538"/>
      <c r="J112" s="539"/>
      <c r="K112" s="540">
        <f t="shared" si="564"/>
        <v>0</v>
      </c>
      <c r="L112" s="538"/>
      <c r="M112" s="539"/>
      <c r="N112" s="540">
        <f t="shared" si="565"/>
        <v>0</v>
      </c>
      <c r="O112" s="538">
        <v>16260</v>
      </c>
      <c r="P112" s="539">
        <v>378</v>
      </c>
      <c r="Q112" s="540">
        <f t="shared" si="576"/>
        <v>6.14628</v>
      </c>
      <c r="R112" s="538"/>
      <c r="S112" s="539"/>
      <c r="T112" s="540">
        <f t="shared" si="577"/>
        <v>0</v>
      </c>
      <c r="U112" s="538"/>
      <c r="V112" s="629"/>
      <c r="W112" s="540">
        <f t="shared" si="578"/>
        <v>0</v>
      </c>
      <c r="X112" s="538"/>
      <c r="Y112" s="539">
        <f t="shared" si="566"/>
        <v>0</v>
      </c>
      <c r="Z112" s="540">
        <f t="shared" si="579"/>
        <v>0</v>
      </c>
      <c r="AA112" s="538"/>
      <c r="AB112" s="539">
        <f t="shared" si="567"/>
        <v>0</v>
      </c>
      <c r="AC112" s="540">
        <f t="shared" si="580"/>
        <v>0</v>
      </c>
      <c r="AD112" s="538"/>
      <c r="AE112" s="539">
        <f t="shared" si="568"/>
        <v>0</v>
      </c>
      <c r="AF112" s="540">
        <f t="shared" si="581"/>
        <v>0</v>
      </c>
      <c r="AG112" s="538"/>
      <c r="AH112" s="539">
        <f t="shared" si="569"/>
        <v>0</v>
      </c>
      <c r="AI112" s="540">
        <f t="shared" si="582"/>
        <v>0</v>
      </c>
      <c r="AJ112" s="538"/>
      <c r="AK112" s="539">
        <f t="shared" si="570"/>
        <v>0</v>
      </c>
      <c r="AL112" s="540">
        <f t="shared" si="583"/>
        <v>0</v>
      </c>
      <c r="AM112" s="538"/>
      <c r="AN112" s="539">
        <f t="shared" si="571"/>
        <v>0</v>
      </c>
      <c r="AO112" s="540">
        <f t="shared" si="584"/>
        <v>0</v>
      </c>
      <c r="AP112" s="538"/>
      <c r="AQ112" s="539">
        <f t="shared" si="572"/>
        <v>0</v>
      </c>
      <c r="AR112" s="540">
        <f t="shared" si="585"/>
        <v>0</v>
      </c>
      <c r="AS112" s="538"/>
      <c r="AT112" s="539">
        <f t="shared" si="573"/>
        <v>0</v>
      </c>
      <c r="AU112" s="540">
        <f t="shared" si="586"/>
        <v>0</v>
      </c>
      <c r="AV112" s="538"/>
      <c r="AW112" s="539">
        <f t="shared" si="574"/>
        <v>0</v>
      </c>
      <c r="AX112" s="540">
        <f t="shared" si="587"/>
        <v>0</v>
      </c>
      <c r="AY112" s="538"/>
      <c r="AZ112" s="539">
        <f t="shared" si="575"/>
        <v>0</v>
      </c>
      <c r="BA112" s="540">
        <f t="shared" si="588"/>
        <v>0</v>
      </c>
      <c r="BJ112" s="529">
        <f t="shared" si="490"/>
        <v>0</v>
      </c>
      <c r="BK112" s="529">
        <f t="shared" si="491"/>
        <v>0</v>
      </c>
      <c r="BL112" s="529">
        <f t="shared" si="492"/>
        <v>0</v>
      </c>
      <c r="BM112" s="529">
        <f t="shared" si="493"/>
        <v>0</v>
      </c>
      <c r="BN112" s="529">
        <f t="shared" si="494"/>
        <v>6.14628</v>
      </c>
      <c r="BO112" s="529">
        <f t="shared" si="495"/>
        <v>0</v>
      </c>
      <c r="BP112" s="529">
        <f t="shared" si="496"/>
        <v>0</v>
      </c>
      <c r="BQ112" s="529">
        <f t="shared" si="497"/>
        <v>0</v>
      </c>
      <c r="BR112" s="529">
        <f t="shared" si="498"/>
        <v>0</v>
      </c>
      <c r="BS112" s="529">
        <f t="shared" si="499"/>
        <v>0</v>
      </c>
      <c r="BT112" s="529">
        <f t="shared" si="500"/>
        <v>0</v>
      </c>
      <c r="BU112" s="529">
        <f t="shared" si="501"/>
        <v>0</v>
      </c>
      <c r="BV112" s="529">
        <f t="shared" si="502"/>
        <v>0</v>
      </c>
      <c r="BW112" s="529">
        <f t="shared" si="503"/>
        <v>0</v>
      </c>
      <c r="BX112" s="529">
        <f t="shared" si="309"/>
        <v>0</v>
      </c>
      <c r="BY112" s="529">
        <f t="shared" si="310"/>
        <v>0</v>
      </c>
      <c r="BZ112" s="529">
        <f t="shared" si="311"/>
        <v>0</v>
      </c>
      <c r="CB112" s="529">
        <f t="shared" si="504"/>
        <v>0</v>
      </c>
      <c r="CC112" s="529">
        <f t="shared" si="505"/>
        <v>0</v>
      </c>
      <c r="CD112" s="529">
        <f t="shared" si="506"/>
        <v>0</v>
      </c>
      <c r="CE112" s="529">
        <f t="shared" si="507"/>
        <v>0</v>
      </c>
      <c r="CF112" s="529">
        <f t="shared" si="508"/>
        <v>16260</v>
      </c>
      <c r="CG112" s="529">
        <f t="shared" si="509"/>
        <v>0</v>
      </c>
      <c r="CH112" s="529">
        <f t="shared" si="510"/>
        <v>0</v>
      </c>
      <c r="CI112" s="529">
        <f t="shared" si="511"/>
        <v>0</v>
      </c>
      <c r="CJ112" s="529">
        <f t="shared" si="512"/>
        <v>0</v>
      </c>
      <c r="CK112" s="529">
        <f t="shared" si="513"/>
        <v>0</v>
      </c>
      <c r="CL112" s="529">
        <f t="shared" si="514"/>
        <v>0</v>
      </c>
      <c r="CM112" s="529">
        <f t="shared" si="515"/>
        <v>0</v>
      </c>
      <c r="CN112" s="529">
        <f t="shared" si="516"/>
        <v>0</v>
      </c>
      <c r="CO112" s="529">
        <f t="shared" si="517"/>
        <v>0</v>
      </c>
      <c r="CP112" s="529">
        <f t="shared" si="312"/>
        <v>0</v>
      </c>
      <c r="CQ112" s="529">
        <f t="shared" si="313"/>
        <v>0</v>
      </c>
      <c r="CR112" s="529">
        <f t="shared" si="314"/>
        <v>0</v>
      </c>
    </row>
    <row r="113" spans="1:96" ht="13.5" x14ac:dyDescent="0.25">
      <c r="A113" s="761"/>
      <c r="B113" s="537" t="s">
        <v>619</v>
      </c>
      <c r="C113" s="543">
        <f>C110*0.46+C111*0.24+C112*0.52</f>
        <v>0</v>
      </c>
      <c r="D113" s="548"/>
      <c r="E113" s="545">
        <f>SUM(E110:E112)</f>
        <v>0</v>
      </c>
      <c r="F113" s="569">
        <f>F110*0.46+F111*0.24+F112*0.52</f>
        <v>0</v>
      </c>
      <c r="G113" s="544"/>
      <c r="H113" s="545">
        <f>SUM(H110:H112)</f>
        <v>0</v>
      </c>
      <c r="I113" s="543">
        <f>I110*0.46+I111*0.24+I112*0.52</f>
        <v>0</v>
      </c>
      <c r="J113" s="544"/>
      <c r="K113" s="545">
        <f>SUM(K110:K112)</f>
        <v>0</v>
      </c>
      <c r="L113" s="543">
        <f>L110*0.46+L111*0.24+L112*0.52</f>
        <v>0</v>
      </c>
      <c r="M113" s="544"/>
      <c r="N113" s="545">
        <f>SUM(N110:N112)</f>
        <v>0</v>
      </c>
      <c r="O113" s="543">
        <f>O110*0.46+O111*0.24+O112*0.52</f>
        <v>8455.2000000000007</v>
      </c>
      <c r="P113" s="544"/>
      <c r="Q113" s="545">
        <f>SUM(Q110:Q112)</f>
        <v>6.14628</v>
      </c>
      <c r="R113" s="543">
        <f>R110*0.46+R111*0.24+R112*0.52</f>
        <v>0</v>
      </c>
      <c r="S113" s="544"/>
      <c r="T113" s="545">
        <f>SUM(T110:T112)</f>
        <v>0</v>
      </c>
      <c r="U113" s="543">
        <f>U110*0.46+U111*0.24+U112*0.52</f>
        <v>0</v>
      </c>
      <c r="V113" s="630"/>
      <c r="W113" s="545">
        <f>SUM(W110:W112)</f>
        <v>0</v>
      </c>
      <c r="X113" s="543">
        <f>X110*0.46+X111*0.24+X112*0.52</f>
        <v>0</v>
      </c>
      <c r="Y113" s="548"/>
      <c r="Z113" s="545">
        <f>SUM(Z110:Z112)</f>
        <v>0</v>
      </c>
      <c r="AA113" s="543">
        <f>AA110*0.46+AA111*0.24+AA112*0.52</f>
        <v>0</v>
      </c>
      <c r="AB113" s="548"/>
      <c r="AC113" s="545">
        <f>SUM(AC110:AC112)</f>
        <v>0</v>
      </c>
      <c r="AD113" s="543">
        <f>AD110*0.46+AD111*0.24+AD112*0.52</f>
        <v>0</v>
      </c>
      <c r="AE113" s="548"/>
      <c r="AF113" s="545">
        <f>SUM(AF110:AF112)</f>
        <v>0</v>
      </c>
      <c r="AG113" s="543">
        <f>AG110*0.46+AG111*0.24+AG112*0.52</f>
        <v>0</v>
      </c>
      <c r="AH113" s="548"/>
      <c r="AI113" s="545">
        <f>SUM(AI110:AI112)</f>
        <v>0</v>
      </c>
      <c r="AJ113" s="543">
        <f>AJ110*0.46+AJ111*0.24+AJ112*0.52</f>
        <v>0</v>
      </c>
      <c r="AK113" s="548"/>
      <c r="AL113" s="545">
        <f>SUM(AL110:AL112)</f>
        <v>0</v>
      </c>
      <c r="AM113" s="543">
        <f>AM110*0.46+AM111*0.24+AM112*0.52</f>
        <v>0</v>
      </c>
      <c r="AN113" s="548"/>
      <c r="AO113" s="545">
        <f>SUM(AO110:AO112)</f>
        <v>0</v>
      </c>
      <c r="AP113" s="543">
        <f>AP110*0.46+AP111*0.24+AP112*0.52</f>
        <v>0</v>
      </c>
      <c r="AQ113" s="548"/>
      <c r="AR113" s="545">
        <f>SUM(AR110:AR112)</f>
        <v>0</v>
      </c>
      <c r="AS113" s="543">
        <f>AS110*0.46+AS111*0.24+AS112*0.52</f>
        <v>0</v>
      </c>
      <c r="AT113" s="548"/>
      <c r="AU113" s="545">
        <f>SUM(AU110:AU112)</f>
        <v>0</v>
      </c>
      <c r="AV113" s="543">
        <f>AV110*0.46+AV111*0.24+AV112*0.52</f>
        <v>0</v>
      </c>
      <c r="AW113" s="548"/>
      <c r="AX113" s="545">
        <f>SUM(AX110:AX112)</f>
        <v>0</v>
      </c>
      <c r="AY113" s="543">
        <f>AY110*0.46+AY111*0.24+AY112*0.52</f>
        <v>0</v>
      </c>
      <c r="AZ113" s="548"/>
      <c r="BA113" s="545">
        <f>SUM(BA110:BA112)</f>
        <v>0</v>
      </c>
      <c r="BJ113" s="529">
        <f t="shared" si="490"/>
        <v>0</v>
      </c>
      <c r="BK113" s="529">
        <f t="shared" si="491"/>
        <v>0</v>
      </c>
      <c r="BL113" s="529">
        <f t="shared" si="492"/>
        <v>0</v>
      </c>
      <c r="BM113" s="529">
        <f t="shared" si="493"/>
        <v>0</v>
      </c>
      <c r="BN113" s="529">
        <f t="shared" si="494"/>
        <v>6.14628</v>
      </c>
      <c r="BO113" s="529">
        <f t="shared" si="495"/>
        <v>0</v>
      </c>
      <c r="BP113" s="529">
        <f t="shared" si="496"/>
        <v>0</v>
      </c>
      <c r="BQ113" s="529">
        <f t="shared" si="497"/>
        <v>0</v>
      </c>
      <c r="BR113" s="529">
        <f t="shared" si="498"/>
        <v>0</v>
      </c>
      <c r="BS113" s="529">
        <f t="shared" si="499"/>
        <v>0</v>
      </c>
      <c r="BT113" s="529">
        <f t="shared" si="500"/>
        <v>0</v>
      </c>
      <c r="BU113" s="529">
        <f t="shared" si="501"/>
        <v>0</v>
      </c>
      <c r="BV113" s="529">
        <f t="shared" si="502"/>
        <v>0</v>
      </c>
      <c r="BW113" s="529">
        <f t="shared" si="503"/>
        <v>0</v>
      </c>
      <c r="BX113" s="529">
        <f t="shared" si="309"/>
        <v>0</v>
      </c>
      <c r="BY113" s="529">
        <f t="shared" si="310"/>
        <v>0</v>
      </c>
      <c r="BZ113" s="529">
        <f t="shared" si="311"/>
        <v>0</v>
      </c>
      <c r="CB113" s="529">
        <f t="shared" si="504"/>
        <v>0</v>
      </c>
      <c r="CC113" s="529">
        <f t="shared" si="505"/>
        <v>0</v>
      </c>
      <c r="CD113" s="529">
        <f t="shared" si="506"/>
        <v>0</v>
      </c>
      <c r="CE113" s="529">
        <f t="shared" si="507"/>
        <v>0</v>
      </c>
      <c r="CF113" s="529">
        <f t="shared" si="508"/>
        <v>8455.2000000000007</v>
      </c>
      <c r="CG113" s="529">
        <f t="shared" si="509"/>
        <v>0</v>
      </c>
      <c r="CH113" s="529">
        <f t="shared" si="510"/>
        <v>0</v>
      </c>
      <c r="CI113" s="529">
        <f t="shared" si="511"/>
        <v>0</v>
      </c>
      <c r="CJ113" s="529">
        <f t="shared" si="512"/>
        <v>0</v>
      </c>
      <c r="CK113" s="529">
        <f t="shared" si="513"/>
        <v>0</v>
      </c>
      <c r="CL113" s="529">
        <f t="shared" si="514"/>
        <v>0</v>
      </c>
      <c r="CM113" s="529">
        <f t="shared" si="515"/>
        <v>0</v>
      </c>
      <c r="CN113" s="529">
        <f t="shared" si="516"/>
        <v>0</v>
      </c>
      <c r="CO113" s="529">
        <f t="shared" si="517"/>
        <v>0</v>
      </c>
      <c r="CP113" s="529">
        <f t="shared" si="312"/>
        <v>0</v>
      </c>
      <c r="CQ113" s="529">
        <f t="shared" si="313"/>
        <v>0</v>
      </c>
      <c r="CR113" s="529">
        <f t="shared" si="314"/>
        <v>0</v>
      </c>
    </row>
    <row r="114" spans="1:96" x14ac:dyDescent="0.2">
      <c r="A114" s="761" t="s">
        <v>635</v>
      </c>
      <c r="B114" s="537" t="s">
        <v>494</v>
      </c>
      <c r="C114" s="538"/>
      <c r="D114" s="549"/>
      <c r="E114" s="540">
        <f t="shared" ref="E114:E116" si="589">C114*D114/1000000</f>
        <v>0</v>
      </c>
      <c r="F114" s="541"/>
      <c r="G114" s="539"/>
      <c r="H114" s="540">
        <f t="shared" ref="H114:H116" si="590">F114*G114/1000000</f>
        <v>0</v>
      </c>
      <c r="I114" s="538"/>
      <c r="J114" s="539"/>
      <c r="K114" s="540">
        <f t="shared" ref="K114:K116" si="591">I114*J114/1000000</f>
        <v>0</v>
      </c>
      <c r="L114" s="538">
        <v>2410.0500000000002</v>
      </c>
      <c r="M114" s="539">
        <v>303</v>
      </c>
      <c r="N114" s="540">
        <f t="shared" ref="N114:N116" si="592">L114*M114/1000000</f>
        <v>0.73024515000000001</v>
      </c>
      <c r="O114" s="538">
        <v>992</v>
      </c>
      <c r="P114" s="539">
        <v>312</v>
      </c>
      <c r="Q114" s="540">
        <f>O114*P114/1000000</f>
        <v>0.309504</v>
      </c>
      <c r="R114" s="538">
        <f>496+992</f>
        <v>1488</v>
      </c>
      <c r="S114" s="539">
        <v>352</v>
      </c>
      <c r="T114" s="540">
        <f>R114*S114/1000000</f>
        <v>0.52377600000000002</v>
      </c>
      <c r="U114" s="538"/>
      <c r="V114" s="629"/>
      <c r="W114" s="540">
        <f>U114*V114</f>
        <v>0</v>
      </c>
      <c r="X114" s="538"/>
      <c r="Y114" s="539">
        <f t="shared" ref="Y114:Y116" si="593">ROUND(V114*(1+Y$1),0)</f>
        <v>0</v>
      </c>
      <c r="Z114" s="540">
        <f>X114*Y114</f>
        <v>0</v>
      </c>
      <c r="AA114" s="538"/>
      <c r="AB114" s="539">
        <f t="shared" ref="AB114:AB116" si="594">ROUND(Y114*(1+AB$1),0)</f>
        <v>0</v>
      </c>
      <c r="AC114" s="540">
        <f>AA114*AB114</f>
        <v>0</v>
      </c>
      <c r="AD114" s="538"/>
      <c r="AE114" s="539">
        <f t="shared" ref="AE114:AE116" si="595">ROUND(AB114*(1+AE$1),0)</f>
        <v>0</v>
      </c>
      <c r="AF114" s="540">
        <f>AD114*AE114</f>
        <v>0</v>
      </c>
      <c r="AG114" s="538"/>
      <c r="AH114" s="539">
        <f t="shared" ref="AH114:AH116" si="596">ROUND(AE114*(1+AH$1),0)</f>
        <v>0</v>
      </c>
      <c r="AI114" s="540">
        <f>AG114*AH114</f>
        <v>0</v>
      </c>
      <c r="AJ114" s="538"/>
      <c r="AK114" s="539">
        <f t="shared" ref="AK114:AK116" si="597">ROUND(AH114*(1+AK$1),0)</f>
        <v>0</v>
      </c>
      <c r="AL114" s="540">
        <f>AJ114*AK114</f>
        <v>0</v>
      </c>
      <c r="AM114" s="538"/>
      <c r="AN114" s="539">
        <f t="shared" ref="AN114:AN116" si="598">ROUND(AK114*(1+AN$1),0)</f>
        <v>0</v>
      </c>
      <c r="AO114" s="540">
        <f>AM114*AN114</f>
        <v>0</v>
      </c>
      <c r="AP114" s="538"/>
      <c r="AQ114" s="539">
        <f t="shared" ref="AQ114:AQ116" si="599">ROUND(AN114*(1+AQ$1),0)</f>
        <v>0</v>
      </c>
      <c r="AR114" s="540">
        <f>AP114*AQ114</f>
        <v>0</v>
      </c>
      <c r="AS114" s="538"/>
      <c r="AT114" s="539">
        <f t="shared" ref="AT114:AT116" si="600">ROUND(AQ114*(1+AT$1),0)</f>
        <v>0</v>
      </c>
      <c r="AU114" s="540">
        <f>AS114*AT114</f>
        <v>0</v>
      </c>
      <c r="AV114" s="538"/>
      <c r="AW114" s="539">
        <f t="shared" ref="AW114:AW116" si="601">ROUND(AT114*(1+AW$1),0)</f>
        <v>0</v>
      </c>
      <c r="AX114" s="540">
        <f>AV114*AW114</f>
        <v>0</v>
      </c>
      <c r="AY114" s="538"/>
      <c r="AZ114" s="539">
        <f t="shared" ref="AZ114:AZ116" si="602">ROUND(AW114*(1+AZ$1),0)</f>
        <v>0</v>
      </c>
      <c r="BA114" s="540">
        <f>AY114*AZ114</f>
        <v>0</v>
      </c>
      <c r="BJ114" s="529">
        <f t="shared" si="490"/>
        <v>0</v>
      </c>
      <c r="BK114" s="529">
        <f t="shared" si="491"/>
        <v>0</v>
      </c>
      <c r="BL114" s="529">
        <f t="shared" si="492"/>
        <v>0</v>
      </c>
      <c r="BM114" s="529">
        <f t="shared" si="493"/>
        <v>0.73024515000000001</v>
      </c>
      <c r="BN114" s="529">
        <f t="shared" si="494"/>
        <v>0.309504</v>
      </c>
      <c r="BO114" s="529">
        <f t="shared" si="495"/>
        <v>0.52377600000000002</v>
      </c>
      <c r="BP114" s="529">
        <f t="shared" si="496"/>
        <v>0</v>
      </c>
      <c r="BQ114" s="529">
        <f t="shared" si="497"/>
        <v>0</v>
      </c>
      <c r="BR114" s="529">
        <f t="shared" si="498"/>
        <v>0</v>
      </c>
      <c r="BS114" s="529">
        <f t="shared" si="499"/>
        <v>0</v>
      </c>
      <c r="BT114" s="529">
        <f t="shared" si="500"/>
        <v>0</v>
      </c>
      <c r="BU114" s="529">
        <f t="shared" si="501"/>
        <v>0</v>
      </c>
      <c r="BV114" s="529">
        <f t="shared" si="502"/>
        <v>0</v>
      </c>
      <c r="BW114" s="529">
        <f t="shared" si="503"/>
        <v>0</v>
      </c>
      <c r="BX114" s="529">
        <f t="shared" si="309"/>
        <v>0</v>
      </c>
      <c r="BY114" s="529">
        <f t="shared" si="310"/>
        <v>0</v>
      </c>
      <c r="BZ114" s="529">
        <f t="shared" si="311"/>
        <v>0</v>
      </c>
      <c r="CB114" s="529">
        <f t="shared" si="504"/>
        <v>0</v>
      </c>
      <c r="CC114" s="529">
        <f t="shared" si="505"/>
        <v>0</v>
      </c>
      <c r="CD114" s="529">
        <f t="shared" si="506"/>
        <v>0</v>
      </c>
      <c r="CE114" s="529">
        <f t="shared" si="507"/>
        <v>2410.0500000000002</v>
      </c>
      <c r="CF114" s="529">
        <f t="shared" si="508"/>
        <v>992</v>
      </c>
      <c r="CG114" s="529">
        <f t="shared" si="509"/>
        <v>1488</v>
      </c>
      <c r="CH114" s="529">
        <f t="shared" si="510"/>
        <v>0</v>
      </c>
      <c r="CI114" s="529">
        <f t="shared" si="511"/>
        <v>0</v>
      </c>
      <c r="CJ114" s="529">
        <f t="shared" si="512"/>
        <v>0</v>
      </c>
      <c r="CK114" s="529">
        <f t="shared" si="513"/>
        <v>0</v>
      </c>
      <c r="CL114" s="529">
        <f t="shared" si="514"/>
        <v>0</v>
      </c>
      <c r="CM114" s="529">
        <f t="shared" si="515"/>
        <v>0</v>
      </c>
      <c r="CN114" s="529">
        <f t="shared" si="516"/>
        <v>0</v>
      </c>
      <c r="CO114" s="529">
        <f t="shared" si="517"/>
        <v>0</v>
      </c>
      <c r="CP114" s="529">
        <f t="shared" si="312"/>
        <v>0</v>
      </c>
      <c r="CQ114" s="529">
        <f t="shared" si="313"/>
        <v>0</v>
      </c>
      <c r="CR114" s="529">
        <f t="shared" si="314"/>
        <v>0</v>
      </c>
    </row>
    <row r="115" spans="1:96" x14ac:dyDescent="0.2">
      <c r="A115" s="761"/>
      <c r="B115" s="537" t="s">
        <v>495</v>
      </c>
      <c r="C115" s="538"/>
      <c r="D115" s="549"/>
      <c r="E115" s="540">
        <f t="shared" si="589"/>
        <v>0</v>
      </c>
      <c r="F115" s="541"/>
      <c r="G115" s="539"/>
      <c r="H115" s="540">
        <f t="shared" si="590"/>
        <v>0</v>
      </c>
      <c r="I115" s="538"/>
      <c r="J115" s="539"/>
      <c r="K115" s="540">
        <f t="shared" si="591"/>
        <v>0</v>
      </c>
      <c r="L115" s="538"/>
      <c r="M115" s="539"/>
      <c r="N115" s="540">
        <f t="shared" si="592"/>
        <v>0</v>
      </c>
      <c r="O115" s="538"/>
      <c r="P115" s="539"/>
      <c r="Q115" s="540">
        <f t="shared" ref="Q115:Q116" si="603">O115*P115/1000000</f>
        <v>0</v>
      </c>
      <c r="R115" s="538"/>
      <c r="S115" s="539"/>
      <c r="T115" s="540">
        <f t="shared" ref="T115:T116" si="604">R115*S115/1000000</f>
        <v>0</v>
      </c>
      <c r="U115" s="538"/>
      <c r="V115" s="629"/>
      <c r="W115" s="540">
        <f t="shared" ref="W115:W116" si="605">U115*V115</f>
        <v>0</v>
      </c>
      <c r="X115" s="538"/>
      <c r="Y115" s="539">
        <f t="shared" si="593"/>
        <v>0</v>
      </c>
      <c r="Z115" s="540">
        <f t="shared" ref="Z115:Z116" si="606">X115*Y115</f>
        <v>0</v>
      </c>
      <c r="AA115" s="538"/>
      <c r="AB115" s="539">
        <f t="shared" si="594"/>
        <v>0</v>
      </c>
      <c r="AC115" s="540">
        <f t="shared" ref="AC115:AC116" si="607">AA115*AB115</f>
        <v>0</v>
      </c>
      <c r="AD115" s="538"/>
      <c r="AE115" s="539">
        <f t="shared" si="595"/>
        <v>0</v>
      </c>
      <c r="AF115" s="540">
        <f t="shared" ref="AF115:AF116" si="608">AD115*AE115</f>
        <v>0</v>
      </c>
      <c r="AG115" s="538"/>
      <c r="AH115" s="539">
        <f t="shared" si="596"/>
        <v>0</v>
      </c>
      <c r="AI115" s="540">
        <f t="shared" ref="AI115:AI116" si="609">AG115*AH115</f>
        <v>0</v>
      </c>
      <c r="AJ115" s="538"/>
      <c r="AK115" s="539">
        <f t="shared" si="597"/>
        <v>0</v>
      </c>
      <c r="AL115" s="540">
        <f t="shared" ref="AL115:AL116" si="610">AJ115*AK115</f>
        <v>0</v>
      </c>
      <c r="AM115" s="538"/>
      <c r="AN115" s="539">
        <f t="shared" si="598"/>
        <v>0</v>
      </c>
      <c r="AO115" s="540">
        <f t="shared" ref="AO115:AO116" si="611">AM115*AN115</f>
        <v>0</v>
      </c>
      <c r="AP115" s="538"/>
      <c r="AQ115" s="539">
        <f t="shared" si="599"/>
        <v>0</v>
      </c>
      <c r="AR115" s="540">
        <f t="shared" ref="AR115:AR116" si="612">AP115*AQ115</f>
        <v>0</v>
      </c>
      <c r="AS115" s="538"/>
      <c r="AT115" s="539">
        <f t="shared" si="600"/>
        <v>0</v>
      </c>
      <c r="AU115" s="540">
        <f t="shared" ref="AU115:AU116" si="613">AS115*AT115</f>
        <v>0</v>
      </c>
      <c r="AV115" s="538"/>
      <c r="AW115" s="539">
        <f t="shared" si="601"/>
        <v>0</v>
      </c>
      <c r="AX115" s="540">
        <f t="shared" ref="AX115:AX116" si="614">AV115*AW115</f>
        <v>0</v>
      </c>
      <c r="AY115" s="538"/>
      <c r="AZ115" s="539">
        <f t="shared" si="602"/>
        <v>0</v>
      </c>
      <c r="BA115" s="540">
        <f t="shared" ref="BA115:BA116" si="615">AY115*AZ115</f>
        <v>0</v>
      </c>
      <c r="BJ115" s="529">
        <f t="shared" si="490"/>
        <v>0</v>
      </c>
      <c r="BK115" s="529">
        <f t="shared" si="491"/>
        <v>0</v>
      </c>
      <c r="BL115" s="529">
        <f t="shared" si="492"/>
        <v>0</v>
      </c>
      <c r="BM115" s="529">
        <f t="shared" si="493"/>
        <v>0</v>
      </c>
      <c r="BN115" s="529">
        <f t="shared" si="494"/>
        <v>0</v>
      </c>
      <c r="BO115" s="529">
        <f t="shared" si="495"/>
        <v>0</v>
      </c>
      <c r="BP115" s="529">
        <f t="shared" si="496"/>
        <v>0</v>
      </c>
      <c r="BQ115" s="529">
        <f t="shared" si="497"/>
        <v>0</v>
      </c>
      <c r="BR115" s="529">
        <f t="shared" si="498"/>
        <v>0</v>
      </c>
      <c r="BS115" s="529">
        <f t="shared" si="499"/>
        <v>0</v>
      </c>
      <c r="BT115" s="529">
        <f t="shared" si="500"/>
        <v>0</v>
      </c>
      <c r="BU115" s="529">
        <f t="shared" si="501"/>
        <v>0</v>
      </c>
      <c r="BV115" s="529">
        <f t="shared" si="502"/>
        <v>0</v>
      </c>
      <c r="BW115" s="529">
        <f t="shared" si="503"/>
        <v>0</v>
      </c>
      <c r="BX115" s="529">
        <f t="shared" si="309"/>
        <v>0</v>
      </c>
      <c r="BY115" s="529">
        <f t="shared" si="310"/>
        <v>0</v>
      </c>
      <c r="BZ115" s="529">
        <f t="shared" si="311"/>
        <v>0</v>
      </c>
      <c r="CB115" s="529">
        <f t="shared" si="504"/>
        <v>0</v>
      </c>
      <c r="CC115" s="529">
        <f t="shared" si="505"/>
        <v>0</v>
      </c>
      <c r="CD115" s="529">
        <f t="shared" si="506"/>
        <v>0</v>
      </c>
      <c r="CE115" s="529">
        <f t="shared" si="507"/>
        <v>0</v>
      </c>
      <c r="CF115" s="529">
        <f t="shared" si="508"/>
        <v>0</v>
      </c>
      <c r="CG115" s="529">
        <f t="shared" si="509"/>
        <v>0</v>
      </c>
      <c r="CH115" s="529">
        <f t="shared" si="510"/>
        <v>0</v>
      </c>
      <c r="CI115" s="529">
        <f t="shared" si="511"/>
        <v>0</v>
      </c>
      <c r="CJ115" s="529">
        <f t="shared" si="512"/>
        <v>0</v>
      </c>
      <c r="CK115" s="529">
        <f t="shared" si="513"/>
        <v>0</v>
      </c>
      <c r="CL115" s="529">
        <f t="shared" si="514"/>
        <v>0</v>
      </c>
      <c r="CM115" s="529">
        <f t="shared" si="515"/>
        <v>0</v>
      </c>
      <c r="CN115" s="529">
        <f t="shared" si="516"/>
        <v>0</v>
      </c>
      <c r="CO115" s="529">
        <f t="shared" si="517"/>
        <v>0</v>
      </c>
      <c r="CP115" s="529">
        <f t="shared" si="312"/>
        <v>0</v>
      </c>
      <c r="CQ115" s="529">
        <f t="shared" si="313"/>
        <v>0</v>
      </c>
      <c r="CR115" s="529">
        <f t="shared" si="314"/>
        <v>0</v>
      </c>
    </row>
    <row r="116" spans="1:96" x14ac:dyDescent="0.2">
      <c r="A116" s="761"/>
      <c r="B116" s="537" t="s">
        <v>502</v>
      </c>
      <c r="C116" s="538"/>
      <c r="D116" s="549"/>
      <c r="E116" s="540">
        <f t="shared" si="589"/>
        <v>0</v>
      </c>
      <c r="F116" s="541"/>
      <c r="G116" s="539"/>
      <c r="H116" s="540">
        <f t="shared" si="590"/>
        <v>0</v>
      </c>
      <c r="I116" s="538"/>
      <c r="J116" s="539"/>
      <c r="K116" s="540">
        <f t="shared" si="591"/>
        <v>0</v>
      </c>
      <c r="L116" s="538"/>
      <c r="M116" s="539"/>
      <c r="N116" s="540">
        <f t="shared" si="592"/>
        <v>0</v>
      </c>
      <c r="O116" s="538"/>
      <c r="P116" s="539"/>
      <c r="Q116" s="540">
        <f t="shared" si="603"/>
        <v>0</v>
      </c>
      <c r="R116" s="538"/>
      <c r="S116" s="539"/>
      <c r="T116" s="540">
        <f t="shared" si="604"/>
        <v>0</v>
      </c>
      <c r="U116" s="538"/>
      <c r="V116" s="629"/>
      <c r="W116" s="540">
        <f t="shared" si="605"/>
        <v>0</v>
      </c>
      <c r="X116" s="538"/>
      <c r="Y116" s="539">
        <f t="shared" si="593"/>
        <v>0</v>
      </c>
      <c r="Z116" s="540">
        <f t="shared" si="606"/>
        <v>0</v>
      </c>
      <c r="AA116" s="538"/>
      <c r="AB116" s="539">
        <f t="shared" si="594"/>
        <v>0</v>
      </c>
      <c r="AC116" s="540">
        <f t="shared" si="607"/>
        <v>0</v>
      </c>
      <c r="AD116" s="538"/>
      <c r="AE116" s="539">
        <f t="shared" si="595"/>
        <v>0</v>
      </c>
      <c r="AF116" s="540">
        <f t="shared" si="608"/>
        <v>0</v>
      </c>
      <c r="AG116" s="538"/>
      <c r="AH116" s="539">
        <f t="shared" si="596"/>
        <v>0</v>
      </c>
      <c r="AI116" s="540">
        <f t="shared" si="609"/>
        <v>0</v>
      </c>
      <c r="AJ116" s="538"/>
      <c r="AK116" s="539">
        <f t="shared" si="597"/>
        <v>0</v>
      </c>
      <c r="AL116" s="540">
        <f t="shared" si="610"/>
        <v>0</v>
      </c>
      <c r="AM116" s="538"/>
      <c r="AN116" s="539">
        <f t="shared" si="598"/>
        <v>0</v>
      </c>
      <c r="AO116" s="540">
        <f t="shared" si="611"/>
        <v>0</v>
      </c>
      <c r="AP116" s="538"/>
      <c r="AQ116" s="539">
        <f t="shared" si="599"/>
        <v>0</v>
      </c>
      <c r="AR116" s="540">
        <f t="shared" si="612"/>
        <v>0</v>
      </c>
      <c r="AS116" s="538"/>
      <c r="AT116" s="539">
        <f t="shared" si="600"/>
        <v>0</v>
      </c>
      <c r="AU116" s="540">
        <f t="shared" si="613"/>
        <v>0</v>
      </c>
      <c r="AV116" s="538"/>
      <c r="AW116" s="539">
        <f t="shared" si="601"/>
        <v>0</v>
      </c>
      <c r="AX116" s="540">
        <f t="shared" si="614"/>
        <v>0</v>
      </c>
      <c r="AY116" s="538"/>
      <c r="AZ116" s="539">
        <f t="shared" si="602"/>
        <v>0</v>
      </c>
      <c r="BA116" s="540">
        <f t="shared" si="615"/>
        <v>0</v>
      </c>
      <c r="BJ116" s="529">
        <f t="shared" si="490"/>
        <v>0</v>
      </c>
      <c r="BK116" s="529">
        <f t="shared" si="491"/>
        <v>0</v>
      </c>
      <c r="BL116" s="529">
        <f t="shared" si="492"/>
        <v>0</v>
      </c>
      <c r="BM116" s="529">
        <f t="shared" si="493"/>
        <v>0</v>
      </c>
      <c r="BN116" s="529">
        <f t="shared" si="494"/>
        <v>0</v>
      </c>
      <c r="BO116" s="529">
        <f t="shared" si="495"/>
        <v>0</v>
      </c>
      <c r="BP116" s="529">
        <f t="shared" si="496"/>
        <v>0</v>
      </c>
      <c r="BQ116" s="529">
        <f t="shared" si="497"/>
        <v>0</v>
      </c>
      <c r="BR116" s="529">
        <f t="shared" si="498"/>
        <v>0</v>
      </c>
      <c r="BS116" s="529">
        <f t="shared" si="499"/>
        <v>0</v>
      </c>
      <c r="BT116" s="529">
        <f t="shared" si="500"/>
        <v>0</v>
      </c>
      <c r="BU116" s="529">
        <f t="shared" si="501"/>
        <v>0</v>
      </c>
      <c r="BV116" s="529">
        <f t="shared" si="502"/>
        <v>0</v>
      </c>
      <c r="BW116" s="529">
        <f t="shared" si="503"/>
        <v>0</v>
      </c>
      <c r="BX116" s="529">
        <f t="shared" si="309"/>
        <v>0</v>
      </c>
      <c r="BY116" s="529">
        <f t="shared" si="310"/>
        <v>0</v>
      </c>
      <c r="BZ116" s="529">
        <f t="shared" si="311"/>
        <v>0</v>
      </c>
      <c r="CB116" s="529">
        <f t="shared" si="504"/>
        <v>0</v>
      </c>
      <c r="CC116" s="529">
        <f t="shared" si="505"/>
        <v>0</v>
      </c>
      <c r="CD116" s="529">
        <f t="shared" si="506"/>
        <v>0</v>
      </c>
      <c r="CE116" s="529">
        <f t="shared" si="507"/>
        <v>0</v>
      </c>
      <c r="CF116" s="529">
        <f t="shared" si="508"/>
        <v>0</v>
      </c>
      <c r="CG116" s="529">
        <f t="shared" si="509"/>
        <v>0</v>
      </c>
      <c r="CH116" s="529">
        <f t="shared" si="510"/>
        <v>0</v>
      </c>
      <c r="CI116" s="529">
        <f t="shared" si="511"/>
        <v>0</v>
      </c>
      <c r="CJ116" s="529">
        <f t="shared" si="512"/>
        <v>0</v>
      </c>
      <c r="CK116" s="529">
        <f t="shared" si="513"/>
        <v>0</v>
      </c>
      <c r="CL116" s="529">
        <f t="shared" si="514"/>
        <v>0</v>
      </c>
      <c r="CM116" s="529">
        <f t="shared" si="515"/>
        <v>0</v>
      </c>
      <c r="CN116" s="529">
        <f t="shared" si="516"/>
        <v>0</v>
      </c>
      <c r="CO116" s="529">
        <f t="shared" si="517"/>
        <v>0</v>
      </c>
      <c r="CP116" s="529">
        <f t="shared" si="312"/>
        <v>0</v>
      </c>
      <c r="CQ116" s="529">
        <f t="shared" si="313"/>
        <v>0</v>
      </c>
      <c r="CR116" s="529">
        <f t="shared" si="314"/>
        <v>0</v>
      </c>
    </row>
    <row r="117" spans="1:96" ht="13.5" x14ac:dyDescent="0.25">
      <c r="A117" s="761"/>
      <c r="B117" s="537" t="s">
        <v>619</v>
      </c>
      <c r="C117" s="543">
        <f>C114*0.46+C115*0.24+C116*0.52</f>
        <v>0</v>
      </c>
      <c r="D117" s="548"/>
      <c r="E117" s="545">
        <f>SUM(E114:E116)</f>
        <v>0</v>
      </c>
      <c r="F117" s="569">
        <f>F114*0.46+F115*0.24+F116*0.52</f>
        <v>0</v>
      </c>
      <c r="G117" s="544"/>
      <c r="H117" s="545">
        <f>SUM(H114:H116)</f>
        <v>0</v>
      </c>
      <c r="I117" s="543">
        <f>I114*0.46+I115*0.24+I116*0.52</f>
        <v>0</v>
      </c>
      <c r="J117" s="544"/>
      <c r="K117" s="545">
        <f>SUM(K114:K116)</f>
        <v>0</v>
      </c>
      <c r="L117" s="543">
        <f>L114*0.46+L115*0.24+L116*0.52</f>
        <v>1108.623</v>
      </c>
      <c r="M117" s="544"/>
      <c r="N117" s="545">
        <f>SUM(N114:N116)</f>
        <v>0.73024515000000001</v>
      </c>
      <c r="O117" s="543">
        <f>O114*0.46+O115*0.24+O116*0.52</f>
        <v>456.32</v>
      </c>
      <c r="P117" s="544"/>
      <c r="Q117" s="545">
        <f>SUM(Q114:Q116)</f>
        <v>0.309504</v>
      </c>
      <c r="R117" s="543">
        <f>R114*0.46+R115*0.24+R116*0.52</f>
        <v>684.48</v>
      </c>
      <c r="S117" s="544"/>
      <c r="T117" s="545">
        <f>SUM(T114:T116)</f>
        <v>0.52377600000000002</v>
      </c>
      <c r="U117" s="543">
        <f>U114*0.46+U115*0.24+U116*0.52</f>
        <v>0</v>
      </c>
      <c r="V117" s="630"/>
      <c r="W117" s="545">
        <f>SUM(W114:W116)</f>
        <v>0</v>
      </c>
      <c r="X117" s="543">
        <f>X114*0.46+X115*0.24+X116*0.52</f>
        <v>0</v>
      </c>
      <c r="Y117" s="548"/>
      <c r="Z117" s="545">
        <f>SUM(Z114:Z116)</f>
        <v>0</v>
      </c>
      <c r="AA117" s="543">
        <f>AA114*0.46+AA115*0.24+AA116*0.52</f>
        <v>0</v>
      </c>
      <c r="AB117" s="548"/>
      <c r="AC117" s="545">
        <f>SUM(AC114:AC116)</f>
        <v>0</v>
      </c>
      <c r="AD117" s="543">
        <f>AD114*0.46+AD115*0.24+AD116*0.52</f>
        <v>0</v>
      </c>
      <c r="AE117" s="548"/>
      <c r="AF117" s="545">
        <f>SUM(AF114:AF116)</f>
        <v>0</v>
      </c>
      <c r="AG117" s="543">
        <f>AG114*0.46+AG115*0.24+AG116*0.52</f>
        <v>0</v>
      </c>
      <c r="AH117" s="548"/>
      <c r="AI117" s="545">
        <f>SUM(AI114:AI116)</f>
        <v>0</v>
      </c>
      <c r="AJ117" s="543">
        <f>AJ114*0.46+AJ115*0.24+AJ116*0.52</f>
        <v>0</v>
      </c>
      <c r="AK117" s="548"/>
      <c r="AL117" s="545">
        <f>SUM(AL114:AL116)</f>
        <v>0</v>
      </c>
      <c r="AM117" s="543">
        <f>AM114*0.46+AM115*0.24+AM116*0.52</f>
        <v>0</v>
      </c>
      <c r="AN117" s="548"/>
      <c r="AO117" s="545">
        <f>SUM(AO114:AO116)</f>
        <v>0</v>
      </c>
      <c r="AP117" s="543">
        <f>AP114*0.46+AP115*0.24+AP116*0.52</f>
        <v>0</v>
      </c>
      <c r="AQ117" s="548"/>
      <c r="AR117" s="545">
        <f>SUM(AR114:AR116)</f>
        <v>0</v>
      </c>
      <c r="AS117" s="543">
        <f>AS114*0.46+AS115*0.24+AS116*0.52</f>
        <v>0</v>
      </c>
      <c r="AT117" s="548"/>
      <c r="AU117" s="545">
        <f>SUM(AU114:AU116)</f>
        <v>0</v>
      </c>
      <c r="AV117" s="543">
        <f>AV114*0.46+AV115*0.24+AV116*0.52</f>
        <v>0</v>
      </c>
      <c r="AW117" s="548"/>
      <c r="AX117" s="545">
        <f>SUM(AX114:AX116)</f>
        <v>0</v>
      </c>
      <c r="AY117" s="543">
        <f>AY114*0.46+AY115*0.24+AY116*0.52</f>
        <v>0</v>
      </c>
      <c r="AZ117" s="548"/>
      <c r="BA117" s="545">
        <f>SUM(BA114:BA116)</f>
        <v>0</v>
      </c>
      <c r="BJ117" s="529">
        <f t="shared" si="490"/>
        <v>0</v>
      </c>
      <c r="BK117" s="529">
        <f t="shared" si="491"/>
        <v>0</v>
      </c>
      <c r="BL117" s="529">
        <f t="shared" si="492"/>
        <v>0</v>
      </c>
      <c r="BM117" s="529">
        <f t="shared" si="493"/>
        <v>0.73024515000000001</v>
      </c>
      <c r="BN117" s="529">
        <f t="shared" si="494"/>
        <v>0.309504</v>
      </c>
      <c r="BO117" s="529">
        <f t="shared" si="495"/>
        <v>0.52377600000000002</v>
      </c>
      <c r="BP117" s="529">
        <f t="shared" si="496"/>
        <v>0</v>
      </c>
      <c r="BQ117" s="529">
        <f t="shared" si="497"/>
        <v>0</v>
      </c>
      <c r="BR117" s="529">
        <f t="shared" si="498"/>
        <v>0</v>
      </c>
      <c r="BS117" s="529">
        <f t="shared" si="499"/>
        <v>0</v>
      </c>
      <c r="BT117" s="529">
        <f t="shared" si="500"/>
        <v>0</v>
      </c>
      <c r="BU117" s="529">
        <f t="shared" si="501"/>
        <v>0</v>
      </c>
      <c r="BV117" s="529">
        <f t="shared" si="502"/>
        <v>0</v>
      </c>
      <c r="BW117" s="529">
        <f t="shared" si="503"/>
        <v>0</v>
      </c>
      <c r="BX117" s="529">
        <f t="shared" si="309"/>
        <v>0</v>
      </c>
      <c r="BY117" s="529">
        <f t="shared" si="310"/>
        <v>0</v>
      </c>
      <c r="BZ117" s="529">
        <f t="shared" si="311"/>
        <v>0</v>
      </c>
      <c r="CB117" s="529">
        <f t="shared" si="504"/>
        <v>0</v>
      </c>
      <c r="CC117" s="529">
        <f t="shared" si="505"/>
        <v>0</v>
      </c>
      <c r="CD117" s="529">
        <f t="shared" si="506"/>
        <v>0</v>
      </c>
      <c r="CE117" s="529">
        <f t="shared" si="507"/>
        <v>1108.623</v>
      </c>
      <c r="CF117" s="529">
        <f t="shared" si="508"/>
        <v>456.32</v>
      </c>
      <c r="CG117" s="529">
        <f t="shared" si="509"/>
        <v>684.48</v>
      </c>
      <c r="CH117" s="529">
        <f t="shared" si="510"/>
        <v>0</v>
      </c>
      <c r="CI117" s="529">
        <f t="shared" si="511"/>
        <v>0</v>
      </c>
      <c r="CJ117" s="529">
        <f t="shared" si="512"/>
        <v>0</v>
      </c>
      <c r="CK117" s="529">
        <f t="shared" si="513"/>
        <v>0</v>
      </c>
      <c r="CL117" s="529">
        <f t="shared" si="514"/>
        <v>0</v>
      </c>
      <c r="CM117" s="529">
        <f t="shared" si="515"/>
        <v>0</v>
      </c>
      <c r="CN117" s="529">
        <f t="shared" si="516"/>
        <v>0</v>
      </c>
      <c r="CO117" s="529">
        <f t="shared" si="517"/>
        <v>0</v>
      </c>
      <c r="CP117" s="529">
        <f t="shared" si="312"/>
        <v>0</v>
      </c>
      <c r="CQ117" s="529">
        <f t="shared" si="313"/>
        <v>0</v>
      </c>
      <c r="CR117" s="529">
        <f t="shared" si="314"/>
        <v>0</v>
      </c>
    </row>
    <row r="118" spans="1:96" x14ac:dyDescent="0.2">
      <c r="A118" s="761" t="s">
        <v>636</v>
      </c>
      <c r="B118" s="537" t="s">
        <v>494</v>
      </c>
      <c r="C118" s="538"/>
      <c r="D118" s="549"/>
      <c r="E118" s="540">
        <f t="shared" ref="E118:E120" si="616">C118*D118/1000000</f>
        <v>0</v>
      </c>
      <c r="F118" s="541"/>
      <c r="G118" s="539"/>
      <c r="H118" s="540">
        <f t="shared" ref="H118:H120" si="617">F118*G118/1000000</f>
        <v>0</v>
      </c>
      <c r="I118" s="538"/>
      <c r="J118" s="539"/>
      <c r="K118" s="540">
        <f t="shared" ref="K118:K120" si="618">I118*J118/1000000</f>
        <v>0</v>
      </c>
      <c r="L118" s="538"/>
      <c r="M118" s="539"/>
      <c r="N118" s="540">
        <f t="shared" ref="N118:N120" si="619">L118*M118/1000000</f>
        <v>0</v>
      </c>
      <c r="O118" s="538"/>
      <c r="P118" s="539"/>
      <c r="Q118" s="540">
        <f>O118*P118/1000000</f>
        <v>0</v>
      </c>
      <c r="R118" s="538">
        <f>493.5+493.5+141+916.5</f>
        <v>2044.5</v>
      </c>
      <c r="S118" s="539">
        <v>452</v>
      </c>
      <c r="T118" s="540">
        <f>R118*S118/1000000</f>
        <v>0.92411399999999999</v>
      </c>
      <c r="U118" s="538">
        <v>3000</v>
      </c>
      <c r="V118" s="641">
        <v>415</v>
      </c>
      <c r="W118" s="540">
        <f>U118*V118/1000000</f>
        <v>1.2450000000000001</v>
      </c>
      <c r="X118" s="538">
        <f>ROUND(+U118*X$1,0)</f>
        <v>3318</v>
      </c>
      <c r="Y118" s="539">
        <f t="shared" ref="Y118:Y120" si="620">ROUND(V118*(1+Y$1),0)</f>
        <v>427</v>
      </c>
      <c r="Z118" s="540">
        <f>X118*Y118/1000000</f>
        <v>1.4167860000000001</v>
      </c>
      <c r="AA118" s="538">
        <f>ROUND(+X118*AA$1,0)</f>
        <v>2813</v>
      </c>
      <c r="AB118" s="539">
        <f t="shared" ref="AB118:AB120" si="621">ROUND(Y118*(1+AB$1),0)</f>
        <v>440</v>
      </c>
      <c r="AC118" s="540">
        <f>AA118*AB118/1000000</f>
        <v>1.2377199999999999</v>
      </c>
      <c r="AD118" s="538">
        <f>ROUND(+AA118*AD$1,0)</f>
        <v>2260</v>
      </c>
      <c r="AE118" s="539">
        <f t="shared" ref="AE118:AE120" si="622">ROUND(AB118*(1+AE$1),0)</f>
        <v>453</v>
      </c>
      <c r="AF118" s="540">
        <f>AD118*AE118/1000000</f>
        <v>1.0237799999999999</v>
      </c>
      <c r="AG118" s="538">
        <f>ROUND(+AD118*AG$1,0)</f>
        <v>2260</v>
      </c>
      <c r="AH118" s="539">
        <f t="shared" ref="AH118:AH120" si="623">ROUND(AE118*(1+AH$1),0)</f>
        <v>467</v>
      </c>
      <c r="AI118" s="540">
        <f>AG118*AH118/1000000</f>
        <v>1.05542</v>
      </c>
      <c r="AJ118" s="538">
        <f>ROUND(+AG118*AJ$1,0)</f>
        <v>2260</v>
      </c>
      <c r="AK118" s="539">
        <f t="shared" ref="AK118:AK120" si="624">ROUND(AH118*(1+AK$1),0)</f>
        <v>481</v>
      </c>
      <c r="AL118" s="540">
        <f>AJ118*AK118/1000000</f>
        <v>1.0870599999999999</v>
      </c>
      <c r="AM118" s="538">
        <f>ROUND(+AJ118*AM$1,0)</f>
        <v>2260</v>
      </c>
      <c r="AN118" s="539">
        <f t="shared" ref="AN118:AN120" si="625">ROUND(AK118*(1+AN$1),0)</f>
        <v>495</v>
      </c>
      <c r="AO118" s="540">
        <f>AM118*AN118/1000000</f>
        <v>1.1187</v>
      </c>
      <c r="AP118" s="538">
        <f>ROUND(+AM118*AP$1,0)</f>
        <v>2260</v>
      </c>
      <c r="AQ118" s="539">
        <f t="shared" ref="AQ118:AQ120" si="626">ROUND(AN118*(1+AQ$1),0)</f>
        <v>510</v>
      </c>
      <c r="AR118" s="540">
        <f>AP118*AQ118/1000000</f>
        <v>1.1526000000000001</v>
      </c>
      <c r="AS118" s="538">
        <f>ROUND(+AP118*AS$1,0)</f>
        <v>2260</v>
      </c>
      <c r="AT118" s="539">
        <f t="shared" ref="AT118:AT120" si="627">ROUND(AQ118*(1+AT$1),0)</f>
        <v>525</v>
      </c>
      <c r="AU118" s="540">
        <f>AS118*AT118/1000000</f>
        <v>1.1865000000000001</v>
      </c>
      <c r="AV118" s="538">
        <f>ROUND(+AS118*AV$1,0)</f>
        <v>2260</v>
      </c>
      <c r="AW118" s="539">
        <f t="shared" ref="AW118:AW120" si="628">ROUND(AT118*(1+AW$1),0)</f>
        <v>541</v>
      </c>
      <c r="AX118" s="540">
        <f>AV118*AW118/1000000</f>
        <v>1.2226600000000001</v>
      </c>
      <c r="AY118" s="538">
        <f>ROUND(+AV118*AY$1,0)</f>
        <v>2260</v>
      </c>
      <c r="AZ118" s="539">
        <f t="shared" ref="AZ118:AZ120" si="629">ROUND(AW118*(1+AZ$1),0)</f>
        <v>557</v>
      </c>
      <c r="BA118" s="540">
        <f>AY118*AZ118/1000000</f>
        <v>1.2588200000000001</v>
      </c>
      <c r="BJ118" s="529">
        <f t="shared" si="490"/>
        <v>0</v>
      </c>
      <c r="BK118" s="529">
        <f t="shared" si="491"/>
        <v>0</v>
      </c>
      <c r="BL118" s="529">
        <f t="shared" si="492"/>
        <v>0</v>
      </c>
      <c r="BM118" s="529">
        <f t="shared" si="493"/>
        <v>0</v>
      </c>
      <c r="BN118" s="529">
        <f t="shared" si="494"/>
        <v>0</v>
      </c>
      <c r="BO118" s="529">
        <f t="shared" si="495"/>
        <v>0.92411399999999999</v>
      </c>
      <c r="BP118" s="529">
        <f t="shared" si="496"/>
        <v>1.2450000000000001</v>
      </c>
      <c r="BQ118" s="529">
        <f t="shared" si="497"/>
        <v>1.4167860000000001</v>
      </c>
      <c r="BR118" s="529">
        <f t="shared" si="498"/>
        <v>1.2377199999999999</v>
      </c>
      <c r="BS118" s="529">
        <f t="shared" si="499"/>
        <v>1.0237799999999999</v>
      </c>
      <c r="BT118" s="529">
        <f t="shared" si="500"/>
        <v>1.05542</v>
      </c>
      <c r="BU118" s="529">
        <f t="shared" si="501"/>
        <v>1.0870599999999999</v>
      </c>
      <c r="BV118" s="529">
        <f t="shared" si="502"/>
        <v>1.1187</v>
      </c>
      <c r="BW118" s="529">
        <f t="shared" si="503"/>
        <v>1.1526000000000001</v>
      </c>
      <c r="BX118" s="529">
        <f t="shared" si="309"/>
        <v>1.1865000000000001</v>
      </c>
      <c r="BY118" s="529">
        <f t="shared" si="310"/>
        <v>1.2226600000000001</v>
      </c>
      <c r="BZ118" s="529">
        <f t="shared" si="311"/>
        <v>1.2588200000000001</v>
      </c>
      <c r="CB118" s="529">
        <f t="shared" si="504"/>
        <v>0</v>
      </c>
      <c r="CC118" s="529">
        <f t="shared" si="505"/>
        <v>0</v>
      </c>
      <c r="CD118" s="529">
        <f t="shared" si="506"/>
        <v>0</v>
      </c>
      <c r="CE118" s="529">
        <f t="shared" si="507"/>
        <v>0</v>
      </c>
      <c r="CF118" s="529">
        <f t="shared" si="508"/>
        <v>0</v>
      </c>
      <c r="CG118" s="529">
        <f t="shared" si="509"/>
        <v>2044.5</v>
      </c>
      <c r="CH118" s="529">
        <f t="shared" si="510"/>
        <v>3000</v>
      </c>
      <c r="CI118" s="529">
        <f t="shared" si="511"/>
        <v>3318</v>
      </c>
      <c r="CJ118" s="529">
        <f t="shared" si="512"/>
        <v>2813</v>
      </c>
      <c r="CK118" s="529">
        <f t="shared" si="513"/>
        <v>2260</v>
      </c>
      <c r="CL118" s="529">
        <f t="shared" si="514"/>
        <v>2260</v>
      </c>
      <c r="CM118" s="529">
        <f t="shared" si="515"/>
        <v>2260</v>
      </c>
      <c r="CN118" s="529">
        <f t="shared" si="516"/>
        <v>2260</v>
      </c>
      <c r="CO118" s="529">
        <f t="shared" si="517"/>
        <v>2260</v>
      </c>
      <c r="CP118" s="529">
        <f t="shared" si="312"/>
        <v>2260</v>
      </c>
      <c r="CQ118" s="529">
        <f t="shared" si="313"/>
        <v>2260</v>
      </c>
      <c r="CR118" s="529">
        <f t="shared" si="314"/>
        <v>2260</v>
      </c>
    </row>
    <row r="119" spans="1:96" x14ac:dyDescent="0.2">
      <c r="A119" s="761"/>
      <c r="B119" s="537" t="s">
        <v>495</v>
      </c>
      <c r="C119" s="538"/>
      <c r="D119" s="549"/>
      <c r="E119" s="540">
        <f t="shared" si="616"/>
        <v>0</v>
      </c>
      <c r="F119" s="541"/>
      <c r="G119" s="539"/>
      <c r="H119" s="540">
        <f t="shared" si="617"/>
        <v>0</v>
      </c>
      <c r="I119" s="538"/>
      <c r="J119" s="539"/>
      <c r="K119" s="540">
        <f t="shared" si="618"/>
        <v>0</v>
      </c>
      <c r="L119" s="538">
        <v>23</v>
      </c>
      <c r="M119" s="539">
        <v>292</v>
      </c>
      <c r="N119" s="540">
        <f t="shared" si="619"/>
        <v>6.7159999999999997E-3</v>
      </c>
      <c r="O119" s="538"/>
      <c r="P119" s="539"/>
      <c r="Q119" s="540">
        <f t="shared" ref="Q119:Q120" si="630">O119*P119/1000000</f>
        <v>0</v>
      </c>
      <c r="R119" s="538"/>
      <c r="S119" s="539"/>
      <c r="T119" s="540">
        <f t="shared" ref="T119:T120" si="631">R119*S119/1000000</f>
        <v>0</v>
      </c>
      <c r="U119" s="538"/>
      <c r="V119" s="629"/>
      <c r="W119" s="540">
        <f t="shared" ref="W119:W120" si="632">U119*V119/1000000</f>
        <v>0</v>
      </c>
      <c r="X119" s="538"/>
      <c r="Y119" s="539">
        <f t="shared" si="620"/>
        <v>0</v>
      </c>
      <c r="Z119" s="540">
        <f t="shared" ref="Z119:Z120" si="633">X119*Y119/1000000</f>
        <v>0</v>
      </c>
      <c r="AA119" s="538"/>
      <c r="AB119" s="539">
        <f t="shared" si="621"/>
        <v>0</v>
      </c>
      <c r="AC119" s="540">
        <f t="shared" ref="AC119:AC120" si="634">AA119*AB119/1000000</f>
        <v>0</v>
      </c>
      <c r="AD119" s="538"/>
      <c r="AE119" s="539">
        <f t="shared" si="622"/>
        <v>0</v>
      </c>
      <c r="AF119" s="540">
        <f t="shared" ref="AF119:AF120" si="635">AD119*AE119/1000000</f>
        <v>0</v>
      </c>
      <c r="AG119" s="538"/>
      <c r="AH119" s="539">
        <f t="shared" si="623"/>
        <v>0</v>
      </c>
      <c r="AI119" s="540">
        <f t="shared" ref="AI119:AI120" si="636">AG119*AH119/1000000</f>
        <v>0</v>
      </c>
      <c r="AJ119" s="538"/>
      <c r="AK119" s="539">
        <f t="shared" si="624"/>
        <v>0</v>
      </c>
      <c r="AL119" s="540">
        <f t="shared" ref="AL119:AL120" si="637">AJ119*AK119/1000000</f>
        <v>0</v>
      </c>
      <c r="AM119" s="538"/>
      <c r="AN119" s="539">
        <f t="shared" si="625"/>
        <v>0</v>
      </c>
      <c r="AO119" s="540">
        <f t="shared" ref="AO119:AO120" si="638">AM119*AN119/1000000</f>
        <v>0</v>
      </c>
      <c r="AP119" s="538"/>
      <c r="AQ119" s="539">
        <f t="shared" si="626"/>
        <v>0</v>
      </c>
      <c r="AR119" s="540">
        <f t="shared" ref="AR119:AR120" si="639">AP119*AQ119/1000000</f>
        <v>0</v>
      </c>
      <c r="AS119" s="538"/>
      <c r="AT119" s="539">
        <f t="shared" si="627"/>
        <v>0</v>
      </c>
      <c r="AU119" s="540">
        <f t="shared" ref="AU119:AU120" si="640">AS119*AT119/1000000</f>
        <v>0</v>
      </c>
      <c r="AV119" s="538"/>
      <c r="AW119" s="539">
        <f t="shared" si="628"/>
        <v>0</v>
      </c>
      <c r="AX119" s="540">
        <f t="shared" ref="AX119:AX120" si="641">AV119*AW119/1000000</f>
        <v>0</v>
      </c>
      <c r="AY119" s="538"/>
      <c r="AZ119" s="539">
        <f t="shared" si="629"/>
        <v>0</v>
      </c>
      <c r="BA119" s="540">
        <f t="shared" ref="BA119:BA120" si="642">AY119*AZ119/1000000</f>
        <v>0</v>
      </c>
      <c r="BJ119" s="529">
        <f t="shared" si="490"/>
        <v>0</v>
      </c>
      <c r="BK119" s="529">
        <f t="shared" si="491"/>
        <v>0</v>
      </c>
      <c r="BL119" s="529">
        <f t="shared" si="492"/>
        <v>0</v>
      </c>
      <c r="BM119" s="529">
        <f t="shared" si="493"/>
        <v>6.7159999999999997E-3</v>
      </c>
      <c r="BN119" s="529">
        <f t="shared" si="494"/>
        <v>0</v>
      </c>
      <c r="BO119" s="529">
        <f t="shared" si="495"/>
        <v>0</v>
      </c>
      <c r="BP119" s="529">
        <f t="shared" si="496"/>
        <v>0</v>
      </c>
      <c r="BQ119" s="529">
        <f t="shared" si="497"/>
        <v>0</v>
      </c>
      <c r="BR119" s="529">
        <f t="shared" si="498"/>
        <v>0</v>
      </c>
      <c r="BS119" s="529">
        <f t="shared" si="499"/>
        <v>0</v>
      </c>
      <c r="BT119" s="529">
        <f t="shared" si="500"/>
        <v>0</v>
      </c>
      <c r="BU119" s="529">
        <f t="shared" si="501"/>
        <v>0</v>
      </c>
      <c r="BV119" s="529">
        <f t="shared" si="502"/>
        <v>0</v>
      </c>
      <c r="BW119" s="529">
        <f t="shared" si="503"/>
        <v>0</v>
      </c>
      <c r="BX119" s="529">
        <f t="shared" si="309"/>
        <v>0</v>
      </c>
      <c r="BY119" s="529">
        <f t="shared" si="310"/>
        <v>0</v>
      </c>
      <c r="BZ119" s="529">
        <f t="shared" si="311"/>
        <v>0</v>
      </c>
      <c r="CB119" s="529">
        <f t="shared" si="504"/>
        <v>0</v>
      </c>
      <c r="CC119" s="529">
        <f t="shared" si="505"/>
        <v>0</v>
      </c>
      <c r="CD119" s="529">
        <f t="shared" si="506"/>
        <v>0</v>
      </c>
      <c r="CE119" s="529">
        <f t="shared" si="507"/>
        <v>23</v>
      </c>
      <c r="CF119" s="529">
        <f t="shared" si="508"/>
        <v>0</v>
      </c>
      <c r="CG119" s="529">
        <f t="shared" si="509"/>
        <v>0</v>
      </c>
      <c r="CH119" s="529">
        <f t="shared" si="510"/>
        <v>0</v>
      </c>
      <c r="CI119" s="529">
        <f t="shared" si="511"/>
        <v>0</v>
      </c>
      <c r="CJ119" s="529">
        <f t="shared" si="512"/>
        <v>0</v>
      </c>
      <c r="CK119" s="529">
        <f t="shared" si="513"/>
        <v>0</v>
      </c>
      <c r="CL119" s="529">
        <f t="shared" si="514"/>
        <v>0</v>
      </c>
      <c r="CM119" s="529">
        <f t="shared" si="515"/>
        <v>0</v>
      </c>
      <c r="CN119" s="529">
        <f t="shared" si="516"/>
        <v>0</v>
      </c>
      <c r="CO119" s="529">
        <f t="shared" si="517"/>
        <v>0</v>
      </c>
      <c r="CP119" s="529">
        <f t="shared" si="312"/>
        <v>0</v>
      </c>
      <c r="CQ119" s="529">
        <f t="shared" si="313"/>
        <v>0</v>
      </c>
      <c r="CR119" s="529">
        <f t="shared" si="314"/>
        <v>0</v>
      </c>
    </row>
    <row r="120" spans="1:96" x14ac:dyDescent="0.2">
      <c r="A120" s="761"/>
      <c r="B120" s="537" t="s">
        <v>502</v>
      </c>
      <c r="C120" s="538"/>
      <c r="D120" s="549"/>
      <c r="E120" s="540">
        <f t="shared" si="616"/>
        <v>0</v>
      </c>
      <c r="F120" s="541"/>
      <c r="G120" s="539"/>
      <c r="H120" s="540">
        <f t="shared" si="617"/>
        <v>0</v>
      </c>
      <c r="I120" s="538"/>
      <c r="J120" s="539"/>
      <c r="K120" s="540">
        <f t="shared" si="618"/>
        <v>0</v>
      </c>
      <c r="L120" s="538"/>
      <c r="M120" s="539"/>
      <c r="N120" s="540">
        <f t="shared" si="619"/>
        <v>0</v>
      </c>
      <c r="O120" s="538"/>
      <c r="P120" s="539"/>
      <c r="Q120" s="540">
        <f t="shared" si="630"/>
        <v>0</v>
      </c>
      <c r="R120" s="538"/>
      <c r="S120" s="539"/>
      <c r="T120" s="540">
        <f t="shared" si="631"/>
        <v>0</v>
      </c>
      <c r="U120" s="538"/>
      <c r="V120" s="629"/>
      <c r="W120" s="540">
        <f t="shared" si="632"/>
        <v>0</v>
      </c>
      <c r="X120" s="538"/>
      <c r="Y120" s="539">
        <f t="shared" si="620"/>
        <v>0</v>
      </c>
      <c r="Z120" s="540">
        <f t="shared" si="633"/>
        <v>0</v>
      </c>
      <c r="AA120" s="538"/>
      <c r="AB120" s="539">
        <f t="shared" si="621"/>
        <v>0</v>
      </c>
      <c r="AC120" s="540">
        <f t="shared" si="634"/>
        <v>0</v>
      </c>
      <c r="AD120" s="538"/>
      <c r="AE120" s="539">
        <f t="shared" si="622"/>
        <v>0</v>
      </c>
      <c r="AF120" s="540">
        <f t="shared" si="635"/>
        <v>0</v>
      </c>
      <c r="AG120" s="538"/>
      <c r="AH120" s="539">
        <f t="shared" si="623"/>
        <v>0</v>
      </c>
      <c r="AI120" s="540">
        <f t="shared" si="636"/>
        <v>0</v>
      </c>
      <c r="AJ120" s="538"/>
      <c r="AK120" s="539">
        <f t="shared" si="624"/>
        <v>0</v>
      </c>
      <c r="AL120" s="540">
        <f t="shared" si="637"/>
        <v>0</v>
      </c>
      <c r="AM120" s="538"/>
      <c r="AN120" s="539">
        <f t="shared" si="625"/>
        <v>0</v>
      </c>
      <c r="AO120" s="540">
        <f t="shared" si="638"/>
        <v>0</v>
      </c>
      <c r="AP120" s="538"/>
      <c r="AQ120" s="539">
        <f t="shared" si="626"/>
        <v>0</v>
      </c>
      <c r="AR120" s="540">
        <f t="shared" si="639"/>
        <v>0</v>
      </c>
      <c r="AS120" s="538"/>
      <c r="AT120" s="539">
        <f t="shared" si="627"/>
        <v>0</v>
      </c>
      <c r="AU120" s="540">
        <f t="shared" si="640"/>
        <v>0</v>
      </c>
      <c r="AV120" s="538"/>
      <c r="AW120" s="539">
        <f t="shared" si="628"/>
        <v>0</v>
      </c>
      <c r="AX120" s="540">
        <f t="shared" si="641"/>
        <v>0</v>
      </c>
      <c r="AY120" s="538"/>
      <c r="AZ120" s="539">
        <f t="shared" si="629"/>
        <v>0</v>
      </c>
      <c r="BA120" s="540">
        <f t="shared" si="642"/>
        <v>0</v>
      </c>
      <c r="BJ120" s="529">
        <f t="shared" si="490"/>
        <v>0</v>
      </c>
      <c r="BK120" s="529">
        <f t="shared" si="491"/>
        <v>0</v>
      </c>
      <c r="BL120" s="529">
        <f t="shared" si="492"/>
        <v>0</v>
      </c>
      <c r="BM120" s="529">
        <f t="shared" si="493"/>
        <v>0</v>
      </c>
      <c r="BN120" s="529">
        <f t="shared" si="494"/>
        <v>0</v>
      </c>
      <c r="BO120" s="529">
        <f t="shared" si="495"/>
        <v>0</v>
      </c>
      <c r="BP120" s="529">
        <f t="shared" si="496"/>
        <v>0</v>
      </c>
      <c r="BQ120" s="529">
        <f t="shared" si="497"/>
        <v>0</v>
      </c>
      <c r="BR120" s="529">
        <f t="shared" si="498"/>
        <v>0</v>
      </c>
      <c r="BS120" s="529">
        <f t="shared" si="499"/>
        <v>0</v>
      </c>
      <c r="BT120" s="529">
        <f t="shared" si="500"/>
        <v>0</v>
      </c>
      <c r="BU120" s="529">
        <f t="shared" si="501"/>
        <v>0</v>
      </c>
      <c r="BV120" s="529">
        <f t="shared" si="502"/>
        <v>0</v>
      </c>
      <c r="BW120" s="529">
        <f t="shared" si="503"/>
        <v>0</v>
      </c>
      <c r="BX120" s="529">
        <f t="shared" si="309"/>
        <v>0</v>
      </c>
      <c r="BY120" s="529">
        <f t="shared" si="310"/>
        <v>0</v>
      </c>
      <c r="BZ120" s="529">
        <f t="shared" si="311"/>
        <v>0</v>
      </c>
      <c r="CB120" s="529">
        <f t="shared" si="504"/>
        <v>0</v>
      </c>
      <c r="CC120" s="529">
        <f t="shared" si="505"/>
        <v>0</v>
      </c>
      <c r="CD120" s="529">
        <f t="shared" si="506"/>
        <v>0</v>
      </c>
      <c r="CE120" s="529">
        <f t="shared" si="507"/>
        <v>0</v>
      </c>
      <c r="CF120" s="529">
        <f t="shared" si="508"/>
        <v>0</v>
      </c>
      <c r="CG120" s="529">
        <f t="shared" si="509"/>
        <v>0</v>
      </c>
      <c r="CH120" s="529">
        <f t="shared" si="510"/>
        <v>0</v>
      </c>
      <c r="CI120" s="529">
        <f t="shared" si="511"/>
        <v>0</v>
      </c>
      <c r="CJ120" s="529">
        <f t="shared" si="512"/>
        <v>0</v>
      </c>
      <c r="CK120" s="529">
        <f t="shared" si="513"/>
        <v>0</v>
      </c>
      <c r="CL120" s="529">
        <f t="shared" si="514"/>
        <v>0</v>
      </c>
      <c r="CM120" s="529">
        <f t="shared" si="515"/>
        <v>0</v>
      </c>
      <c r="CN120" s="529">
        <f t="shared" si="516"/>
        <v>0</v>
      </c>
      <c r="CO120" s="529">
        <f t="shared" si="517"/>
        <v>0</v>
      </c>
      <c r="CP120" s="529">
        <f t="shared" si="312"/>
        <v>0</v>
      </c>
      <c r="CQ120" s="529">
        <f t="shared" si="313"/>
        <v>0</v>
      </c>
      <c r="CR120" s="529">
        <f t="shared" si="314"/>
        <v>0</v>
      </c>
    </row>
    <row r="121" spans="1:96" ht="14.25" thickBot="1" x14ac:dyDescent="0.3">
      <c r="A121" s="761"/>
      <c r="B121" s="537" t="s">
        <v>619</v>
      </c>
      <c r="C121" s="538">
        <f>C118*0.46+C119*0.24+C120*0.52</f>
        <v>0</v>
      </c>
      <c r="D121" s="549"/>
      <c r="E121" s="540">
        <f>SUM(E118:E120)</f>
        <v>0</v>
      </c>
      <c r="F121" s="541">
        <f>F118*0.46+F119*0.24+F120*0.52</f>
        <v>0</v>
      </c>
      <c r="G121" s="539"/>
      <c r="H121" s="540">
        <f>SUM(H118:H120)</f>
        <v>0</v>
      </c>
      <c r="I121" s="538">
        <f>I118*0.46+I119*0.24+I120*0.52</f>
        <v>0</v>
      </c>
      <c r="J121" s="539"/>
      <c r="K121" s="540">
        <f>SUM(K118:K120)</f>
        <v>0</v>
      </c>
      <c r="L121" s="538">
        <f>L118*0.46+L119*0.24+L120*0.52</f>
        <v>5.52</v>
      </c>
      <c r="M121" s="539"/>
      <c r="N121" s="540">
        <f>SUM(N118:N120)</f>
        <v>6.7159999999999997E-3</v>
      </c>
      <c r="O121" s="538">
        <f>O118*0.46+O119*0.24+O120*0.52</f>
        <v>0</v>
      </c>
      <c r="P121" s="539"/>
      <c r="Q121" s="540">
        <f>SUM(Q118:Q120)</f>
        <v>0</v>
      </c>
      <c r="R121" s="538">
        <f>R118*0.46+R119*0.24+R120*0.52</f>
        <v>940.47</v>
      </c>
      <c r="S121" s="539"/>
      <c r="T121" s="540">
        <f>SUM(T118:T120)</f>
        <v>0.92411399999999999</v>
      </c>
      <c r="U121" s="538">
        <f>U118*0.46+U119*0.24+U120*0.52</f>
        <v>1380</v>
      </c>
      <c r="V121" s="629"/>
      <c r="W121" s="545">
        <f>SUM(W118:W120)</f>
        <v>1.2450000000000001</v>
      </c>
      <c r="X121" s="538">
        <f>X118*0.46+X119*0.24+X120*0.52</f>
        <v>1526.28</v>
      </c>
      <c r="Y121" s="549"/>
      <c r="Z121" s="545">
        <f>SUM(Z118:Z120)</f>
        <v>1.4167860000000001</v>
      </c>
      <c r="AA121" s="538">
        <f>AA118*0.46+AA119*0.24+AA120*0.52</f>
        <v>1293.98</v>
      </c>
      <c r="AB121" s="549"/>
      <c r="AC121" s="545">
        <f>SUM(AC118:AC120)</f>
        <v>1.2377199999999999</v>
      </c>
      <c r="AD121" s="538">
        <f>AD118*0.46+AD119*0.24+AD120*0.52</f>
        <v>1039.6000000000001</v>
      </c>
      <c r="AE121" s="549"/>
      <c r="AF121" s="545">
        <f>SUM(AF118:AF120)</f>
        <v>1.0237799999999999</v>
      </c>
      <c r="AG121" s="538">
        <f>AG118*0.46+AG119*0.24+AG120*0.52</f>
        <v>1039.6000000000001</v>
      </c>
      <c r="AH121" s="549"/>
      <c r="AI121" s="545">
        <f>SUM(AI118:AI120)</f>
        <v>1.05542</v>
      </c>
      <c r="AJ121" s="538">
        <f>AJ118*0.46+AJ119*0.24+AJ120*0.52</f>
        <v>1039.6000000000001</v>
      </c>
      <c r="AK121" s="549"/>
      <c r="AL121" s="545">
        <f>SUM(AL118:AL120)</f>
        <v>1.0870599999999999</v>
      </c>
      <c r="AM121" s="538">
        <f>AM118*0.46+AM119*0.24+AM120*0.52</f>
        <v>1039.6000000000001</v>
      </c>
      <c r="AN121" s="549"/>
      <c r="AO121" s="545">
        <f>SUM(AO118:AO120)</f>
        <v>1.1187</v>
      </c>
      <c r="AP121" s="538">
        <f>AP118*0.46+AP119*0.24+AP120*0.52</f>
        <v>1039.6000000000001</v>
      </c>
      <c r="AQ121" s="549"/>
      <c r="AR121" s="545">
        <f>SUM(AR118:AR120)</f>
        <v>1.1526000000000001</v>
      </c>
      <c r="AS121" s="538">
        <f>AS118*0.46+AS119*0.24+AS120*0.52</f>
        <v>1039.6000000000001</v>
      </c>
      <c r="AT121" s="549"/>
      <c r="AU121" s="545">
        <f>SUM(AU118:AU120)</f>
        <v>1.1865000000000001</v>
      </c>
      <c r="AV121" s="538">
        <f>AV118*0.46+AV119*0.24+AV120*0.52</f>
        <v>1039.6000000000001</v>
      </c>
      <c r="AW121" s="549"/>
      <c r="AX121" s="545">
        <f>SUM(AX118:AX120)</f>
        <v>1.2226600000000001</v>
      </c>
      <c r="AY121" s="538">
        <f>AY118*0.46+AY119*0.24+AY120*0.52</f>
        <v>1039.6000000000001</v>
      </c>
      <c r="AZ121" s="549"/>
      <c r="BA121" s="545">
        <f>SUM(BA118:BA120)</f>
        <v>1.2588200000000001</v>
      </c>
      <c r="BJ121" s="529">
        <f t="shared" si="490"/>
        <v>0</v>
      </c>
      <c r="BK121" s="529">
        <f t="shared" si="491"/>
        <v>0</v>
      </c>
      <c r="BL121" s="529">
        <f t="shared" si="492"/>
        <v>0</v>
      </c>
      <c r="BM121" s="529">
        <f t="shared" si="493"/>
        <v>6.7159999999999997E-3</v>
      </c>
      <c r="BN121" s="529">
        <f t="shared" si="494"/>
        <v>0</v>
      </c>
      <c r="BO121" s="529">
        <f t="shared" si="495"/>
        <v>0.92411399999999999</v>
      </c>
      <c r="BP121" s="529">
        <f t="shared" si="496"/>
        <v>1.2450000000000001</v>
      </c>
      <c r="BQ121" s="529">
        <f t="shared" si="497"/>
        <v>1.4167860000000001</v>
      </c>
      <c r="BR121" s="529">
        <f t="shared" si="498"/>
        <v>1.2377199999999999</v>
      </c>
      <c r="BS121" s="529">
        <f t="shared" si="499"/>
        <v>1.0237799999999999</v>
      </c>
      <c r="BT121" s="529">
        <f t="shared" si="500"/>
        <v>1.05542</v>
      </c>
      <c r="BU121" s="529">
        <f t="shared" si="501"/>
        <v>1.0870599999999999</v>
      </c>
      <c r="BV121" s="529">
        <f t="shared" si="502"/>
        <v>1.1187</v>
      </c>
      <c r="BW121" s="529">
        <f t="shared" si="503"/>
        <v>1.1526000000000001</v>
      </c>
      <c r="BX121" s="529">
        <f t="shared" si="309"/>
        <v>1.1865000000000001</v>
      </c>
      <c r="BY121" s="529">
        <f t="shared" si="310"/>
        <v>1.2226600000000001</v>
      </c>
      <c r="BZ121" s="529">
        <f t="shared" si="311"/>
        <v>1.2588200000000001</v>
      </c>
      <c r="CB121" s="529">
        <f t="shared" si="504"/>
        <v>0</v>
      </c>
      <c r="CC121" s="529">
        <f t="shared" si="505"/>
        <v>0</v>
      </c>
      <c r="CD121" s="529">
        <f t="shared" si="506"/>
        <v>0</v>
      </c>
      <c r="CE121" s="529">
        <f t="shared" si="507"/>
        <v>5.52</v>
      </c>
      <c r="CF121" s="529">
        <f t="shared" si="508"/>
        <v>0</v>
      </c>
      <c r="CG121" s="529">
        <f t="shared" si="509"/>
        <v>940.47</v>
      </c>
      <c r="CH121" s="529">
        <f t="shared" si="510"/>
        <v>1380</v>
      </c>
      <c r="CI121" s="529">
        <f t="shared" si="511"/>
        <v>1526.28</v>
      </c>
      <c r="CJ121" s="529">
        <f t="shared" si="512"/>
        <v>1293.98</v>
      </c>
      <c r="CK121" s="529">
        <f t="shared" si="513"/>
        <v>1039.6000000000001</v>
      </c>
      <c r="CL121" s="529">
        <f t="shared" si="514"/>
        <v>1039.6000000000001</v>
      </c>
      <c r="CM121" s="529">
        <f t="shared" si="515"/>
        <v>1039.6000000000001</v>
      </c>
      <c r="CN121" s="529">
        <f t="shared" si="516"/>
        <v>1039.6000000000001</v>
      </c>
      <c r="CO121" s="529">
        <f t="shared" si="517"/>
        <v>1039.6000000000001</v>
      </c>
      <c r="CP121" s="529">
        <f t="shared" si="312"/>
        <v>1039.6000000000001</v>
      </c>
      <c r="CQ121" s="529">
        <f t="shared" si="313"/>
        <v>1039.6000000000001</v>
      </c>
      <c r="CR121" s="529">
        <f t="shared" si="314"/>
        <v>1039.6000000000001</v>
      </c>
    </row>
    <row r="122" spans="1:96" x14ac:dyDescent="0.2">
      <c r="A122" s="754" t="s">
        <v>504</v>
      </c>
      <c r="B122" s="550" t="s">
        <v>494</v>
      </c>
      <c r="C122" s="551">
        <f>SUMIF($B$110:$B$121,$B122,C$110:C$121)</f>
        <v>0</v>
      </c>
      <c r="D122" s="552"/>
      <c r="E122" s="553">
        <f>SUMIF($B$110:$B$121,$B122,E$110:E$121)</f>
        <v>0</v>
      </c>
      <c r="F122" s="551">
        <f t="shared" ref="F122:R125" si="643">SUMIF($B$110:$B$121,$B122,F$110:F$121)</f>
        <v>0</v>
      </c>
      <c r="G122" s="552"/>
      <c r="H122" s="553">
        <f t="shared" ref="H122:I125" si="644">SUMIF($B$110:$B$121,$B122,H$110:H$121)</f>
        <v>0</v>
      </c>
      <c r="I122" s="551">
        <f t="shared" si="644"/>
        <v>0</v>
      </c>
      <c r="J122" s="552"/>
      <c r="K122" s="553">
        <f t="shared" ref="K122:L125" si="645">SUMIF($B$110:$B$121,$B122,K$110:K$121)</f>
        <v>0</v>
      </c>
      <c r="L122" s="551">
        <f t="shared" si="645"/>
        <v>2410.0500000000002</v>
      </c>
      <c r="M122" s="552"/>
      <c r="N122" s="553">
        <f t="shared" ref="N122:O125" si="646">SUMIF($B$110:$B$121,$B122,N$110:N$121)</f>
        <v>0.73024515000000001</v>
      </c>
      <c r="O122" s="554">
        <f t="shared" si="646"/>
        <v>992</v>
      </c>
      <c r="P122" s="552"/>
      <c r="Q122" s="553">
        <f>SUMIF($B$110:$B$121,$B122,Q$110:Q$121)</f>
        <v>0.309504</v>
      </c>
      <c r="R122" s="551">
        <f t="shared" ref="R122" si="647">SUMIF($B$110:$B$121,$B122,R$110:R$121)</f>
        <v>3532.5</v>
      </c>
      <c r="S122" s="552"/>
      <c r="T122" s="553">
        <f>SUMIF($B$110:$B$121,$B122,T$110:T$121)</f>
        <v>1.4478900000000001</v>
      </c>
      <c r="U122" s="551">
        <f>SUMIF($B$110:$B$121,$B122,U$110:U$121)</f>
        <v>3000</v>
      </c>
      <c r="V122" s="642">
        <f>IFERROR(+W122*1000000/U122,0)</f>
        <v>415</v>
      </c>
      <c r="W122" s="553">
        <f>SUMIF($B$110:$B$121,$B122,W$110:W$121)</f>
        <v>1.2450000000000001</v>
      </c>
      <c r="X122" s="551">
        <f>SUMIF($B$110:$B$121,$B122,X$110:X$121)</f>
        <v>3318</v>
      </c>
      <c r="Y122" s="642">
        <f>IFERROR(+Z122*1000000/X122,0)</f>
        <v>427</v>
      </c>
      <c r="Z122" s="553">
        <f>SUMIF($B$110:$B$121,$B122,Z$110:Z$121)</f>
        <v>1.4167860000000001</v>
      </c>
      <c r="AA122" s="551">
        <f>SUMIF($B$110:$B$121,$B122,AA$110:AA$121)</f>
        <v>2813</v>
      </c>
      <c r="AB122" s="642">
        <f>IFERROR(+AC122*1000000/AA122,0)</f>
        <v>440</v>
      </c>
      <c r="AC122" s="553">
        <f>SUMIF($B$110:$B$121,$B122,AC$110:AC$121)</f>
        <v>1.2377199999999999</v>
      </c>
      <c r="AD122" s="551">
        <f>SUMIF($B$110:$B$121,$B122,AD$110:AD$121)</f>
        <v>2260</v>
      </c>
      <c r="AE122" s="642">
        <f>IFERROR(+AF122*1000000/AD122,0)</f>
        <v>452.99999999999994</v>
      </c>
      <c r="AF122" s="553">
        <f>SUMIF($B$110:$B$121,$B122,AF$110:AF$121)</f>
        <v>1.0237799999999999</v>
      </c>
      <c r="AG122" s="551">
        <f>SUMIF($B$110:$B$121,$B122,AG$110:AG$121)</f>
        <v>2260</v>
      </c>
      <c r="AH122" s="642">
        <f>IFERROR(+AI122*1000000/AG122,0)</f>
        <v>467</v>
      </c>
      <c r="AI122" s="553">
        <f>SUMIF($B$110:$B$121,$B122,AI$110:AI$121)</f>
        <v>1.05542</v>
      </c>
      <c r="AJ122" s="551">
        <f>SUMIF($B$110:$B$121,$B122,AJ$110:AJ$121)</f>
        <v>2260</v>
      </c>
      <c r="AK122" s="642">
        <f>IFERROR(+AL122*1000000/AJ122,0)</f>
        <v>481</v>
      </c>
      <c r="AL122" s="553">
        <f>SUMIF($B$110:$B$121,$B122,AL$110:AL$121)</f>
        <v>1.0870599999999999</v>
      </c>
      <c r="AM122" s="551">
        <f>SUMIF($B$110:$B$121,$B122,AM$110:AM$121)</f>
        <v>2260</v>
      </c>
      <c r="AN122" s="642">
        <f>IFERROR(+AO122*1000000/AM122,0)</f>
        <v>495</v>
      </c>
      <c r="AO122" s="553">
        <f>SUMIF($B$110:$B$121,$B122,AO$110:AO$121)</f>
        <v>1.1187</v>
      </c>
      <c r="AP122" s="551">
        <f>SUMIF($B$110:$B$121,$B122,AP$110:AP$121)</f>
        <v>2260</v>
      </c>
      <c r="AQ122" s="642">
        <f>IFERROR(+AR122*1000000/AP122,0)</f>
        <v>510</v>
      </c>
      <c r="AR122" s="553">
        <f>SUMIF($B$110:$B$121,$B122,AR$110:AR$121)</f>
        <v>1.1526000000000001</v>
      </c>
      <c r="AS122" s="551">
        <f>SUMIF($B$110:$B$121,$B122,AS$110:AS$121)</f>
        <v>2260</v>
      </c>
      <c r="AT122" s="642">
        <f>IFERROR(+AU122*1000000/AS122,0)</f>
        <v>525</v>
      </c>
      <c r="AU122" s="553">
        <f>SUMIF($B$110:$B$121,$B122,AU$110:AU$121)</f>
        <v>1.1865000000000001</v>
      </c>
      <c r="AV122" s="551">
        <f>SUMIF($B$110:$B$121,$B122,AV$110:AV$121)</f>
        <v>2260</v>
      </c>
      <c r="AW122" s="642">
        <f>IFERROR(+AX122*1000000/AV122,0)</f>
        <v>541</v>
      </c>
      <c r="AX122" s="553">
        <f>SUMIF($B$110:$B$121,$B122,AX$110:AX$121)</f>
        <v>1.2226600000000001</v>
      </c>
      <c r="AY122" s="551">
        <f>SUMIF($B$110:$B$121,$B122,AY$110:AY$121)</f>
        <v>2260</v>
      </c>
      <c r="AZ122" s="642">
        <f>IFERROR(+BA122*1000000/AY122,0)</f>
        <v>557</v>
      </c>
      <c r="BA122" s="553">
        <f>SUMIF($B$110:$B$121,$B122,BA$110:BA$121)</f>
        <v>1.2588200000000001</v>
      </c>
      <c r="BJ122" s="529">
        <f t="shared" si="490"/>
        <v>0</v>
      </c>
      <c r="BK122" s="529">
        <f t="shared" si="491"/>
        <v>0</v>
      </c>
      <c r="BL122" s="529">
        <f t="shared" si="492"/>
        <v>0</v>
      </c>
      <c r="BM122" s="529">
        <f t="shared" si="493"/>
        <v>0.73024515000000001</v>
      </c>
      <c r="BN122" s="529">
        <f t="shared" si="494"/>
        <v>0.309504</v>
      </c>
      <c r="BO122" s="529">
        <f t="shared" si="495"/>
        <v>1.4478900000000001</v>
      </c>
      <c r="BP122" s="529">
        <f t="shared" si="496"/>
        <v>1.2450000000000001</v>
      </c>
      <c r="BQ122" s="529">
        <f t="shared" si="497"/>
        <v>1.4167860000000001</v>
      </c>
      <c r="BR122" s="529">
        <f t="shared" si="498"/>
        <v>1.2377199999999999</v>
      </c>
      <c r="BS122" s="529">
        <f t="shared" si="499"/>
        <v>1.0237799999999999</v>
      </c>
      <c r="BT122" s="529">
        <f t="shared" si="500"/>
        <v>1.05542</v>
      </c>
      <c r="BU122" s="529">
        <f t="shared" si="501"/>
        <v>1.0870599999999999</v>
      </c>
      <c r="BV122" s="529">
        <f t="shared" si="502"/>
        <v>1.1187</v>
      </c>
      <c r="BW122" s="529">
        <f t="shared" si="503"/>
        <v>1.1526000000000001</v>
      </c>
      <c r="BX122" s="529">
        <f t="shared" si="309"/>
        <v>1.1865000000000001</v>
      </c>
      <c r="BY122" s="529">
        <f t="shared" si="310"/>
        <v>1.2226600000000001</v>
      </c>
      <c r="BZ122" s="529">
        <f t="shared" si="311"/>
        <v>1.2588200000000001</v>
      </c>
      <c r="CB122" s="529">
        <f t="shared" si="504"/>
        <v>0</v>
      </c>
      <c r="CC122" s="529">
        <f t="shared" si="505"/>
        <v>0</v>
      </c>
      <c r="CD122" s="529">
        <f t="shared" si="506"/>
        <v>0</v>
      </c>
      <c r="CE122" s="529">
        <f t="shared" si="507"/>
        <v>2410.0500000000002</v>
      </c>
      <c r="CF122" s="529">
        <f t="shared" si="508"/>
        <v>992</v>
      </c>
      <c r="CG122" s="529">
        <f t="shared" si="509"/>
        <v>3532.5</v>
      </c>
      <c r="CH122" s="529">
        <f t="shared" si="510"/>
        <v>3000</v>
      </c>
      <c r="CI122" s="529">
        <f t="shared" si="511"/>
        <v>3318</v>
      </c>
      <c r="CJ122" s="529">
        <f t="shared" si="512"/>
        <v>2813</v>
      </c>
      <c r="CK122" s="529">
        <f t="shared" si="513"/>
        <v>2260</v>
      </c>
      <c r="CL122" s="529">
        <f t="shared" si="514"/>
        <v>2260</v>
      </c>
      <c r="CM122" s="529">
        <f t="shared" si="515"/>
        <v>2260</v>
      </c>
      <c r="CN122" s="529">
        <f t="shared" si="516"/>
        <v>2260</v>
      </c>
      <c r="CO122" s="529">
        <f t="shared" si="517"/>
        <v>2260</v>
      </c>
      <c r="CP122" s="529">
        <f t="shared" si="312"/>
        <v>2260</v>
      </c>
      <c r="CQ122" s="529">
        <f t="shared" si="313"/>
        <v>2260</v>
      </c>
      <c r="CR122" s="529">
        <f t="shared" si="314"/>
        <v>2260</v>
      </c>
    </row>
    <row r="123" spans="1:96" x14ac:dyDescent="0.2">
      <c r="A123" s="755"/>
      <c r="B123" s="555" t="s">
        <v>495</v>
      </c>
      <c r="C123" s="559">
        <f t="shared" ref="C123:C125" si="648">SUMIF($B$110:$B$121,$B123,C$110:C$121)</f>
        <v>0</v>
      </c>
      <c r="D123" s="557"/>
      <c r="E123" s="558">
        <f>SUMIF($B$110:$B$121,$B123,E$110:E$121)</f>
        <v>0</v>
      </c>
      <c r="F123" s="559">
        <f t="shared" si="643"/>
        <v>0</v>
      </c>
      <c r="G123" s="557"/>
      <c r="H123" s="558">
        <f t="shared" si="644"/>
        <v>0</v>
      </c>
      <c r="I123" s="559">
        <f t="shared" si="643"/>
        <v>0</v>
      </c>
      <c r="J123" s="557"/>
      <c r="K123" s="558">
        <f t="shared" si="645"/>
        <v>0</v>
      </c>
      <c r="L123" s="559">
        <f t="shared" si="643"/>
        <v>23</v>
      </c>
      <c r="M123" s="557"/>
      <c r="N123" s="558">
        <f t="shared" si="646"/>
        <v>6.7159999999999997E-3</v>
      </c>
      <c r="O123" s="556">
        <f t="shared" si="643"/>
        <v>0</v>
      </c>
      <c r="P123" s="557"/>
      <c r="Q123" s="558">
        <f>SUMIF($B$110:$B$121,$B123,Q$110:Q$121)</f>
        <v>0</v>
      </c>
      <c r="R123" s="559">
        <f t="shared" si="643"/>
        <v>0</v>
      </c>
      <c r="S123" s="557"/>
      <c r="T123" s="558">
        <f>SUMIF($B$110:$B$121,$B123,T$110:T$121)</f>
        <v>0</v>
      </c>
      <c r="U123" s="559">
        <f t="shared" ref="U123:AA125" si="649">SUMIF($B$110:$B$121,$B123,U$110:U$121)</f>
        <v>0</v>
      </c>
      <c r="V123" s="632"/>
      <c r="W123" s="558">
        <f t="shared" si="649"/>
        <v>0</v>
      </c>
      <c r="X123" s="559">
        <f t="shared" si="649"/>
        <v>0</v>
      </c>
      <c r="Y123" s="632"/>
      <c r="Z123" s="558">
        <f t="shared" si="649"/>
        <v>0</v>
      </c>
      <c r="AA123" s="559">
        <f t="shared" si="649"/>
        <v>0</v>
      </c>
      <c r="AB123" s="632"/>
      <c r="AC123" s="558">
        <f t="shared" ref="AC123:AD125" si="650">SUMIF($B$110:$B$121,$B123,AC$110:AC$121)</f>
        <v>0</v>
      </c>
      <c r="AD123" s="559">
        <f t="shared" si="650"/>
        <v>0</v>
      </c>
      <c r="AE123" s="632"/>
      <c r="AF123" s="558">
        <f t="shared" ref="AF123:AG125" si="651">SUMIF($B$110:$B$121,$B123,AF$110:AF$121)</f>
        <v>0</v>
      </c>
      <c r="AG123" s="559">
        <f t="shared" si="651"/>
        <v>0</v>
      </c>
      <c r="AH123" s="632"/>
      <c r="AI123" s="558">
        <f t="shared" ref="AI123:AJ125" si="652">SUMIF($B$110:$B$121,$B123,AI$110:AI$121)</f>
        <v>0</v>
      </c>
      <c r="AJ123" s="559">
        <f t="shared" si="652"/>
        <v>0</v>
      </c>
      <c r="AK123" s="632"/>
      <c r="AL123" s="558">
        <f t="shared" ref="AL123:AM125" si="653">SUMIF($B$110:$B$121,$B123,AL$110:AL$121)</f>
        <v>0</v>
      </c>
      <c r="AM123" s="559">
        <f t="shared" si="653"/>
        <v>0</v>
      </c>
      <c r="AN123" s="632"/>
      <c r="AO123" s="558">
        <f t="shared" ref="AO123:AP125" si="654">SUMIF($B$110:$B$121,$B123,AO$110:AO$121)</f>
        <v>0</v>
      </c>
      <c r="AP123" s="559">
        <f t="shared" si="654"/>
        <v>0</v>
      </c>
      <c r="AQ123" s="632"/>
      <c r="AR123" s="558">
        <f t="shared" ref="AR123:BA125" si="655">SUMIF($B$110:$B$121,$B123,AR$110:AR$121)</f>
        <v>0</v>
      </c>
      <c r="AS123" s="559">
        <f t="shared" si="655"/>
        <v>0</v>
      </c>
      <c r="AT123" s="632"/>
      <c r="AU123" s="558">
        <f t="shared" si="655"/>
        <v>0</v>
      </c>
      <c r="AV123" s="559">
        <f t="shared" si="655"/>
        <v>0</v>
      </c>
      <c r="AW123" s="632"/>
      <c r="AX123" s="558">
        <f t="shared" si="655"/>
        <v>0</v>
      </c>
      <c r="AY123" s="559">
        <f t="shared" si="655"/>
        <v>0</v>
      </c>
      <c r="AZ123" s="632"/>
      <c r="BA123" s="558">
        <f t="shared" si="655"/>
        <v>0</v>
      </c>
      <c r="BJ123" s="529">
        <f t="shared" si="490"/>
        <v>0</v>
      </c>
      <c r="BK123" s="529">
        <f t="shared" si="491"/>
        <v>0</v>
      </c>
      <c r="BL123" s="529">
        <f t="shared" si="492"/>
        <v>0</v>
      </c>
      <c r="BM123" s="529">
        <f t="shared" si="493"/>
        <v>6.7159999999999997E-3</v>
      </c>
      <c r="BN123" s="529">
        <f t="shared" si="494"/>
        <v>0</v>
      </c>
      <c r="BO123" s="529">
        <f t="shared" si="495"/>
        <v>0</v>
      </c>
      <c r="BP123" s="529">
        <f t="shared" si="496"/>
        <v>0</v>
      </c>
      <c r="BQ123" s="529">
        <f t="shared" si="497"/>
        <v>0</v>
      </c>
      <c r="BR123" s="529">
        <f t="shared" si="498"/>
        <v>0</v>
      </c>
      <c r="BS123" s="529">
        <f t="shared" si="499"/>
        <v>0</v>
      </c>
      <c r="BT123" s="529">
        <f t="shared" si="500"/>
        <v>0</v>
      </c>
      <c r="BU123" s="529">
        <f t="shared" si="501"/>
        <v>0</v>
      </c>
      <c r="BV123" s="529">
        <f t="shared" si="502"/>
        <v>0</v>
      </c>
      <c r="BW123" s="529">
        <f t="shared" si="503"/>
        <v>0</v>
      </c>
      <c r="BX123" s="529">
        <f t="shared" si="309"/>
        <v>0</v>
      </c>
      <c r="BY123" s="529">
        <f t="shared" si="310"/>
        <v>0</v>
      </c>
      <c r="BZ123" s="529">
        <f t="shared" si="311"/>
        <v>0</v>
      </c>
      <c r="CB123" s="529">
        <f t="shared" si="504"/>
        <v>0</v>
      </c>
      <c r="CC123" s="529">
        <f t="shared" si="505"/>
        <v>0</v>
      </c>
      <c r="CD123" s="529">
        <f t="shared" si="506"/>
        <v>0</v>
      </c>
      <c r="CE123" s="529">
        <f t="shared" si="507"/>
        <v>23</v>
      </c>
      <c r="CF123" s="529">
        <f t="shared" si="508"/>
        <v>0</v>
      </c>
      <c r="CG123" s="529">
        <f t="shared" si="509"/>
        <v>0</v>
      </c>
      <c r="CH123" s="529">
        <f t="shared" si="510"/>
        <v>0</v>
      </c>
      <c r="CI123" s="529">
        <f t="shared" si="511"/>
        <v>0</v>
      </c>
      <c r="CJ123" s="529">
        <f t="shared" si="512"/>
        <v>0</v>
      </c>
      <c r="CK123" s="529">
        <f t="shared" si="513"/>
        <v>0</v>
      </c>
      <c r="CL123" s="529">
        <f t="shared" si="514"/>
        <v>0</v>
      </c>
      <c r="CM123" s="529">
        <f t="shared" si="515"/>
        <v>0</v>
      </c>
      <c r="CN123" s="529">
        <f t="shared" si="516"/>
        <v>0</v>
      </c>
      <c r="CO123" s="529">
        <f t="shared" si="517"/>
        <v>0</v>
      </c>
      <c r="CP123" s="529">
        <f t="shared" si="312"/>
        <v>0</v>
      </c>
      <c r="CQ123" s="529">
        <f t="shared" si="313"/>
        <v>0</v>
      </c>
      <c r="CR123" s="529">
        <f t="shared" si="314"/>
        <v>0</v>
      </c>
    </row>
    <row r="124" spans="1:96" x14ac:dyDescent="0.2">
      <c r="A124" s="755"/>
      <c r="B124" s="555" t="s">
        <v>502</v>
      </c>
      <c r="C124" s="559">
        <f t="shared" si="648"/>
        <v>0</v>
      </c>
      <c r="D124" s="557"/>
      <c r="E124" s="558">
        <f>SUMIF($B$110:$B$121,$B124,E$110:E$121)</f>
        <v>0</v>
      </c>
      <c r="F124" s="559">
        <f t="shared" si="643"/>
        <v>0</v>
      </c>
      <c r="G124" s="557"/>
      <c r="H124" s="558">
        <f t="shared" si="644"/>
        <v>0</v>
      </c>
      <c r="I124" s="559">
        <f t="shared" si="643"/>
        <v>0</v>
      </c>
      <c r="J124" s="557"/>
      <c r="K124" s="558">
        <f t="shared" si="645"/>
        <v>0</v>
      </c>
      <c r="L124" s="559">
        <f t="shared" si="643"/>
        <v>0</v>
      </c>
      <c r="M124" s="557"/>
      <c r="N124" s="558">
        <f t="shared" si="646"/>
        <v>0</v>
      </c>
      <c r="O124" s="556">
        <f t="shared" si="643"/>
        <v>16260</v>
      </c>
      <c r="P124" s="557"/>
      <c r="Q124" s="558">
        <f>SUMIF($B$110:$B$121,$B124,Q$110:Q$121)</f>
        <v>6.14628</v>
      </c>
      <c r="R124" s="559">
        <f t="shared" si="643"/>
        <v>0</v>
      </c>
      <c r="S124" s="557"/>
      <c r="T124" s="558">
        <f>SUMIF($B$110:$B$121,$B124,T$110:T$121)</f>
        <v>0</v>
      </c>
      <c r="U124" s="559">
        <f t="shared" si="649"/>
        <v>0</v>
      </c>
      <c r="V124" s="632"/>
      <c r="W124" s="558">
        <f t="shared" si="649"/>
        <v>0</v>
      </c>
      <c r="X124" s="559">
        <f t="shared" si="649"/>
        <v>0</v>
      </c>
      <c r="Y124" s="632"/>
      <c r="Z124" s="558">
        <f t="shared" si="649"/>
        <v>0</v>
      </c>
      <c r="AA124" s="559">
        <f t="shared" si="649"/>
        <v>0</v>
      </c>
      <c r="AB124" s="632"/>
      <c r="AC124" s="558">
        <f t="shared" si="650"/>
        <v>0</v>
      </c>
      <c r="AD124" s="559">
        <f t="shared" si="650"/>
        <v>0</v>
      </c>
      <c r="AE124" s="632"/>
      <c r="AF124" s="558">
        <f t="shared" si="651"/>
        <v>0</v>
      </c>
      <c r="AG124" s="559">
        <f t="shared" si="651"/>
        <v>0</v>
      </c>
      <c r="AH124" s="632"/>
      <c r="AI124" s="558">
        <f t="shared" si="652"/>
        <v>0</v>
      </c>
      <c r="AJ124" s="559">
        <f t="shared" si="652"/>
        <v>0</v>
      </c>
      <c r="AK124" s="632"/>
      <c r="AL124" s="558">
        <f t="shared" si="653"/>
        <v>0</v>
      </c>
      <c r="AM124" s="559">
        <f t="shared" si="653"/>
        <v>0</v>
      </c>
      <c r="AN124" s="632"/>
      <c r="AO124" s="558">
        <f t="shared" si="654"/>
        <v>0</v>
      </c>
      <c r="AP124" s="559">
        <f t="shared" si="654"/>
        <v>0</v>
      </c>
      <c r="AQ124" s="632"/>
      <c r="AR124" s="558">
        <f t="shared" si="655"/>
        <v>0</v>
      </c>
      <c r="AS124" s="559">
        <f t="shared" si="655"/>
        <v>0</v>
      </c>
      <c r="AT124" s="632"/>
      <c r="AU124" s="558">
        <f t="shared" si="655"/>
        <v>0</v>
      </c>
      <c r="AV124" s="559">
        <f t="shared" si="655"/>
        <v>0</v>
      </c>
      <c r="AW124" s="632"/>
      <c r="AX124" s="558">
        <f t="shared" si="655"/>
        <v>0</v>
      </c>
      <c r="AY124" s="559">
        <f t="shared" si="655"/>
        <v>0</v>
      </c>
      <c r="AZ124" s="632"/>
      <c r="BA124" s="558">
        <f t="shared" si="655"/>
        <v>0</v>
      </c>
      <c r="BJ124" s="529">
        <f t="shared" si="490"/>
        <v>0</v>
      </c>
      <c r="BK124" s="529">
        <f t="shared" si="491"/>
        <v>0</v>
      </c>
      <c r="BL124" s="529">
        <f t="shared" si="492"/>
        <v>0</v>
      </c>
      <c r="BM124" s="529">
        <f t="shared" si="493"/>
        <v>0</v>
      </c>
      <c r="BN124" s="529">
        <f t="shared" si="494"/>
        <v>6.14628</v>
      </c>
      <c r="BO124" s="529">
        <f t="shared" si="495"/>
        <v>0</v>
      </c>
      <c r="BP124" s="529">
        <f t="shared" si="496"/>
        <v>0</v>
      </c>
      <c r="BQ124" s="529">
        <f t="shared" si="497"/>
        <v>0</v>
      </c>
      <c r="BR124" s="529">
        <f t="shared" si="498"/>
        <v>0</v>
      </c>
      <c r="BS124" s="529">
        <f t="shared" si="499"/>
        <v>0</v>
      </c>
      <c r="BT124" s="529">
        <f t="shared" si="500"/>
        <v>0</v>
      </c>
      <c r="BU124" s="529">
        <f t="shared" si="501"/>
        <v>0</v>
      </c>
      <c r="BV124" s="529">
        <f t="shared" si="502"/>
        <v>0</v>
      </c>
      <c r="BW124" s="529">
        <f t="shared" si="503"/>
        <v>0</v>
      </c>
      <c r="BX124" s="529">
        <f t="shared" si="309"/>
        <v>0</v>
      </c>
      <c r="BY124" s="529">
        <f t="shared" si="310"/>
        <v>0</v>
      </c>
      <c r="BZ124" s="529">
        <f t="shared" si="311"/>
        <v>0</v>
      </c>
      <c r="CB124" s="529">
        <f t="shared" si="504"/>
        <v>0</v>
      </c>
      <c r="CC124" s="529">
        <f t="shared" si="505"/>
        <v>0</v>
      </c>
      <c r="CD124" s="529">
        <f t="shared" si="506"/>
        <v>0</v>
      </c>
      <c r="CE124" s="529">
        <f t="shared" si="507"/>
        <v>0</v>
      </c>
      <c r="CF124" s="529">
        <f t="shared" si="508"/>
        <v>16260</v>
      </c>
      <c r="CG124" s="529">
        <f t="shared" si="509"/>
        <v>0</v>
      </c>
      <c r="CH124" s="529">
        <f t="shared" si="510"/>
        <v>0</v>
      </c>
      <c r="CI124" s="529">
        <f t="shared" si="511"/>
        <v>0</v>
      </c>
      <c r="CJ124" s="529">
        <f t="shared" si="512"/>
        <v>0</v>
      </c>
      <c r="CK124" s="529">
        <f t="shared" si="513"/>
        <v>0</v>
      </c>
      <c r="CL124" s="529">
        <f t="shared" si="514"/>
        <v>0</v>
      </c>
      <c r="CM124" s="529">
        <f t="shared" si="515"/>
        <v>0</v>
      </c>
      <c r="CN124" s="529">
        <f t="shared" si="516"/>
        <v>0</v>
      </c>
      <c r="CO124" s="529">
        <f t="shared" si="517"/>
        <v>0</v>
      </c>
      <c r="CP124" s="529">
        <f t="shared" si="312"/>
        <v>0</v>
      </c>
      <c r="CQ124" s="529">
        <f t="shared" si="313"/>
        <v>0</v>
      </c>
      <c r="CR124" s="529">
        <f t="shared" si="314"/>
        <v>0</v>
      </c>
    </row>
    <row r="125" spans="1:96" ht="14.25" thickBot="1" x14ac:dyDescent="0.3">
      <c r="A125" s="756"/>
      <c r="B125" s="560" t="s">
        <v>622</v>
      </c>
      <c r="C125" s="561">
        <f t="shared" si="648"/>
        <v>0</v>
      </c>
      <c r="D125" s="562"/>
      <c r="E125" s="563">
        <f>SUMIF($B$110:$B$121,$B125,E$110:E$121)</f>
        <v>0</v>
      </c>
      <c r="F125" s="561">
        <f t="shared" si="643"/>
        <v>0</v>
      </c>
      <c r="G125" s="567"/>
      <c r="H125" s="563">
        <f t="shared" si="644"/>
        <v>0</v>
      </c>
      <c r="I125" s="561">
        <f t="shared" si="643"/>
        <v>0</v>
      </c>
      <c r="J125" s="562"/>
      <c r="K125" s="563">
        <f t="shared" si="645"/>
        <v>0</v>
      </c>
      <c r="L125" s="561">
        <f t="shared" si="643"/>
        <v>1114.143</v>
      </c>
      <c r="M125" s="562"/>
      <c r="N125" s="563">
        <f t="shared" si="646"/>
        <v>0.73696114999999995</v>
      </c>
      <c r="O125" s="564">
        <f t="shared" si="643"/>
        <v>8911.52</v>
      </c>
      <c r="P125" s="562"/>
      <c r="Q125" s="563">
        <f>SUMIF($B$110:$B$121,$B125,Q$110:Q$121)</f>
        <v>6.4557839999999995</v>
      </c>
      <c r="R125" s="561">
        <f t="shared" si="643"/>
        <v>1624.95</v>
      </c>
      <c r="S125" s="562"/>
      <c r="T125" s="563">
        <f>SUMIF($B$110:$B$121,$B125,T$110:T$121)</f>
        <v>1.4478900000000001</v>
      </c>
      <c r="U125" s="561">
        <f t="shared" si="649"/>
        <v>1380</v>
      </c>
      <c r="V125" s="625"/>
      <c r="W125" s="563">
        <f t="shared" si="649"/>
        <v>1.2450000000000001</v>
      </c>
      <c r="X125" s="561">
        <f t="shared" si="649"/>
        <v>1526.28</v>
      </c>
      <c r="Y125" s="625"/>
      <c r="Z125" s="563">
        <f t="shared" si="649"/>
        <v>1.4167860000000001</v>
      </c>
      <c r="AA125" s="561">
        <f t="shared" si="649"/>
        <v>1293.98</v>
      </c>
      <c r="AB125" s="625"/>
      <c r="AC125" s="563">
        <f t="shared" si="650"/>
        <v>1.2377199999999999</v>
      </c>
      <c r="AD125" s="561">
        <f t="shared" si="650"/>
        <v>1039.6000000000001</v>
      </c>
      <c r="AE125" s="625"/>
      <c r="AF125" s="563">
        <f t="shared" si="651"/>
        <v>1.0237799999999999</v>
      </c>
      <c r="AG125" s="561">
        <f t="shared" si="651"/>
        <v>1039.6000000000001</v>
      </c>
      <c r="AH125" s="625"/>
      <c r="AI125" s="563">
        <f t="shared" si="652"/>
        <v>1.05542</v>
      </c>
      <c r="AJ125" s="561">
        <f t="shared" si="652"/>
        <v>1039.6000000000001</v>
      </c>
      <c r="AK125" s="625"/>
      <c r="AL125" s="563">
        <f t="shared" si="653"/>
        <v>1.0870599999999999</v>
      </c>
      <c r="AM125" s="561">
        <f t="shared" si="653"/>
        <v>1039.6000000000001</v>
      </c>
      <c r="AN125" s="625"/>
      <c r="AO125" s="563">
        <f t="shared" si="654"/>
        <v>1.1187</v>
      </c>
      <c r="AP125" s="561">
        <f t="shared" si="654"/>
        <v>1039.6000000000001</v>
      </c>
      <c r="AQ125" s="625"/>
      <c r="AR125" s="563">
        <f t="shared" si="655"/>
        <v>1.1526000000000001</v>
      </c>
      <c r="AS125" s="561">
        <f t="shared" si="655"/>
        <v>1039.6000000000001</v>
      </c>
      <c r="AT125" s="625"/>
      <c r="AU125" s="563">
        <f t="shared" si="655"/>
        <v>1.1865000000000001</v>
      </c>
      <c r="AV125" s="561">
        <f t="shared" si="655"/>
        <v>1039.6000000000001</v>
      </c>
      <c r="AW125" s="625"/>
      <c r="AX125" s="563">
        <f t="shared" si="655"/>
        <v>1.2226600000000001</v>
      </c>
      <c r="AY125" s="561">
        <f t="shared" si="655"/>
        <v>1039.6000000000001</v>
      </c>
      <c r="AZ125" s="625"/>
      <c r="BA125" s="563">
        <f t="shared" si="655"/>
        <v>1.2588200000000001</v>
      </c>
      <c r="BJ125" s="529">
        <f t="shared" si="490"/>
        <v>0</v>
      </c>
      <c r="BK125" s="529">
        <f t="shared" si="491"/>
        <v>0</v>
      </c>
      <c r="BL125" s="529">
        <f t="shared" si="492"/>
        <v>0</v>
      </c>
      <c r="BM125" s="529">
        <f t="shared" si="493"/>
        <v>0.73696114999999995</v>
      </c>
      <c r="BN125" s="529">
        <f t="shared" si="494"/>
        <v>6.4557839999999995</v>
      </c>
      <c r="BO125" s="529">
        <f t="shared" si="495"/>
        <v>1.4478900000000001</v>
      </c>
      <c r="BP125" s="529">
        <f t="shared" si="496"/>
        <v>1.2450000000000001</v>
      </c>
      <c r="BQ125" s="529">
        <f t="shared" si="497"/>
        <v>1.4167860000000001</v>
      </c>
      <c r="BR125" s="529">
        <f t="shared" si="498"/>
        <v>1.2377199999999999</v>
      </c>
      <c r="BS125" s="529">
        <f t="shared" si="499"/>
        <v>1.0237799999999999</v>
      </c>
      <c r="BT125" s="529">
        <f t="shared" si="500"/>
        <v>1.05542</v>
      </c>
      <c r="BU125" s="529">
        <f t="shared" si="501"/>
        <v>1.0870599999999999</v>
      </c>
      <c r="BV125" s="529">
        <f t="shared" si="502"/>
        <v>1.1187</v>
      </c>
      <c r="BW125" s="529">
        <f t="shared" si="503"/>
        <v>1.1526000000000001</v>
      </c>
      <c r="BX125" s="529">
        <f t="shared" si="309"/>
        <v>1.1865000000000001</v>
      </c>
      <c r="BY125" s="529">
        <f t="shared" si="310"/>
        <v>1.2226600000000001</v>
      </c>
      <c r="BZ125" s="529">
        <f t="shared" si="311"/>
        <v>1.2588200000000001</v>
      </c>
      <c r="CB125" s="529">
        <f t="shared" si="504"/>
        <v>0</v>
      </c>
      <c r="CC125" s="529">
        <f t="shared" si="505"/>
        <v>0</v>
      </c>
      <c r="CD125" s="529">
        <f t="shared" si="506"/>
        <v>0</v>
      </c>
      <c r="CE125" s="529">
        <f t="shared" si="507"/>
        <v>1114.143</v>
      </c>
      <c r="CF125" s="529">
        <f t="shared" si="508"/>
        <v>8911.52</v>
      </c>
      <c r="CG125" s="529">
        <f t="shared" si="509"/>
        <v>1624.95</v>
      </c>
      <c r="CH125" s="529">
        <f t="shared" si="510"/>
        <v>1380</v>
      </c>
      <c r="CI125" s="529">
        <f t="shared" si="511"/>
        <v>1526.28</v>
      </c>
      <c r="CJ125" s="529">
        <f t="shared" si="512"/>
        <v>1293.98</v>
      </c>
      <c r="CK125" s="529">
        <f t="shared" si="513"/>
        <v>1039.6000000000001</v>
      </c>
      <c r="CL125" s="529">
        <f t="shared" si="514"/>
        <v>1039.6000000000001</v>
      </c>
      <c r="CM125" s="529">
        <f t="shared" si="515"/>
        <v>1039.6000000000001</v>
      </c>
      <c r="CN125" s="529">
        <f t="shared" si="516"/>
        <v>1039.6000000000001</v>
      </c>
      <c r="CO125" s="529">
        <f t="shared" si="517"/>
        <v>1039.6000000000001</v>
      </c>
      <c r="CP125" s="529">
        <f t="shared" si="312"/>
        <v>1039.6000000000001</v>
      </c>
      <c r="CQ125" s="529">
        <f t="shared" si="313"/>
        <v>1039.6000000000001</v>
      </c>
      <c r="CR125" s="529">
        <f t="shared" si="314"/>
        <v>1039.6000000000001</v>
      </c>
    </row>
    <row r="126" spans="1:96" x14ac:dyDescent="0.2">
      <c r="A126" s="761" t="s">
        <v>637</v>
      </c>
      <c r="B126" s="537" t="s">
        <v>494</v>
      </c>
      <c r="C126" s="538"/>
      <c r="D126" s="539"/>
      <c r="E126" s="540">
        <f>C126*D126/1000000</f>
        <v>0</v>
      </c>
      <c r="F126" s="541"/>
      <c r="G126" s="539"/>
      <c r="H126" s="540">
        <f>F126*G126/1000000</f>
        <v>0</v>
      </c>
      <c r="I126" s="541"/>
      <c r="J126" s="539"/>
      <c r="K126" s="540">
        <f t="shared" ref="K126:K128" si="656">I126*J126/1000000</f>
        <v>0</v>
      </c>
      <c r="L126" s="541"/>
      <c r="M126" s="539"/>
      <c r="N126" s="540">
        <f t="shared" ref="N126:N128" si="657">L126*M126/1000000</f>
        <v>0</v>
      </c>
      <c r="O126" s="541"/>
      <c r="P126" s="539"/>
      <c r="Q126" s="540">
        <f>O126*P126/1000000</f>
        <v>0</v>
      </c>
      <c r="R126" s="541"/>
      <c r="S126" s="539"/>
      <c r="T126" s="540">
        <f>R126*S126/1000000</f>
        <v>0</v>
      </c>
      <c r="U126" s="541"/>
      <c r="V126" s="629"/>
      <c r="W126" s="540">
        <f>U126*V126</f>
        <v>0</v>
      </c>
      <c r="X126" s="541"/>
      <c r="Y126" s="539">
        <f t="shared" ref="Y126:Y128" si="658">ROUND(V126*(1+Y$1),0)</f>
        <v>0</v>
      </c>
      <c r="Z126" s="540">
        <f>X126*Y126</f>
        <v>0</v>
      </c>
      <c r="AA126" s="541"/>
      <c r="AB126" s="539">
        <f t="shared" ref="AB126:AB128" si="659">ROUND(Y126*(1+AB$1),0)</f>
        <v>0</v>
      </c>
      <c r="AC126" s="540">
        <f>AA126*AB126</f>
        <v>0</v>
      </c>
      <c r="AD126" s="541"/>
      <c r="AE126" s="539">
        <f t="shared" ref="AE126:AE128" si="660">ROUND(AB126*(1+AE$1),0)</f>
        <v>0</v>
      </c>
      <c r="AF126" s="540">
        <f>AD126*AE126</f>
        <v>0</v>
      </c>
      <c r="AG126" s="541"/>
      <c r="AH126" s="539">
        <f t="shared" ref="AH126:AH128" si="661">ROUND(AE126*(1+AH$1),0)</f>
        <v>0</v>
      </c>
      <c r="AI126" s="540">
        <f>AG126*AH126</f>
        <v>0</v>
      </c>
      <c r="AJ126" s="541"/>
      <c r="AK126" s="539">
        <f t="shared" ref="AK126:AK128" si="662">ROUND(AH126*(1+AK$1),0)</f>
        <v>0</v>
      </c>
      <c r="AL126" s="540">
        <f>AJ126*AK126</f>
        <v>0</v>
      </c>
      <c r="AM126" s="541"/>
      <c r="AN126" s="539">
        <f t="shared" ref="AN126:AN128" si="663">ROUND(AK126*(1+AN$1),0)</f>
        <v>0</v>
      </c>
      <c r="AO126" s="540">
        <f>AM126*AN126</f>
        <v>0</v>
      </c>
      <c r="AP126" s="541"/>
      <c r="AQ126" s="539">
        <f t="shared" ref="AQ126:AQ128" si="664">ROUND(AN126*(1+AQ$1),0)</f>
        <v>0</v>
      </c>
      <c r="AR126" s="540">
        <f>AP126*AQ126</f>
        <v>0</v>
      </c>
      <c r="AS126" s="541"/>
      <c r="AT126" s="539">
        <f t="shared" ref="AT126:AT128" si="665">ROUND(AQ126*(1+AT$1),0)</f>
        <v>0</v>
      </c>
      <c r="AU126" s="540">
        <f>AS126*AT126</f>
        <v>0</v>
      </c>
      <c r="AV126" s="541"/>
      <c r="AW126" s="539">
        <f t="shared" ref="AW126:AW128" si="666">ROUND(AT126*(1+AW$1),0)</f>
        <v>0</v>
      </c>
      <c r="AX126" s="540">
        <f>AV126*AW126</f>
        <v>0</v>
      </c>
      <c r="AY126" s="541"/>
      <c r="AZ126" s="539">
        <f t="shared" ref="AZ126:AZ128" si="667">ROUND(AW126*(1+AZ$1),0)</f>
        <v>0</v>
      </c>
      <c r="BA126" s="540">
        <f>AY126*AZ126</f>
        <v>0</v>
      </c>
      <c r="BJ126" s="529">
        <f t="shared" si="490"/>
        <v>0</v>
      </c>
      <c r="BK126" s="529">
        <f t="shared" si="491"/>
        <v>0</v>
      </c>
      <c r="BL126" s="529">
        <f t="shared" si="492"/>
        <v>0</v>
      </c>
      <c r="BM126" s="529">
        <f t="shared" si="493"/>
        <v>0</v>
      </c>
      <c r="BN126" s="529">
        <f t="shared" si="494"/>
        <v>0</v>
      </c>
      <c r="BO126" s="529">
        <f t="shared" si="495"/>
        <v>0</v>
      </c>
      <c r="BP126" s="529">
        <f t="shared" si="496"/>
        <v>0</v>
      </c>
      <c r="BQ126" s="529">
        <f t="shared" si="497"/>
        <v>0</v>
      </c>
      <c r="BR126" s="529">
        <f t="shared" si="498"/>
        <v>0</v>
      </c>
      <c r="BS126" s="529">
        <f t="shared" si="499"/>
        <v>0</v>
      </c>
      <c r="BT126" s="529">
        <f t="shared" si="500"/>
        <v>0</v>
      </c>
      <c r="BU126" s="529">
        <f t="shared" si="501"/>
        <v>0</v>
      </c>
      <c r="BV126" s="529">
        <f t="shared" si="502"/>
        <v>0</v>
      </c>
      <c r="BW126" s="529">
        <f t="shared" si="503"/>
        <v>0</v>
      </c>
      <c r="BX126" s="529">
        <f t="shared" si="309"/>
        <v>0</v>
      </c>
      <c r="BY126" s="529">
        <f t="shared" si="310"/>
        <v>0</v>
      </c>
      <c r="BZ126" s="529">
        <f t="shared" si="311"/>
        <v>0</v>
      </c>
      <c r="CB126" s="529">
        <f t="shared" si="504"/>
        <v>0</v>
      </c>
      <c r="CC126" s="529">
        <f t="shared" si="505"/>
        <v>0</v>
      </c>
      <c r="CD126" s="529">
        <f t="shared" si="506"/>
        <v>0</v>
      </c>
      <c r="CE126" s="529">
        <f t="shared" si="507"/>
        <v>0</v>
      </c>
      <c r="CF126" s="529">
        <f t="shared" si="508"/>
        <v>0</v>
      </c>
      <c r="CG126" s="529">
        <f t="shared" si="509"/>
        <v>0</v>
      </c>
      <c r="CH126" s="529">
        <f t="shared" si="510"/>
        <v>0</v>
      </c>
      <c r="CI126" s="529">
        <f t="shared" si="511"/>
        <v>0</v>
      </c>
      <c r="CJ126" s="529">
        <f t="shared" si="512"/>
        <v>0</v>
      </c>
      <c r="CK126" s="529">
        <f t="shared" si="513"/>
        <v>0</v>
      </c>
      <c r="CL126" s="529">
        <f t="shared" si="514"/>
        <v>0</v>
      </c>
      <c r="CM126" s="529">
        <f t="shared" si="515"/>
        <v>0</v>
      </c>
      <c r="CN126" s="529">
        <f t="shared" si="516"/>
        <v>0</v>
      </c>
      <c r="CO126" s="529">
        <f t="shared" si="517"/>
        <v>0</v>
      </c>
      <c r="CP126" s="529">
        <f t="shared" si="312"/>
        <v>0</v>
      </c>
      <c r="CQ126" s="529">
        <f t="shared" si="313"/>
        <v>0</v>
      </c>
      <c r="CR126" s="529">
        <f t="shared" si="314"/>
        <v>0</v>
      </c>
    </row>
    <row r="127" spans="1:96" x14ac:dyDescent="0.2">
      <c r="A127" s="761"/>
      <c r="B127" s="537" t="s">
        <v>113</v>
      </c>
      <c r="C127" s="538">
        <v>14345.05</v>
      </c>
      <c r="D127" s="539">
        <v>114.5</v>
      </c>
      <c r="E127" s="540">
        <f t="shared" ref="E127:E128" si="668">C127*D127/1000000</f>
        <v>1.6425082249999998</v>
      </c>
      <c r="F127" s="541">
        <v>2952.7</v>
      </c>
      <c r="G127" s="539">
        <v>123</v>
      </c>
      <c r="H127" s="540">
        <f>F127*G127/1000000</f>
        <v>0.36318209999999995</v>
      </c>
      <c r="I127" s="541">
        <v>1944.55</v>
      </c>
      <c r="J127" s="539">
        <v>200</v>
      </c>
      <c r="K127" s="540">
        <f t="shared" si="656"/>
        <v>0.38890999999999998</v>
      </c>
      <c r="L127" s="541"/>
      <c r="M127" s="539"/>
      <c r="N127" s="540">
        <f t="shared" si="657"/>
        <v>0</v>
      </c>
      <c r="O127" s="541"/>
      <c r="P127" s="539"/>
      <c r="Q127" s="540">
        <f t="shared" ref="Q127:Q128" si="669">O127*P127/1000000</f>
        <v>0</v>
      </c>
      <c r="R127" s="541"/>
      <c r="S127" s="539"/>
      <c r="T127" s="540">
        <f>R127*S127/1000000</f>
        <v>0</v>
      </c>
      <c r="U127" s="541"/>
      <c r="V127" s="629"/>
      <c r="W127" s="540">
        <f>U127*V127</f>
        <v>0</v>
      </c>
      <c r="X127" s="541"/>
      <c r="Y127" s="539">
        <f t="shared" si="658"/>
        <v>0</v>
      </c>
      <c r="Z127" s="540">
        <f>X127*Y127</f>
        <v>0</v>
      </c>
      <c r="AA127" s="541"/>
      <c r="AB127" s="539">
        <f t="shared" si="659"/>
        <v>0</v>
      </c>
      <c r="AC127" s="540">
        <f>AA127*AB127</f>
        <v>0</v>
      </c>
      <c r="AD127" s="541"/>
      <c r="AE127" s="539">
        <f t="shared" si="660"/>
        <v>0</v>
      </c>
      <c r="AF127" s="540">
        <f>AD127*AE127</f>
        <v>0</v>
      </c>
      <c r="AG127" s="541"/>
      <c r="AH127" s="539">
        <f t="shared" si="661"/>
        <v>0</v>
      </c>
      <c r="AI127" s="540">
        <f>AG127*AH127</f>
        <v>0</v>
      </c>
      <c r="AJ127" s="541"/>
      <c r="AK127" s="539">
        <f t="shared" si="662"/>
        <v>0</v>
      </c>
      <c r="AL127" s="540">
        <f>AJ127*AK127</f>
        <v>0</v>
      </c>
      <c r="AM127" s="541"/>
      <c r="AN127" s="539">
        <f t="shared" si="663"/>
        <v>0</v>
      </c>
      <c r="AO127" s="540">
        <f>AM127*AN127</f>
        <v>0</v>
      </c>
      <c r="AP127" s="541"/>
      <c r="AQ127" s="539">
        <f t="shared" si="664"/>
        <v>0</v>
      </c>
      <c r="AR127" s="540">
        <f>AP127*AQ127</f>
        <v>0</v>
      </c>
      <c r="AS127" s="541"/>
      <c r="AT127" s="539">
        <f t="shared" si="665"/>
        <v>0</v>
      </c>
      <c r="AU127" s="540">
        <f>AS127*AT127</f>
        <v>0</v>
      </c>
      <c r="AV127" s="541"/>
      <c r="AW127" s="539">
        <f t="shared" si="666"/>
        <v>0</v>
      </c>
      <c r="AX127" s="540">
        <f>AV127*AW127</f>
        <v>0</v>
      </c>
      <c r="AY127" s="541"/>
      <c r="AZ127" s="539">
        <f t="shared" si="667"/>
        <v>0</v>
      </c>
      <c r="BA127" s="540">
        <f>AY127*AZ127</f>
        <v>0</v>
      </c>
      <c r="BJ127" s="529">
        <f t="shared" si="490"/>
        <v>1.6425082249999998</v>
      </c>
      <c r="BK127" s="529">
        <f t="shared" si="491"/>
        <v>0.36318209999999995</v>
      </c>
      <c r="BL127" s="529">
        <f t="shared" si="492"/>
        <v>0.38890999999999998</v>
      </c>
      <c r="BM127" s="529">
        <f t="shared" si="493"/>
        <v>0</v>
      </c>
      <c r="BN127" s="529">
        <f t="shared" si="494"/>
        <v>0</v>
      </c>
      <c r="BO127" s="529">
        <f t="shared" si="495"/>
        <v>0</v>
      </c>
      <c r="BP127" s="529">
        <f t="shared" si="496"/>
        <v>0</v>
      </c>
      <c r="BQ127" s="529">
        <f t="shared" si="497"/>
        <v>0</v>
      </c>
      <c r="BR127" s="529">
        <f t="shared" si="498"/>
        <v>0</v>
      </c>
      <c r="BS127" s="529">
        <f t="shared" si="499"/>
        <v>0</v>
      </c>
      <c r="BT127" s="529">
        <f t="shared" si="500"/>
        <v>0</v>
      </c>
      <c r="BU127" s="529">
        <f t="shared" si="501"/>
        <v>0</v>
      </c>
      <c r="BV127" s="529">
        <f t="shared" si="502"/>
        <v>0</v>
      </c>
      <c r="BW127" s="529">
        <f t="shared" si="503"/>
        <v>0</v>
      </c>
      <c r="BX127" s="529">
        <f t="shared" si="309"/>
        <v>0</v>
      </c>
      <c r="BY127" s="529">
        <f t="shared" si="310"/>
        <v>0</v>
      </c>
      <c r="BZ127" s="529">
        <f t="shared" si="311"/>
        <v>0</v>
      </c>
      <c r="CB127" s="529">
        <f t="shared" si="504"/>
        <v>14345.05</v>
      </c>
      <c r="CC127" s="529">
        <f t="shared" si="505"/>
        <v>2952.7</v>
      </c>
      <c r="CD127" s="529">
        <f t="shared" si="506"/>
        <v>1944.55</v>
      </c>
      <c r="CE127" s="529">
        <f t="shared" si="507"/>
        <v>0</v>
      </c>
      <c r="CF127" s="529">
        <f t="shared" si="508"/>
        <v>0</v>
      </c>
      <c r="CG127" s="529">
        <f t="shared" si="509"/>
        <v>0</v>
      </c>
      <c r="CH127" s="529">
        <f t="shared" si="510"/>
        <v>0</v>
      </c>
      <c r="CI127" s="529">
        <f t="shared" si="511"/>
        <v>0</v>
      </c>
      <c r="CJ127" s="529">
        <f t="shared" si="512"/>
        <v>0</v>
      </c>
      <c r="CK127" s="529">
        <f t="shared" si="513"/>
        <v>0</v>
      </c>
      <c r="CL127" s="529">
        <f t="shared" si="514"/>
        <v>0</v>
      </c>
      <c r="CM127" s="529">
        <f t="shared" si="515"/>
        <v>0</v>
      </c>
      <c r="CN127" s="529">
        <f t="shared" si="516"/>
        <v>0</v>
      </c>
      <c r="CO127" s="529">
        <f t="shared" si="517"/>
        <v>0</v>
      </c>
      <c r="CP127" s="529">
        <f t="shared" si="312"/>
        <v>0</v>
      </c>
      <c r="CQ127" s="529">
        <f t="shared" si="313"/>
        <v>0</v>
      </c>
      <c r="CR127" s="529">
        <f t="shared" si="314"/>
        <v>0</v>
      </c>
    </row>
    <row r="128" spans="1:96" x14ac:dyDescent="0.2">
      <c r="A128" s="761"/>
      <c r="B128" s="537" t="s">
        <v>495</v>
      </c>
      <c r="C128" s="538"/>
      <c r="D128" s="539"/>
      <c r="E128" s="540">
        <f t="shared" si="668"/>
        <v>0</v>
      </c>
      <c r="F128" s="541"/>
      <c r="G128" s="539"/>
      <c r="H128" s="540">
        <f>F128*G128/1000000</f>
        <v>0</v>
      </c>
      <c r="I128" s="541">
        <v>4894.1000000000004</v>
      </c>
      <c r="J128" s="539">
        <v>182</v>
      </c>
      <c r="K128" s="540">
        <f t="shared" si="656"/>
        <v>0.89072620000000002</v>
      </c>
      <c r="L128" s="541"/>
      <c r="M128" s="539"/>
      <c r="N128" s="540">
        <f t="shared" si="657"/>
        <v>0</v>
      </c>
      <c r="O128" s="541"/>
      <c r="P128" s="539"/>
      <c r="Q128" s="540">
        <f t="shared" si="669"/>
        <v>0</v>
      </c>
      <c r="R128" s="541"/>
      <c r="S128" s="539"/>
      <c r="T128" s="540">
        <f>R128*S128/1000000</f>
        <v>0</v>
      </c>
      <c r="U128" s="541"/>
      <c r="V128" s="629"/>
      <c r="W128" s="540">
        <f>U128*V128</f>
        <v>0</v>
      </c>
      <c r="X128" s="541"/>
      <c r="Y128" s="539">
        <f t="shared" si="658"/>
        <v>0</v>
      </c>
      <c r="Z128" s="540">
        <f>X128*Y128</f>
        <v>0</v>
      </c>
      <c r="AA128" s="541"/>
      <c r="AB128" s="539">
        <f t="shared" si="659"/>
        <v>0</v>
      </c>
      <c r="AC128" s="540">
        <f>AA128*AB128</f>
        <v>0</v>
      </c>
      <c r="AD128" s="541"/>
      <c r="AE128" s="539">
        <f t="shared" si="660"/>
        <v>0</v>
      </c>
      <c r="AF128" s="540">
        <f>AD128*AE128</f>
        <v>0</v>
      </c>
      <c r="AG128" s="541"/>
      <c r="AH128" s="539">
        <f t="shared" si="661"/>
        <v>0</v>
      </c>
      <c r="AI128" s="540">
        <f>AG128*AH128</f>
        <v>0</v>
      </c>
      <c r="AJ128" s="541"/>
      <c r="AK128" s="539">
        <f t="shared" si="662"/>
        <v>0</v>
      </c>
      <c r="AL128" s="540">
        <f>AJ128*AK128</f>
        <v>0</v>
      </c>
      <c r="AM128" s="541"/>
      <c r="AN128" s="539">
        <f t="shared" si="663"/>
        <v>0</v>
      </c>
      <c r="AO128" s="540">
        <f>AM128*AN128</f>
        <v>0</v>
      </c>
      <c r="AP128" s="541"/>
      <c r="AQ128" s="539">
        <f t="shared" si="664"/>
        <v>0</v>
      </c>
      <c r="AR128" s="540">
        <f>AP128*AQ128</f>
        <v>0</v>
      </c>
      <c r="AS128" s="541"/>
      <c r="AT128" s="539">
        <f t="shared" si="665"/>
        <v>0</v>
      </c>
      <c r="AU128" s="540">
        <f>AS128*AT128</f>
        <v>0</v>
      </c>
      <c r="AV128" s="541"/>
      <c r="AW128" s="539">
        <f t="shared" si="666"/>
        <v>0</v>
      </c>
      <c r="AX128" s="540">
        <f>AV128*AW128</f>
        <v>0</v>
      </c>
      <c r="AY128" s="541"/>
      <c r="AZ128" s="539">
        <f t="shared" si="667"/>
        <v>0</v>
      </c>
      <c r="BA128" s="540">
        <f>AY128*AZ128</f>
        <v>0</v>
      </c>
      <c r="BJ128" s="529">
        <f t="shared" si="490"/>
        <v>0</v>
      </c>
      <c r="BK128" s="529">
        <f t="shared" si="491"/>
        <v>0</v>
      </c>
      <c r="BL128" s="529">
        <f t="shared" si="492"/>
        <v>0.89072620000000002</v>
      </c>
      <c r="BM128" s="529">
        <f t="shared" si="493"/>
        <v>0</v>
      </c>
      <c r="BN128" s="529">
        <f t="shared" si="494"/>
        <v>0</v>
      </c>
      <c r="BO128" s="529">
        <f t="shared" si="495"/>
        <v>0</v>
      </c>
      <c r="BP128" s="529">
        <f t="shared" si="496"/>
        <v>0</v>
      </c>
      <c r="BQ128" s="529">
        <f t="shared" si="497"/>
        <v>0</v>
      </c>
      <c r="BR128" s="529">
        <f t="shared" si="498"/>
        <v>0</v>
      </c>
      <c r="BS128" s="529">
        <f t="shared" si="499"/>
        <v>0</v>
      </c>
      <c r="BT128" s="529">
        <f t="shared" si="500"/>
        <v>0</v>
      </c>
      <c r="BU128" s="529">
        <f t="shared" si="501"/>
        <v>0</v>
      </c>
      <c r="BV128" s="529">
        <f t="shared" si="502"/>
        <v>0</v>
      </c>
      <c r="BW128" s="529">
        <f t="shared" si="503"/>
        <v>0</v>
      </c>
      <c r="BX128" s="529">
        <f t="shared" si="309"/>
        <v>0</v>
      </c>
      <c r="BY128" s="529">
        <f t="shared" si="310"/>
        <v>0</v>
      </c>
      <c r="BZ128" s="529">
        <f t="shared" si="311"/>
        <v>0</v>
      </c>
      <c r="CB128" s="529">
        <f t="shared" si="504"/>
        <v>0</v>
      </c>
      <c r="CC128" s="529">
        <f t="shared" si="505"/>
        <v>0</v>
      </c>
      <c r="CD128" s="529">
        <f t="shared" si="506"/>
        <v>4894.1000000000004</v>
      </c>
      <c r="CE128" s="529">
        <f t="shared" si="507"/>
        <v>0</v>
      </c>
      <c r="CF128" s="529">
        <f t="shared" si="508"/>
        <v>0</v>
      </c>
      <c r="CG128" s="529">
        <f t="shared" si="509"/>
        <v>0</v>
      </c>
      <c r="CH128" s="529">
        <f t="shared" si="510"/>
        <v>0</v>
      </c>
      <c r="CI128" s="529">
        <f t="shared" si="511"/>
        <v>0</v>
      </c>
      <c r="CJ128" s="529">
        <f t="shared" si="512"/>
        <v>0</v>
      </c>
      <c r="CK128" s="529">
        <f t="shared" si="513"/>
        <v>0</v>
      </c>
      <c r="CL128" s="529">
        <f t="shared" si="514"/>
        <v>0</v>
      </c>
      <c r="CM128" s="529">
        <f t="shared" si="515"/>
        <v>0</v>
      </c>
      <c r="CN128" s="529">
        <f t="shared" si="516"/>
        <v>0</v>
      </c>
      <c r="CO128" s="529">
        <f t="shared" si="517"/>
        <v>0</v>
      </c>
      <c r="CP128" s="529">
        <f t="shared" si="312"/>
        <v>0</v>
      </c>
      <c r="CQ128" s="529">
        <f t="shared" si="313"/>
        <v>0</v>
      </c>
      <c r="CR128" s="529">
        <f t="shared" si="314"/>
        <v>0</v>
      </c>
    </row>
    <row r="129" spans="1:96" ht="14.25" thickBot="1" x14ac:dyDescent="0.3">
      <c r="A129" s="761"/>
      <c r="B129" s="537" t="s">
        <v>619</v>
      </c>
      <c r="C129" s="538">
        <f>C126*0.46+C127*0.24+C128*0.24</f>
        <v>3442.8119999999999</v>
      </c>
      <c r="D129" s="539"/>
      <c r="E129" s="540">
        <f>SUM(E126:E128)</f>
        <v>1.6425082249999998</v>
      </c>
      <c r="F129" s="541">
        <f>F126*0.46+F127*0.24+F128*0.24</f>
        <v>708.64799999999991</v>
      </c>
      <c r="G129" s="539"/>
      <c r="H129" s="540">
        <f>SUM(H126:H128)</f>
        <v>0.36318209999999995</v>
      </c>
      <c r="I129" s="541">
        <f>I126*0.46+I127*0.24+I128*0.24</f>
        <v>1641.2760000000001</v>
      </c>
      <c r="J129" s="539"/>
      <c r="K129" s="540">
        <f>SUM(K126:K128)</f>
        <v>1.2796362000000001</v>
      </c>
      <c r="L129" s="541">
        <f>L126*0.46+L127*0.24+L128*0.24</f>
        <v>0</v>
      </c>
      <c r="M129" s="539"/>
      <c r="N129" s="540">
        <f>SUM(N126:N128)</f>
        <v>0</v>
      </c>
      <c r="O129" s="541">
        <f>O126*0.46+O127*0.24+O128*0.24</f>
        <v>0</v>
      </c>
      <c r="P129" s="539"/>
      <c r="Q129" s="540">
        <f>SUM(Q126:Q128)</f>
        <v>0</v>
      </c>
      <c r="R129" s="541">
        <f>R126*0.46+R127*0.24+R128*0.24</f>
        <v>0</v>
      </c>
      <c r="S129" s="539"/>
      <c r="T129" s="540">
        <f>SUM(T126:T128)</f>
        <v>0</v>
      </c>
      <c r="U129" s="541">
        <f>U126*0.46+U127*0.24+U128*0.24</f>
        <v>0</v>
      </c>
      <c r="V129" s="629"/>
      <c r="W129" s="540">
        <f>SUM(W126:W128)</f>
        <v>0</v>
      </c>
      <c r="X129" s="541">
        <f>X126*0.46+X127*0.24+X128*0.24</f>
        <v>0</v>
      </c>
      <c r="Y129" s="539"/>
      <c r="Z129" s="540">
        <f>SUM(Z126:Z128)</f>
        <v>0</v>
      </c>
      <c r="AA129" s="541">
        <f>AA126*0.46+AA127*0.24+AA128*0.24</f>
        <v>0</v>
      </c>
      <c r="AB129" s="539"/>
      <c r="AC129" s="540">
        <f>SUM(AC126:AC128)</f>
        <v>0</v>
      </c>
      <c r="AD129" s="541">
        <f>AD126*0.46+AD127*0.24+AD128*0.24</f>
        <v>0</v>
      </c>
      <c r="AE129" s="539"/>
      <c r="AF129" s="540">
        <f>SUM(AF126:AF128)</f>
        <v>0</v>
      </c>
      <c r="AG129" s="541">
        <f>AG126*0.46+AG127*0.24+AG128*0.24</f>
        <v>0</v>
      </c>
      <c r="AH129" s="539"/>
      <c r="AI129" s="540">
        <f>SUM(AI126:AI128)</f>
        <v>0</v>
      </c>
      <c r="AJ129" s="541">
        <f>AJ126*0.46+AJ127*0.24+AJ128*0.24</f>
        <v>0</v>
      </c>
      <c r="AK129" s="539"/>
      <c r="AL129" s="540">
        <f>SUM(AL126:AL128)</f>
        <v>0</v>
      </c>
      <c r="AM129" s="541">
        <f>AM126*0.46+AM127*0.24+AM128*0.24</f>
        <v>0</v>
      </c>
      <c r="AN129" s="539"/>
      <c r="AO129" s="540">
        <f>SUM(AO126:AO128)</f>
        <v>0</v>
      </c>
      <c r="AP129" s="541">
        <f>AP126*0.46+AP127*0.24+AP128*0.24</f>
        <v>0</v>
      </c>
      <c r="AQ129" s="539"/>
      <c r="AR129" s="540">
        <f>SUM(AR126:AR128)</f>
        <v>0</v>
      </c>
      <c r="AS129" s="541">
        <f>AS126*0.46+AS127*0.24+AS128*0.24</f>
        <v>0</v>
      </c>
      <c r="AT129" s="539"/>
      <c r="AU129" s="540">
        <f>SUM(AU126:AU128)</f>
        <v>0</v>
      </c>
      <c r="AV129" s="541">
        <f>AV126*0.46+AV127*0.24+AV128*0.24</f>
        <v>0</v>
      </c>
      <c r="AW129" s="539"/>
      <c r="AX129" s="540">
        <f>SUM(AX126:AX128)</f>
        <v>0</v>
      </c>
      <c r="AY129" s="541">
        <f>AY126*0.46+AY127*0.24+AY128*0.24</f>
        <v>0</v>
      </c>
      <c r="AZ129" s="539"/>
      <c r="BA129" s="540">
        <f>SUM(BA126:BA128)</f>
        <v>0</v>
      </c>
      <c r="BJ129" s="529">
        <f t="shared" si="490"/>
        <v>1.6425082249999998</v>
      </c>
      <c r="BK129" s="529">
        <f t="shared" si="491"/>
        <v>0.36318209999999995</v>
      </c>
      <c r="BL129" s="529">
        <f t="shared" si="492"/>
        <v>1.2796362000000001</v>
      </c>
      <c r="BM129" s="529">
        <f t="shared" si="493"/>
        <v>0</v>
      </c>
      <c r="BN129" s="529">
        <f t="shared" si="494"/>
        <v>0</v>
      </c>
      <c r="BO129" s="529">
        <f t="shared" si="495"/>
        <v>0</v>
      </c>
      <c r="BP129" s="529">
        <f t="shared" si="496"/>
        <v>0</v>
      </c>
      <c r="BQ129" s="529">
        <f t="shared" si="497"/>
        <v>0</v>
      </c>
      <c r="BR129" s="529">
        <f t="shared" si="498"/>
        <v>0</v>
      </c>
      <c r="BS129" s="529">
        <f t="shared" si="499"/>
        <v>0</v>
      </c>
      <c r="BT129" s="529">
        <f t="shared" si="500"/>
        <v>0</v>
      </c>
      <c r="BU129" s="529">
        <f t="shared" si="501"/>
        <v>0</v>
      </c>
      <c r="BV129" s="529">
        <f t="shared" si="502"/>
        <v>0</v>
      </c>
      <c r="BW129" s="529">
        <f t="shared" si="503"/>
        <v>0</v>
      </c>
      <c r="BX129" s="529">
        <f t="shared" si="309"/>
        <v>0</v>
      </c>
      <c r="BY129" s="529">
        <f t="shared" si="310"/>
        <v>0</v>
      </c>
      <c r="BZ129" s="529">
        <f t="shared" si="311"/>
        <v>0</v>
      </c>
      <c r="CB129" s="529">
        <f t="shared" si="504"/>
        <v>3442.8119999999999</v>
      </c>
      <c r="CC129" s="529">
        <f t="shared" si="505"/>
        <v>708.64799999999991</v>
      </c>
      <c r="CD129" s="529">
        <f t="shared" si="506"/>
        <v>1641.2760000000001</v>
      </c>
      <c r="CE129" s="529">
        <f t="shared" si="507"/>
        <v>0</v>
      </c>
      <c r="CF129" s="529">
        <f t="shared" si="508"/>
        <v>0</v>
      </c>
      <c r="CG129" s="529">
        <f t="shared" si="509"/>
        <v>0</v>
      </c>
      <c r="CH129" s="529">
        <f t="shared" si="510"/>
        <v>0</v>
      </c>
      <c r="CI129" s="529">
        <f t="shared" si="511"/>
        <v>0</v>
      </c>
      <c r="CJ129" s="529">
        <f t="shared" si="512"/>
        <v>0</v>
      </c>
      <c r="CK129" s="529">
        <f t="shared" si="513"/>
        <v>0</v>
      </c>
      <c r="CL129" s="529">
        <f t="shared" si="514"/>
        <v>0</v>
      </c>
      <c r="CM129" s="529">
        <f t="shared" si="515"/>
        <v>0</v>
      </c>
      <c r="CN129" s="529">
        <f t="shared" si="516"/>
        <v>0</v>
      </c>
      <c r="CO129" s="529">
        <f t="shared" si="517"/>
        <v>0</v>
      </c>
      <c r="CP129" s="529">
        <f t="shared" si="312"/>
        <v>0</v>
      </c>
      <c r="CQ129" s="529">
        <f t="shared" si="313"/>
        <v>0</v>
      </c>
      <c r="CR129" s="529">
        <f t="shared" si="314"/>
        <v>0</v>
      </c>
    </row>
    <row r="130" spans="1:96" x14ac:dyDescent="0.2">
      <c r="A130" s="754" t="s">
        <v>638</v>
      </c>
      <c r="B130" s="550" t="s">
        <v>494</v>
      </c>
      <c r="C130" s="551">
        <f>SUMIF($B$126:$B$129,$B130,C$126:C$129)</f>
        <v>0</v>
      </c>
      <c r="D130" s="552"/>
      <c r="E130" s="553">
        <f>SUMIF($B$126:$B$129,$B130,E$126:E$129)</f>
        <v>0</v>
      </c>
      <c r="F130" s="554">
        <f>SUMIF($B$126:$B$129,$B130,F$126:F$129)</f>
        <v>0</v>
      </c>
      <c r="G130" s="573"/>
      <c r="H130" s="553">
        <f>SUMIF($B$126:$B$129,$B130,H$126:H$129)</f>
        <v>0</v>
      </c>
      <c r="I130" s="574"/>
      <c r="J130" s="552"/>
      <c r="K130" s="553">
        <f t="shared" ref="K130:K133" si="670">SUMIF($B$126:$B$129,$B130,K$126:K$129)</f>
        <v>0</v>
      </c>
      <c r="L130" s="554"/>
      <c r="M130" s="552"/>
      <c r="N130" s="553">
        <f t="shared" ref="N130:N133" si="671">SUMIF($B$126:$B$129,$B130,N$126:N$129)</f>
        <v>0</v>
      </c>
      <c r="O130" s="575"/>
      <c r="P130" s="552"/>
      <c r="Q130" s="553">
        <f>SUMIF($B$126:$B$129,$B130,Q$126:Q$129)</f>
        <v>0</v>
      </c>
      <c r="R130" s="554"/>
      <c r="S130" s="552"/>
      <c r="T130" s="553">
        <f>SUMIF($B$126:$B$129,$B130,T$126:T$129)</f>
        <v>0</v>
      </c>
      <c r="U130" s="554"/>
      <c r="V130" s="631"/>
      <c r="W130" s="553">
        <f>U130*V130/1000000</f>
        <v>0</v>
      </c>
      <c r="X130" s="551"/>
      <c r="Y130" s="552"/>
      <c r="Z130" s="553">
        <f>X130*Y130/1000000</f>
        <v>0</v>
      </c>
      <c r="AA130" s="551"/>
      <c r="AB130" s="552"/>
      <c r="AC130" s="553">
        <f>AA130*AB130/1000000</f>
        <v>0</v>
      </c>
      <c r="AD130" s="551"/>
      <c r="AE130" s="552"/>
      <c r="AF130" s="553">
        <f>AD130*AE130/1000000</f>
        <v>0</v>
      </c>
      <c r="AG130" s="551"/>
      <c r="AH130" s="552"/>
      <c r="AI130" s="553">
        <f>AG130*AH130/1000000</f>
        <v>0</v>
      </c>
      <c r="AJ130" s="551"/>
      <c r="AK130" s="552"/>
      <c r="AL130" s="553">
        <f>AJ130*AK130/1000000</f>
        <v>0</v>
      </c>
      <c r="AM130" s="551"/>
      <c r="AN130" s="552"/>
      <c r="AO130" s="553">
        <f>AM130*AN130/1000000</f>
        <v>0</v>
      </c>
      <c r="AP130" s="551"/>
      <c r="AQ130" s="552"/>
      <c r="AR130" s="553">
        <f>AP130*AQ130/1000000</f>
        <v>0</v>
      </c>
      <c r="AS130" s="551"/>
      <c r="AT130" s="552"/>
      <c r="AU130" s="553">
        <f>AS130*AT130/1000000</f>
        <v>0</v>
      </c>
      <c r="AV130" s="551"/>
      <c r="AW130" s="552"/>
      <c r="AX130" s="553">
        <f>AV130*AW130/1000000</f>
        <v>0</v>
      </c>
      <c r="AY130" s="551"/>
      <c r="AZ130" s="552"/>
      <c r="BA130" s="553">
        <f>AY130*AZ130/1000000</f>
        <v>0</v>
      </c>
      <c r="BJ130" s="529">
        <f t="shared" ref="BJ130:BJ161" si="672">E130</f>
        <v>0</v>
      </c>
      <c r="BK130" s="529">
        <f t="shared" ref="BK130:BK161" si="673">H130</f>
        <v>0</v>
      </c>
      <c r="BL130" s="529">
        <f t="shared" ref="BL130:BL161" si="674">K130</f>
        <v>0</v>
      </c>
      <c r="BM130" s="529">
        <f t="shared" ref="BM130:BM161" si="675">N130</f>
        <v>0</v>
      </c>
      <c r="BN130" s="529">
        <f t="shared" ref="BN130:BN161" si="676">Q130</f>
        <v>0</v>
      </c>
      <c r="BO130" s="529">
        <f t="shared" ref="BO130:BO161" si="677">T130</f>
        <v>0</v>
      </c>
      <c r="BP130" s="529">
        <f t="shared" ref="BP130:BP161" si="678">W130</f>
        <v>0</v>
      </c>
      <c r="BQ130" s="529">
        <f t="shared" ref="BQ130:BQ161" si="679">Z130</f>
        <v>0</v>
      </c>
      <c r="BR130" s="529">
        <f t="shared" ref="BR130:BR161" si="680">AC130</f>
        <v>0</v>
      </c>
      <c r="BS130" s="529">
        <f t="shared" ref="BS130:BS161" si="681">AF130</f>
        <v>0</v>
      </c>
      <c r="BT130" s="529">
        <f t="shared" ref="BT130:BT161" si="682">AI130</f>
        <v>0</v>
      </c>
      <c r="BU130" s="529">
        <f t="shared" ref="BU130:BU161" si="683">AL130</f>
        <v>0</v>
      </c>
      <c r="BV130" s="529">
        <f t="shared" ref="BV130:BV161" si="684">AO130</f>
        <v>0</v>
      </c>
      <c r="BW130" s="529">
        <f t="shared" ref="BW130:BW161" si="685">AR130</f>
        <v>0</v>
      </c>
      <c r="BX130" s="529">
        <f t="shared" si="309"/>
        <v>0</v>
      </c>
      <c r="BY130" s="529">
        <f t="shared" si="310"/>
        <v>0</v>
      </c>
      <c r="BZ130" s="529">
        <f t="shared" si="311"/>
        <v>0</v>
      </c>
      <c r="CB130" s="529">
        <f t="shared" ref="CB130:CB161" si="686">C130</f>
        <v>0</v>
      </c>
      <c r="CC130" s="529">
        <f t="shared" ref="CC130:CC161" si="687">F130</f>
        <v>0</v>
      </c>
      <c r="CD130" s="529">
        <f t="shared" ref="CD130:CD161" si="688">I130</f>
        <v>0</v>
      </c>
      <c r="CE130" s="529">
        <f t="shared" ref="CE130:CE161" si="689">L130</f>
        <v>0</v>
      </c>
      <c r="CF130" s="529">
        <f t="shared" ref="CF130:CF161" si="690">O130</f>
        <v>0</v>
      </c>
      <c r="CG130" s="529">
        <f t="shared" ref="CG130:CG161" si="691">R130</f>
        <v>0</v>
      </c>
      <c r="CH130" s="529">
        <f t="shared" ref="CH130:CH161" si="692">U130</f>
        <v>0</v>
      </c>
      <c r="CI130" s="529">
        <f t="shared" ref="CI130:CI161" si="693">X130</f>
        <v>0</v>
      </c>
      <c r="CJ130" s="529">
        <f t="shared" ref="CJ130:CJ161" si="694">AA130</f>
        <v>0</v>
      </c>
      <c r="CK130" s="529">
        <f t="shared" ref="CK130:CK161" si="695">AD130</f>
        <v>0</v>
      </c>
      <c r="CL130" s="529">
        <f t="shared" ref="CL130:CL161" si="696">AG130</f>
        <v>0</v>
      </c>
      <c r="CM130" s="529">
        <f t="shared" ref="CM130:CM161" si="697">AJ130</f>
        <v>0</v>
      </c>
      <c r="CN130" s="529">
        <f t="shared" ref="CN130:CN161" si="698">AM130</f>
        <v>0</v>
      </c>
      <c r="CO130" s="529">
        <f t="shared" ref="CO130:CO161" si="699">AP130</f>
        <v>0</v>
      </c>
      <c r="CP130" s="529">
        <f t="shared" si="312"/>
        <v>0</v>
      </c>
      <c r="CQ130" s="529">
        <f t="shared" si="313"/>
        <v>0</v>
      </c>
      <c r="CR130" s="529">
        <f t="shared" si="314"/>
        <v>0</v>
      </c>
    </row>
    <row r="131" spans="1:96" x14ac:dyDescent="0.2">
      <c r="A131" s="755"/>
      <c r="B131" s="555" t="s">
        <v>113</v>
      </c>
      <c r="C131" s="559">
        <f t="shared" ref="C131:C133" si="700">SUMIF($B$126:$B$129,$B131,C$126:C$129)</f>
        <v>14345.05</v>
      </c>
      <c r="D131" s="557"/>
      <c r="E131" s="558">
        <f t="shared" ref="E131:F133" si="701">SUMIF($B$126:$B$129,$B131,E$126:E$129)</f>
        <v>1.6425082249999998</v>
      </c>
      <c r="F131" s="556">
        <f t="shared" si="701"/>
        <v>2952.7</v>
      </c>
      <c r="G131" s="576">
        <v>138</v>
      </c>
      <c r="H131" s="558">
        <f t="shared" ref="H131:H133" si="702">SUMIF($B$126:$B$129,$B131,H$126:H$129)</f>
        <v>0.36318209999999995</v>
      </c>
      <c r="I131" s="556">
        <v>7108</v>
      </c>
      <c r="J131" s="557">
        <v>181</v>
      </c>
      <c r="K131" s="558">
        <f t="shared" si="670"/>
        <v>0.38890999999999998</v>
      </c>
      <c r="L131" s="556"/>
      <c r="M131" s="557"/>
      <c r="N131" s="558">
        <f t="shared" si="671"/>
        <v>0</v>
      </c>
      <c r="O131" s="559"/>
      <c r="P131" s="557"/>
      <c r="Q131" s="558">
        <f t="shared" ref="Q131:Q133" si="703">SUMIF($B$126:$B$129,$B131,Q$126:Q$129)</f>
        <v>0</v>
      </c>
      <c r="R131" s="556"/>
      <c r="S131" s="557"/>
      <c r="T131" s="558">
        <f t="shared" ref="T131:T133" si="704">SUMIF($B$126:$B$129,$B131,T$126:T$129)</f>
        <v>0</v>
      </c>
      <c r="U131" s="556"/>
      <c r="V131" s="632"/>
      <c r="W131" s="558">
        <f>U131*V131/1000000</f>
        <v>0</v>
      </c>
      <c r="X131" s="559"/>
      <c r="Y131" s="557"/>
      <c r="Z131" s="558">
        <f>X131*Y131/1000000</f>
        <v>0</v>
      </c>
      <c r="AA131" s="559"/>
      <c r="AB131" s="557"/>
      <c r="AC131" s="558">
        <f>AA131*AB131/1000000</f>
        <v>0</v>
      </c>
      <c r="AD131" s="559"/>
      <c r="AE131" s="557"/>
      <c r="AF131" s="558">
        <f>AD131*AE131/1000000</f>
        <v>0</v>
      </c>
      <c r="AG131" s="559"/>
      <c r="AH131" s="557"/>
      <c r="AI131" s="558">
        <f>AG131*AH131/1000000</f>
        <v>0</v>
      </c>
      <c r="AJ131" s="559"/>
      <c r="AK131" s="557"/>
      <c r="AL131" s="558">
        <f>AJ131*AK131/1000000</f>
        <v>0</v>
      </c>
      <c r="AM131" s="559"/>
      <c r="AN131" s="557"/>
      <c r="AO131" s="558">
        <f>AM131*AN131/1000000</f>
        <v>0</v>
      </c>
      <c r="AP131" s="559"/>
      <c r="AQ131" s="557"/>
      <c r="AR131" s="558">
        <f>AP131*AQ131/1000000</f>
        <v>0</v>
      </c>
      <c r="AS131" s="559"/>
      <c r="AT131" s="557"/>
      <c r="AU131" s="558">
        <f>AS131*AT131/1000000</f>
        <v>0</v>
      </c>
      <c r="AV131" s="559"/>
      <c r="AW131" s="557"/>
      <c r="AX131" s="558">
        <f>AV131*AW131/1000000</f>
        <v>0</v>
      </c>
      <c r="AY131" s="559"/>
      <c r="AZ131" s="557"/>
      <c r="BA131" s="558">
        <f>AY131*AZ131/1000000</f>
        <v>0</v>
      </c>
      <c r="BJ131" s="529">
        <f t="shared" si="672"/>
        <v>1.6425082249999998</v>
      </c>
      <c r="BK131" s="529">
        <f t="shared" si="673"/>
        <v>0.36318209999999995</v>
      </c>
      <c r="BL131" s="529">
        <f t="shared" si="674"/>
        <v>0.38890999999999998</v>
      </c>
      <c r="BM131" s="529">
        <f t="shared" si="675"/>
        <v>0</v>
      </c>
      <c r="BN131" s="529">
        <f t="shared" si="676"/>
        <v>0</v>
      </c>
      <c r="BO131" s="529">
        <f t="shared" si="677"/>
        <v>0</v>
      </c>
      <c r="BP131" s="529">
        <f t="shared" si="678"/>
        <v>0</v>
      </c>
      <c r="BQ131" s="529">
        <f t="shared" si="679"/>
        <v>0</v>
      </c>
      <c r="BR131" s="529">
        <f t="shared" si="680"/>
        <v>0</v>
      </c>
      <c r="BS131" s="529">
        <f t="shared" si="681"/>
        <v>0</v>
      </c>
      <c r="BT131" s="529">
        <f t="shared" si="682"/>
        <v>0</v>
      </c>
      <c r="BU131" s="529">
        <f t="shared" si="683"/>
        <v>0</v>
      </c>
      <c r="BV131" s="529">
        <f t="shared" si="684"/>
        <v>0</v>
      </c>
      <c r="BW131" s="529">
        <f t="shared" si="685"/>
        <v>0</v>
      </c>
      <c r="BX131" s="529">
        <f t="shared" ref="BX131:BX169" si="705">AU131</f>
        <v>0</v>
      </c>
      <c r="BY131" s="529">
        <f t="shared" ref="BY131:BY169" si="706">AX131</f>
        <v>0</v>
      </c>
      <c r="BZ131" s="529">
        <f t="shared" ref="BZ131:BZ169" si="707">BA131</f>
        <v>0</v>
      </c>
      <c r="CB131" s="529">
        <f t="shared" si="686"/>
        <v>14345.05</v>
      </c>
      <c r="CC131" s="529">
        <f t="shared" si="687"/>
        <v>2952.7</v>
      </c>
      <c r="CD131" s="529">
        <f t="shared" si="688"/>
        <v>7108</v>
      </c>
      <c r="CE131" s="529">
        <f t="shared" si="689"/>
        <v>0</v>
      </c>
      <c r="CF131" s="529">
        <f t="shared" si="690"/>
        <v>0</v>
      </c>
      <c r="CG131" s="529">
        <f t="shared" si="691"/>
        <v>0</v>
      </c>
      <c r="CH131" s="529">
        <f t="shared" si="692"/>
        <v>0</v>
      </c>
      <c r="CI131" s="529">
        <f t="shared" si="693"/>
        <v>0</v>
      </c>
      <c r="CJ131" s="529">
        <f t="shared" si="694"/>
        <v>0</v>
      </c>
      <c r="CK131" s="529">
        <f t="shared" si="695"/>
        <v>0</v>
      </c>
      <c r="CL131" s="529">
        <f t="shared" si="696"/>
        <v>0</v>
      </c>
      <c r="CM131" s="529">
        <f t="shared" si="697"/>
        <v>0</v>
      </c>
      <c r="CN131" s="529">
        <f t="shared" si="698"/>
        <v>0</v>
      </c>
      <c r="CO131" s="529">
        <f t="shared" si="699"/>
        <v>0</v>
      </c>
      <c r="CP131" s="529">
        <f t="shared" ref="CP131:CP169" si="708">AS131</f>
        <v>0</v>
      </c>
      <c r="CQ131" s="529">
        <f t="shared" ref="CQ131:CQ169" si="709">AV131</f>
        <v>0</v>
      </c>
      <c r="CR131" s="529">
        <f t="shared" ref="CR131:CR169" si="710">AY131</f>
        <v>0</v>
      </c>
    </row>
    <row r="132" spans="1:96" x14ac:dyDescent="0.2">
      <c r="A132" s="755"/>
      <c r="B132" s="555" t="s">
        <v>495</v>
      </c>
      <c r="C132" s="559">
        <f t="shared" si="700"/>
        <v>0</v>
      </c>
      <c r="D132" s="557"/>
      <c r="E132" s="558">
        <f t="shared" si="701"/>
        <v>0</v>
      </c>
      <c r="F132" s="556">
        <f t="shared" si="701"/>
        <v>0</v>
      </c>
      <c r="G132" s="576"/>
      <c r="H132" s="558">
        <f t="shared" si="702"/>
        <v>0</v>
      </c>
      <c r="I132" s="556"/>
      <c r="J132" s="557"/>
      <c r="K132" s="558">
        <f t="shared" si="670"/>
        <v>0.89072620000000002</v>
      </c>
      <c r="L132" s="556"/>
      <c r="M132" s="557"/>
      <c r="N132" s="558">
        <f t="shared" si="671"/>
        <v>0</v>
      </c>
      <c r="O132" s="559"/>
      <c r="P132" s="557"/>
      <c r="Q132" s="558">
        <f t="shared" si="703"/>
        <v>0</v>
      </c>
      <c r="R132" s="556"/>
      <c r="S132" s="557"/>
      <c r="T132" s="558">
        <f t="shared" si="704"/>
        <v>0</v>
      </c>
      <c r="U132" s="556"/>
      <c r="V132" s="632"/>
      <c r="W132" s="558">
        <f>U132*V132/1000000</f>
        <v>0</v>
      </c>
      <c r="X132" s="559"/>
      <c r="Y132" s="557"/>
      <c r="Z132" s="558">
        <f>X132*Y132/1000000</f>
        <v>0</v>
      </c>
      <c r="AA132" s="559"/>
      <c r="AB132" s="557"/>
      <c r="AC132" s="558">
        <f>AA132*AB132/1000000</f>
        <v>0</v>
      </c>
      <c r="AD132" s="559"/>
      <c r="AE132" s="557"/>
      <c r="AF132" s="558">
        <f>AD132*AE132/1000000</f>
        <v>0</v>
      </c>
      <c r="AG132" s="559"/>
      <c r="AH132" s="557"/>
      <c r="AI132" s="558">
        <f>AG132*AH132/1000000</f>
        <v>0</v>
      </c>
      <c r="AJ132" s="559"/>
      <c r="AK132" s="557"/>
      <c r="AL132" s="558">
        <f>AJ132*AK132/1000000</f>
        <v>0</v>
      </c>
      <c r="AM132" s="559"/>
      <c r="AN132" s="557"/>
      <c r="AO132" s="558">
        <f>AM132*AN132/1000000</f>
        <v>0</v>
      </c>
      <c r="AP132" s="559"/>
      <c r="AQ132" s="557"/>
      <c r="AR132" s="558">
        <f>AP132*AQ132/1000000</f>
        <v>0</v>
      </c>
      <c r="AS132" s="559"/>
      <c r="AT132" s="557"/>
      <c r="AU132" s="558">
        <f>AS132*AT132/1000000</f>
        <v>0</v>
      </c>
      <c r="AV132" s="559"/>
      <c r="AW132" s="557"/>
      <c r="AX132" s="558">
        <f>AV132*AW132/1000000</f>
        <v>0</v>
      </c>
      <c r="AY132" s="559"/>
      <c r="AZ132" s="557"/>
      <c r="BA132" s="558">
        <f>AY132*AZ132/1000000</f>
        <v>0</v>
      </c>
      <c r="BJ132" s="529">
        <f t="shared" si="672"/>
        <v>0</v>
      </c>
      <c r="BK132" s="529">
        <f t="shared" si="673"/>
        <v>0</v>
      </c>
      <c r="BL132" s="529">
        <f t="shared" si="674"/>
        <v>0.89072620000000002</v>
      </c>
      <c r="BM132" s="529">
        <f t="shared" si="675"/>
        <v>0</v>
      </c>
      <c r="BN132" s="529">
        <f t="shared" si="676"/>
        <v>0</v>
      </c>
      <c r="BO132" s="529">
        <f t="shared" si="677"/>
        <v>0</v>
      </c>
      <c r="BP132" s="529">
        <f t="shared" si="678"/>
        <v>0</v>
      </c>
      <c r="BQ132" s="529">
        <f t="shared" si="679"/>
        <v>0</v>
      </c>
      <c r="BR132" s="529">
        <f t="shared" si="680"/>
        <v>0</v>
      </c>
      <c r="BS132" s="529">
        <f t="shared" si="681"/>
        <v>0</v>
      </c>
      <c r="BT132" s="529">
        <f t="shared" si="682"/>
        <v>0</v>
      </c>
      <c r="BU132" s="529">
        <f t="shared" si="683"/>
        <v>0</v>
      </c>
      <c r="BV132" s="529">
        <f t="shared" si="684"/>
        <v>0</v>
      </c>
      <c r="BW132" s="529">
        <f t="shared" si="685"/>
        <v>0</v>
      </c>
      <c r="BX132" s="529">
        <f t="shared" si="705"/>
        <v>0</v>
      </c>
      <c r="BY132" s="529">
        <f t="shared" si="706"/>
        <v>0</v>
      </c>
      <c r="BZ132" s="529">
        <f t="shared" si="707"/>
        <v>0</v>
      </c>
      <c r="CB132" s="529">
        <f t="shared" si="686"/>
        <v>0</v>
      </c>
      <c r="CC132" s="529">
        <f t="shared" si="687"/>
        <v>0</v>
      </c>
      <c r="CD132" s="529">
        <f t="shared" si="688"/>
        <v>0</v>
      </c>
      <c r="CE132" s="529">
        <f t="shared" si="689"/>
        <v>0</v>
      </c>
      <c r="CF132" s="529">
        <f t="shared" si="690"/>
        <v>0</v>
      </c>
      <c r="CG132" s="529">
        <f t="shared" si="691"/>
        <v>0</v>
      </c>
      <c r="CH132" s="529">
        <f t="shared" si="692"/>
        <v>0</v>
      </c>
      <c r="CI132" s="529">
        <f t="shared" si="693"/>
        <v>0</v>
      </c>
      <c r="CJ132" s="529">
        <f t="shared" si="694"/>
        <v>0</v>
      </c>
      <c r="CK132" s="529">
        <f t="shared" si="695"/>
        <v>0</v>
      </c>
      <c r="CL132" s="529">
        <f t="shared" si="696"/>
        <v>0</v>
      </c>
      <c r="CM132" s="529">
        <f t="shared" si="697"/>
        <v>0</v>
      </c>
      <c r="CN132" s="529">
        <f t="shared" si="698"/>
        <v>0</v>
      </c>
      <c r="CO132" s="529">
        <f t="shared" si="699"/>
        <v>0</v>
      </c>
      <c r="CP132" s="529">
        <f t="shared" si="708"/>
        <v>0</v>
      </c>
      <c r="CQ132" s="529">
        <f t="shared" si="709"/>
        <v>0</v>
      </c>
      <c r="CR132" s="529">
        <f t="shared" si="710"/>
        <v>0</v>
      </c>
    </row>
    <row r="133" spans="1:96" ht="14.25" thickBot="1" x14ac:dyDescent="0.3">
      <c r="A133" s="756"/>
      <c r="B133" s="560" t="s">
        <v>622</v>
      </c>
      <c r="C133" s="561">
        <f t="shared" si="700"/>
        <v>3442.8119999999999</v>
      </c>
      <c r="D133" s="567"/>
      <c r="E133" s="563">
        <f>SUMIF($B$126:$B$129,$B133,E$126:E$129)</f>
        <v>1.6425082249999998</v>
      </c>
      <c r="F133" s="564">
        <f t="shared" si="701"/>
        <v>708.64799999999991</v>
      </c>
      <c r="G133" s="577"/>
      <c r="H133" s="563">
        <f t="shared" si="702"/>
        <v>0.36318209999999995</v>
      </c>
      <c r="I133" s="564">
        <f>I130*0.46+I131*0.24+I132*0.24</f>
        <v>1705.9199999999998</v>
      </c>
      <c r="J133" s="567"/>
      <c r="K133" s="563">
        <f t="shared" si="670"/>
        <v>1.2796362000000001</v>
      </c>
      <c r="L133" s="561">
        <f>L130*0.46+L131*0.24+L132*0.24</f>
        <v>0</v>
      </c>
      <c r="M133" s="567"/>
      <c r="N133" s="563">
        <f t="shared" si="671"/>
        <v>0</v>
      </c>
      <c r="O133" s="561">
        <f>O130*0.46+O131*0.24+O132*0.24</f>
        <v>0</v>
      </c>
      <c r="P133" s="567"/>
      <c r="Q133" s="563">
        <f t="shared" si="703"/>
        <v>0</v>
      </c>
      <c r="R133" s="564">
        <f>R130*0.46+R131*0.24+R132*0.24</f>
        <v>0</v>
      </c>
      <c r="S133" s="567"/>
      <c r="T133" s="563">
        <f t="shared" si="704"/>
        <v>0</v>
      </c>
      <c r="U133" s="564">
        <f>U130*0.46+U131*0.24+U132*0.24</f>
        <v>0</v>
      </c>
      <c r="V133" s="625"/>
      <c r="W133" s="563">
        <f>SUM(W130:W132)</f>
        <v>0</v>
      </c>
      <c r="X133" s="561">
        <f>X130*0.46+X131*0.24+X132*0.24</f>
        <v>0</v>
      </c>
      <c r="Y133" s="562"/>
      <c r="Z133" s="563">
        <f>SUM(Z130:Z132)</f>
        <v>0</v>
      </c>
      <c r="AA133" s="561">
        <f>AA130*0.46+AA131*0.24+AA132*0.24</f>
        <v>0</v>
      </c>
      <c r="AB133" s="562"/>
      <c r="AC133" s="563">
        <f>SUM(AC130:AC132)</f>
        <v>0</v>
      </c>
      <c r="AD133" s="561">
        <f>AD130*0.46+AD131*0.24+AD132*0.24</f>
        <v>0</v>
      </c>
      <c r="AE133" s="562"/>
      <c r="AF133" s="563">
        <f>SUM(AF130:AF132)</f>
        <v>0</v>
      </c>
      <c r="AG133" s="561">
        <f>AG130*0.46+AG131*0.24+AG132*0.24</f>
        <v>0</v>
      </c>
      <c r="AH133" s="562"/>
      <c r="AI133" s="563">
        <f>SUM(AI130:AI132)</f>
        <v>0</v>
      </c>
      <c r="AJ133" s="561">
        <f>AJ130*0.46+AJ131*0.24+AJ132*0.24</f>
        <v>0</v>
      </c>
      <c r="AK133" s="562"/>
      <c r="AL133" s="563">
        <f>SUM(AL130:AL132)</f>
        <v>0</v>
      </c>
      <c r="AM133" s="561">
        <f>AM130*0.46+AM131*0.24+AM132*0.24</f>
        <v>0</v>
      </c>
      <c r="AN133" s="562"/>
      <c r="AO133" s="563">
        <f>SUM(AO130:AO132)</f>
        <v>0</v>
      </c>
      <c r="AP133" s="561">
        <f>AP130*0.46+AP131*0.24+AP132*0.24</f>
        <v>0</v>
      </c>
      <c r="AQ133" s="562"/>
      <c r="AR133" s="563">
        <f>SUM(AR130:AR132)</f>
        <v>0</v>
      </c>
      <c r="AS133" s="561">
        <f>AS130*0.46+AS131*0.24+AS132*0.24</f>
        <v>0</v>
      </c>
      <c r="AT133" s="562"/>
      <c r="AU133" s="563">
        <f>SUM(AU130:AU132)</f>
        <v>0</v>
      </c>
      <c r="AV133" s="561">
        <f>AV130*0.46+AV131*0.24+AV132*0.24</f>
        <v>0</v>
      </c>
      <c r="AW133" s="562"/>
      <c r="AX133" s="563">
        <f>SUM(AX130:AX132)</f>
        <v>0</v>
      </c>
      <c r="AY133" s="561">
        <f>AY130*0.46+AY131*0.24+AY132*0.24</f>
        <v>0</v>
      </c>
      <c r="AZ133" s="562"/>
      <c r="BA133" s="563">
        <f>SUM(BA130:BA132)</f>
        <v>0</v>
      </c>
      <c r="BJ133" s="529">
        <f t="shared" si="672"/>
        <v>1.6425082249999998</v>
      </c>
      <c r="BK133" s="529">
        <f t="shared" si="673"/>
        <v>0.36318209999999995</v>
      </c>
      <c r="BL133" s="529">
        <f t="shared" si="674"/>
        <v>1.2796362000000001</v>
      </c>
      <c r="BM133" s="529">
        <f t="shared" si="675"/>
        <v>0</v>
      </c>
      <c r="BN133" s="529">
        <f t="shared" si="676"/>
        <v>0</v>
      </c>
      <c r="BO133" s="529">
        <f t="shared" si="677"/>
        <v>0</v>
      </c>
      <c r="BP133" s="529">
        <f t="shared" si="678"/>
        <v>0</v>
      </c>
      <c r="BQ133" s="529">
        <f t="shared" si="679"/>
        <v>0</v>
      </c>
      <c r="BR133" s="529">
        <f t="shared" si="680"/>
        <v>0</v>
      </c>
      <c r="BS133" s="529">
        <f t="shared" si="681"/>
        <v>0</v>
      </c>
      <c r="BT133" s="529">
        <f t="shared" si="682"/>
        <v>0</v>
      </c>
      <c r="BU133" s="529">
        <f t="shared" si="683"/>
        <v>0</v>
      </c>
      <c r="BV133" s="529">
        <f t="shared" si="684"/>
        <v>0</v>
      </c>
      <c r="BW133" s="529">
        <f t="shared" si="685"/>
        <v>0</v>
      </c>
      <c r="BX133" s="529">
        <f t="shared" si="705"/>
        <v>0</v>
      </c>
      <c r="BY133" s="529">
        <f t="shared" si="706"/>
        <v>0</v>
      </c>
      <c r="BZ133" s="529">
        <f t="shared" si="707"/>
        <v>0</v>
      </c>
      <c r="CB133" s="529">
        <f t="shared" si="686"/>
        <v>3442.8119999999999</v>
      </c>
      <c r="CC133" s="529">
        <f t="shared" si="687"/>
        <v>708.64799999999991</v>
      </c>
      <c r="CD133" s="529">
        <f t="shared" si="688"/>
        <v>1705.9199999999998</v>
      </c>
      <c r="CE133" s="529">
        <f t="shared" si="689"/>
        <v>0</v>
      </c>
      <c r="CF133" s="529">
        <f t="shared" si="690"/>
        <v>0</v>
      </c>
      <c r="CG133" s="529">
        <f t="shared" si="691"/>
        <v>0</v>
      </c>
      <c r="CH133" s="529">
        <f t="shared" si="692"/>
        <v>0</v>
      </c>
      <c r="CI133" s="529">
        <f t="shared" si="693"/>
        <v>0</v>
      </c>
      <c r="CJ133" s="529">
        <f t="shared" si="694"/>
        <v>0</v>
      </c>
      <c r="CK133" s="529">
        <f t="shared" si="695"/>
        <v>0</v>
      </c>
      <c r="CL133" s="529">
        <f t="shared" si="696"/>
        <v>0</v>
      </c>
      <c r="CM133" s="529">
        <f t="shared" si="697"/>
        <v>0</v>
      </c>
      <c r="CN133" s="529">
        <f t="shared" si="698"/>
        <v>0</v>
      </c>
      <c r="CO133" s="529">
        <f t="shared" si="699"/>
        <v>0</v>
      </c>
      <c r="CP133" s="529">
        <f t="shared" si="708"/>
        <v>0</v>
      </c>
      <c r="CQ133" s="529">
        <f t="shared" si="709"/>
        <v>0</v>
      </c>
      <c r="CR133" s="529">
        <f t="shared" si="710"/>
        <v>0</v>
      </c>
    </row>
    <row r="134" spans="1:96" x14ac:dyDescent="0.2">
      <c r="A134" s="761" t="s">
        <v>639</v>
      </c>
      <c r="B134" s="537" t="s">
        <v>494</v>
      </c>
      <c r="C134" s="538"/>
      <c r="D134" s="539"/>
      <c r="E134" s="540">
        <f t="shared" ref="E134:E136" si="711">C134*D134/1000000</f>
        <v>0</v>
      </c>
      <c r="F134" s="541">
        <v>8210</v>
      </c>
      <c r="G134" s="539">
        <v>234</v>
      </c>
      <c r="H134" s="540">
        <f>F134*G134/1000000</f>
        <v>1.9211400000000001</v>
      </c>
      <c r="I134" s="541"/>
      <c r="J134" s="539"/>
      <c r="K134" s="540">
        <f t="shared" ref="K134:K136" si="712">I134*J134/1000000</f>
        <v>0</v>
      </c>
      <c r="L134" s="538"/>
      <c r="M134" s="539"/>
      <c r="N134" s="540">
        <f>L134*M134/1000000</f>
        <v>0</v>
      </c>
      <c r="O134" s="538"/>
      <c r="P134" s="539"/>
      <c r="Q134" s="540">
        <f>O134*P134/1000000</f>
        <v>0</v>
      </c>
      <c r="R134" s="538"/>
      <c r="S134" s="539"/>
      <c r="T134" s="540">
        <f>R134*S134/1000000</f>
        <v>0</v>
      </c>
      <c r="U134" s="538"/>
      <c r="V134" s="629"/>
      <c r="W134" s="540">
        <f t="shared" ref="W134:W136" si="713">U134*V134/100000</f>
        <v>0</v>
      </c>
      <c r="X134" s="538"/>
      <c r="Y134" s="539">
        <f t="shared" ref="Y134:Y136" si="714">ROUND(V134*(1+Y$1),0)</f>
        <v>0</v>
      </c>
      <c r="Z134" s="540">
        <f t="shared" ref="Z134:Z136" si="715">X134*Y134/100000</f>
        <v>0</v>
      </c>
      <c r="AA134" s="538"/>
      <c r="AB134" s="539">
        <f t="shared" ref="AB134:AB136" si="716">ROUND(Y134*(1+AB$1),0)</f>
        <v>0</v>
      </c>
      <c r="AC134" s="540">
        <f t="shared" ref="AC134:AC136" si="717">AA134*AB134/100000</f>
        <v>0</v>
      </c>
      <c r="AD134" s="538"/>
      <c r="AE134" s="539">
        <f t="shared" ref="AE134:AE136" si="718">ROUND(AB134*(1+AE$1),0)</f>
        <v>0</v>
      </c>
      <c r="AF134" s="540">
        <f t="shared" ref="AF134:AF136" si="719">AD134*AE134/100000</f>
        <v>0</v>
      </c>
      <c r="AG134" s="538"/>
      <c r="AH134" s="539">
        <f t="shared" ref="AH134:AH136" si="720">ROUND(AE134*(1+AH$1),0)</f>
        <v>0</v>
      </c>
      <c r="AI134" s="540">
        <f t="shared" ref="AI134:AI136" si="721">AG134*AH134/100000</f>
        <v>0</v>
      </c>
      <c r="AJ134" s="538"/>
      <c r="AK134" s="539">
        <f t="shared" ref="AK134:AK136" si="722">ROUND(AH134*(1+AK$1),0)</f>
        <v>0</v>
      </c>
      <c r="AL134" s="540">
        <f t="shared" ref="AL134:AL136" si="723">AJ134*AK134/100000</f>
        <v>0</v>
      </c>
      <c r="AM134" s="538"/>
      <c r="AN134" s="539">
        <f t="shared" ref="AN134:AN136" si="724">ROUND(AK134*(1+AN$1),0)</f>
        <v>0</v>
      </c>
      <c r="AO134" s="540">
        <f t="shared" ref="AO134:AO136" si="725">AM134*AN134/100000</f>
        <v>0</v>
      </c>
      <c r="AP134" s="538"/>
      <c r="AQ134" s="539">
        <f t="shared" ref="AQ134:AQ136" si="726">ROUND(AN134*(1+AQ$1),0)</f>
        <v>0</v>
      </c>
      <c r="AR134" s="540">
        <f t="shared" ref="AR134:AR136" si="727">AP134*AQ134/100000</f>
        <v>0</v>
      </c>
      <c r="AS134" s="538"/>
      <c r="AT134" s="539">
        <f t="shared" ref="AT134:AT136" si="728">ROUND(AQ134*(1+AT$1),0)</f>
        <v>0</v>
      </c>
      <c r="AU134" s="540">
        <f t="shared" ref="AU134:AU136" si="729">AS134*AT134/100000</f>
        <v>0</v>
      </c>
      <c r="AV134" s="538"/>
      <c r="AW134" s="539">
        <f t="shared" ref="AW134:AW136" si="730">ROUND(AT134*(1+AW$1),0)</f>
        <v>0</v>
      </c>
      <c r="AX134" s="540">
        <f t="shared" ref="AX134:AX136" si="731">AV134*AW134/100000</f>
        <v>0</v>
      </c>
      <c r="AY134" s="538"/>
      <c r="AZ134" s="539">
        <f t="shared" ref="AZ134:AZ136" si="732">ROUND(AW134*(1+AZ$1),0)</f>
        <v>0</v>
      </c>
      <c r="BA134" s="540">
        <f t="shared" ref="BA134:BA136" si="733">AY134*AZ134/100000</f>
        <v>0</v>
      </c>
      <c r="BJ134" s="529">
        <f t="shared" si="672"/>
        <v>0</v>
      </c>
      <c r="BK134" s="529">
        <f t="shared" si="673"/>
        <v>1.9211400000000001</v>
      </c>
      <c r="BL134" s="529">
        <f t="shared" si="674"/>
        <v>0</v>
      </c>
      <c r="BM134" s="529">
        <f t="shared" si="675"/>
        <v>0</v>
      </c>
      <c r="BN134" s="529">
        <f t="shared" si="676"/>
        <v>0</v>
      </c>
      <c r="BO134" s="529">
        <f t="shared" si="677"/>
        <v>0</v>
      </c>
      <c r="BP134" s="529">
        <f t="shared" si="678"/>
        <v>0</v>
      </c>
      <c r="BQ134" s="529">
        <f t="shared" si="679"/>
        <v>0</v>
      </c>
      <c r="BR134" s="529">
        <f t="shared" si="680"/>
        <v>0</v>
      </c>
      <c r="BS134" s="529">
        <f t="shared" si="681"/>
        <v>0</v>
      </c>
      <c r="BT134" s="529">
        <f t="shared" si="682"/>
        <v>0</v>
      </c>
      <c r="BU134" s="529">
        <f t="shared" si="683"/>
        <v>0</v>
      </c>
      <c r="BV134" s="529">
        <f t="shared" si="684"/>
        <v>0</v>
      </c>
      <c r="BW134" s="529">
        <f t="shared" si="685"/>
        <v>0</v>
      </c>
      <c r="BX134" s="529">
        <f t="shared" si="705"/>
        <v>0</v>
      </c>
      <c r="BY134" s="529">
        <f t="shared" si="706"/>
        <v>0</v>
      </c>
      <c r="BZ134" s="529">
        <f t="shared" si="707"/>
        <v>0</v>
      </c>
      <c r="CB134" s="529">
        <f t="shared" si="686"/>
        <v>0</v>
      </c>
      <c r="CC134" s="529">
        <f t="shared" si="687"/>
        <v>8210</v>
      </c>
      <c r="CD134" s="529">
        <f t="shared" si="688"/>
        <v>0</v>
      </c>
      <c r="CE134" s="529">
        <f t="shared" si="689"/>
        <v>0</v>
      </c>
      <c r="CF134" s="529">
        <f t="shared" si="690"/>
        <v>0</v>
      </c>
      <c r="CG134" s="529">
        <f t="shared" si="691"/>
        <v>0</v>
      </c>
      <c r="CH134" s="529">
        <f t="shared" si="692"/>
        <v>0</v>
      </c>
      <c r="CI134" s="529">
        <f t="shared" si="693"/>
        <v>0</v>
      </c>
      <c r="CJ134" s="529">
        <f t="shared" si="694"/>
        <v>0</v>
      </c>
      <c r="CK134" s="529">
        <f t="shared" si="695"/>
        <v>0</v>
      </c>
      <c r="CL134" s="529">
        <f t="shared" si="696"/>
        <v>0</v>
      </c>
      <c r="CM134" s="529">
        <f t="shared" si="697"/>
        <v>0</v>
      </c>
      <c r="CN134" s="529">
        <f t="shared" si="698"/>
        <v>0</v>
      </c>
      <c r="CO134" s="529">
        <f t="shared" si="699"/>
        <v>0</v>
      </c>
      <c r="CP134" s="529">
        <f t="shared" si="708"/>
        <v>0</v>
      </c>
      <c r="CQ134" s="529">
        <f t="shared" si="709"/>
        <v>0</v>
      </c>
      <c r="CR134" s="529">
        <f t="shared" si="710"/>
        <v>0</v>
      </c>
    </row>
    <row r="135" spans="1:96" x14ac:dyDescent="0.2">
      <c r="A135" s="761"/>
      <c r="B135" s="537" t="s">
        <v>495</v>
      </c>
      <c r="C135" s="538"/>
      <c r="D135" s="539"/>
      <c r="E135" s="540">
        <f t="shared" si="711"/>
        <v>0</v>
      </c>
      <c r="F135" s="541"/>
      <c r="G135" s="539"/>
      <c r="H135" s="540">
        <f t="shared" ref="H135:H136" si="734">F135*G135/1000000</f>
        <v>0</v>
      </c>
      <c r="I135" s="541"/>
      <c r="J135" s="539"/>
      <c r="K135" s="540">
        <f t="shared" si="712"/>
        <v>0</v>
      </c>
      <c r="L135" s="538"/>
      <c r="M135" s="539"/>
      <c r="N135" s="540">
        <f t="shared" ref="N135:N136" si="735">L135*M135/1000000</f>
        <v>0</v>
      </c>
      <c r="O135" s="538"/>
      <c r="P135" s="539"/>
      <c r="Q135" s="540">
        <f t="shared" ref="Q135:Q136" si="736">O135*P135/1000000</f>
        <v>0</v>
      </c>
      <c r="R135" s="538"/>
      <c r="S135" s="539"/>
      <c r="T135" s="540">
        <f t="shared" ref="T135:T136" si="737">R135*S135/1000000</f>
        <v>0</v>
      </c>
      <c r="U135" s="538"/>
      <c r="V135" s="629"/>
      <c r="W135" s="540">
        <f t="shared" si="713"/>
        <v>0</v>
      </c>
      <c r="X135" s="538"/>
      <c r="Y135" s="539">
        <f t="shared" si="714"/>
        <v>0</v>
      </c>
      <c r="Z135" s="540">
        <f t="shared" si="715"/>
        <v>0</v>
      </c>
      <c r="AA135" s="538"/>
      <c r="AB135" s="539">
        <f t="shared" si="716"/>
        <v>0</v>
      </c>
      <c r="AC135" s="540">
        <f t="shared" si="717"/>
        <v>0</v>
      </c>
      <c r="AD135" s="538"/>
      <c r="AE135" s="539">
        <f t="shared" si="718"/>
        <v>0</v>
      </c>
      <c r="AF135" s="540">
        <f t="shared" si="719"/>
        <v>0</v>
      </c>
      <c r="AG135" s="538"/>
      <c r="AH135" s="539">
        <f t="shared" si="720"/>
        <v>0</v>
      </c>
      <c r="AI135" s="540">
        <f t="shared" si="721"/>
        <v>0</v>
      </c>
      <c r="AJ135" s="538"/>
      <c r="AK135" s="539">
        <f t="shared" si="722"/>
        <v>0</v>
      </c>
      <c r="AL135" s="540">
        <f t="shared" si="723"/>
        <v>0</v>
      </c>
      <c r="AM135" s="538"/>
      <c r="AN135" s="539">
        <f t="shared" si="724"/>
        <v>0</v>
      </c>
      <c r="AO135" s="540">
        <f t="shared" si="725"/>
        <v>0</v>
      </c>
      <c r="AP135" s="538"/>
      <c r="AQ135" s="539">
        <f t="shared" si="726"/>
        <v>0</v>
      </c>
      <c r="AR135" s="540">
        <f t="shared" si="727"/>
        <v>0</v>
      </c>
      <c r="AS135" s="538"/>
      <c r="AT135" s="539">
        <f t="shared" si="728"/>
        <v>0</v>
      </c>
      <c r="AU135" s="540">
        <f t="shared" si="729"/>
        <v>0</v>
      </c>
      <c r="AV135" s="538"/>
      <c r="AW135" s="539">
        <f t="shared" si="730"/>
        <v>0</v>
      </c>
      <c r="AX135" s="540">
        <f t="shared" si="731"/>
        <v>0</v>
      </c>
      <c r="AY135" s="538"/>
      <c r="AZ135" s="539">
        <f t="shared" si="732"/>
        <v>0</v>
      </c>
      <c r="BA135" s="540">
        <f t="shared" si="733"/>
        <v>0</v>
      </c>
      <c r="BJ135" s="529">
        <f t="shared" si="672"/>
        <v>0</v>
      </c>
      <c r="BK135" s="529">
        <f t="shared" si="673"/>
        <v>0</v>
      </c>
      <c r="BL135" s="529">
        <f t="shared" si="674"/>
        <v>0</v>
      </c>
      <c r="BM135" s="529">
        <f t="shared" si="675"/>
        <v>0</v>
      </c>
      <c r="BN135" s="529">
        <f t="shared" si="676"/>
        <v>0</v>
      </c>
      <c r="BO135" s="529">
        <f t="shared" si="677"/>
        <v>0</v>
      </c>
      <c r="BP135" s="529">
        <f t="shared" si="678"/>
        <v>0</v>
      </c>
      <c r="BQ135" s="529">
        <f t="shared" si="679"/>
        <v>0</v>
      </c>
      <c r="BR135" s="529">
        <f t="shared" si="680"/>
        <v>0</v>
      </c>
      <c r="BS135" s="529">
        <f t="shared" si="681"/>
        <v>0</v>
      </c>
      <c r="BT135" s="529">
        <f t="shared" si="682"/>
        <v>0</v>
      </c>
      <c r="BU135" s="529">
        <f t="shared" si="683"/>
        <v>0</v>
      </c>
      <c r="BV135" s="529">
        <f t="shared" si="684"/>
        <v>0</v>
      </c>
      <c r="BW135" s="529">
        <f t="shared" si="685"/>
        <v>0</v>
      </c>
      <c r="BX135" s="529">
        <f t="shared" si="705"/>
        <v>0</v>
      </c>
      <c r="BY135" s="529">
        <f t="shared" si="706"/>
        <v>0</v>
      </c>
      <c r="BZ135" s="529">
        <f t="shared" si="707"/>
        <v>0</v>
      </c>
      <c r="CB135" s="529">
        <f t="shared" si="686"/>
        <v>0</v>
      </c>
      <c r="CC135" s="529">
        <f t="shared" si="687"/>
        <v>0</v>
      </c>
      <c r="CD135" s="529">
        <f t="shared" si="688"/>
        <v>0</v>
      </c>
      <c r="CE135" s="529">
        <f t="shared" si="689"/>
        <v>0</v>
      </c>
      <c r="CF135" s="529">
        <f t="shared" si="690"/>
        <v>0</v>
      </c>
      <c r="CG135" s="529">
        <f t="shared" si="691"/>
        <v>0</v>
      </c>
      <c r="CH135" s="529">
        <f t="shared" si="692"/>
        <v>0</v>
      </c>
      <c r="CI135" s="529">
        <f t="shared" si="693"/>
        <v>0</v>
      </c>
      <c r="CJ135" s="529">
        <f t="shared" si="694"/>
        <v>0</v>
      </c>
      <c r="CK135" s="529">
        <f t="shared" si="695"/>
        <v>0</v>
      </c>
      <c r="CL135" s="529">
        <f t="shared" si="696"/>
        <v>0</v>
      </c>
      <c r="CM135" s="529">
        <f t="shared" si="697"/>
        <v>0</v>
      </c>
      <c r="CN135" s="529">
        <f t="shared" si="698"/>
        <v>0</v>
      </c>
      <c r="CO135" s="529">
        <f t="shared" si="699"/>
        <v>0</v>
      </c>
      <c r="CP135" s="529">
        <f t="shared" si="708"/>
        <v>0</v>
      </c>
      <c r="CQ135" s="529">
        <f t="shared" si="709"/>
        <v>0</v>
      </c>
      <c r="CR135" s="529">
        <f t="shared" si="710"/>
        <v>0</v>
      </c>
    </row>
    <row r="136" spans="1:96" x14ac:dyDescent="0.2">
      <c r="A136" s="761"/>
      <c r="B136" s="537" t="s">
        <v>502</v>
      </c>
      <c r="C136" s="538"/>
      <c r="D136" s="539"/>
      <c r="E136" s="540">
        <f t="shared" si="711"/>
        <v>0</v>
      </c>
      <c r="F136" s="541"/>
      <c r="G136" s="539"/>
      <c r="H136" s="540">
        <f t="shared" si="734"/>
        <v>0</v>
      </c>
      <c r="I136" s="541"/>
      <c r="J136" s="539"/>
      <c r="K136" s="540">
        <f t="shared" si="712"/>
        <v>0</v>
      </c>
      <c r="L136" s="538"/>
      <c r="M136" s="539"/>
      <c r="N136" s="540">
        <f t="shared" si="735"/>
        <v>0</v>
      </c>
      <c r="O136" s="538"/>
      <c r="P136" s="539"/>
      <c r="Q136" s="540">
        <f t="shared" si="736"/>
        <v>0</v>
      </c>
      <c r="R136" s="538"/>
      <c r="S136" s="539"/>
      <c r="T136" s="540">
        <f t="shared" si="737"/>
        <v>0</v>
      </c>
      <c r="U136" s="538"/>
      <c r="V136" s="629"/>
      <c r="W136" s="540">
        <f t="shared" si="713"/>
        <v>0</v>
      </c>
      <c r="X136" s="538"/>
      <c r="Y136" s="539">
        <f t="shared" si="714"/>
        <v>0</v>
      </c>
      <c r="Z136" s="540">
        <f t="shared" si="715"/>
        <v>0</v>
      </c>
      <c r="AA136" s="538"/>
      <c r="AB136" s="539">
        <f t="shared" si="716"/>
        <v>0</v>
      </c>
      <c r="AC136" s="540">
        <f t="shared" si="717"/>
        <v>0</v>
      </c>
      <c r="AD136" s="538"/>
      <c r="AE136" s="539">
        <f t="shared" si="718"/>
        <v>0</v>
      </c>
      <c r="AF136" s="540">
        <f t="shared" si="719"/>
        <v>0</v>
      </c>
      <c r="AG136" s="538"/>
      <c r="AH136" s="539">
        <f t="shared" si="720"/>
        <v>0</v>
      </c>
      <c r="AI136" s="540">
        <f t="shared" si="721"/>
        <v>0</v>
      </c>
      <c r="AJ136" s="538"/>
      <c r="AK136" s="539">
        <f t="shared" si="722"/>
        <v>0</v>
      </c>
      <c r="AL136" s="540">
        <f t="shared" si="723"/>
        <v>0</v>
      </c>
      <c r="AM136" s="538"/>
      <c r="AN136" s="539">
        <f t="shared" si="724"/>
        <v>0</v>
      </c>
      <c r="AO136" s="540">
        <f t="shared" si="725"/>
        <v>0</v>
      </c>
      <c r="AP136" s="538"/>
      <c r="AQ136" s="539">
        <f t="shared" si="726"/>
        <v>0</v>
      </c>
      <c r="AR136" s="540">
        <f t="shared" si="727"/>
        <v>0</v>
      </c>
      <c r="AS136" s="538"/>
      <c r="AT136" s="539">
        <f t="shared" si="728"/>
        <v>0</v>
      </c>
      <c r="AU136" s="540">
        <f t="shared" si="729"/>
        <v>0</v>
      </c>
      <c r="AV136" s="538"/>
      <c r="AW136" s="539">
        <f t="shared" si="730"/>
        <v>0</v>
      </c>
      <c r="AX136" s="540">
        <f t="shared" si="731"/>
        <v>0</v>
      </c>
      <c r="AY136" s="538"/>
      <c r="AZ136" s="539">
        <f t="shared" si="732"/>
        <v>0</v>
      </c>
      <c r="BA136" s="540">
        <f t="shared" si="733"/>
        <v>0</v>
      </c>
      <c r="BJ136" s="529">
        <f t="shared" si="672"/>
        <v>0</v>
      </c>
      <c r="BK136" s="529">
        <f t="shared" si="673"/>
        <v>0</v>
      </c>
      <c r="BL136" s="529">
        <f t="shared" si="674"/>
        <v>0</v>
      </c>
      <c r="BM136" s="529">
        <f t="shared" si="675"/>
        <v>0</v>
      </c>
      <c r="BN136" s="529">
        <f t="shared" si="676"/>
        <v>0</v>
      </c>
      <c r="BO136" s="529">
        <f t="shared" si="677"/>
        <v>0</v>
      </c>
      <c r="BP136" s="529">
        <f t="shared" si="678"/>
        <v>0</v>
      </c>
      <c r="BQ136" s="529">
        <f t="shared" si="679"/>
        <v>0</v>
      </c>
      <c r="BR136" s="529">
        <f t="shared" si="680"/>
        <v>0</v>
      </c>
      <c r="BS136" s="529">
        <f t="shared" si="681"/>
        <v>0</v>
      </c>
      <c r="BT136" s="529">
        <f t="shared" si="682"/>
        <v>0</v>
      </c>
      <c r="BU136" s="529">
        <f t="shared" si="683"/>
        <v>0</v>
      </c>
      <c r="BV136" s="529">
        <f t="shared" si="684"/>
        <v>0</v>
      </c>
      <c r="BW136" s="529">
        <f t="shared" si="685"/>
        <v>0</v>
      </c>
      <c r="BX136" s="529">
        <f t="shared" si="705"/>
        <v>0</v>
      </c>
      <c r="BY136" s="529">
        <f t="shared" si="706"/>
        <v>0</v>
      </c>
      <c r="BZ136" s="529">
        <f t="shared" si="707"/>
        <v>0</v>
      </c>
      <c r="CB136" s="529">
        <f t="shared" si="686"/>
        <v>0</v>
      </c>
      <c r="CC136" s="529">
        <f t="shared" si="687"/>
        <v>0</v>
      </c>
      <c r="CD136" s="529">
        <f t="shared" si="688"/>
        <v>0</v>
      </c>
      <c r="CE136" s="529">
        <f t="shared" si="689"/>
        <v>0</v>
      </c>
      <c r="CF136" s="529">
        <f t="shared" si="690"/>
        <v>0</v>
      </c>
      <c r="CG136" s="529">
        <f t="shared" si="691"/>
        <v>0</v>
      </c>
      <c r="CH136" s="529">
        <f t="shared" si="692"/>
        <v>0</v>
      </c>
      <c r="CI136" s="529">
        <f t="shared" si="693"/>
        <v>0</v>
      </c>
      <c r="CJ136" s="529">
        <f t="shared" si="694"/>
        <v>0</v>
      </c>
      <c r="CK136" s="529">
        <f t="shared" si="695"/>
        <v>0</v>
      </c>
      <c r="CL136" s="529">
        <f t="shared" si="696"/>
        <v>0</v>
      </c>
      <c r="CM136" s="529">
        <f t="shared" si="697"/>
        <v>0</v>
      </c>
      <c r="CN136" s="529">
        <f t="shared" si="698"/>
        <v>0</v>
      </c>
      <c r="CO136" s="529">
        <f t="shared" si="699"/>
        <v>0</v>
      </c>
      <c r="CP136" s="529">
        <f t="shared" si="708"/>
        <v>0</v>
      </c>
      <c r="CQ136" s="529">
        <f t="shared" si="709"/>
        <v>0</v>
      </c>
      <c r="CR136" s="529">
        <f t="shared" si="710"/>
        <v>0</v>
      </c>
    </row>
    <row r="137" spans="1:96" ht="13.5" x14ac:dyDescent="0.25">
      <c r="A137" s="761"/>
      <c r="B137" s="537" t="s">
        <v>619</v>
      </c>
      <c r="C137" s="543">
        <f>C134*0.46+C135*0.24+C136*0.52</f>
        <v>0</v>
      </c>
      <c r="D137" s="544"/>
      <c r="E137" s="545">
        <f>SUM(E134:E136)</f>
        <v>0</v>
      </c>
      <c r="F137" s="543">
        <f>F134*0.46+F135*0.24+F136*0.52</f>
        <v>3776.6000000000004</v>
      </c>
      <c r="G137" s="544"/>
      <c r="H137" s="545">
        <f>SUM(H134:H136)</f>
        <v>1.9211400000000001</v>
      </c>
      <c r="I137" s="543">
        <f>I134*0.46+I135*0.24+I136*0.52</f>
        <v>0</v>
      </c>
      <c r="J137" s="544"/>
      <c r="K137" s="545">
        <f>SUM(K134:K136)</f>
        <v>0</v>
      </c>
      <c r="L137" s="543">
        <f>L134*0.46+L135*0.24+L136*0.52</f>
        <v>0</v>
      </c>
      <c r="M137" s="544"/>
      <c r="N137" s="545">
        <f>SUM(N134:N136)</f>
        <v>0</v>
      </c>
      <c r="O137" s="543">
        <f>O134*0.46+O135*0.24+O136*0.52</f>
        <v>0</v>
      </c>
      <c r="P137" s="544"/>
      <c r="Q137" s="545">
        <f>SUM(Q134:Q136)</f>
        <v>0</v>
      </c>
      <c r="R137" s="543">
        <f>R134*0.46+R135*0.24+R136*0.52</f>
        <v>0</v>
      </c>
      <c r="S137" s="544"/>
      <c r="T137" s="545">
        <f>SUM(T134:T136)</f>
        <v>0</v>
      </c>
      <c r="U137" s="543">
        <f>U134*0.46+U135*0.24+U136*0.52</f>
        <v>0</v>
      </c>
      <c r="V137" s="630"/>
      <c r="W137" s="545">
        <f>SUM(W134:W136)</f>
        <v>0</v>
      </c>
      <c r="X137" s="543">
        <f>X134*0.46+X135*0.24+X136*0.52</f>
        <v>0</v>
      </c>
      <c r="Y137" s="544"/>
      <c r="Z137" s="545">
        <f>SUM(Z134:Z136)</f>
        <v>0</v>
      </c>
      <c r="AA137" s="543">
        <f>AA134*0.46+AA135*0.24+AA136*0.52</f>
        <v>0</v>
      </c>
      <c r="AB137" s="544"/>
      <c r="AC137" s="545">
        <f>SUM(AC134:AC136)</f>
        <v>0</v>
      </c>
      <c r="AD137" s="543">
        <f>AD134*0.46+AD135*0.24+AD136*0.52</f>
        <v>0</v>
      </c>
      <c r="AE137" s="544"/>
      <c r="AF137" s="545">
        <f>SUM(AF134:AF136)</f>
        <v>0</v>
      </c>
      <c r="AG137" s="543">
        <f>AG134*0.46+AG135*0.24+AG136*0.52</f>
        <v>0</v>
      </c>
      <c r="AH137" s="544"/>
      <c r="AI137" s="545">
        <f>SUM(AI134:AI136)</f>
        <v>0</v>
      </c>
      <c r="AJ137" s="543">
        <f>AJ134*0.46+AJ135*0.24+AJ136*0.52</f>
        <v>0</v>
      </c>
      <c r="AK137" s="544"/>
      <c r="AL137" s="545">
        <f>SUM(AL134:AL136)</f>
        <v>0</v>
      </c>
      <c r="AM137" s="543">
        <f>AM134*0.46+AM135*0.24+AM136*0.52</f>
        <v>0</v>
      </c>
      <c r="AN137" s="544"/>
      <c r="AO137" s="545">
        <f>SUM(AO134:AO136)</f>
        <v>0</v>
      </c>
      <c r="AP137" s="543">
        <f>AP134*0.46+AP135*0.24+AP136*0.52</f>
        <v>0</v>
      </c>
      <c r="AQ137" s="544"/>
      <c r="AR137" s="545">
        <f>SUM(AR134:AR136)</f>
        <v>0</v>
      </c>
      <c r="AS137" s="543">
        <f>AS134*0.46+AS135*0.24+AS136*0.52</f>
        <v>0</v>
      </c>
      <c r="AT137" s="544"/>
      <c r="AU137" s="545">
        <f>SUM(AU134:AU136)</f>
        <v>0</v>
      </c>
      <c r="AV137" s="543">
        <f>AV134*0.46+AV135*0.24+AV136*0.52</f>
        <v>0</v>
      </c>
      <c r="AW137" s="544"/>
      <c r="AX137" s="545">
        <f>SUM(AX134:AX136)</f>
        <v>0</v>
      </c>
      <c r="AY137" s="543">
        <f>AY134*0.46+AY135*0.24+AY136*0.52</f>
        <v>0</v>
      </c>
      <c r="AZ137" s="544"/>
      <c r="BA137" s="545">
        <f>SUM(BA134:BA136)</f>
        <v>0</v>
      </c>
      <c r="BJ137" s="529">
        <f t="shared" si="672"/>
        <v>0</v>
      </c>
      <c r="BK137" s="529">
        <f t="shared" si="673"/>
        <v>1.9211400000000001</v>
      </c>
      <c r="BL137" s="529">
        <f t="shared" si="674"/>
        <v>0</v>
      </c>
      <c r="BM137" s="529">
        <f t="shared" si="675"/>
        <v>0</v>
      </c>
      <c r="BN137" s="529">
        <f t="shared" si="676"/>
        <v>0</v>
      </c>
      <c r="BO137" s="529">
        <f t="shared" si="677"/>
        <v>0</v>
      </c>
      <c r="BP137" s="529">
        <f t="shared" si="678"/>
        <v>0</v>
      </c>
      <c r="BQ137" s="529">
        <f t="shared" si="679"/>
        <v>0</v>
      </c>
      <c r="BR137" s="529">
        <f t="shared" si="680"/>
        <v>0</v>
      </c>
      <c r="BS137" s="529">
        <f t="shared" si="681"/>
        <v>0</v>
      </c>
      <c r="BT137" s="529">
        <f t="shared" si="682"/>
        <v>0</v>
      </c>
      <c r="BU137" s="529">
        <f t="shared" si="683"/>
        <v>0</v>
      </c>
      <c r="BV137" s="529">
        <f t="shared" si="684"/>
        <v>0</v>
      </c>
      <c r="BW137" s="529">
        <f t="shared" si="685"/>
        <v>0</v>
      </c>
      <c r="BX137" s="529">
        <f t="shared" si="705"/>
        <v>0</v>
      </c>
      <c r="BY137" s="529">
        <f t="shared" si="706"/>
        <v>0</v>
      </c>
      <c r="BZ137" s="529">
        <f t="shared" si="707"/>
        <v>0</v>
      </c>
      <c r="CB137" s="529">
        <f t="shared" si="686"/>
        <v>0</v>
      </c>
      <c r="CC137" s="529">
        <f t="shared" si="687"/>
        <v>3776.6000000000004</v>
      </c>
      <c r="CD137" s="529">
        <f t="shared" si="688"/>
        <v>0</v>
      </c>
      <c r="CE137" s="529">
        <f t="shared" si="689"/>
        <v>0</v>
      </c>
      <c r="CF137" s="529">
        <f t="shared" si="690"/>
        <v>0</v>
      </c>
      <c r="CG137" s="529">
        <f t="shared" si="691"/>
        <v>0</v>
      </c>
      <c r="CH137" s="529">
        <f t="shared" si="692"/>
        <v>0</v>
      </c>
      <c r="CI137" s="529">
        <f t="shared" si="693"/>
        <v>0</v>
      </c>
      <c r="CJ137" s="529">
        <f t="shared" si="694"/>
        <v>0</v>
      </c>
      <c r="CK137" s="529">
        <f t="shared" si="695"/>
        <v>0</v>
      </c>
      <c r="CL137" s="529">
        <f t="shared" si="696"/>
        <v>0</v>
      </c>
      <c r="CM137" s="529">
        <f t="shared" si="697"/>
        <v>0</v>
      </c>
      <c r="CN137" s="529">
        <f t="shared" si="698"/>
        <v>0</v>
      </c>
      <c r="CO137" s="529">
        <f t="shared" si="699"/>
        <v>0</v>
      </c>
      <c r="CP137" s="529">
        <f t="shared" si="708"/>
        <v>0</v>
      </c>
      <c r="CQ137" s="529">
        <f t="shared" si="709"/>
        <v>0</v>
      </c>
      <c r="CR137" s="529">
        <f t="shared" si="710"/>
        <v>0</v>
      </c>
    </row>
    <row r="138" spans="1:96" x14ac:dyDescent="0.2">
      <c r="A138" s="758" t="s">
        <v>640</v>
      </c>
      <c r="B138" s="537" t="s">
        <v>494</v>
      </c>
      <c r="C138" s="541"/>
      <c r="D138" s="549"/>
      <c r="E138" s="540">
        <f t="shared" ref="E138:E140" si="738">C138*D138/1000000</f>
        <v>0</v>
      </c>
      <c r="F138" s="541">
        <v>252.5</v>
      </c>
      <c r="G138" s="539">
        <v>233</v>
      </c>
      <c r="H138" s="540">
        <f>F138*G138/1000000</f>
        <v>5.8832500000000003E-2</v>
      </c>
      <c r="I138" s="541"/>
      <c r="J138" s="539"/>
      <c r="K138" s="540">
        <f t="shared" ref="K138:K140" si="739">I138*J138/1000000</f>
        <v>0</v>
      </c>
      <c r="L138" s="541"/>
      <c r="M138" s="539"/>
      <c r="N138" s="540">
        <f>L138*M138/1000000</f>
        <v>0</v>
      </c>
      <c r="O138" s="541"/>
      <c r="P138" s="539"/>
      <c r="Q138" s="540">
        <f>O138*P138/1000000</f>
        <v>0</v>
      </c>
      <c r="R138" s="541"/>
      <c r="S138" s="539"/>
      <c r="T138" s="540">
        <f>R138*S138/1000000</f>
        <v>0</v>
      </c>
      <c r="U138" s="541"/>
      <c r="V138" s="629"/>
      <c r="W138" s="540">
        <f t="shared" ref="W138:W140" si="740">U138*V138/100000</f>
        <v>0</v>
      </c>
      <c r="X138" s="541"/>
      <c r="Y138" s="539">
        <f t="shared" ref="Y138:Y140" si="741">ROUND(V138*(1+Y$1),0)</f>
        <v>0</v>
      </c>
      <c r="Z138" s="540">
        <f t="shared" ref="Z138:Z140" si="742">X138*Y138/100000</f>
        <v>0</v>
      </c>
      <c r="AA138" s="541"/>
      <c r="AB138" s="539">
        <f t="shared" ref="AB138:AB140" si="743">ROUND(Y138*(1+AB$1),0)</f>
        <v>0</v>
      </c>
      <c r="AC138" s="540">
        <f t="shared" ref="AC138:AC140" si="744">AA138*AB138/100000</f>
        <v>0</v>
      </c>
      <c r="AD138" s="541"/>
      <c r="AE138" s="539">
        <f t="shared" ref="AE138:AE140" si="745">ROUND(AB138*(1+AE$1),0)</f>
        <v>0</v>
      </c>
      <c r="AF138" s="540">
        <f t="shared" ref="AF138:AF140" si="746">AD138*AE138/100000</f>
        <v>0</v>
      </c>
      <c r="AG138" s="541"/>
      <c r="AH138" s="539">
        <f t="shared" ref="AH138:AH140" si="747">ROUND(AE138*(1+AH$1),0)</f>
        <v>0</v>
      </c>
      <c r="AI138" s="540">
        <f t="shared" ref="AI138:AI140" si="748">AG138*AH138/100000</f>
        <v>0</v>
      </c>
      <c r="AJ138" s="541"/>
      <c r="AK138" s="539">
        <f t="shared" ref="AK138:AK140" si="749">ROUND(AH138*(1+AK$1),0)</f>
        <v>0</v>
      </c>
      <c r="AL138" s="540">
        <f t="shared" ref="AL138:AL140" si="750">AJ138*AK138/100000</f>
        <v>0</v>
      </c>
      <c r="AM138" s="541"/>
      <c r="AN138" s="539">
        <f t="shared" ref="AN138:AN140" si="751">ROUND(AK138*(1+AN$1),0)</f>
        <v>0</v>
      </c>
      <c r="AO138" s="540">
        <f t="shared" ref="AO138:AO140" si="752">AM138*AN138/100000</f>
        <v>0</v>
      </c>
      <c r="AP138" s="541"/>
      <c r="AQ138" s="539">
        <f t="shared" ref="AQ138:AQ140" si="753">ROUND(AN138*(1+AQ$1),0)</f>
        <v>0</v>
      </c>
      <c r="AR138" s="540">
        <f t="shared" ref="AR138:AR140" si="754">AP138*AQ138/100000</f>
        <v>0</v>
      </c>
      <c r="AS138" s="541"/>
      <c r="AT138" s="539">
        <f t="shared" ref="AT138:AT140" si="755">ROUND(AQ138*(1+AT$1),0)</f>
        <v>0</v>
      </c>
      <c r="AU138" s="540">
        <f t="shared" ref="AU138:AU140" si="756">AS138*AT138/100000</f>
        <v>0</v>
      </c>
      <c r="AV138" s="541"/>
      <c r="AW138" s="539">
        <f t="shared" ref="AW138:AW140" si="757">ROUND(AT138*(1+AW$1),0)</f>
        <v>0</v>
      </c>
      <c r="AX138" s="540">
        <f t="shared" ref="AX138:AX140" si="758">AV138*AW138/100000</f>
        <v>0</v>
      </c>
      <c r="AY138" s="541"/>
      <c r="AZ138" s="539">
        <f t="shared" ref="AZ138:AZ140" si="759">ROUND(AW138*(1+AZ$1),0)</f>
        <v>0</v>
      </c>
      <c r="BA138" s="540">
        <f t="shared" ref="BA138:BA140" si="760">AY138*AZ138/100000</f>
        <v>0</v>
      </c>
      <c r="BB138" s="537"/>
      <c r="BJ138" s="529">
        <f t="shared" si="672"/>
        <v>0</v>
      </c>
      <c r="BK138" s="529">
        <f t="shared" si="673"/>
        <v>5.8832500000000003E-2</v>
      </c>
      <c r="BL138" s="529">
        <f t="shared" si="674"/>
        <v>0</v>
      </c>
      <c r="BM138" s="529">
        <f t="shared" si="675"/>
        <v>0</v>
      </c>
      <c r="BN138" s="529">
        <f t="shared" si="676"/>
        <v>0</v>
      </c>
      <c r="BO138" s="529">
        <f t="shared" si="677"/>
        <v>0</v>
      </c>
      <c r="BP138" s="529">
        <f t="shared" si="678"/>
        <v>0</v>
      </c>
      <c r="BQ138" s="529">
        <f t="shared" si="679"/>
        <v>0</v>
      </c>
      <c r="BR138" s="529">
        <f t="shared" si="680"/>
        <v>0</v>
      </c>
      <c r="BS138" s="529">
        <f t="shared" si="681"/>
        <v>0</v>
      </c>
      <c r="BT138" s="529">
        <f t="shared" si="682"/>
        <v>0</v>
      </c>
      <c r="BU138" s="529">
        <f t="shared" si="683"/>
        <v>0</v>
      </c>
      <c r="BV138" s="529">
        <f t="shared" si="684"/>
        <v>0</v>
      </c>
      <c r="BW138" s="529">
        <f t="shared" si="685"/>
        <v>0</v>
      </c>
      <c r="BX138" s="529">
        <f t="shared" si="705"/>
        <v>0</v>
      </c>
      <c r="BY138" s="529">
        <f t="shared" si="706"/>
        <v>0</v>
      </c>
      <c r="BZ138" s="529">
        <f t="shared" si="707"/>
        <v>0</v>
      </c>
      <c r="CB138" s="529">
        <f t="shared" si="686"/>
        <v>0</v>
      </c>
      <c r="CC138" s="529">
        <f t="shared" si="687"/>
        <v>252.5</v>
      </c>
      <c r="CD138" s="529">
        <f t="shared" si="688"/>
        <v>0</v>
      </c>
      <c r="CE138" s="529">
        <f t="shared" si="689"/>
        <v>0</v>
      </c>
      <c r="CF138" s="529">
        <f t="shared" si="690"/>
        <v>0</v>
      </c>
      <c r="CG138" s="529">
        <f t="shared" si="691"/>
        <v>0</v>
      </c>
      <c r="CH138" s="529">
        <f t="shared" si="692"/>
        <v>0</v>
      </c>
      <c r="CI138" s="529">
        <f t="shared" si="693"/>
        <v>0</v>
      </c>
      <c r="CJ138" s="529">
        <f t="shared" si="694"/>
        <v>0</v>
      </c>
      <c r="CK138" s="529">
        <f t="shared" si="695"/>
        <v>0</v>
      </c>
      <c r="CL138" s="529">
        <f t="shared" si="696"/>
        <v>0</v>
      </c>
      <c r="CM138" s="529">
        <f t="shared" si="697"/>
        <v>0</v>
      </c>
      <c r="CN138" s="529">
        <f t="shared" si="698"/>
        <v>0</v>
      </c>
      <c r="CO138" s="529">
        <f t="shared" si="699"/>
        <v>0</v>
      </c>
      <c r="CP138" s="529">
        <f t="shared" si="708"/>
        <v>0</v>
      </c>
      <c r="CQ138" s="529">
        <f t="shared" si="709"/>
        <v>0</v>
      </c>
      <c r="CR138" s="529">
        <f t="shared" si="710"/>
        <v>0</v>
      </c>
    </row>
    <row r="139" spans="1:96" x14ac:dyDescent="0.2">
      <c r="A139" s="758"/>
      <c r="B139" s="537" t="s">
        <v>495</v>
      </c>
      <c r="C139" s="541"/>
      <c r="D139" s="549"/>
      <c r="E139" s="540">
        <f t="shared" si="738"/>
        <v>0</v>
      </c>
      <c r="F139" s="541"/>
      <c r="G139" s="539"/>
      <c r="H139" s="540">
        <f t="shared" ref="H139:H140" si="761">F139*G139/1000000</f>
        <v>0</v>
      </c>
      <c r="I139" s="541"/>
      <c r="J139" s="539"/>
      <c r="K139" s="540">
        <f t="shared" si="739"/>
        <v>0</v>
      </c>
      <c r="L139" s="541"/>
      <c r="M139" s="539"/>
      <c r="N139" s="540">
        <f t="shared" ref="N139:N140" si="762">L139*M139/1000000</f>
        <v>0</v>
      </c>
      <c r="O139" s="541"/>
      <c r="P139" s="539"/>
      <c r="Q139" s="540">
        <f t="shared" ref="Q139:Q140" si="763">O139*P139/1000000</f>
        <v>0</v>
      </c>
      <c r="R139" s="541"/>
      <c r="S139" s="539"/>
      <c r="T139" s="540">
        <f t="shared" ref="T139:T140" si="764">R139*S139/1000000</f>
        <v>0</v>
      </c>
      <c r="U139" s="541"/>
      <c r="V139" s="629"/>
      <c r="W139" s="540">
        <f t="shared" si="740"/>
        <v>0</v>
      </c>
      <c r="X139" s="541"/>
      <c r="Y139" s="539">
        <f t="shared" si="741"/>
        <v>0</v>
      </c>
      <c r="Z139" s="540">
        <f t="shared" si="742"/>
        <v>0</v>
      </c>
      <c r="AA139" s="541"/>
      <c r="AB139" s="539">
        <f t="shared" si="743"/>
        <v>0</v>
      </c>
      <c r="AC139" s="540">
        <f t="shared" si="744"/>
        <v>0</v>
      </c>
      <c r="AD139" s="541"/>
      <c r="AE139" s="539">
        <f t="shared" si="745"/>
        <v>0</v>
      </c>
      <c r="AF139" s="540">
        <f t="shared" si="746"/>
        <v>0</v>
      </c>
      <c r="AG139" s="541"/>
      <c r="AH139" s="539">
        <f t="shared" si="747"/>
        <v>0</v>
      </c>
      <c r="AI139" s="540">
        <f t="shared" si="748"/>
        <v>0</v>
      </c>
      <c r="AJ139" s="541"/>
      <c r="AK139" s="539">
        <f t="shared" si="749"/>
        <v>0</v>
      </c>
      <c r="AL139" s="540">
        <f t="shared" si="750"/>
        <v>0</v>
      </c>
      <c r="AM139" s="541"/>
      <c r="AN139" s="539">
        <f t="shared" si="751"/>
        <v>0</v>
      </c>
      <c r="AO139" s="540">
        <f t="shared" si="752"/>
        <v>0</v>
      </c>
      <c r="AP139" s="541"/>
      <c r="AQ139" s="539">
        <f t="shared" si="753"/>
        <v>0</v>
      </c>
      <c r="AR139" s="540">
        <f t="shared" si="754"/>
        <v>0</v>
      </c>
      <c r="AS139" s="541"/>
      <c r="AT139" s="539">
        <f t="shared" si="755"/>
        <v>0</v>
      </c>
      <c r="AU139" s="540">
        <f t="shared" si="756"/>
        <v>0</v>
      </c>
      <c r="AV139" s="541"/>
      <c r="AW139" s="539">
        <f t="shared" si="757"/>
        <v>0</v>
      </c>
      <c r="AX139" s="540">
        <f t="shared" si="758"/>
        <v>0</v>
      </c>
      <c r="AY139" s="541"/>
      <c r="AZ139" s="539">
        <f t="shared" si="759"/>
        <v>0</v>
      </c>
      <c r="BA139" s="540">
        <f t="shared" si="760"/>
        <v>0</v>
      </c>
      <c r="BB139" s="537"/>
      <c r="BJ139" s="529">
        <f t="shared" si="672"/>
        <v>0</v>
      </c>
      <c r="BK139" s="529">
        <f t="shared" si="673"/>
        <v>0</v>
      </c>
      <c r="BL139" s="529">
        <f t="shared" si="674"/>
        <v>0</v>
      </c>
      <c r="BM139" s="529">
        <f t="shared" si="675"/>
        <v>0</v>
      </c>
      <c r="BN139" s="529">
        <f t="shared" si="676"/>
        <v>0</v>
      </c>
      <c r="BO139" s="529">
        <f t="shared" si="677"/>
        <v>0</v>
      </c>
      <c r="BP139" s="529">
        <f t="shared" si="678"/>
        <v>0</v>
      </c>
      <c r="BQ139" s="529">
        <f t="shared" si="679"/>
        <v>0</v>
      </c>
      <c r="BR139" s="529">
        <f t="shared" si="680"/>
        <v>0</v>
      </c>
      <c r="BS139" s="529">
        <f t="shared" si="681"/>
        <v>0</v>
      </c>
      <c r="BT139" s="529">
        <f t="shared" si="682"/>
        <v>0</v>
      </c>
      <c r="BU139" s="529">
        <f t="shared" si="683"/>
        <v>0</v>
      </c>
      <c r="BV139" s="529">
        <f t="shared" si="684"/>
        <v>0</v>
      </c>
      <c r="BW139" s="529">
        <f t="shared" si="685"/>
        <v>0</v>
      </c>
      <c r="BX139" s="529">
        <f t="shared" si="705"/>
        <v>0</v>
      </c>
      <c r="BY139" s="529">
        <f t="shared" si="706"/>
        <v>0</v>
      </c>
      <c r="BZ139" s="529">
        <f t="shared" si="707"/>
        <v>0</v>
      </c>
      <c r="CB139" s="529">
        <f t="shared" si="686"/>
        <v>0</v>
      </c>
      <c r="CC139" s="529">
        <f t="shared" si="687"/>
        <v>0</v>
      </c>
      <c r="CD139" s="529">
        <f t="shared" si="688"/>
        <v>0</v>
      </c>
      <c r="CE139" s="529">
        <f t="shared" si="689"/>
        <v>0</v>
      </c>
      <c r="CF139" s="529">
        <f t="shared" si="690"/>
        <v>0</v>
      </c>
      <c r="CG139" s="529">
        <f t="shared" si="691"/>
        <v>0</v>
      </c>
      <c r="CH139" s="529">
        <f t="shared" si="692"/>
        <v>0</v>
      </c>
      <c r="CI139" s="529">
        <f t="shared" si="693"/>
        <v>0</v>
      </c>
      <c r="CJ139" s="529">
        <f t="shared" si="694"/>
        <v>0</v>
      </c>
      <c r="CK139" s="529">
        <f t="shared" si="695"/>
        <v>0</v>
      </c>
      <c r="CL139" s="529">
        <f t="shared" si="696"/>
        <v>0</v>
      </c>
      <c r="CM139" s="529">
        <f t="shared" si="697"/>
        <v>0</v>
      </c>
      <c r="CN139" s="529">
        <f t="shared" si="698"/>
        <v>0</v>
      </c>
      <c r="CO139" s="529">
        <f t="shared" si="699"/>
        <v>0</v>
      </c>
      <c r="CP139" s="529">
        <f t="shared" si="708"/>
        <v>0</v>
      </c>
      <c r="CQ139" s="529">
        <f t="shared" si="709"/>
        <v>0</v>
      </c>
      <c r="CR139" s="529">
        <f t="shared" si="710"/>
        <v>0</v>
      </c>
    </row>
    <row r="140" spans="1:96" x14ac:dyDescent="0.2">
      <c r="A140" s="758"/>
      <c r="B140" s="537" t="s">
        <v>113</v>
      </c>
      <c r="C140" s="541"/>
      <c r="D140" s="549"/>
      <c r="E140" s="540">
        <f t="shared" si="738"/>
        <v>0</v>
      </c>
      <c r="F140" s="541"/>
      <c r="G140" s="539"/>
      <c r="H140" s="540">
        <f t="shared" si="761"/>
        <v>0</v>
      </c>
      <c r="I140" s="541"/>
      <c r="J140" s="539"/>
      <c r="K140" s="540">
        <f t="shared" si="739"/>
        <v>0</v>
      </c>
      <c r="L140" s="541"/>
      <c r="M140" s="539"/>
      <c r="N140" s="540">
        <f t="shared" si="762"/>
        <v>0</v>
      </c>
      <c r="O140" s="541"/>
      <c r="P140" s="539"/>
      <c r="Q140" s="540">
        <f t="shared" si="763"/>
        <v>0</v>
      </c>
      <c r="R140" s="541"/>
      <c r="S140" s="539"/>
      <c r="T140" s="540">
        <f t="shared" si="764"/>
        <v>0</v>
      </c>
      <c r="U140" s="541"/>
      <c r="V140" s="629"/>
      <c r="W140" s="540">
        <f t="shared" si="740"/>
        <v>0</v>
      </c>
      <c r="X140" s="541"/>
      <c r="Y140" s="539">
        <f t="shared" si="741"/>
        <v>0</v>
      </c>
      <c r="Z140" s="540">
        <f t="shared" si="742"/>
        <v>0</v>
      </c>
      <c r="AA140" s="541"/>
      <c r="AB140" s="539">
        <f t="shared" si="743"/>
        <v>0</v>
      </c>
      <c r="AC140" s="540">
        <f t="shared" si="744"/>
        <v>0</v>
      </c>
      <c r="AD140" s="541"/>
      <c r="AE140" s="539">
        <f t="shared" si="745"/>
        <v>0</v>
      </c>
      <c r="AF140" s="540">
        <f t="shared" si="746"/>
        <v>0</v>
      </c>
      <c r="AG140" s="541"/>
      <c r="AH140" s="539">
        <f t="shared" si="747"/>
        <v>0</v>
      </c>
      <c r="AI140" s="540">
        <f t="shared" si="748"/>
        <v>0</v>
      </c>
      <c r="AJ140" s="541"/>
      <c r="AK140" s="539">
        <f t="shared" si="749"/>
        <v>0</v>
      </c>
      <c r="AL140" s="540">
        <f t="shared" si="750"/>
        <v>0</v>
      </c>
      <c r="AM140" s="541"/>
      <c r="AN140" s="539">
        <f t="shared" si="751"/>
        <v>0</v>
      </c>
      <c r="AO140" s="540">
        <f t="shared" si="752"/>
        <v>0</v>
      </c>
      <c r="AP140" s="541"/>
      <c r="AQ140" s="539">
        <f t="shared" si="753"/>
        <v>0</v>
      </c>
      <c r="AR140" s="540">
        <f t="shared" si="754"/>
        <v>0</v>
      </c>
      <c r="AS140" s="541"/>
      <c r="AT140" s="539">
        <f t="shared" si="755"/>
        <v>0</v>
      </c>
      <c r="AU140" s="540">
        <f t="shared" si="756"/>
        <v>0</v>
      </c>
      <c r="AV140" s="541"/>
      <c r="AW140" s="539">
        <f t="shared" si="757"/>
        <v>0</v>
      </c>
      <c r="AX140" s="540">
        <f t="shared" si="758"/>
        <v>0</v>
      </c>
      <c r="AY140" s="541"/>
      <c r="AZ140" s="539">
        <f t="shared" si="759"/>
        <v>0</v>
      </c>
      <c r="BA140" s="540">
        <f t="shared" si="760"/>
        <v>0</v>
      </c>
      <c r="BB140" s="537"/>
      <c r="BJ140" s="529">
        <f t="shared" si="672"/>
        <v>0</v>
      </c>
      <c r="BK140" s="529">
        <f t="shared" si="673"/>
        <v>0</v>
      </c>
      <c r="BL140" s="529">
        <f t="shared" si="674"/>
        <v>0</v>
      </c>
      <c r="BM140" s="529">
        <f t="shared" si="675"/>
        <v>0</v>
      </c>
      <c r="BN140" s="529">
        <f t="shared" si="676"/>
        <v>0</v>
      </c>
      <c r="BO140" s="529">
        <f t="shared" si="677"/>
        <v>0</v>
      </c>
      <c r="BP140" s="529">
        <f t="shared" si="678"/>
        <v>0</v>
      </c>
      <c r="BQ140" s="529">
        <f t="shared" si="679"/>
        <v>0</v>
      </c>
      <c r="BR140" s="529">
        <f t="shared" si="680"/>
        <v>0</v>
      </c>
      <c r="BS140" s="529">
        <f t="shared" si="681"/>
        <v>0</v>
      </c>
      <c r="BT140" s="529">
        <f t="shared" si="682"/>
        <v>0</v>
      </c>
      <c r="BU140" s="529">
        <f t="shared" si="683"/>
        <v>0</v>
      </c>
      <c r="BV140" s="529">
        <f t="shared" si="684"/>
        <v>0</v>
      </c>
      <c r="BW140" s="529">
        <f t="shared" si="685"/>
        <v>0</v>
      </c>
      <c r="BX140" s="529">
        <f t="shared" si="705"/>
        <v>0</v>
      </c>
      <c r="BY140" s="529">
        <f t="shared" si="706"/>
        <v>0</v>
      </c>
      <c r="BZ140" s="529">
        <f t="shared" si="707"/>
        <v>0</v>
      </c>
      <c r="CB140" s="529">
        <f t="shared" si="686"/>
        <v>0</v>
      </c>
      <c r="CC140" s="529">
        <f t="shared" si="687"/>
        <v>0</v>
      </c>
      <c r="CD140" s="529">
        <f t="shared" si="688"/>
        <v>0</v>
      </c>
      <c r="CE140" s="529">
        <f t="shared" si="689"/>
        <v>0</v>
      </c>
      <c r="CF140" s="529">
        <f t="shared" si="690"/>
        <v>0</v>
      </c>
      <c r="CG140" s="529">
        <f t="shared" si="691"/>
        <v>0</v>
      </c>
      <c r="CH140" s="529">
        <f t="shared" si="692"/>
        <v>0</v>
      </c>
      <c r="CI140" s="529">
        <f t="shared" si="693"/>
        <v>0</v>
      </c>
      <c r="CJ140" s="529">
        <f t="shared" si="694"/>
        <v>0</v>
      </c>
      <c r="CK140" s="529">
        <f t="shared" si="695"/>
        <v>0</v>
      </c>
      <c r="CL140" s="529">
        <f t="shared" si="696"/>
        <v>0</v>
      </c>
      <c r="CM140" s="529">
        <f t="shared" si="697"/>
        <v>0</v>
      </c>
      <c r="CN140" s="529">
        <f t="shared" si="698"/>
        <v>0</v>
      </c>
      <c r="CO140" s="529">
        <f t="shared" si="699"/>
        <v>0</v>
      </c>
      <c r="CP140" s="529">
        <f t="shared" si="708"/>
        <v>0</v>
      </c>
      <c r="CQ140" s="529">
        <f t="shared" si="709"/>
        <v>0</v>
      </c>
      <c r="CR140" s="529">
        <f t="shared" si="710"/>
        <v>0</v>
      </c>
    </row>
    <row r="141" spans="1:96" ht="13.5" x14ac:dyDescent="0.25">
      <c r="A141" s="758"/>
      <c r="B141" s="537" t="s">
        <v>619</v>
      </c>
      <c r="C141" s="569">
        <f>C138*0.46+C139*0.24+C140*0.24</f>
        <v>0</v>
      </c>
      <c r="D141" s="548"/>
      <c r="E141" s="545">
        <f>SUM(E138:E140)</f>
        <v>0</v>
      </c>
      <c r="F141" s="569">
        <f>F138*0.46+F139*0.24+F140*0.24</f>
        <v>116.15</v>
      </c>
      <c r="G141" s="544"/>
      <c r="H141" s="545">
        <f>SUM(H138:H140)</f>
        <v>5.8832500000000003E-2</v>
      </c>
      <c r="I141" s="569">
        <f>I138*0.46+I139*0.24+I140*0.24</f>
        <v>0</v>
      </c>
      <c r="J141" s="544"/>
      <c r="K141" s="545">
        <f>SUM(K138:K140)</f>
        <v>0</v>
      </c>
      <c r="L141" s="569">
        <f>L138*0.46+L139*0.24+L140*0.24</f>
        <v>0</v>
      </c>
      <c r="M141" s="544"/>
      <c r="N141" s="545">
        <f>SUM(N138:N140)</f>
        <v>0</v>
      </c>
      <c r="O141" s="569">
        <f>O138*0.46+O139*0.24+O140*0.24</f>
        <v>0</v>
      </c>
      <c r="P141" s="544"/>
      <c r="Q141" s="545">
        <f>SUM(Q138:Q140)</f>
        <v>0</v>
      </c>
      <c r="R141" s="569">
        <f>R138*0.46+R139*0.24+R140*0.24</f>
        <v>0</v>
      </c>
      <c r="S141" s="544"/>
      <c r="T141" s="545">
        <f>SUM(T138:T140)</f>
        <v>0</v>
      </c>
      <c r="U141" s="569">
        <f>U138*0.46+U139*0.24+U140*0.24</f>
        <v>0</v>
      </c>
      <c r="V141" s="630"/>
      <c r="W141" s="545">
        <f>SUM(W138:W140)</f>
        <v>0</v>
      </c>
      <c r="X141" s="569">
        <f>X138*0.46+X139*0.24+X140*0.24</f>
        <v>0</v>
      </c>
      <c r="Y141" s="548"/>
      <c r="Z141" s="545">
        <f>SUM(Z138:Z140)</f>
        <v>0</v>
      </c>
      <c r="AA141" s="569">
        <f>AA138*0.46+AA139*0.24+AA140*0.24</f>
        <v>0</v>
      </c>
      <c r="AB141" s="548"/>
      <c r="AC141" s="545">
        <f>SUM(AC138:AC140)</f>
        <v>0</v>
      </c>
      <c r="AD141" s="569">
        <f>AD138*0.46+AD139*0.24+AD140*0.24</f>
        <v>0</v>
      </c>
      <c r="AE141" s="548"/>
      <c r="AF141" s="545">
        <f>SUM(AF138:AF140)</f>
        <v>0</v>
      </c>
      <c r="AG141" s="569">
        <f>AG138*0.46+AG139*0.24+AG140*0.24</f>
        <v>0</v>
      </c>
      <c r="AH141" s="548"/>
      <c r="AI141" s="545">
        <f>SUM(AI138:AI140)</f>
        <v>0</v>
      </c>
      <c r="AJ141" s="569">
        <f>AJ138*0.46+AJ139*0.24+AJ140*0.24</f>
        <v>0</v>
      </c>
      <c r="AK141" s="548"/>
      <c r="AL141" s="545">
        <f>SUM(AL138:AL140)</f>
        <v>0</v>
      </c>
      <c r="AM141" s="569">
        <f>AM138*0.46+AM139*0.24+AM140*0.24</f>
        <v>0</v>
      </c>
      <c r="AN141" s="548"/>
      <c r="AO141" s="545">
        <f>SUM(AO138:AO140)</f>
        <v>0</v>
      </c>
      <c r="AP141" s="569">
        <f>AP138*0.46+AP139*0.24+AP140*0.24</f>
        <v>0</v>
      </c>
      <c r="AQ141" s="548"/>
      <c r="AR141" s="545">
        <f>SUM(AR138:AR140)</f>
        <v>0</v>
      </c>
      <c r="AS141" s="569">
        <f>AS138*0.46+AS139*0.24+AS140*0.24</f>
        <v>0</v>
      </c>
      <c r="AT141" s="548"/>
      <c r="AU141" s="545">
        <f>SUM(AU138:AU140)</f>
        <v>0</v>
      </c>
      <c r="AV141" s="569">
        <f>AV138*0.46+AV139*0.24+AV140*0.24</f>
        <v>0</v>
      </c>
      <c r="AW141" s="548"/>
      <c r="AX141" s="545">
        <f>SUM(AX138:AX140)</f>
        <v>0</v>
      </c>
      <c r="AY141" s="569">
        <f>AY138*0.46+AY139*0.24+AY140*0.24</f>
        <v>0</v>
      </c>
      <c r="AZ141" s="548"/>
      <c r="BA141" s="545">
        <f>SUM(BA138:BA140)</f>
        <v>0</v>
      </c>
      <c r="BB141" s="537"/>
      <c r="BJ141" s="529">
        <f t="shared" si="672"/>
        <v>0</v>
      </c>
      <c r="BK141" s="529">
        <f t="shared" si="673"/>
        <v>5.8832500000000003E-2</v>
      </c>
      <c r="BL141" s="529">
        <f t="shared" si="674"/>
        <v>0</v>
      </c>
      <c r="BM141" s="529">
        <f t="shared" si="675"/>
        <v>0</v>
      </c>
      <c r="BN141" s="529">
        <f t="shared" si="676"/>
        <v>0</v>
      </c>
      <c r="BO141" s="529">
        <f t="shared" si="677"/>
        <v>0</v>
      </c>
      <c r="BP141" s="529">
        <f t="shared" si="678"/>
        <v>0</v>
      </c>
      <c r="BQ141" s="529">
        <f t="shared" si="679"/>
        <v>0</v>
      </c>
      <c r="BR141" s="529">
        <f t="shared" si="680"/>
        <v>0</v>
      </c>
      <c r="BS141" s="529">
        <f t="shared" si="681"/>
        <v>0</v>
      </c>
      <c r="BT141" s="529">
        <f t="shared" si="682"/>
        <v>0</v>
      </c>
      <c r="BU141" s="529">
        <f t="shared" si="683"/>
        <v>0</v>
      </c>
      <c r="BV141" s="529">
        <f t="shared" si="684"/>
        <v>0</v>
      </c>
      <c r="BW141" s="529">
        <f t="shared" si="685"/>
        <v>0</v>
      </c>
      <c r="BX141" s="529">
        <f t="shared" si="705"/>
        <v>0</v>
      </c>
      <c r="BY141" s="529">
        <f t="shared" si="706"/>
        <v>0</v>
      </c>
      <c r="BZ141" s="529">
        <f t="shared" si="707"/>
        <v>0</v>
      </c>
      <c r="CB141" s="529">
        <f t="shared" si="686"/>
        <v>0</v>
      </c>
      <c r="CC141" s="529">
        <f t="shared" si="687"/>
        <v>116.15</v>
      </c>
      <c r="CD141" s="529">
        <f t="shared" si="688"/>
        <v>0</v>
      </c>
      <c r="CE141" s="529">
        <f t="shared" si="689"/>
        <v>0</v>
      </c>
      <c r="CF141" s="529">
        <f t="shared" si="690"/>
        <v>0</v>
      </c>
      <c r="CG141" s="529">
        <f t="shared" si="691"/>
        <v>0</v>
      </c>
      <c r="CH141" s="529">
        <f t="shared" si="692"/>
        <v>0</v>
      </c>
      <c r="CI141" s="529">
        <f t="shared" si="693"/>
        <v>0</v>
      </c>
      <c r="CJ141" s="529">
        <f t="shared" si="694"/>
        <v>0</v>
      </c>
      <c r="CK141" s="529">
        <f t="shared" si="695"/>
        <v>0</v>
      </c>
      <c r="CL141" s="529">
        <f t="shared" si="696"/>
        <v>0</v>
      </c>
      <c r="CM141" s="529">
        <f t="shared" si="697"/>
        <v>0</v>
      </c>
      <c r="CN141" s="529">
        <f t="shared" si="698"/>
        <v>0</v>
      </c>
      <c r="CO141" s="529">
        <f t="shared" si="699"/>
        <v>0</v>
      </c>
      <c r="CP141" s="529">
        <f t="shared" si="708"/>
        <v>0</v>
      </c>
      <c r="CQ141" s="529">
        <f t="shared" si="709"/>
        <v>0</v>
      </c>
      <c r="CR141" s="529">
        <f t="shared" si="710"/>
        <v>0</v>
      </c>
    </row>
    <row r="142" spans="1:96" x14ac:dyDescent="0.2">
      <c r="A142" s="761" t="s">
        <v>641</v>
      </c>
      <c r="B142" s="537" t="s">
        <v>494</v>
      </c>
      <c r="C142" s="538"/>
      <c r="D142" s="539"/>
      <c r="E142" s="540">
        <f t="shared" ref="E142:E144" si="765">C142*D142/1000000</f>
        <v>0</v>
      </c>
      <c r="F142" s="538"/>
      <c r="G142" s="539"/>
      <c r="H142" s="540">
        <f>F142*G142/1000000</f>
        <v>0</v>
      </c>
      <c r="I142" s="538"/>
      <c r="J142" s="539"/>
      <c r="K142" s="540">
        <f t="shared" ref="K142:K144" si="766">I142*J142/1000000</f>
        <v>0</v>
      </c>
      <c r="L142" s="538">
        <v>558</v>
      </c>
      <c r="M142" s="539">
        <v>287</v>
      </c>
      <c r="N142" s="540">
        <f>L142*M142/1000000</f>
        <v>0.16014600000000001</v>
      </c>
      <c r="O142" s="538"/>
      <c r="P142" s="539"/>
      <c r="Q142" s="540">
        <f>O142*P142/1000000</f>
        <v>0</v>
      </c>
      <c r="R142" s="538"/>
      <c r="S142" s="539"/>
      <c r="T142" s="540">
        <f>R142*S142/1000000</f>
        <v>0</v>
      </c>
      <c r="U142" s="538"/>
      <c r="V142" s="629"/>
      <c r="W142" s="540">
        <f t="shared" ref="W142:W144" si="767">U142*V142/100000</f>
        <v>0</v>
      </c>
      <c r="X142" s="538"/>
      <c r="Y142" s="539">
        <f t="shared" ref="Y142:Y144" si="768">ROUND(V142*(1+Y$1),0)</f>
        <v>0</v>
      </c>
      <c r="Z142" s="540">
        <f t="shared" ref="Z142:Z144" si="769">X142*Y142/100000</f>
        <v>0</v>
      </c>
      <c r="AA142" s="538"/>
      <c r="AB142" s="539">
        <f t="shared" ref="AB142:AB144" si="770">ROUND(Y142*(1+AB$1),0)</f>
        <v>0</v>
      </c>
      <c r="AC142" s="540">
        <f t="shared" ref="AC142:AC144" si="771">AA142*AB142/100000</f>
        <v>0</v>
      </c>
      <c r="AD142" s="538"/>
      <c r="AE142" s="539">
        <f t="shared" ref="AE142:AE144" si="772">ROUND(AB142*(1+AE$1),0)</f>
        <v>0</v>
      </c>
      <c r="AF142" s="540">
        <f t="shared" ref="AF142:AF144" si="773">AD142*AE142/100000</f>
        <v>0</v>
      </c>
      <c r="AG142" s="538"/>
      <c r="AH142" s="539">
        <f t="shared" ref="AH142:AH144" si="774">ROUND(AE142*(1+AH$1),0)</f>
        <v>0</v>
      </c>
      <c r="AI142" s="540">
        <f t="shared" ref="AI142:AI144" si="775">AG142*AH142/100000</f>
        <v>0</v>
      </c>
      <c r="AJ142" s="538"/>
      <c r="AK142" s="539">
        <f t="shared" ref="AK142:AK144" si="776">ROUND(AH142*(1+AK$1),0)</f>
        <v>0</v>
      </c>
      <c r="AL142" s="540">
        <f t="shared" ref="AL142:AL144" si="777">AJ142*AK142/100000</f>
        <v>0</v>
      </c>
      <c r="AM142" s="538"/>
      <c r="AN142" s="539">
        <f t="shared" ref="AN142:AN144" si="778">ROUND(AK142*(1+AN$1),0)</f>
        <v>0</v>
      </c>
      <c r="AO142" s="540">
        <f t="shared" ref="AO142:AO144" si="779">AM142*AN142/100000</f>
        <v>0</v>
      </c>
      <c r="AP142" s="538"/>
      <c r="AQ142" s="539">
        <f t="shared" ref="AQ142:AQ144" si="780">ROUND(AN142*(1+AQ$1),0)</f>
        <v>0</v>
      </c>
      <c r="AR142" s="540">
        <f t="shared" ref="AR142:AR144" si="781">AP142*AQ142/100000</f>
        <v>0</v>
      </c>
      <c r="AS142" s="538"/>
      <c r="AT142" s="539">
        <f t="shared" ref="AT142:AT144" si="782">ROUND(AQ142*(1+AT$1),0)</f>
        <v>0</v>
      </c>
      <c r="AU142" s="540">
        <f t="shared" ref="AU142:AU144" si="783">AS142*AT142/100000</f>
        <v>0</v>
      </c>
      <c r="AV142" s="538"/>
      <c r="AW142" s="539">
        <f t="shared" ref="AW142:AW144" si="784">ROUND(AT142*(1+AW$1),0)</f>
        <v>0</v>
      </c>
      <c r="AX142" s="540">
        <f t="shared" ref="AX142:AX144" si="785">AV142*AW142/100000</f>
        <v>0</v>
      </c>
      <c r="AY142" s="538"/>
      <c r="AZ142" s="539">
        <f t="shared" ref="AZ142:AZ144" si="786">ROUND(AW142*(1+AZ$1),0)</f>
        <v>0</v>
      </c>
      <c r="BA142" s="540">
        <f t="shared" ref="BA142:BA144" si="787">AY142*AZ142/100000</f>
        <v>0</v>
      </c>
      <c r="BJ142" s="529">
        <f t="shared" si="672"/>
        <v>0</v>
      </c>
      <c r="BK142" s="529">
        <f t="shared" si="673"/>
        <v>0</v>
      </c>
      <c r="BL142" s="529">
        <f t="shared" si="674"/>
        <v>0</v>
      </c>
      <c r="BM142" s="529">
        <f t="shared" si="675"/>
        <v>0.16014600000000001</v>
      </c>
      <c r="BN142" s="529">
        <f t="shared" si="676"/>
        <v>0</v>
      </c>
      <c r="BO142" s="529">
        <f t="shared" si="677"/>
        <v>0</v>
      </c>
      <c r="BP142" s="529">
        <f t="shared" si="678"/>
        <v>0</v>
      </c>
      <c r="BQ142" s="529">
        <f t="shared" si="679"/>
        <v>0</v>
      </c>
      <c r="BR142" s="529">
        <f t="shared" si="680"/>
        <v>0</v>
      </c>
      <c r="BS142" s="529">
        <f t="shared" si="681"/>
        <v>0</v>
      </c>
      <c r="BT142" s="529">
        <f t="shared" si="682"/>
        <v>0</v>
      </c>
      <c r="BU142" s="529">
        <f t="shared" si="683"/>
        <v>0</v>
      </c>
      <c r="BV142" s="529">
        <f t="shared" si="684"/>
        <v>0</v>
      </c>
      <c r="BW142" s="529">
        <f t="shared" si="685"/>
        <v>0</v>
      </c>
      <c r="BX142" s="529">
        <f t="shared" si="705"/>
        <v>0</v>
      </c>
      <c r="BY142" s="529">
        <f t="shared" si="706"/>
        <v>0</v>
      </c>
      <c r="BZ142" s="529">
        <f t="shared" si="707"/>
        <v>0</v>
      </c>
      <c r="CB142" s="529">
        <f t="shared" si="686"/>
        <v>0</v>
      </c>
      <c r="CC142" s="529">
        <f t="shared" si="687"/>
        <v>0</v>
      </c>
      <c r="CD142" s="529">
        <f t="shared" si="688"/>
        <v>0</v>
      </c>
      <c r="CE142" s="529">
        <f t="shared" si="689"/>
        <v>558</v>
      </c>
      <c r="CF142" s="529">
        <f t="shared" si="690"/>
        <v>0</v>
      </c>
      <c r="CG142" s="529">
        <f t="shared" si="691"/>
        <v>0</v>
      </c>
      <c r="CH142" s="529">
        <f t="shared" si="692"/>
        <v>0</v>
      </c>
      <c r="CI142" s="529">
        <f t="shared" si="693"/>
        <v>0</v>
      </c>
      <c r="CJ142" s="529">
        <f t="shared" si="694"/>
        <v>0</v>
      </c>
      <c r="CK142" s="529">
        <f t="shared" si="695"/>
        <v>0</v>
      </c>
      <c r="CL142" s="529">
        <f t="shared" si="696"/>
        <v>0</v>
      </c>
      <c r="CM142" s="529">
        <f t="shared" si="697"/>
        <v>0</v>
      </c>
      <c r="CN142" s="529">
        <f t="shared" si="698"/>
        <v>0</v>
      </c>
      <c r="CO142" s="529">
        <f t="shared" si="699"/>
        <v>0</v>
      </c>
      <c r="CP142" s="529">
        <f t="shared" si="708"/>
        <v>0</v>
      </c>
      <c r="CQ142" s="529">
        <f t="shared" si="709"/>
        <v>0</v>
      </c>
      <c r="CR142" s="529">
        <f t="shared" si="710"/>
        <v>0</v>
      </c>
    </row>
    <row r="143" spans="1:96" x14ac:dyDescent="0.2">
      <c r="A143" s="761"/>
      <c r="B143" s="537" t="s">
        <v>495</v>
      </c>
      <c r="C143" s="538"/>
      <c r="D143" s="539"/>
      <c r="E143" s="540">
        <f t="shared" si="765"/>
        <v>0</v>
      </c>
      <c r="F143" s="538"/>
      <c r="G143" s="539"/>
      <c r="H143" s="540">
        <f t="shared" ref="H143:H144" si="788">F143*G143/1000000</f>
        <v>0</v>
      </c>
      <c r="I143" s="538"/>
      <c r="J143" s="539"/>
      <c r="K143" s="540">
        <f t="shared" si="766"/>
        <v>0</v>
      </c>
      <c r="L143" s="538"/>
      <c r="M143" s="539"/>
      <c r="N143" s="540">
        <f t="shared" ref="N143:N144" si="789">L143*M143/1000000</f>
        <v>0</v>
      </c>
      <c r="O143" s="538"/>
      <c r="P143" s="539"/>
      <c r="Q143" s="540">
        <f t="shared" ref="Q143:Q144" si="790">O143*P143/1000000</f>
        <v>0</v>
      </c>
      <c r="R143" s="538"/>
      <c r="S143" s="539"/>
      <c r="T143" s="540">
        <f>R143*S143/1000000</f>
        <v>0</v>
      </c>
      <c r="U143" s="538"/>
      <c r="V143" s="629"/>
      <c r="W143" s="540">
        <f t="shared" si="767"/>
        <v>0</v>
      </c>
      <c r="X143" s="538"/>
      <c r="Y143" s="539">
        <f t="shared" si="768"/>
        <v>0</v>
      </c>
      <c r="Z143" s="540">
        <f t="shared" si="769"/>
        <v>0</v>
      </c>
      <c r="AA143" s="538"/>
      <c r="AB143" s="539">
        <f t="shared" si="770"/>
        <v>0</v>
      </c>
      <c r="AC143" s="540">
        <f t="shared" si="771"/>
        <v>0</v>
      </c>
      <c r="AD143" s="538"/>
      <c r="AE143" s="539">
        <f t="shared" si="772"/>
        <v>0</v>
      </c>
      <c r="AF143" s="540">
        <f t="shared" si="773"/>
        <v>0</v>
      </c>
      <c r="AG143" s="538"/>
      <c r="AH143" s="539">
        <f t="shared" si="774"/>
        <v>0</v>
      </c>
      <c r="AI143" s="540">
        <f t="shared" si="775"/>
        <v>0</v>
      </c>
      <c r="AJ143" s="538"/>
      <c r="AK143" s="539">
        <f t="shared" si="776"/>
        <v>0</v>
      </c>
      <c r="AL143" s="540">
        <f t="shared" si="777"/>
        <v>0</v>
      </c>
      <c r="AM143" s="538"/>
      <c r="AN143" s="539">
        <f t="shared" si="778"/>
        <v>0</v>
      </c>
      <c r="AO143" s="540">
        <f t="shared" si="779"/>
        <v>0</v>
      </c>
      <c r="AP143" s="538"/>
      <c r="AQ143" s="539">
        <f t="shared" si="780"/>
        <v>0</v>
      </c>
      <c r="AR143" s="540">
        <f t="shared" si="781"/>
        <v>0</v>
      </c>
      <c r="AS143" s="538"/>
      <c r="AT143" s="539">
        <f t="shared" si="782"/>
        <v>0</v>
      </c>
      <c r="AU143" s="540">
        <f t="shared" si="783"/>
        <v>0</v>
      </c>
      <c r="AV143" s="538"/>
      <c r="AW143" s="539">
        <f t="shared" si="784"/>
        <v>0</v>
      </c>
      <c r="AX143" s="540">
        <f t="shared" si="785"/>
        <v>0</v>
      </c>
      <c r="AY143" s="538"/>
      <c r="AZ143" s="539">
        <f t="shared" si="786"/>
        <v>0</v>
      </c>
      <c r="BA143" s="540">
        <f t="shared" si="787"/>
        <v>0</v>
      </c>
      <c r="BJ143" s="529">
        <f t="shared" si="672"/>
        <v>0</v>
      </c>
      <c r="BK143" s="529">
        <f t="shared" si="673"/>
        <v>0</v>
      </c>
      <c r="BL143" s="529">
        <f t="shared" si="674"/>
        <v>0</v>
      </c>
      <c r="BM143" s="529">
        <f t="shared" si="675"/>
        <v>0</v>
      </c>
      <c r="BN143" s="529">
        <f t="shared" si="676"/>
        <v>0</v>
      </c>
      <c r="BO143" s="529">
        <f t="shared" si="677"/>
        <v>0</v>
      </c>
      <c r="BP143" s="529">
        <f t="shared" si="678"/>
        <v>0</v>
      </c>
      <c r="BQ143" s="529">
        <f t="shared" si="679"/>
        <v>0</v>
      </c>
      <c r="BR143" s="529">
        <f t="shared" si="680"/>
        <v>0</v>
      </c>
      <c r="BS143" s="529">
        <f t="shared" si="681"/>
        <v>0</v>
      </c>
      <c r="BT143" s="529">
        <f t="shared" si="682"/>
        <v>0</v>
      </c>
      <c r="BU143" s="529">
        <f t="shared" si="683"/>
        <v>0</v>
      </c>
      <c r="BV143" s="529">
        <f t="shared" si="684"/>
        <v>0</v>
      </c>
      <c r="BW143" s="529">
        <f t="shared" si="685"/>
        <v>0</v>
      </c>
      <c r="BX143" s="529">
        <f t="shared" si="705"/>
        <v>0</v>
      </c>
      <c r="BY143" s="529">
        <f t="shared" si="706"/>
        <v>0</v>
      </c>
      <c r="BZ143" s="529">
        <f t="shared" si="707"/>
        <v>0</v>
      </c>
      <c r="CB143" s="529">
        <f t="shared" si="686"/>
        <v>0</v>
      </c>
      <c r="CC143" s="529">
        <f t="shared" si="687"/>
        <v>0</v>
      </c>
      <c r="CD143" s="529">
        <f t="shared" si="688"/>
        <v>0</v>
      </c>
      <c r="CE143" s="529">
        <f t="shared" si="689"/>
        <v>0</v>
      </c>
      <c r="CF143" s="529">
        <f t="shared" si="690"/>
        <v>0</v>
      </c>
      <c r="CG143" s="529">
        <f t="shared" si="691"/>
        <v>0</v>
      </c>
      <c r="CH143" s="529">
        <f t="shared" si="692"/>
        <v>0</v>
      </c>
      <c r="CI143" s="529">
        <f t="shared" si="693"/>
        <v>0</v>
      </c>
      <c r="CJ143" s="529">
        <f t="shared" si="694"/>
        <v>0</v>
      </c>
      <c r="CK143" s="529">
        <f t="shared" si="695"/>
        <v>0</v>
      </c>
      <c r="CL143" s="529">
        <f t="shared" si="696"/>
        <v>0</v>
      </c>
      <c r="CM143" s="529">
        <f t="shared" si="697"/>
        <v>0</v>
      </c>
      <c r="CN143" s="529">
        <f t="shared" si="698"/>
        <v>0</v>
      </c>
      <c r="CO143" s="529">
        <f t="shared" si="699"/>
        <v>0</v>
      </c>
      <c r="CP143" s="529">
        <f t="shared" si="708"/>
        <v>0</v>
      </c>
      <c r="CQ143" s="529">
        <f t="shared" si="709"/>
        <v>0</v>
      </c>
      <c r="CR143" s="529">
        <f t="shared" si="710"/>
        <v>0</v>
      </c>
    </row>
    <row r="144" spans="1:96" x14ac:dyDescent="0.2">
      <c r="A144" s="761"/>
      <c r="B144" s="537" t="s">
        <v>502</v>
      </c>
      <c r="C144" s="538"/>
      <c r="D144" s="539"/>
      <c r="E144" s="540">
        <f t="shared" si="765"/>
        <v>0</v>
      </c>
      <c r="F144" s="538"/>
      <c r="G144" s="539"/>
      <c r="H144" s="540">
        <f t="shared" si="788"/>
        <v>0</v>
      </c>
      <c r="I144" s="538"/>
      <c r="J144" s="539"/>
      <c r="K144" s="540">
        <f t="shared" si="766"/>
        <v>0</v>
      </c>
      <c r="L144" s="538"/>
      <c r="M144" s="539"/>
      <c r="N144" s="540">
        <f t="shared" si="789"/>
        <v>0</v>
      </c>
      <c r="O144" s="538"/>
      <c r="P144" s="539"/>
      <c r="Q144" s="540">
        <f t="shared" si="790"/>
        <v>0</v>
      </c>
      <c r="R144" s="538"/>
      <c r="S144" s="539"/>
      <c r="T144" s="540">
        <f>R144*S144/1000000</f>
        <v>0</v>
      </c>
      <c r="U144" s="538"/>
      <c r="V144" s="629"/>
      <c r="W144" s="540">
        <f t="shared" si="767"/>
        <v>0</v>
      </c>
      <c r="X144" s="538"/>
      <c r="Y144" s="539">
        <f t="shared" si="768"/>
        <v>0</v>
      </c>
      <c r="Z144" s="540">
        <f t="shared" si="769"/>
        <v>0</v>
      </c>
      <c r="AA144" s="538"/>
      <c r="AB144" s="539">
        <f t="shared" si="770"/>
        <v>0</v>
      </c>
      <c r="AC144" s="540">
        <f t="shared" si="771"/>
        <v>0</v>
      </c>
      <c r="AD144" s="538"/>
      <c r="AE144" s="539">
        <f t="shared" si="772"/>
        <v>0</v>
      </c>
      <c r="AF144" s="540">
        <f t="shared" si="773"/>
        <v>0</v>
      </c>
      <c r="AG144" s="538"/>
      <c r="AH144" s="539">
        <f t="shared" si="774"/>
        <v>0</v>
      </c>
      <c r="AI144" s="540">
        <f t="shared" si="775"/>
        <v>0</v>
      </c>
      <c r="AJ144" s="538"/>
      <c r="AK144" s="539">
        <f t="shared" si="776"/>
        <v>0</v>
      </c>
      <c r="AL144" s="540">
        <f t="shared" si="777"/>
        <v>0</v>
      </c>
      <c r="AM144" s="538"/>
      <c r="AN144" s="539">
        <f t="shared" si="778"/>
        <v>0</v>
      </c>
      <c r="AO144" s="540">
        <f t="shared" si="779"/>
        <v>0</v>
      </c>
      <c r="AP144" s="538"/>
      <c r="AQ144" s="539">
        <f t="shared" si="780"/>
        <v>0</v>
      </c>
      <c r="AR144" s="540">
        <f t="shared" si="781"/>
        <v>0</v>
      </c>
      <c r="AS144" s="538"/>
      <c r="AT144" s="539">
        <f t="shared" si="782"/>
        <v>0</v>
      </c>
      <c r="AU144" s="540">
        <f t="shared" si="783"/>
        <v>0</v>
      </c>
      <c r="AV144" s="538"/>
      <c r="AW144" s="539">
        <f t="shared" si="784"/>
        <v>0</v>
      </c>
      <c r="AX144" s="540">
        <f t="shared" si="785"/>
        <v>0</v>
      </c>
      <c r="AY144" s="538"/>
      <c r="AZ144" s="539">
        <f t="shared" si="786"/>
        <v>0</v>
      </c>
      <c r="BA144" s="540">
        <f t="shared" si="787"/>
        <v>0</v>
      </c>
      <c r="BJ144" s="529">
        <f t="shared" si="672"/>
        <v>0</v>
      </c>
      <c r="BK144" s="529">
        <f t="shared" si="673"/>
        <v>0</v>
      </c>
      <c r="BL144" s="529">
        <f t="shared" si="674"/>
        <v>0</v>
      </c>
      <c r="BM144" s="529">
        <f t="shared" si="675"/>
        <v>0</v>
      </c>
      <c r="BN144" s="529">
        <f t="shared" si="676"/>
        <v>0</v>
      </c>
      <c r="BO144" s="529">
        <f t="shared" si="677"/>
        <v>0</v>
      </c>
      <c r="BP144" s="529">
        <f t="shared" si="678"/>
        <v>0</v>
      </c>
      <c r="BQ144" s="529">
        <f t="shared" si="679"/>
        <v>0</v>
      </c>
      <c r="BR144" s="529">
        <f t="shared" si="680"/>
        <v>0</v>
      </c>
      <c r="BS144" s="529">
        <f t="shared" si="681"/>
        <v>0</v>
      </c>
      <c r="BT144" s="529">
        <f t="shared" si="682"/>
        <v>0</v>
      </c>
      <c r="BU144" s="529">
        <f t="shared" si="683"/>
        <v>0</v>
      </c>
      <c r="BV144" s="529">
        <f t="shared" si="684"/>
        <v>0</v>
      </c>
      <c r="BW144" s="529">
        <f t="shared" si="685"/>
        <v>0</v>
      </c>
      <c r="BX144" s="529">
        <f t="shared" si="705"/>
        <v>0</v>
      </c>
      <c r="BY144" s="529">
        <f t="shared" si="706"/>
        <v>0</v>
      </c>
      <c r="BZ144" s="529">
        <f t="shared" si="707"/>
        <v>0</v>
      </c>
      <c r="CB144" s="529">
        <f t="shared" si="686"/>
        <v>0</v>
      </c>
      <c r="CC144" s="529">
        <f t="shared" si="687"/>
        <v>0</v>
      </c>
      <c r="CD144" s="529">
        <f t="shared" si="688"/>
        <v>0</v>
      </c>
      <c r="CE144" s="529">
        <f t="shared" si="689"/>
        <v>0</v>
      </c>
      <c r="CF144" s="529">
        <f t="shared" si="690"/>
        <v>0</v>
      </c>
      <c r="CG144" s="529">
        <f t="shared" si="691"/>
        <v>0</v>
      </c>
      <c r="CH144" s="529">
        <f t="shared" si="692"/>
        <v>0</v>
      </c>
      <c r="CI144" s="529">
        <f t="shared" si="693"/>
        <v>0</v>
      </c>
      <c r="CJ144" s="529">
        <f t="shared" si="694"/>
        <v>0</v>
      </c>
      <c r="CK144" s="529">
        <f t="shared" si="695"/>
        <v>0</v>
      </c>
      <c r="CL144" s="529">
        <f t="shared" si="696"/>
        <v>0</v>
      </c>
      <c r="CM144" s="529">
        <f t="shared" si="697"/>
        <v>0</v>
      </c>
      <c r="CN144" s="529">
        <f t="shared" si="698"/>
        <v>0</v>
      </c>
      <c r="CO144" s="529">
        <f t="shared" si="699"/>
        <v>0</v>
      </c>
      <c r="CP144" s="529">
        <f t="shared" si="708"/>
        <v>0</v>
      </c>
      <c r="CQ144" s="529">
        <f t="shared" si="709"/>
        <v>0</v>
      </c>
      <c r="CR144" s="529">
        <f t="shared" si="710"/>
        <v>0</v>
      </c>
    </row>
    <row r="145" spans="1:96" ht="13.5" x14ac:dyDescent="0.25">
      <c r="A145" s="761"/>
      <c r="B145" s="537" t="s">
        <v>619</v>
      </c>
      <c r="C145" s="543">
        <f>C142*0.46+C143*0.24+C144*0.52</f>
        <v>0</v>
      </c>
      <c r="D145" s="544"/>
      <c r="E145" s="545">
        <f>SUM(E142:E144)</f>
        <v>0</v>
      </c>
      <c r="F145" s="543">
        <f>F142*0.46+F143*0.24+F144*0.52</f>
        <v>0</v>
      </c>
      <c r="G145" s="544"/>
      <c r="H145" s="545">
        <f t="shared" ref="H145" si="791">SUM(H142:H144)</f>
        <v>0</v>
      </c>
      <c r="I145" s="543">
        <f t="shared" ref="I145" si="792">I142*0.46+I143*0.24+I144*0.52</f>
        <v>0</v>
      </c>
      <c r="J145" s="544"/>
      <c r="K145" s="545">
        <f t="shared" ref="K145" si="793">SUM(K142:K144)</f>
        <v>0</v>
      </c>
      <c r="L145" s="543">
        <f t="shared" ref="L145" si="794">L142*0.46+L143*0.24+L144*0.52</f>
        <v>256.68</v>
      </c>
      <c r="M145" s="544"/>
      <c r="N145" s="545">
        <f t="shared" ref="N145" si="795">SUM(N142:N144)</f>
        <v>0.16014600000000001</v>
      </c>
      <c r="O145" s="543">
        <f t="shared" ref="O145" si="796">O142*0.46+O143*0.24+O144*0.52</f>
        <v>0</v>
      </c>
      <c r="P145" s="544"/>
      <c r="Q145" s="545">
        <f t="shared" ref="Q145" si="797">SUM(Q142:Q144)</f>
        <v>0</v>
      </c>
      <c r="R145" s="543">
        <f t="shared" ref="R145" si="798">R142*0.46+R143*0.24+R144*0.52</f>
        <v>0</v>
      </c>
      <c r="S145" s="544"/>
      <c r="T145" s="545">
        <f t="shared" ref="T145" si="799">SUM(T142:T144)</f>
        <v>0</v>
      </c>
      <c r="U145" s="543">
        <f t="shared" ref="U145" si="800">U142*0.46+U143*0.24+U144*0.52</f>
        <v>0</v>
      </c>
      <c r="V145" s="630"/>
      <c r="W145" s="545">
        <f t="shared" ref="W145" si="801">SUM(W142:W144)</f>
        <v>0</v>
      </c>
      <c r="X145" s="543">
        <f t="shared" ref="X145" si="802">X142*0.46+X143*0.24+X144*0.52</f>
        <v>0</v>
      </c>
      <c r="Y145" s="544"/>
      <c r="Z145" s="545">
        <f t="shared" ref="Z145" si="803">SUM(Z142:Z144)</f>
        <v>0</v>
      </c>
      <c r="AA145" s="543">
        <f t="shared" ref="AA145" si="804">AA142*0.46+AA143*0.24+AA144*0.52</f>
        <v>0</v>
      </c>
      <c r="AB145" s="544"/>
      <c r="AC145" s="545">
        <f t="shared" ref="AC145" si="805">SUM(AC142:AC144)</f>
        <v>0</v>
      </c>
      <c r="AD145" s="543">
        <f t="shared" ref="AD145" si="806">AD142*0.46+AD143*0.24+AD144*0.52</f>
        <v>0</v>
      </c>
      <c r="AE145" s="544"/>
      <c r="AF145" s="545">
        <f t="shared" ref="AF145" si="807">SUM(AF142:AF144)</f>
        <v>0</v>
      </c>
      <c r="AG145" s="543">
        <f t="shared" ref="AG145" si="808">AG142*0.46+AG143*0.24+AG144*0.52</f>
        <v>0</v>
      </c>
      <c r="AH145" s="544"/>
      <c r="AI145" s="545">
        <f t="shared" ref="AI145" si="809">SUM(AI142:AI144)</f>
        <v>0</v>
      </c>
      <c r="AJ145" s="543">
        <f t="shared" ref="AJ145" si="810">AJ142*0.46+AJ143*0.24+AJ144*0.52</f>
        <v>0</v>
      </c>
      <c r="AK145" s="544"/>
      <c r="AL145" s="545">
        <f t="shared" ref="AL145" si="811">SUM(AL142:AL144)</f>
        <v>0</v>
      </c>
      <c r="AM145" s="543">
        <f t="shared" ref="AM145" si="812">AM142*0.46+AM143*0.24+AM144*0.52</f>
        <v>0</v>
      </c>
      <c r="AN145" s="544"/>
      <c r="AO145" s="545">
        <f t="shared" ref="AO145" si="813">SUM(AO142:AO144)</f>
        <v>0</v>
      </c>
      <c r="AP145" s="543">
        <f t="shared" ref="AP145" si="814">AP142*0.46+AP143*0.24+AP144*0.52</f>
        <v>0</v>
      </c>
      <c r="AQ145" s="544"/>
      <c r="AR145" s="545">
        <f t="shared" ref="AR145" si="815">SUM(AR142:AR144)</f>
        <v>0</v>
      </c>
      <c r="AS145" s="543">
        <f t="shared" ref="AS145" si="816">AS142*0.46+AS143*0.24+AS144*0.52</f>
        <v>0</v>
      </c>
      <c r="AT145" s="544"/>
      <c r="AU145" s="545">
        <f t="shared" ref="AU145" si="817">SUM(AU142:AU144)</f>
        <v>0</v>
      </c>
      <c r="AV145" s="543">
        <f t="shared" ref="AV145" si="818">AV142*0.46+AV143*0.24+AV144*0.52</f>
        <v>0</v>
      </c>
      <c r="AW145" s="544"/>
      <c r="AX145" s="545">
        <f t="shared" ref="AX145" si="819">SUM(AX142:AX144)</f>
        <v>0</v>
      </c>
      <c r="AY145" s="543">
        <f t="shared" ref="AY145" si="820">AY142*0.46+AY143*0.24+AY144*0.52</f>
        <v>0</v>
      </c>
      <c r="AZ145" s="544"/>
      <c r="BA145" s="545">
        <f t="shared" ref="BA145" si="821">SUM(BA142:BA144)</f>
        <v>0</v>
      </c>
      <c r="BJ145" s="529">
        <f t="shared" si="672"/>
        <v>0</v>
      </c>
      <c r="BK145" s="529">
        <f t="shared" si="673"/>
        <v>0</v>
      </c>
      <c r="BL145" s="529">
        <f t="shared" si="674"/>
        <v>0</v>
      </c>
      <c r="BM145" s="529">
        <f t="shared" si="675"/>
        <v>0.16014600000000001</v>
      </c>
      <c r="BN145" s="529">
        <f t="shared" si="676"/>
        <v>0</v>
      </c>
      <c r="BO145" s="529">
        <f t="shared" si="677"/>
        <v>0</v>
      </c>
      <c r="BP145" s="529">
        <f t="shared" si="678"/>
        <v>0</v>
      </c>
      <c r="BQ145" s="529">
        <f t="shared" si="679"/>
        <v>0</v>
      </c>
      <c r="BR145" s="529">
        <f t="shared" si="680"/>
        <v>0</v>
      </c>
      <c r="BS145" s="529">
        <f t="shared" si="681"/>
        <v>0</v>
      </c>
      <c r="BT145" s="529">
        <f t="shared" si="682"/>
        <v>0</v>
      </c>
      <c r="BU145" s="529">
        <f t="shared" si="683"/>
        <v>0</v>
      </c>
      <c r="BV145" s="529">
        <f t="shared" si="684"/>
        <v>0</v>
      </c>
      <c r="BW145" s="529">
        <f t="shared" si="685"/>
        <v>0</v>
      </c>
      <c r="BX145" s="529">
        <f t="shared" si="705"/>
        <v>0</v>
      </c>
      <c r="BY145" s="529">
        <f t="shared" si="706"/>
        <v>0</v>
      </c>
      <c r="BZ145" s="529">
        <f t="shared" si="707"/>
        <v>0</v>
      </c>
      <c r="CB145" s="529">
        <f t="shared" si="686"/>
        <v>0</v>
      </c>
      <c r="CC145" s="529">
        <f t="shared" si="687"/>
        <v>0</v>
      </c>
      <c r="CD145" s="529">
        <f t="shared" si="688"/>
        <v>0</v>
      </c>
      <c r="CE145" s="529">
        <f t="shared" si="689"/>
        <v>256.68</v>
      </c>
      <c r="CF145" s="529">
        <f t="shared" si="690"/>
        <v>0</v>
      </c>
      <c r="CG145" s="529">
        <f t="shared" si="691"/>
        <v>0</v>
      </c>
      <c r="CH145" s="529">
        <f t="shared" si="692"/>
        <v>0</v>
      </c>
      <c r="CI145" s="529">
        <f t="shared" si="693"/>
        <v>0</v>
      </c>
      <c r="CJ145" s="529">
        <f t="shared" si="694"/>
        <v>0</v>
      </c>
      <c r="CK145" s="529">
        <f t="shared" si="695"/>
        <v>0</v>
      </c>
      <c r="CL145" s="529">
        <f t="shared" si="696"/>
        <v>0</v>
      </c>
      <c r="CM145" s="529">
        <f t="shared" si="697"/>
        <v>0</v>
      </c>
      <c r="CN145" s="529">
        <f t="shared" si="698"/>
        <v>0</v>
      </c>
      <c r="CO145" s="529">
        <f t="shared" si="699"/>
        <v>0</v>
      </c>
      <c r="CP145" s="529">
        <f t="shared" si="708"/>
        <v>0</v>
      </c>
      <c r="CQ145" s="529">
        <f t="shared" si="709"/>
        <v>0</v>
      </c>
      <c r="CR145" s="529">
        <f t="shared" si="710"/>
        <v>0</v>
      </c>
    </row>
    <row r="146" spans="1:96" x14ac:dyDescent="0.2">
      <c r="A146" s="761" t="s">
        <v>642</v>
      </c>
      <c r="B146" s="537" t="s">
        <v>494</v>
      </c>
      <c r="C146" s="538"/>
      <c r="D146" s="539"/>
      <c r="E146" s="540">
        <f t="shared" ref="E146:E148" si="822">C146*D146/1000000</f>
        <v>0</v>
      </c>
      <c r="F146" s="541"/>
      <c r="G146" s="539"/>
      <c r="H146" s="540">
        <f>F146*G146/1000000</f>
        <v>0</v>
      </c>
      <c r="I146" s="541"/>
      <c r="J146" s="539"/>
      <c r="K146" s="540">
        <f t="shared" ref="K146:K148" si="823">I146*J146/1000000</f>
        <v>0</v>
      </c>
      <c r="L146" s="538"/>
      <c r="M146" s="539"/>
      <c r="N146" s="540">
        <f>L146*M146/1000000</f>
        <v>0</v>
      </c>
      <c r="O146" s="538">
        <v>4987.8</v>
      </c>
      <c r="P146" s="539">
        <v>272</v>
      </c>
      <c r="Q146" s="540">
        <f>O146*P146/1000000</f>
        <v>1.3566816000000002</v>
      </c>
      <c r="R146" s="538"/>
      <c r="S146" s="539"/>
      <c r="T146" s="540">
        <f>R146*S146/1000000</f>
        <v>0</v>
      </c>
      <c r="U146" s="538"/>
      <c r="V146" s="629"/>
      <c r="W146" s="540">
        <f t="shared" ref="W146:W148" si="824">U146*V146/100000</f>
        <v>0</v>
      </c>
      <c r="X146" s="538"/>
      <c r="Y146" s="539">
        <f t="shared" ref="Y146:Y148" si="825">ROUND(V146*(1+Y$1),0)</f>
        <v>0</v>
      </c>
      <c r="Z146" s="540">
        <f t="shared" ref="Z146:Z148" si="826">X146*Y146/100000</f>
        <v>0</v>
      </c>
      <c r="AA146" s="538"/>
      <c r="AB146" s="539">
        <f t="shared" ref="AB146:AB148" si="827">ROUND(Y146*(1+AB$1),0)</f>
        <v>0</v>
      </c>
      <c r="AC146" s="540">
        <f t="shared" ref="AC146:AC148" si="828">AA146*AB146/100000</f>
        <v>0</v>
      </c>
      <c r="AD146" s="538"/>
      <c r="AE146" s="539">
        <f t="shared" ref="AE146:AE148" si="829">ROUND(AB146*(1+AE$1),0)</f>
        <v>0</v>
      </c>
      <c r="AF146" s="540">
        <f t="shared" ref="AF146:AF148" si="830">AD146*AE146/100000</f>
        <v>0</v>
      </c>
      <c r="AG146" s="538"/>
      <c r="AH146" s="539">
        <f t="shared" ref="AH146:AH148" si="831">ROUND(AE146*(1+AH$1),0)</f>
        <v>0</v>
      </c>
      <c r="AI146" s="540">
        <f t="shared" ref="AI146:AI148" si="832">AG146*AH146/100000</f>
        <v>0</v>
      </c>
      <c r="AJ146" s="538"/>
      <c r="AK146" s="539">
        <f t="shared" ref="AK146:AK148" si="833">ROUND(AH146*(1+AK$1),0)</f>
        <v>0</v>
      </c>
      <c r="AL146" s="540">
        <f t="shared" ref="AL146:AL148" si="834">AJ146*AK146/100000</f>
        <v>0</v>
      </c>
      <c r="AM146" s="538"/>
      <c r="AN146" s="539">
        <f t="shared" ref="AN146:AN148" si="835">ROUND(AK146*(1+AN$1),0)</f>
        <v>0</v>
      </c>
      <c r="AO146" s="540">
        <f t="shared" ref="AO146:AO148" si="836">AM146*AN146/100000</f>
        <v>0</v>
      </c>
      <c r="AP146" s="538"/>
      <c r="AQ146" s="539">
        <f t="shared" ref="AQ146:AQ148" si="837">ROUND(AN146*(1+AQ$1),0)</f>
        <v>0</v>
      </c>
      <c r="AR146" s="540">
        <f t="shared" ref="AR146:AR148" si="838">AP146*AQ146/100000</f>
        <v>0</v>
      </c>
      <c r="AS146" s="538"/>
      <c r="AT146" s="539">
        <f t="shared" ref="AT146:AT148" si="839">ROUND(AQ146*(1+AT$1),0)</f>
        <v>0</v>
      </c>
      <c r="AU146" s="540">
        <f t="shared" ref="AU146:AU148" si="840">AS146*AT146/100000</f>
        <v>0</v>
      </c>
      <c r="AV146" s="538"/>
      <c r="AW146" s="539">
        <f t="shared" ref="AW146:AW148" si="841">ROUND(AT146*(1+AW$1),0)</f>
        <v>0</v>
      </c>
      <c r="AX146" s="540">
        <f t="shared" ref="AX146:AX148" si="842">AV146*AW146/100000</f>
        <v>0</v>
      </c>
      <c r="AY146" s="538"/>
      <c r="AZ146" s="539">
        <f t="shared" ref="AZ146:AZ148" si="843">ROUND(AW146*(1+AZ$1),0)</f>
        <v>0</v>
      </c>
      <c r="BA146" s="540">
        <f t="shared" ref="BA146:BA148" si="844">AY146*AZ146/100000</f>
        <v>0</v>
      </c>
      <c r="BJ146" s="529">
        <f t="shared" si="672"/>
        <v>0</v>
      </c>
      <c r="BK146" s="529">
        <f t="shared" si="673"/>
        <v>0</v>
      </c>
      <c r="BL146" s="529">
        <f t="shared" si="674"/>
        <v>0</v>
      </c>
      <c r="BM146" s="529">
        <f t="shared" si="675"/>
        <v>0</v>
      </c>
      <c r="BN146" s="529">
        <f t="shared" si="676"/>
        <v>1.3566816000000002</v>
      </c>
      <c r="BO146" s="529">
        <f t="shared" si="677"/>
        <v>0</v>
      </c>
      <c r="BP146" s="529">
        <f t="shared" si="678"/>
        <v>0</v>
      </c>
      <c r="BQ146" s="529">
        <f t="shared" si="679"/>
        <v>0</v>
      </c>
      <c r="BR146" s="529">
        <f t="shared" si="680"/>
        <v>0</v>
      </c>
      <c r="BS146" s="529">
        <f t="shared" si="681"/>
        <v>0</v>
      </c>
      <c r="BT146" s="529">
        <f t="shared" si="682"/>
        <v>0</v>
      </c>
      <c r="BU146" s="529">
        <f t="shared" si="683"/>
        <v>0</v>
      </c>
      <c r="BV146" s="529">
        <f t="shared" si="684"/>
        <v>0</v>
      </c>
      <c r="BW146" s="529">
        <f t="shared" si="685"/>
        <v>0</v>
      </c>
      <c r="BX146" s="529">
        <f t="shared" si="705"/>
        <v>0</v>
      </c>
      <c r="BY146" s="529">
        <f t="shared" si="706"/>
        <v>0</v>
      </c>
      <c r="BZ146" s="529">
        <f t="shared" si="707"/>
        <v>0</v>
      </c>
      <c r="CB146" s="529">
        <f t="shared" si="686"/>
        <v>0</v>
      </c>
      <c r="CC146" s="529">
        <f t="shared" si="687"/>
        <v>0</v>
      </c>
      <c r="CD146" s="529">
        <f t="shared" si="688"/>
        <v>0</v>
      </c>
      <c r="CE146" s="529">
        <f t="shared" si="689"/>
        <v>0</v>
      </c>
      <c r="CF146" s="529">
        <f t="shared" si="690"/>
        <v>4987.8</v>
      </c>
      <c r="CG146" s="529">
        <f t="shared" si="691"/>
        <v>0</v>
      </c>
      <c r="CH146" s="529">
        <f t="shared" si="692"/>
        <v>0</v>
      </c>
      <c r="CI146" s="529">
        <f t="shared" si="693"/>
        <v>0</v>
      </c>
      <c r="CJ146" s="529">
        <f t="shared" si="694"/>
        <v>0</v>
      </c>
      <c r="CK146" s="529">
        <f t="shared" si="695"/>
        <v>0</v>
      </c>
      <c r="CL146" s="529">
        <f t="shared" si="696"/>
        <v>0</v>
      </c>
      <c r="CM146" s="529">
        <f t="shared" si="697"/>
        <v>0</v>
      </c>
      <c r="CN146" s="529">
        <f t="shared" si="698"/>
        <v>0</v>
      </c>
      <c r="CO146" s="529">
        <f t="shared" si="699"/>
        <v>0</v>
      </c>
      <c r="CP146" s="529">
        <f t="shared" si="708"/>
        <v>0</v>
      </c>
      <c r="CQ146" s="529">
        <f t="shared" si="709"/>
        <v>0</v>
      </c>
      <c r="CR146" s="529">
        <f t="shared" si="710"/>
        <v>0</v>
      </c>
    </row>
    <row r="147" spans="1:96" x14ac:dyDescent="0.2">
      <c r="A147" s="761"/>
      <c r="B147" s="537" t="s">
        <v>495</v>
      </c>
      <c r="C147" s="538"/>
      <c r="D147" s="539"/>
      <c r="E147" s="540">
        <f t="shared" si="822"/>
        <v>0</v>
      </c>
      <c r="F147" s="541"/>
      <c r="G147" s="539"/>
      <c r="H147" s="540">
        <f t="shared" ref="H147:H148" si="845">F147*G147/1000000</f>
        <v>0</v>
      </c>
      <c r="I147" s="541"/>
      <c r="J147" s="539"/>
      <c r="K147" s="540">
        <f t="shared" si="823"/>
        <v>0</v>
      </c>
      <c r="L147" s="538"/>
      <c r="M147" s="539"/>
      <c r="N147" s="540">
        <f t="shared" ref="N147:N148" si="846">L147*M147/1000000</f>
        <v>0</v>
      </c>
      <c r="O147" s="538"/>
      <c r="P147" s="539"/>
      <c r="Q147" s="540">
        <f t="shared" ref="Q147:Q148" si="847">O147*P147/1000000</f>
        <v>0</v>
      </c>
      <c r="R147" s="538"/>
      <c r="S147" s="539"/>
      <c r="T147" s="540">
        <f t="shared" ref="T147:T148" si="848">R147*S147/1000000</f>
        <v>0</v>
      </c>
      <c r="U147" s="538"/>
      <c r="V147" s="629"/>
      <c r="W147" s="540">
        <f t="shared" si="824"/>
        <v>0</v>
      </c>
      <c r="X147" s="538"/>
      <c r="Y147" s="539">
        <f t="shared" si="825"/>
        <v>0</v>
      </c>
      <c r="Z147" s="540">
        <f t="shared" si="826"/>
        <v>0</v>
      </c>
      <c r="AA147" s="538"/>
      <c r="AB147" s="539">
        <f t="shared" si="827"/>
        <v>0</v>
      </c>
      <c r="AC147" s="540">
        <f t="shared" si="828"/>
        <v>0</v>
      </c>
      <c r="AD147" s="538"/>
      <c r="AE147" s="539">
        <f t="shared" si="829"/>
        <v>0</v>
      </c>
      <c r="AF147" s="540">
        <f t="shared" si="830"/>
        <v>0</v>
      </c>
      <c r="AG147" s="538"/>
      <c r="AH147" s="539">
        <f t="shared" si="831"/>
        <v>0</v>
      </c>
      <c r="AI147" s="540">
        <f t="shared" si="832"/>
        <v>0</v>
      </c>
      <c r="AJ147" s="538"/>
      <c r="AK147" s="539">
        <f t="shared" si="833"/>
        <v>0</v>
      </c>
      <c r="AL147" s="540">
        <f t="shared" si="834"/>
        <v>0</v>
      </c>
      <c r="AM147" s="538"/>
      <c r="AN147" s="539">
        <f t="shared" si="835"/>
        <v>0</v>
      </c>
      <c r="AO147" s="540">
        <f t="shared" si="836"/>
        <v>0</v>
      </c>
      <c r="AP147" s="538"/>
      <c r="AQ147" s="539">
        <f t="shared" si="837"/>
        <v>0</v>
      </c>
      <c r="AR147" s="540">
        <f t="shared" si="838"/>
        <v>0</v>
      </c>
      <c r="AS147" s="538"/>
      <c r="AT147" s="539">
        <f t="shared" si="839"/>
        <v>0</v>
      </c>
      <c r="AU147" s="540">
        <f t="shared" si="840"/>
        <v>0</v>
      </c>
      <c r="AV147" s="538"/>
      <c r="AW147" s="539">
        <f t="shared" si="841"/>
        <v>0</v>
      </c>
      <c r="AX147" s="540">
        <f t="shared" si="842"/>
        <v>0</v>
      </c>
      <c r="AY147" s="538"/>
      <c r="AZ147" s="539">
        <f t="shared" si="843"/>
        <v>0</v>
      </c>
      <c r="BA147" s="540">
        <f t="shared" si="844"/>
        <v>0</v>
      </c>
      <c r="BJ147" s="529">
        <f t="shared" si="672"/>
        <v>0</v>
      </c>
      <c r="BK147" s="529">
        <f t="shared" si="673"/>
        <v>0</v>
      </c>
      <c r="BL147" s="529">
        <f t="shared" si="674"/>
        <v>0</v>
      </c>
      <c r="BM147" s="529">
        <f t="shared" si="675"/>
        <v>0</v>
      </c>
      <c r="BN147" s="529">
        <f t="shared" si="676"/>
        <v>0</v>
      </c>
      <c r="BO147" s="529">
        <f t="shared" si="677"/>
        <v>0</v>
      </c>
      <c r="BP147" s="529">
        <f t="shared" si="678"/>
        <v>0</v>
      </c>
      <c r="BQ147" s="529">
        <f t="shared" si="679"/>
        <v>0</v>
      </c>
      <c r="BR147" s="529">
        <f t="shared" si="680"/>
        <v>0</v>
      </c>
      <c r="BS147" s="529">
        <f t="shared" si="681"/>
        <v>0</v>
      </c>
      <c r="BT147" s="529">
        <f t="shared" si="682"/>
        <v>0</v>
      </c>
      <c r="BU147" s="529">
        <f t="shared" si="683"/>
        <v>0</v>
      </c>
      <c r="BV147" s="529">
        <f t="shared" si="684"/>
        <v>0</v>
      </c>
      <c r="BW147" s="529">
        <f t="shared" si="685"/>
        <v>0</v>
      </c>
      <c r="BX147" s="529">
        <f t="shared" si="705"/>
        <v>0</v>
      </c>
      <c r="BY147" s="529">
        <f t="shared" si="706"/>
        <v>0</v>
      </c>
      <c r="BZ147" s="529">
        <f t="shared" si="707"/>
        <v>0</v>
      </c>
      <c r="CB147" s="529">
        <f t="shared" si="686"/>
        <v>0</v>
      </c>
      <c r="CC147" s="529">
        <f t="shared" si="687"/>
        <v>0</v>
      </c>
      <c r="CD147" s="529">
        <f t="shared" si="688"/>
        <v>0</v>
      </c>
      <c r="CE147" s="529">
        <f t="shared" si="689"/>
        <v>0</v>
      </c>
      <c r="CF147" s="529">
        <f t="shared" si="690"/>
        <v>0</v>
      </c>
      <c r="CG147" s="529">
        <f t="shared" si="691"/>
        <v>0</v>
      </c>
      <c r="CH147" s="529">
        <f t="shared" si="692"/>
        <v>0</v>
      </c>
      <c r="CI147" s="529">
        <f t="shared" si="693"/>
        <v>0</v>
      </c>
      <c r="CJ147" s="529">
        <f t="shared" si="694"/>
        <v>0</v>
      </c>
      <c r="CK147" s="529">
        <f t="shared" si="695"/>
        <v>0</v>
      </c>
      <c r="CL147" s="529">
        <f t="shared" si="696"/>
        <v>0</v>
      </c>
      <c r="CM147" s="529">
        <f t="shared" si="697"/>
        <v>0</v>
      </c>
      <c r="CN147" s="529">
        <f t="shared" si="698"/>
        <v>0</v>
      </c>
      <c r="CO147" s="529">
        <f t="shared" si="699"/>
        <v>0</v>
      </c>
      <c r="CP147" s="529">
        <f t="shared" si="708"/>
        <v>0</v>
      </c>
      <c r="CQ147" s="529">
        <f t="shared" si="709"/>
        <v>0</v>
      </c>
      <c r="CR147" s="529">
        <f t="shared" si="710"/>
        <v>0</v>
      </c>
    </row>
    <row r="148" spans="1:96" x14ac:dyDescent="0.2">
      <c r="A148" s="761"/>
      <c r="B148" s="537" t="s">
        <v>502</v>
      </c>
      <c r="C148" s="538"/>
      <c r="D148" s="539"/>
      <c r="E148" s="540">
        <f t="shared" si="822"/>
        <v>0</v>
      </c>
      <c r="F148" s="541"/>
      <c r="G148" s="539"/>
      <c r="H148" s="540">
        <f t="shared" si="845"/>
        <v>0</v>
      </c>
      <c r="I148" s="541"/>
      <c r="J148" s="539"/>
      <c r="K148" s="540">
        <f t="shared" si="823"/>
        <v>0</v>
      </c>
      <c r="L148" s="538"/>
      <c r="M148" s="539"/>
      <c r="N148" s="540">
        <f t="shared" si="846"/>
        <v>0</v>
      </c>
      <c r="O148" s="538"/>
      <c r="P148" s="539"/>
      <c r="Q148" s="540">
        <f t="shared" si="847"/>
        <v>0</v>
      </c>
      <c r="R148" s="538"/>
      <c r="S148" s="539"/>
      <c r="T148" s="540">
        <f t="shared" si="848"/>
        <v>0</v>
      </c>
      <c r="U148" s="538"/>
      <c r="V148" s="629"/>
      <c r="W148" s="540">
        <f t="shared" si="824"/>
        <v>0</v>
      </c>
      <c r="X148" s="538"/>
      <c r="Y148" s="539">
        <f t="shared" si="825"/>
        <v>0</v>
      </c>
      <c r="Z148" s="540">
        <f t="shared" si="826"/>
        <v>0</v>
      </c>
      <c r="AA148" s="538"/>
      <c r="AB148" s="539">
        <f t="shared" si="827"/>
        <v>0</v>
      </c>
      <c r="AC148" s="540">
        <f t="shared" si="828"/>
        <v>0</v>
      </c>
      <c r="AD148" s="538"/>
      <c r="AE148" s="539">
        <f t="shared" si="829"/>
        <v>0</v>
      </c>
      <c r="AF148" s="540">
        <f t="shared" si="830"/>
        <v>0</v>
      </c>
      <c r="AG148" s="538"/>
      <c r="AH148" s="539">
        <f t="shared" si="831"/>
        <v>0</v>
      </c>
      <c r="AI148" s="540">
        <f t="shared" si="832"/>
        <v>0</v>
      </c>
      <c r="AJ148" s="538"/>
      <c r="AK148" s="539">
        <f t="shared" si="833"/>
        <v>0</v>
      </c>
      <c r="AL148" s="540">
        <f t="shared" si="834"/>
        <v>0</v>
      </c>
      <c r="AM148" s="538"/>
      <c r="AN148" s="539">
        <f t="shared" si="835"/>
        <v>0</v>
      </c>
      <c r="AO148" s="540">
        <f t="shared" si="836"/>
        <v>0</v>
      </c>
      <c r="AP148" s="538"/>
      <c r="AQ148" s="539">
        <f t="shared" si="837"/>
        <v>0</v>
      </c>
      <c r="AR148" s="540">
        <f t="shared" si="838"/>
        <v>0</v>
      </c>
      <c r="AS148" s="538"/>
      <c r="AT148" s="539">
        <f t="shared" si="839"/>
        <v>0</v>
      </c>
      <c r="AU148" s="540">
        <f t="shared" si="840"/>
        <v>0</v>
      </c>
      <c r="AV148" s="538"/>
      <c r="AW148" s="539">
        <f t="shared" si="841"/>
        <v>0</v>
      </c>
      <c r="AX148" s="540">
        <f t="shared" si="842"/>
        <v>0</v>
      </c>
      <c r="AY148" s="538"/>
      <c r="AZ148" s="539">
        <f t="shared" si="843"/>
        <v>0</v>
      </c>
      <c r="BA148" s="540">
        <f t="shared" si="844"/>
        <v>0</v>
      </c>
      <c r="BJ148" s="529">
        <f t="shared" si="672"/>
        <v>0</v>
      </c>
      <c r="BK148" s="529">
        <f t="shared" si="673"/>
        <v>0</v>
      </c>
      <c r="BL148" s="529">
        <f t="shared" si="674"/>
        <v>0</v>
      </c>
      <c r="BM148" s="529">
        <f t="shared" si="675"/>
        <v>0</v>
      </c>
      <c r="BN148" s="529">
        <f t="shared" si="676"/>
        <v>0</v>
      </c>
      <c r="BO148" s="529">
        <f t="shared" si="677"/>
        <v>0</v>
      </c>
      <c r="BP148" s="529">
        <f t="shared" si="678"/>
        <v>0</v>
      </c>
      <c r="BQ148" s="529">
        <f t="shared" si="679"/>
        <v>0</v>
      </c>
      <c r="BR148" s="529">
        <f t="shared" si="680"/>
        <v>0</v>
      </c>
      <c r="BS148" s="529">
        <f t="shared" si="681"/>
        <v>0</v>
      </c>
      <c r="BT148" s="529">
        <f t="shared" si="682"/>
        <v>0</v>
      </c>
      <c r="BU148" s="529">
        <f t="shared" si="683"/>
        <v>0</v>
      </c>
      <c r="BV148" s="529">
        <f t="shared" si="684"/>
        <v>0</v>
      </c>
      <c r="BW148" s="529">
        <f t="shared" si="685"/>
        <v>0</v>
      </c>
      <c r="BX148" s="529">
        <f t="shared" si="705"/>
        <v>0</v>
      </c>
      <c r="BY148" s="529">
        <f t="shared" si="706"/>
        <v>0</v>
      </c>
      <c r="BZ148" s="529">
        <f t="shared" si="707"/>
        <v>0</v>
      </c>
      <c r="CB148" s="529">
        <f t="shared" si="686"/>
        <v>0</v>
      </c>
      <c r="CC148" s="529">
        <f t="shared" si="687"/>
        <v>0</v>
      </c>
      <c r="CD148" s="529">
        <f t="shared" si="688"/>
        <v>0</v>
      </c>
      <c r="CE148" s="529">
        <f t="shared" si="689"/>
        <v>0</v>
      </c>
      <c r="CF148" s="529">
        <f t="shared" si="690"/>
        <v>0</v>
      </c>
      <c r="CG148" s="529">
        <f t="shared" si="691"/>
        <v>0</v>
      </c>
      <c r="CH148" s="529">
        <f t="shared" si="692"/>
        <v>0</v>
      </c>
      <c r="CI148" s="529">
        <f t="shared" si="693"/>
        <v>0</v>
      </c>
      <c r="CJ148" s="529">
        <f t="shared" si="694"/>
        <v>0</v>
      </c>
      <c r="CK148" s="529">
        <f t="shared" si="695"/>
        <v>0</v>
      </c>
      <c r="CL148" s="529">
        <f t="shared" si="696"/>
        <v>0</v>
      </c>
      <c r="CM148" s="529">
        <f t="shared" si="697"/>
        <v>0</v>
      </c>
      <c r="CN148" s="529">
        <f t="shared" si="698"/>
        <v>0</v>
      </c>
      <c r="CO148" s="529">
        <f t="shared" si="699"/>
        <v>0</v>
      </c>
      <c r="CP148" s="529">
        <f t="shared" si="708"/>
        <v>0</v>
      </c>
      <c r="CQ148" s="529">
        <f t="shared" si="709"/>
        <v>0</v>
      </c>
      <c r="CR148" s="529">
        <f t="shared" si="710"/>
        <v>0</v>
      </c>
    </row>
    <row r="149" spans="1:96" ht="13.5" x14ac:dyDescent="0.25">
      <c r="A149" s="761"/>
      <c r="B149" s="537" t="s">
        <v>619</v>
      </c>
      <c r="C149" s="543">
        <f>C146*0.46+C147*0.24+C148*0.52</f>
        <v>0</v>
      </c>
      <c r="D149" s="544"/>
      <c r="E149" s="545">
        <f>SUM(E146:E148)</f>
        <v>0</v>
      </c>
      <c r="F149" s="543">
        <f>F146*0.46+F147*0.24+F148*0.52</f>
        <v>0</v>
      </c>
      <c r="G149" s="544"/>
      <c r="H149" s="545">
        <f>SUM(H146:H148)</f>
        <v>0</v>
      </c>
      <c r="I149" s="543">
        <f>I146*0.46+I147*0.24+I148*0.52</f>
        <v>0</v>
      </c>
      <c r="J149" s="544"/>
      <c r="K149" s="545">
        <f>SUM(K146:K148)</f>
        <v>0</v>
      </c>
      <c r="L149" s="543">
        <f>L146*0.46+L147*0.24+L148*0.52</f>
        <v>0</v>
      </c>
      <c r="M149" s="544"/>
      <c r="N149" s="545">
        <f>SUM(N146:N148)</f>
        <v>0</v>
      </c>
      <c r="O149" s="543">
        <f>O146*0.46+O147*0.24+O148*0.52</f>
        <v>2294.3880000000004</v>
      </c>
      <c r="P149" s="544"/>
      <c r="Q149" s="545">
        <f>SUM(Q146:Q148)</f>
        <v>1.3566816000000002</v>
      </c>
      <c r="R149" s="543">
        <f>R146*0.46+R147*0.24+R148*0.52</f>
        <v>0</v>
      </c>
      <c r="S149" s="544"/>
      <c r="T149" s="545">
        <f>SUM(T146:T148)</f>
        <v>0</v>
      </c>
      <c r="U149" s="543">
        <f>U146*0.46+U147*0.24+U148*0.52</f>
        <v>0</v>
      </c>
      <c r="V149" s="630"/>
      <c r="W149" s="545">
        <f>SUM(W146:W148)</f>
        <v>0</v>
      </c>
      <c r="X149" s="543">
        <f>X146*0.46+X147*0.24+X148*0.52</f>
        <v>0</v>
      </c>
      <c r="Y149" s="544"/>
      <c r="Z149" s="545">
        <f>SUM(Z146:Z148)</f>
        <v>0</v>
      </c>
      <c r="AA149" s="543">
        <f>AA146*0.46+AA147*0.24+AA148*0.52</f>
        <v>0</v>
      </c>
      <c r="AB149" s="544"/>
      <c r="AC149" s="545">
        <f>SUM(AC146:AC148)</f>
        <v>0</v>
      </c>
      <c r="AD149" s="543">
        <f>AD146*0.46+AD147*0.24+AD148*0.52</f>
        <v>0</v>
      </c>
      <c r="AE149" s="544"/>
      <c r="AF149" s="545">
        <f>SUM(AF146:AF148)</f>
        <v>0</v>
      </c>
      <c r="AG149" s="543">
        <f>AG146*0.46+AG147*0.24+AG148*0.52</f>
        <v>0</v>
      </c>
      <c r="AH149" s="544"/>
      <c r="AI149" s="545">
        <f>SUM(AI146:AI148)</f>
        <v>0</v>
      </c>
      <c r="AJ149" s="543">
        <f>AJ146*0.46+AJ147*0.24+AJ148*0.52</f>
        <v>0</v>
      </c>
      <c r="AK149" s="544"/>
      <c r="AL149" s="545">
        <f>SUM(AL146:AL148)</f>
        <v>0</v>
      </c>
      <c r="AM149" s="543">
        <f>AM146*0.46+AM147*0.24+AM148*0.52</f>
        <v>0</v>
      </c>
      <c r="AN149" s="544"/>
      <c r="AO149" s="545">
        <f>SUM(AO146:AO148)</f>
        <v>0</v>
      </c>
      <c r="AP149" s="543">
        <f>AP146*0.46+AP147*0.24+AP148*0.52</f>
        <v>0</v>
      </c>
      <c r="AQ149" s="544"/>
      <c r="AR149" s="545">
        <f>SUM(AR146:AR148)</f>
        <v>0</v>
      </c>
      <c r="AS149" s="543">
        <f>AS146*0.46+AS147*0.24+AS148*0.52</f>
        <v>0</v>
      </c>
      <c r="AT149" s="544"/>
      <c r="AU149" s="545">
        <f>SUM(AU146:AU148)</f>
        <v>0</v>
      </c>
      <c r="AV149" s="543">
        <f>AV146*0.46+AV147*0.24+AV148*0.52</f>
        <v>0</v>
      </c>
      <c r="AW149" s="544"/>
      <c r="AX149" s="545">
        <f>SUM(AX146:AX148)</f>
        <v>0</v>
      </c>
      <c r="AY149" s="543">
        <f>AY146*0.46+AY147*0.24+AY148*0.52</f>
        <v>0</v>
      </c>
      <c r="AZ149" s="544"/>
      <c r="BA149" s="545">
        <f>SUM(BA146:BA148)</f>
        <v>0</v>
      </c>
      <c r="BJ149" s="529">
        <f t="shared" si="672"/>
        <v>0</v>
      </c>
      <c r="BK149" s="529">
        <f t="shared" si="673"/>
        <v>0</v>
      </c>
      <c r="BL149" s="529">
        <f t="shared" si="674"/>
        <v>0</v>
      </c>
      <c r="BM149" s="529">
        <f t="shared" si="675"/>
        <v>0</v>
      </c>
      <c r="BN149" s="529">
        <f t="shared" si="676"/>
        <v>1.3566816000000002</v>
      </c>
      <c r="BO149" s="529">
        <f t="shared" si="677"/>
        <v>0</v>
      </c>
      <c r="BP149" s="529">
        <f t="shared" si="678"/>
        <v>0</v>
      </c>
      <c r="BQ149" s="529">
        <f t="shared" si="679"/>
        <v>0</v>
      </c>
      <c r="BR149" s="529">
        <f t="shared" si="680"/>
        <v>0</v>
      </c>
      <c r="BS149" s="529">
        <f t="shared" si="681"/>
        <v>0</v>
      </c>
      <c r="BT149" s="529">
        <f t="shared" si="682"/>
        <v>0</v>
      </c>
      <c r="BU149" s="529">
        <f t="shared" si="683"/>
        <v>0</v>
      </c>
      <c r="BV149" s="529">
        <f t="shared" si="684"/>
        <v>0</v>
      </c>
      <c r="BW149" s="529">
        <f t="shared" si="685"/>
        <v>0</v>
      </c>
      <c r="BX149" s="529">
        <f t="shared" si="705"/>
        <v>0</v>
      </c>
      <c r="BY149" s="529">
        <f t="shared" si="706"/>
        <v>0</v>
      </c>
      <c r="BZ149" s="529">
        <f t="shared" si="707"/>
        <v>0</v>
      </c>
      <c r="CB149" s="529">
        <f t="shared" si="686"/>
        <v>0</v>
      </c>
      <c r="CC149" s="529">
        <f t="shared" si="687"/>
        <v>0</v>
      </c>
      <c r="CD149" s="529">
        <f t="shared" si="688"/>
        <v>0</v>
      </c>
      <c r="CE149" s="529">
        <f t="shared" si="689"/>
        <v>0</v>
      </c>
      <c r="CF149" s="529">
        <f t="shared" si="690"/>
        <v>2294.3880000000004</v>
      </c>
      <c r="CG149" s="529">
        <f t="shared" si="691"/>
        <v>0</v>
      </c>
      <c r="CH149" s="529">
        <f t="shared" si="692"/>
        <v>0</v>
      </c>
      <c r="CI149" s="529">
        <f t="shared" si="693"/>
        <v>0</v>
      </c>
      <c r="CJ149" s="529">
        <f t="shared" si="694"/>
        <v>0</v>
      </c>
      <c r="CK149" s="529">
        <f t="shared" si="695"/>
        <v>0</v>
      </c>
      <c r="CL149" s="529">
        <f t="shared" si="696"/>
        <v>0</v>
      </c>
      <c r="CM149" s="529">
        <f t="shared" si="697"/>
        <v>0</v>
      </c>
      <c r="CN149" s="529">
        <f t="shared" si="698"/>
        <v>0</v>
      </c>
      <c r="CO149" s="529">
        <f t="shared" si="699"/>
        <v>0</v>
      </c>
      <c r="CP149" s="529">
        <f t="shared" si="708"/>
        <v>0</v>
      </c>
      <c r="CQ149" s="529">
        <f t="shared" si="709"/>
        <v>0</v>
      </c>
      <c r="CR149" s="529">
        <f t="shared" si="710"/>
        <v>0</v>
      </c>
    </row>
    <row r="150" spans="1:96" x14ac:dyDescent="0.2">
      <c r="A150" s="761" t="s">
        <v>643</v>
      </c>
      <c r="B150" s="537" t="s">
        <v>494</v>
      </c>
      <c r="C150" s="538"/>
      <c r="D150" s="539"/>
      <c r="E150" s="540">
        <f t="shared" ref="E150:E153" si="849">C150*D150/1000000</f>
        <v>0</v>
      </c>
      <c r="F150" s="541">
        <v>23969</v>
      </c>
      <c r="G150" s="539">
        <v>234</v>
      </c>
      <c r="H150" s="540">
        <f>F150*G150/1000000</f>
        <v>5.608746</v>
      </c>
      <c r="I150" s="541">
        <f>3999.6</f>
        <v>3999.6</v>
      </c>
      <c r="J150" s="539">
        <v>780</v>
      </c>
      <c r="K150" s="540">
        <f t="shared" ref="K150:K153" si="850">I150*J150/1000000</f>
        <v>3.119688</v>
      </c>
      <c r="L150" s="538"/>
      <c r="M150" s="539"/>
      <c r="N150" s="540">
        <f>L150*M150/1000000</f>
        <v>0</v>
      </c>
      <c r="O150" s="538">
        <v>4985.8999999999996</v>
      </c>
      <c r="P150" s="539">
        <v>310</v>
      </c>
      <c r="Q150" s="540">
        <f>O150*P150/1000000</f>
        <v>1.5456289999999999</v>
      </c>
      <c r="R150" s="538"/>
      <c r="S150" s="539"/>
      <c r="T150" s="540">
        <f>R150*S150/1000000</f>
        <v>0</v>
      </c>
      <c r="U150" s="538">
        <v>8659</v>
      </c>
      <c r="V150" s="629">
        <v>411.19621203372219</v>
      </c>
      <c r="W150" s="540">
        <f>U150*V150/1000000</f>
        <v>3.5605480000000003</v>
      </c>
      <c r="X150" s="538">
        <f>ROUND(+U150*X$1,0)</f>
        <v>9576</v>
      </c>
      <c r="Y150" s="539">
        <f t="shared" ref="Y150:Y153" si="851">ROUND(V150*(1+Y$1),0)</f>
        <v>424</v>
      </c>
      <c r="Z150" s="540">
        <f>X150*Y150/1000000</f>
        <v>4.0602239999999998</v>
      </c>
      <c r="AA150" s="538">
        <f>ROUND(+X150*AA$1,0)</f>
        <v>8117</v>
      </c>
      <c r="AB150" s="539">
        <f t="shared" ref="AB150:AB153" si="852">ROUND(Y150*(1+AB$1),0)</f>
        <v>437</v>
      </c>
      <c r="AC150" s="540">
        <f>AA150*AB150/1000000</f>
        <v>3.547129</v>
      </c>
      <c r="AD150" s="538">
        <f>ROUND(+AA150*AD$1,0)</f>
        <v>6521</v>
      </c>
      <c r="AE150" s="539">
        <f t="shared" ref="AE150:AE153" si="853">ROUND(AB150*(1+AE$1),0)</f>
        <v>450</v>
      </c>
      <c r="AF150" s="540">
        <f>AD150*AE150/1000000</f>
        <v>2.93445</v>
      </c>
      <c r="AG150" s="538">
        <f>ROUND(+AD150*AG$1,0)</f>
        <v>6521</v>
      </c>
      <c r="AH150" s="539">
        <f t="shared" ref="AH150:AH153" si="854">ROUND(AE150*(1+AH$1),0)</f>
        <v>464</v>
      </c>
      <c r="AI150" s="540">
        <f>AG150*AH150/1000000</f>
        <v>3.025744</v>
      </c>
      <c r="AJ150" s="538">
        <f>ROUND(+AG150*AJ$1,0)</f>
        <v>6521</v>
      </c>
      <c r="AK150" s="539">
        <f t="shared" ref="AK150:AK153" si="855">ROUND(AH150*(1+AK$1),0)</f>
        <v>478</v>
      </c>
      <c r="AL150" s="540">
        <f>AJ150*AK150/1000000</f>
        <v>3.117038</v>
      </c>
      <c r="AM150" s="538">
        <f>ROUND(+AJ150*AM$1,0)</f>
        <v>6521</v>
      </c>
      <c r="AN150" s="539">
        <f t="shared" ref="AN150:AN153" si="856">ROUND(AK150*(1+AN$1),0)</f>
        <v>492</v>
      </c>
      <c r="AO150" s="540">
        <f>AM150*AN150/1000000</f>
        <v>3.208332</v>
      </c>
      <c r="AP150" s="538">
        <f>ROUND(+AM150*AP$1,0)</f>
        <v>6521</v>
      </c>
      <c r="AQ150" s="539">
        <f t="shared" ref="AQ150:AQ153" si="857">ROUND(AN150*(1+AQ$1),0)</f>
        <v>507</v>
      </c>
      <c r="AR150" s="540">
        <f>AP150*AQ150/1000000</f>
        <v>3.3061470000000002</v>
      </c>
      <c r="AS150" s="538">
        <f>ROUND(+AP150*AS$1,0)</f>
        <v>6521</v>
      </c>
      <c r="AT150" s="539">
        <f t="shared" ref="AT150:AT153" si="858">ROUND(AQ150*(1+AT$1),0)</f>
        <v>522</v>
      </c>
      <c r="AU150" s="540">
        <f>AS150*AT150/1000000</f>
        <v>3.4039619999999999</v>
      </c>
      <c r="AV150" s="538">
        <f>ROUND(+AS150*AV$1,0)</f>
        <v>6521</v>
      </c>
      <c r="AW150" s="539">
        <f t="shared" ref="AW150:AW153" si="859">ROUND(AT150*(1+AW$1),0)</f>
        <v>538</v>
      </c>
      <c r="AX150" s="540">
        <f>AV150*AW150/1000000</f>
        <v>3.5082979999999999</v>
      </c>
      <c r="AY150" s="538">
        <f>ROUND(+AV150*AY$1,0)</f>
        <v>6521</v>
      </c>
      <c r="AZ150" s="539">
        <f t="shared" ref="AZ150:AZ153" si="860">ROUND(AW150*(1+AZ$1),0)</f>
        <v>554</v>
      </c>
      <c r="BA150" s="540">
        <f>AY150*AZ150/1000000</f>
        <v>3.6126339999999999</v>
      </c>
      <c r="BJ150" s="529">
        <f t="shared" si="672"/>
        <v>0</v>
      </c>
      <c r="BK150" s="529">
        <f t="shared" si="673"/>
        <v>5.608746</v>
      </c>
      <c r="BL150" s="529">
        <f t="shared" si="674"/>
        <v>3.119688</v>
      </c>
      <c r="BM150" s="529">
        <f t="shared" si="675"/>
        <v>0</v>
      </c>
      <c r="BN150" s="529">
        <f t="shared" si="676"/>
        <v>1.5456289999999999</v>
      </c>
      <c r="BO150" s="529">
        <f t="shared" si="677"/>
        <v>0</v>
      </c>
      <c r="BP150" s="529">
        <f t="shared" si="678"/>
        <v>3.5605480000000003</v>
      </c>
      <c r="BQ150" s="529">
        <f t="shared" si="679"/>
        <v>4.0602239999999998</v>
      </c>
      <c r="BR150" s="529">
        <f t="shared" si="680"/>
        <v>3.547129</v>
      </c>
      <c r="BS150" s="529">
        <f t="shared" si="681"/>
        <v>2.93445</v>
      </c>
      <c r="BT150" s="529">
        <f t="shared" si="682"/>
        <v>3.025744</v>
      </c>
      <c r="BU150" s="529">
        <f t="shared" si="683"/>
        <v>3.117038</v>
      </c>
      <c r="BV150" s="529">
        <f t="shared" si="684"/>
        <v>3.208332</v>
      </c>
      <c r="BW150" s="529">
        <f t="shared" si="685"/>
        <v>3.3061470000000002</v>
      </c>
      <c r="BX150" s="529">
        <f t="shared" si="705"/>
        <v>3.4039619999999999</v>
      </c>
      <c r="BY150" s="529">
        <f t="shared" si="706"/>
        <v>3.5082979999999999</v>
      </c>
      <c r="BZ150" s="529">
        <f t="shared" si="707"/>
        <v>3.6126339999999999</v>
      </c>
      <c r="CB150" s="529">
        <f t="shared" si="686"/>
        <v>0</v>
      </c>
      <c r="CC150" s="529">
        <f t="shared" si="687"/>
        <v>23969</v>
      </c>
      <c r="CD150" s="529">
        <f t="shared" si="688"/>
        <v>3999.6</v>
      </c>
      <c r="CE150" s="529">
        <f t="shared" si="689"/>
        <v>0</v>
      </c>
      <c r="CF150" s="529">
        <f t="shared" si="690"/>
        <v>4985.8999999999996</v>
      </c>
      <c r="CG150" s="529">
        <f t="shared" si="691"/>
        <v>0</v>
      </c>
      <c r="CH150" s="529">
        <f t="shared" si="692"/>
        <v>8659</v>
      </c>
      <c r="CI150" s="529">
        <f t="shared" si="693"/>
        <v>9576</v>
      </c>
      <c r="CJ150" s="529">
        <f t="shared" si="694"/>
        <v>8117</v>
      </c>
      <c r="CK150" s="529">
        <f t="shared" si="695"/>
        <v>6521</v>
      </c>
      <c r="CL150" s="529">
        <f t="shared" si="696"/>
        <v>6521</v>
      </c>
      <c r="CM150" s="529">
        <f t="shared" si="697"/>
        <v>6521</v>
      </c>
      <c r="CN150" s="529">
        <f t="shared" si="698"/>
        <v>6521</v>
      </c>
      <c r="CO150" s="529">
        <f t="shared" si="699"/>
        <v>6521</v>
      </c>
      <c r="CP150" s="529">
        <f t="shared" si="708"/>
        <v>6521</v>
      </c>
      <c r="CQ150" s="529">
        <f t="shared" si="709"/>
        <v>6521</v>
      </c>
      <c r="CR150" s="529">
        <f t="shared" si="710"/>
        <v>6521</v>
      </c>
    </row>
    <row r="151" spans="1:96" x14ac:dyDescent="0.2">
      <c r="A151" s="761"/>
      <c r="B151" s="537" t="s">
        <v>618</v>
      </c>
      <c r="C151" s="538"/>
      <c r="D151" s="539"/>
      <c r="E151" s="540">
        <f t="shared" si="849"/>
        <v>0</v>
      </c>
      <c r="F151" s="541"/>
      <c r="G151" s="539"/>
      <c r="H151" s="540">
        <f t="shared" ref="H151:H153" si="861">F151*G151/1000000</f>
        <v>0</v>
      </c>
      <c r="I151" s="541">
        <v>4962.3999999999996</v>
      </c>
      <c r="J151" s="539">
        <v>158</v>
      </c>
      <c r="K151" s="540">
        <f t="shared" si="850"/>
        <v>0.78405919999999996</v>
      </c>
      <c r="L151" s="538"/>
      <c r="M151" s="539"/>
      <c r="N151" s="540">
        <f t="shared" ref="N151:N153" si="862">L151*M151/1000000</f>
        <v>0</v>
      </c>
      <c r="O151" s="538"/>
      <c r="P151" s="539"/>
      <c r="Q151" s="540">
        <f t="shared" ref="Q151:Q153" si="863">O151*P151/1000000</f>
        <v>0</v>
      </c>
      <c r="R151" s="538"/>
      <c r="S151" s="539"/>
      <c r="T151" s="540">
        <f t="shared" ref="T151:T153" si="864">R151*S151/1000000</f>
        <v>0</v>
      </c>
      <c r="U151" s="538"/>
      <c r="V151" s="629"/>
      <c r="W151" s="540">
        <f t="shared" ref="W151:W153" si="865">U151*V151/1000000</f>
        <v>0</v>
      </c>
      <c r="X151" s="538"/>
      <c r="Y151" s="539">
        <f t="shared" si="851"/>
        <v>0</v>
      </c>
      <c r="Z151" s="540">
        <f t="shared" ref="Z151:Z153" si="866">X151*Y151/1000000</f>
        <v>0</v>
      </c>
      <c r="AA151" s="538"/>
      <c r="AB151" s="539">
        <f t="shared" si="852"/>
        <v>0</v>
      </c>
      <c r="AC151" s="540">
        <f t="shared" ref="AC151:AC153" si="867">AA151*AB151/1000000</f>
        <v>0</v>
      </c>
      <c r="AD151" s="538"/>
      <c r="AE151" s="539">
        <f t="shared" si="853"/>
        <v>0</v>
      </c>
      <c r="AF151" s="540">
        <f t="shared" ref="AF151:AF153" si="868">AD151*AE151/1000000</f>
        <v>0</v>
      </c>
      <c r="AG151" s="538"/>
      <c r="AH151" s="539">
        <f t="shared" si="854"/>
        <v>0</v>
      </c>
      <c r="AI151" s="540">
        <f t="shared" ref="AI151:AI153" si="869">AG151*AH151/1000000</f>
        <v>0</v>
      </c>
      <c r="AJ151" s="538"/>
      <c r="AK151" s="539">
        <f t="shared" si="855"/>
        <v>0</v>
      </c>
      <c r="AL151" s="540">
        <f t="shared" ref="AL151:AL153" si="870">AJ151*AK151/1000000</f>
        <v>0</v>
      </c>
      <c r="AM151" s="538"/>
      <c r="AN151" s="539">
        <f t="shared" si="856"/>
        <v>0</v>
      </c>
      <c r="AO151" s="540">
        <f t="shared" ref="AO151:AO153" si="871">AM151*AN151/1000000</f>
        <v>0</v>
      </c>
      <c r="AP151" s="538"/>
      <c r="AQ151" s="539">
        <f t="shared" si="857"/>
        <v>0</v>
      </c>
      <c r="AR151" s="540">
        <f t="shared" ref="AR151:AR153" si="872">AP151*AQ151/1000000</f>
        <v>0</v>
      </c>
      <c r="AS151" s="538"/>
      <c r="AT151" s="539">
        <f t="shared" si="858"/>
        <v>0</v>
      </c>
      <c r="AU151" s="540">
        <f t="shared" ref="AU151:AU153" si="873">AS151*AT151/1000000</f>
        <v>0</v>
      </c>
      <c r="AV151" s="538"/>
      <c r="AW151" s="539">
        <f t="shared" si="859"/>
        <v>0</v>
      </c>
      <c r="AX151" s="540">
        <f t="shared" ref="AX151:AX153" si="874">AV151*AW151/1000000</f>
        <v>0</v>
      </c>
      <c r="AY151" s="538"/>
      <c r="AZ151" s="539">
        <f t="shared" si="860"/>
        <v>0</v>
      </c>
      <c r="BA151" s="540">
        <f t="shared" ref="BA151:BA153" si="875">AY151*AZ151/1000000</f>
        <v>0</v>
      </c>
      <c r="BJ151" s="529">
        <f t="shared" si="672"/>
        <v>0</v>
      </c>
      <c r="BK151" s="529">
        <f t="shared" si="673"/>
        <v>0</v>
      </c>
      <c r="BL151" s="529">
        <f t="shared" si="674"/>
        <v>0.78405919999999996</v>
      </c>
      <c r="BM151" s="529">
        <f t="shared" si="675"/>
        <v>0</v>
      </c>
      <c r="BN151" s="529">
        <f t="shared" si="676"/>
        <v>0</v>
      </c>
      <c r="BO151" s="529">
        <f t="shared" si="677"/>
        <v>0</v>
      </c>
      <c r="BP151" s="529">
        <f t="shared" si="678"/>
        <v>0</v>
      </c>
      <c r="BQ151" s="529">
        <f t="shared" si="679"/>
        <v>0</v>
      </c>
      <c r="BR151" s="529">
        <f t="shared" si="680"/>
        <v>0</v>
      </c>
      <c r="BS151" s="529">
        <f t="shared" si="681"/>
        <v>0</v>
      </c>
      <c r="BT151" s="529">
        <f t="shared" si="682"/>
        <v>0</v>
      </c>
      <c r="BU151" s="529">
        <f t="shared" si="683"/>
        <v>0</v>
      </c>
      <c r="BV151" s="529">
        <f t="shared" si="684"/>
        <v>0</v>
      </c>
      <c r="BW151" s="529">
        <f t="shared" si="685"/>
        <v>0</v>
      </c>
      <c r="BX151" s="529">
        <f t="shared" si="705"/>
        <v>0</v>
      </c>
      <c r="BY151" s="529">
        <f t="shared" si="706"/>
        <v>0</v>
      </c>
      <c r="BZ151" s="529">
        <f t="shared" si="707"/>
        <v>0</v>
      </c>
      <c r="CB151" s="529">
        <f t="shared" si="686"/>
        <v>0</v>
      </c>
      <c r="CC151" s="529">
        <f t="shared" si="687"/>
        <v>0</v>
      </c>
      <c r="CD151" s="529">
        <f t="shared" si="688"/>
        <v>4962.3999999999996</v>
      </c>
      <c r="CE151" s="529">
        <f t="shared" si="689"/>
        <v>0</v>
      </c>
      <c r="CF151" s="529">
        <f t="shared" si="690"/>
        <v>0</v>
      </c>
      <c r="CG151" s="529">
        <f t="shared" si="691"/>
        <v>0</v>
      </c>
      <c r="CH151" s="529">
        <f t="shared" si="692"/>
        <v>0</v>
      </c>
      <c r="CI151" s="529">
        <f t="shared" si="693"/>
        <v>0</v>
      </c>
      <c r="CJ151" s="529">
        <f t="shared" si="694"/>
        <v>0</v>
      </c>
      <c r="CK151" s="529">
        <f t="shared" si="695"/>
        <v>0</v>
      </c>
      <c r="CL151" s="529">
        <f t="shared" si="696"/>
        <v>0</v>
      </c>
      <c r="CM151" s="529">
        <f t="shared" si="697"/>
        <v>0</v>
      </c>
      <c r="CN151" s="529">
        <f t="shared" si="698"/>
        <v>0</v>
      </c>
      <c r="CO151" s="529">
        <f t="shared" si="699"/>
        <v>0</v>
      </c>
      <c r="CP151" s="529">
        <f t="shared" si="708"/>
        <v>0</v>
      </c>
      <c r="CQ151" s="529">
        <f t="shared" si="709"/>
        <v>0</v>
      </c>
      <c r="CR151" s="529">
        <f t="shared" si="710"/>
        <v>0</v>
      </c>
    </row>
    <row r="152" spans="1:96" x14ac:dyDescent="0.2">
      <c r="A152" s="761"/>
      <c r="B152" s="537" t="s">
        <v>495</v>
      </c>
      <c r="C152" s="538"/>
      <c r="D152" s="539"/>
      <c r="E152" s="540">
        <f t="shared" si="849"/>
        <v>0</v>
      </c>
      <c r="F152" s="541"/>
      <c r="G152" s="539"/>
      <c r="H152" s="540">
        <f t="shared" si="861"/>
        <v>0</v>
      </c>
      <c r="I152" s="541">
        <v>2213.75</v>
      </c>
      <c r="J152" s="539">
        <v>180</v>
      </c>
      <c r="K152" s="540">
        <f t="shared" si="850"/>
        <v>0.39847500000000002</v>
      </c>
      <c r="L152" s="538"/>
      <c r="M152" s="539"/>
      <c r="N152" s="540">
        <f t="shared" si="862"/>
        <v>0</v>
      </c>
      <c r="O152" s="538"/>
      <c r="P152" s="539"/>
      <c r="Q152" s="540">
        <f t="shared" si="863"/>
        <v>0</v>
      </c>
      <c r="R152" s="538"/>
      <c r="S152" s="539"/>
      <c r="T152" s="540">
        <f t="shared" si="864"/>
        <v>0</v>
      </c>
      <c r="U152" s="538"/>
      <c r="V152" s="629"/>
      <c r="W152" s="540">
        <f t="shared" si="865"/>
        <v>0</v>
      </c>
      <c r="X152" s="538"/>
      <c r="Y152" s="539">
        <f t="shared" si="851"/>
        <v>0</v>
      </c>
      <c r="Z152" s="540">
        <f t="shared" si="866"/>
        <v>0</v>
      </c>
      <c r="AA152" s="538"/>
      <c r="AB152" s="539">
        <f t="shared" si="852"/>
        <v>0</v>
      </c>
      <c r="AC152" s="540">
        <f t="shared" si="867"/>
        <v>0</v>
      </c>
      <c r="AD152" s="538"/>
      <c r="AE152" s="539">
        <f t="shared" si="853"/>
        <v>0</v>
      </c>
      <c r="AF152" s="540">
        <f t="shared" si="868"/>
        <v>0</v>
      </c>
      <c r="AG152" s="538"/>
      <c r="AH152" s="539">
        <f t="shared" si="854"/>
        <v>0</v>
      </c>
      <c r="AI152" s="540">
        <f t="shared" si="869"/>
        <v>0</v>
      </c>
      <c r="AJ152" s="538"/>
      <c r="AK152" s="539">
        <f t="shared" si="855"/>
        <v>0</v>
      </c>
      <c r="AL152" s="540">
        <f t="shared" si="870"/>
        <v>0</v>
      </c>
      <c r="AM152" s="538"/>
      <c r="AN152" s="539">
        <f t="shared" si="856"/>
        <v>0</v>
      </c>
      <c r="AO152" s="540">
        <f t="shared" si="871"/>
        <v>0</v>
      </c>
      <c r="AP152" s="538"/>
      <c r="AQ152" s="539">
        <f t="shared" si="857"/>
        <v>0</v>
      </c>
      <c r="AR152" s="540">
        <f t="shared" si="872"/>
        <v>0</v>
      </c>
      <c r="AS152" s="538"/>
      <c r="AT152" s="539">
        <f t="shared" si="858"/>
        <v>0</v>
      </c>
      <c r="AU152" s="540">
        <f t="shared" si="873"/>
        <v>0</v>
      </c>
      <c r="AV152" s="538"/>
      <c r="AW152" s="539">
        <f t="shared" si="859"/>
        <v>0</v>
      </c>
      <c r="AX152" s="540">
        <f t="shared" si="874"/>
        <v>0</v>
      </c>
      <c r="AY152" s="538"/>
      <c r="AZ152" s="539">
        <f t="shared" si="860"/>
        <v>0</v>
      </c>
      <c r="BA152" s="540">
        <f t="shared" si="875"/>
        <v>0</v>
      </c>
      <c r="BJ152" s="529">
        <f t="shared" si="672"/>
        <v>0</v>
      </c>
      <c r="BK152" s="529">
        <f t="shared" si="673"/>
        <v>0</v>
      </c>
      <c r="BL152" s="529">
        <f t="shared" si="674"/>
        <v>0.39847500000000002</v>
      </c>
      <c r="BM152" s="529">
        <f t="shared" si="675"/>
        <v>0</v>
      </c>
      <c r="BN152" s="529">
        <f t="shared" si="676"/>
        <v>0</v>
      </c>
      <c r="BO152" s="529">
        <f t="shared" si="677"/>
        <v>0</v>
      </c>
      <c r="BP152" s="529">
        <f t="shared" si="678"/>
        <v>0</v>
      </c>
      <c r="BQ152" s="529">
        <f t="shared" si="679"/>
        <v>0</v>
      </c>
      <c r="BR152" s="529">
        <f t="shared" si="680"/>
        <v>0</v>
      </c>
      <c r="BS152" s="529">
        <f t="shared" si="681"/>
        <v>0</v>
      </c>
      <c r="BT152" s="529">
        <f t="shared" si="682"/>
        <v>0</v>
      </c>
      <c r="BU152" s="529">
        <f t="shared" si="683"/>
        <v>0</v>
      </c>
      <c r="BV152" s="529">
        <f t="shared" si="684"/>
        <v>0</v>
      </c>
      <c r="BW152" s="529">
        <f t="shared" si="685"/>
        <v>0</v>
      </c>
      <c r="BX152" s="529">
        <f t="shared" si="705"/>
        <v>0</v>
      </c>
      <c r="BY152" s="529">
        <f t="shared" si="706"/>
        <v>0</v>
      </c>
      <c r="BZ152" s="529">
        <f t="shared" si="707"/>
        <v>0</v>
      </c>
      <c r="CB152" s="529">
        <f t="shared" si="686"/>
        <v>0</v>
      </c>
      <c r="CC152" s="529">
        <f t="shared" si="687"/>
        <v>0</v>
      </c>
      <c r="CD152" s="529">
        <f t="shared" si="688"/>
        <v>2213.75</v>
      </c>
      <c r="CE152" s="529">
        <f t="shared" si="689"/>
        <v>0</v>
      </c>
      <c r="CF152" s="529">
        <f t="shared" si="690"/>
        <v>0</v>
      </c>
      <c r="CG152" s="529">
        <f t="shared" si="691"/>
        <v>0</v>
      </c>
      <c r="CH152" s="529">
        <f t="shared" si="692"/>
        <v>0</v>
      </c>
      <c r="CI152" s="529">
        <f t="shared" si="693"/>
        <v>0</v>
      </c>
      <c r="CJ152" s="529">
        <f t="shared" si="694"/>
        <v>0</v>
      </c>
      <c r="CK152" s="529">
        <f t="shared" si="695"/>
        <v>0</v>
      </c>
      <c r="CL152" s="529">
        <f t="shared" si="696"/>
        <v>0</v>
      </c>
      <c r="CM152" s="529">
        <f t="shared" si="697"/>
        <v>0</v>
      </c>
      <c r="CN152" s="529">
        <f t="shared" si="698"/>
        <v>0</v>
      </c>
      <c r="CO152" s="529">
        <f t="shared" si="699"/>
        <v>0</v>
      </c>
      <c r="CP152" s="529">
        <f t="shared" si="708"/>
        <v>0</v>
      </c>
      <c r="CQ152" s="529">
        <f t="shared" si="709"/>
        <v>0</v>
      </c>
      <c r="CR152" s="529">
        <f t="shared" si="710"/>
        <v>0</v>
      </c>
    </row>
    <row r="153" spans="1:96" x14ac:dyDescent="0.2">
      <c r="A153" s="761"/>
      <c r="B153" s="537" t="s">
        <v>502</v>
      </c>
      <c r="C153" s="538"/>
      <c r="D153" s="539"/>
      <c r="E153" s="540">
        <f t="shared" si="849"/>
        <v>0</v>
      </c>
      <c r="F153" s="541"/>
      <c r="G153" s="539"/>
      <c r="H153" s="540">
        <f t="shared" si="861"/>
        <v>0</v>
      </c>
      <c r="I153" s="541"/>
      <c r="J153" s="539"/>
      <c r="K153" s="540">
        <f t="shared" si="850"/>
        <v>0</v>
      </c>
      <c r="L153" s="538"/>
      <c r="M153" s="539"/>
      <c r="N153" s="540">
        <f t="shared" si="862"/>
        <v>0</v>
      </c>
      <c r="O153" s="538"/>
      <c r="P153" s="539"/>
      <c r="Q153" s="540">
        <f t="shared" si="863"/>
        <v>0</v>
      </c>
      <c r="R153" s="538"/>
      <c r="S153" s="539"/>
      <c r="T153" s="540">
        <f t="shared" si="864"/>
        <v>0</v>
      </c>
      <c r="U153" s="538"/>
      <c r="V153" s="629"/>
      <c r="W153" s="540">
        <f t="shared" si="865"/>
        <v>0</v>
      </c>
      <c r="X153" s="538"/>
      <c r="Y153" s="539">
        <f t="shared" si="851"/>
        <v>0</v>
      </c>
      <c r="Z153" s="540">
        <f t="shared" si="866"/>
        <v>0</v>
      </c>
      <c r="AA153" s="538"/>
      <c r="AB153" s="539">
        <f t="shared" si="852"/>
        <v>0</v>
      </c>
      <c r="AC153" s="540">
        <f t="shared" si="867"/>
        <v>0</v>
      </c>
      <c r="AD153" s="538"/>
      <c r="AE153" s="539">
        <f t="shared" si="853"/>
        <v>0</v>
      </c>
      <c r="AF153" s="540">
        <f t="shared" si="868"/>
        <v>0</v>
      </c>
      <c r="AG153" s="538"/>
      <c r="AH153" s="539">
        <f t="shared" si="854"/>
        <v>0</v>
      </c>
      <c r="AI153" s="540">
        <f t="shared" si="869"/>
        <v>0</v>
      </c>
      <c r="AJ153" s="538"/>
      <c r="AK153" s="539">
        <f t="shared" si="855"/>
        <v>0</v>
      </c>
      <c r="AL153" s="540">
        <f t="shared" si="870"/>
        <v>0</v>
      </c>
      <c r="AM153" s="538"/>
      <c r="AN153" s="539">
        <f t="shared" si="856"/>
        <v>0</v>
      </c>
      <c r="AO153" s="540">
        <f t="shared" si="871"/>
        <v>0</v>
      </c>
      <c r="AP153" s="538"/>
      <c r="AQ153" s="539">
        <f t="shared" si="857"/>
        <v>0</v>
      </c>
      <c r="AR153" s="540">
        <f t="shared" si="872"/>
        <v>0</v>
      </c>
      <c r="AS153" s="538"/>
      <c r="AT153" s="539">
        <f t="shared" si="858"/>
        <v>0</v>
      </c>
      <c r="AU153" s="540">
        <f t="shared" si="873"/>
        <v>0</v>
      </c>
      <c r="AV153" s="538"/>
      <c r="AW153" s="539">
        <f t="shared" si="859"/>
        <v>0</v>
      </c>
      <c r="AX153" s="540">
        <f t="shared" si="874"/>
        <v>0</v>
      </c>
      <c r="AY153" s="538"/>
      <c r="AZ153" s="539">
        <f t="shared" si="860"/>
        <v>0</v>
      </c>
      <c r="BA153" s="540">
        <f t="shared" si="875"/>
        <v>0</v>
      </c>
      <c r="BJ153" s="529">
        <f t="shared" si="672"/>
        <v>0</v>
      </c>
      <c r="BK153" s="529">
        <f t="shared" si="673"/>
        <v>0</v>
      </c>
      <c r="BL153" s="529">
        <f t="shared" si="674"/>
        <v>0</v>
      </c>
      <c r="BM153" s="529">
        <f t="shared" si="675"/>
        <v>0</v>
      </c>
      <c r="BN153" s="529">
        <f t="shared" si="676"/>
        <v>0</v>
      </c>
      <c r="BO153" s="529">
        <f t="shared" si="677"/>
        <v>0</v>
      </c>
      <c r="BP153" s="529">
        <f t="shared" si="678"/>
        <v>0</v>
      </c>
      <c r="BQ153" s="529">
        <f t="shared" si="679"/>
        <v>0</v>
      </c>
      <c r="BR153" s="529">
        <f t="shared" si="680"/>
        <v>0</v>
      </c>
      <c r="BS153" s="529">
        <f t="shared" si="681"/>
        <v>0</v>
      </c>
      <c r="BT153" s="529">
        <f t="shared" si="682"/>
        <v>0</v>
      </c>
      <c r="BU153" s="529">
        <f t="shared" si="683"/>
        <v>0</v>
      </c>
      <c r="BV153" s="529">
        <f t="shared" si="684"/>
        <v>0</v>
      </c>
      <c r="BW153" s="529">
        <f t="shared" si="685"/>
        <v>0</v>
      </c>
      <c r="BX153" s="529">
        <f t="shared" si="705"/>
        <v>0</v>
      </c>
      <c r="BY153" s="529">
        <f t="shared" si="706"/>
        <v>0</v>
      </c>
      <c r="BZ153" s="529">
        <f t="shared" si="707"/>
        <v>0</v>
      </c>
      <c r="CB153" s="529">
        <f t="shared" si="686"/>
        <v>0</v>
      </c>
      <c r="CC153" s="529">
        <f t="shared" si="687"/>
        <v>0</v>
      </c>
      <c r="CD153" s="529">
        <f t="shared" si="688"/>
        <v>0</v>
      </c>
      <c r="CE153" s="529">
        <f t="shared" si="689"/>
        <v>0</v>
      </c>
      <c r="CF153" s="529">
        <f t="shared" si="690"/>
        <v>0</v>
      </c>
      <c r="CG153" s="529">
        <f t="shared" si="691"/>
        <v>0</v>
      </c>
      <c r="CH153" s="529">
        <f t="shared" si="692"/>
        <v>0</v>
      </c>
      <c r="CI153" s="529">
        <f t="shared" si="693"/>
        <v>0</v>
      </c>
      <c r="CJ153" s="529">
        <f t="shared" si="694"/>
        <v>0</v>
      </c>
      <c r="CK153" s="529">
        <f t="shared" si="695"/>
        <v>0</v>
      </c>
      <c r="CL153" s="529">
        <f t="shared" si="696"/>
        <v>0</v>
      </c>
      <c r="CM153" s="529">
        <f t="shared" si="697"/>
        <v>0</v>
      </c>
      <c r="CN153" s="529">
        <f t="shared" si="698"/>
        <v>0</v>
      </c>
      <c r="CO153" s="529">
        <f t="shared" si="699"/>
        <v>0</v>
      </c>
      <c r="CP153" s="529">
        <f t="shared" si="708"/>
        <v>0</v>
      </c>
      <c r="CQ153" s="529">
        <f t="shared" si="709"/>
        <v>0</v>
      </c>
      <c r="CR153" s="529">
        <f t="shared" si="710"/>
        <v>0</v>
      </c>
    </row>
    <row r="154" spans="1:96" ht="14.25" thickBot="1" x14ac:dyDescent="0.3">
      <c r="A154" s="761"/>
      <c r="B154" s="537" t="s">
        <v>619</v>
      </c>
      <c r="C154" s="538">
        <f>C150*0.46+C151*0.46+C152*0.24+C153*0.52</f>
        <v>0</v>
      </c>
      <c r="D154" s="539"/>
      <c r="E154" s="540">
        <f>SUM(E150:E153)</f>
        <v>0</v>
      </c>
      <c r="F154" s="538">
        <f>F150*0.46+F151*0.46+F152*0.24+F153*0.52</f>
        <v>11025.74</v>
      </c>
      <c r="G154" s="539"/>
      <c r="H154" s="540">
        <f>SUM(H150:H153)</f>
        <v>5.608746</v>
      </c>
      <c r="I154" s="538">
        <f>I150*0.46+I151*0.46+I152*0.24+I153*0.52</f>
        <v>4653.82</v>
      </c>
      <c r="J154" s="539"/>
      <c r="K154" s="540">
        <f>SUM(K150:K153)</f>
        <v>4.3022222000000001</v>
      </c>
      <c r="L154" s="538">
        <f>L150*0.46+L151*0.46+L152*0.24+L153*0.52</f>
        <v>0</v>
      </c>
      <c r="M154" s="539"/>
      <c r="N154" s="540">
        <f>SUM(N150:N153)</f>
        <v>0</v>
      </c>
      <c r="O154" s="538">
        <f>O150*0.46+O151*0.46+O152*0.24+O153*0.52</f>
        <v>2293.5140000000001</v>
      </c>
      <c r="P154" s="539"/>
      <c r="Q154" s="540">
        <f>SUM(Q150:Q153)</f>
        <v>1.5456289999999999</v>
      </c>
      <c r="R154" s="538">
        <f>R150*0.46+R151*0.46+R152*0.24+R153*0.52</f>
        <v>0</v>
      </c>
      <c r="S154" s="539"/>
      <c r="T154" s="540">
        <f>SUM(T150:T153)</f>
        <v>0</v>
      </c>
      <c r="U154" s="538">
        <f>U150*0.46+U151*0.46+U152*0.24+U153*0.52</f>
        <v>3983.1400000000003</v>
      </c>
      <c r="V154" s="629"/>
      <c r="W154" s="540">
        <f>SUM(W150:W153)</f>
        <v>3.5605480000000003</v>
      </c>
      <c r="X154" s="538">
        <f>X150*0.46+X151*0.46+X152*0.24+X153*0.52</f>
        <v>4404.96</v>
      </c>
      <c r="Y154" s="539"/>
      <c r="Z154" s="540">
        <f>SUM(Z150:Z153)</f>
        <v>4.0602239999999998</v>
      </c>
      <c r="AA154" s="538">
        <f>AA150*0.46+AA151*0.46+AA152*0.24+AA153*0.52</f>
        <v>3733.82</v>
      </c>
      <c r="AB154" s="539"/>
      <c r="AC154" s="540">
        <f>SUM(AC150:AC153)</f>
        <v>3.547129</v>
      </c>
      <c r="AD154" s="538">
        <f>AD150*0.46+AD151*0.46+AD152*0.24+AD153*0.52</f>
        <v>2999.6600000000003</v>
      </c>
      <c r="AE154" s="539"/>
      <c r="AF154" s="540">
        <f>SUM(AF150:AF153)</f>
        <v>2.93445</v>
      </c>
      <c r="AG154" s="538">
        <f>AG150*0.46+AG151*0.46+AG152*0.24+AG153*0.52</f>
        <v>2999.6600000000003</v>
      </c>
      <c r="AH154" s="539"/>
      <c r="AI154" s="540">
        <f>SUM(AI150:AI153)</f>
        <v>3.025744</v>
      </c>
      <c r="AJ154" s="538">
        <f>AJ150*0.46+AJ151*0.46+AJ152*0.24+AJ153*0.52</f>
        <v>2999.6600000000003</v>
      </c>
      <c r="AK154" s="539"/>
      <c r="AL154" s="540">
        <f>SUM(AL150:AL153)</f>
        <v>3.117038</v>
      </c>
      <c r="AM154" s="538">
        <f>AM150*0.46+AM151*0.46+AM152*0.24+AM153*0.52</f>
        <v>2999.6600000000003</v>
      </c>
      <c r="AN154" s="539"/>
      <c r="AO154" s="540">
        <f>SUM(AO150:AO153)</f>
        <v>3.208332</v>
      </c>
      <c r="AP154" s="538">
        <f>AP150*0.46+AP151*0.46+AP152*0.24+AP153*0.52</f>
        <v>2999.6600000000003</v>
      </c>
      <c r="AQ154" s="539"/>
      <c r="AR154" s="540">
        <f>SUM(AR150:AR153)</f>
        <v>3.3061470000000002</v>
      </c>
      <c r="AS154" s="538">
        <f>AS150*0.46+AS151*0.46+AS152*0.24+AS153*0.52</f>
        <v>2999.6600000000003</v>
      </c>
      <c r="AT154" s="539"/>
      <c r="AU154" s="540">
        <f>SUM(AU150:AU153)</f>
        <v>3.4039619999999999</v>
      </c>
      <c r="AV154" s="538">
        <f>AV150*0.46+AV151*0.46+AV152*0.24+AV153*0.52</f>
        <v>2999.6600000000003</v>
      </c>
      <c r="AW154" s="539"/>
      <c r="AX154" s="540">
        <f>SUM(AX150:AX153)</f>
        <v>3.5082979999999999</v>
      </c>
      <c r="AY154" s="538">
        <f>AY150*0.46+AY151*0.46+AY152*0.24+AY153*0.52</f>
        <v>2999.6600000000003</v>
      </c>
      <c r="AZ154" s="539"/>
      <c r="BA154" s="540">
        <f>SUM(BA150:BA153)</f>
        <v>3.6126339999999999</v>
      </c>
      <c r="BJ154" s="529">
        <f t="shared" si="672"/>
        <v>0</v>
      </c>
      <c r="BK154" s="529">
        <f t="shared" si="673"/>
        <v>5.608746</v>
      </c>
      <c r="BL154" s="529">
        <f t="shared" si="674"/>
        <v>4.3022222000000001</v>
      </c>
      <c r="BM154" s="529">
        <f t="shared" si="675"/>
        <v>0</v>
      </c>
      <c r="BN154" s="529">
        <f t="shared" si="676"/>
        <v>1.5456289999999999</v>
      </c>
      <c r="BO154" s="529">
        <f t="shared" si="677"/>
        <v>0</v>
      </c>
      <c r="BP154" s="529">
        <f t="shared" si="678"/>
        <v>3.5605480000000003</v>
      </c>
      <c r="BQ154" s="529">
        <f t="shared" si="679"/>
        <v>4.0602239999999998</v>
      </c>
      <c r="BR154" s="529">
        <f t="shared" si="680"/>
        <v>3.547129</v>
      </c>
      <c r="BS154" s="529">
        <f t="shared" si="681"/>
        <v>2.93445</v>
      </c>
      <c r="BT154" s="529">
        <f t="shared" si="682"/>
        <v>3.025744</v>
      </c>
      <c r="BU154" s="529">
        <f t="shared" si="683"/>
        <v>3.117038</v>
      </c>
      <c r="BV154" s="529">
        <f t="shared" si="684"/>
        <v>3.208332</v>
      </c>
      <c r="BW154" s="529">
        <f t="shared" si="685"/>
        <v>3.3061470000000002</v>
      </c>
      <c r="BX154" s="529">
        <f t="shared" si="705"/>
        <v>3.4039619999999999</v>
      </c>
      <c r="BY154" s="529">
        <f t="shared" si="706"/>
        <v>3.5082979999999999</v>
      </c>
      <c r="BZ154" s="529">
        <f t="shared" si="707"/>
        <v>3.6126339999999999</v>
      </c>
      <c r="CB154" s="529">
        <f t="shared" si="686"/>
        <v>0</v>
      </c>
      <c r="CC154" s="529">
        <f t="shared" si="687"/>
        <v>11025.74</v>
      </c>
      <c r="CD154" s="529">
        <f t="shared" si="688"/>
        <v>4653.82</v>
      </c>
      <c r="CE154" s="529">
        <f t="shared" si="689"/>
        <v>0</v>
      </c>
      <c r="CF154" s="529">
        <f t="shared" si="690"/>
        <v>2293.5140000000001</v>
      </c>
      <c r="CG154" s="529">
        <f t="shared" si="691"/>
        <v>0</v>
      </c>
      <c r="CH154" s="529">
        <f t="shared" si="692"/>
        <v>3983.1400000000003</v>
      </c>
      <c r="CI154" s="529">
        <f t="shared" si="693"/>
        <v>4404.96</v>
      </c>
      <c r="CJ154" s="529">
        <f t="shared" si="694"/>
        <v>3733.82</v>
      </c>
      <c r="CK154" s="529">
        <f t="shared" si="695"/>
        <v>2999.6600000000003</v>
      </c>
      <c r="CL154" s="529">
        <f t="shared" si="696"/>
        <v>2999.6600000000003</v>
      </c>
      <c r="CM154" s="529">
        <f t="shared" si="697"/>
        <v>2999.6600000000003</v>
      </c>
      <c r="CN154" s="529">
        <f t="shared" si="698"/>
        <v>2999.6600000000003</v>
      </c>
      <c r="CO154" s="529">
        <f t="shared" si="699"/>
        <v>2999.6600000000003</v>
      </c>
      <c r="CP154" s="529">
        <f t="shared" si="708"/>
        <v>2999.6600000000003</v>
      </c>
      <c r="CQ154" s="529">
        <f t="shared" si="709"/>
        <v>2999.6600000000003</v>
      </c>
      <c r="CR154" s="529">
        <f t="shared" si="710"/>
        <v>2999.6600000000003</v>
      </c>
    </row>
    <row r="155" spans="1:96" x14ac:dyDescent="0.2">
      <c r="A155" s="770" t="s">
        <v>644</v>
      </c>
      <c r="B155" s="550" t="s">
        <v>494</v>
      </c>
      <c r="C155" s="551">
        <f>SUMIF($B$134:$B$154,$B155,C$134:C$154)</f>
        <v>0</v>
      </c>
      <c r="D155" s="552"/>
      <c r="E155" s="553">
        <f t="shared" ref="E155:R160" si="876">SUMIF($B$134:$B$154,$B155,E$134:E$154)</f>
        <v>0</v>
      </c>
      <c r="F155" s="551">
        <f t="shared" si="876"/>
        <v>32431.5</v>
      </c>
      <c r="G155" s="552"/>
      <c r="H155" s="553">
        <f t="shared" ref="H155:I160" si="877">SUMIF($B$134:$B$154,$B155,H$134:H$154)</f>
        <v>7.5887185000000006</v>
      </c>
      <c r="I155" s="551">
        <f t="shared" si="877"/>
        <v>3999.6</v>
      </c>
      <c r="J155" s="552"/>
      <c r="K155" s="553">
        <f t="shared" ref="K155:L160" si="878">SUMIF($B$134:$B$154,$B155,K$134:K$154)</f>
        <v>3.119688</v>
      </c>
      <c r="L155" s="554">
        <f t="shared" si="878"/>
        <v>558</v>
      </c>
      <c r="M155" s="552"/>
      <c r="N155" s="553">
        <f t="shared" ref="N155:O160" si="879">SUMIF($B$134:$B$154,$B155,N$134:N$154)</f>
        <v>0.16014600000000001</v>
      </c>
      <c r="O155" s="551">
        <f t="shared" si="879"/>
        <v>9973.7000000000007</v>
      </c>
      <c r="P155" s="552"/>
      <c r="Q155" s="553">
        <f t="shared" ref="Q155:R160" si="880">SUMIF($B$134:$B$154,$B155,Q$134:Q$154)</f>
        <v>2.9023105999999999</v>
      </c>
      <c r="R155" s="551">
        <f t="shared" si="880"/>
        <v>0</v>
      </c>
      <c r="S155" s="552"/>
      <c r="T155" s="553">
        <f t="shared" ref="T155" si="881">SUMIF($B$134:$B$154,$B155,T$134:T$154)/1000000</f>
        <v>0</v>
      </c>
      <c r="U155" s="551">
        <f>SUMIF($B$134:$B$154,$B155,U$134:U$154)</f>
        <v>8659</v>
      </c>
      <c r="V155" s="631"/>
      <c r="W155" s="553">
        <f>SUMIF($B$134:$B$154,$B155,W$134:W$154)</f>
        <v>3.5605480000000003</v>
      </c>
      <c r="X155" s="551">
        <f>SUMIF($B$134:$B$154,$B155,X$134:X$154)</f>
        <v>9576</v>
      </c>
      <c r="Y155" s="552"/>
      <c r="Z155" s="553">
        <f>SUMIF($B$134:$B$154,$B155,Z$134:Z$154)</f>
        <v>4.0602239999999998</v>
      </c>
      <c r="AA155" s="551">
        <f>SUMIF($B$134:$B$154,$B155,AA$134:AA$154)</f>
        <v>8117</v>
      </c>
      <c r="AB155" s="552"/>
      <c r="AC155" s="553">
        <f>SUMIF($B$134:$B$154,$B155,AC$134:AC$154)</f>
        <v>3.547129</v>
      </c>
      <c r="AD155" s="551">
        <f>SUMIF($B$134:$B$154,$B155,AD$134:AD$154)</f>
        <v>6521</v>
      </c>
      <c r="AE155" s="552"/>
      <c r="AF155" s="553">
        <f>SUMIF($B$134:$B$154,$B155,AF$134:AF$154)</f>
        <v>2.93445</v>
      </c>
      <c r="AG155" s="551">
        <f>SUMIF($B$134:$B$154,$B155,AG$134:AG$154)</f>
        <v>6521</v>
      </c>
      <c r="AH155" s="552"/>
      <c r="AI155" s="553">
        <f>SUMIF($B$134:$B$154,$B155,AI$134:AI$154)</f>
        <v>3.025744</v>
      </c>
      <c r="AJ155" s="551">
        <f>SUMIF($B$134:$B$154,$B155,AJ$134:AJ$154)</f>
        <v>6521</v>
      </c>
      <c r="AK155" s="552"/>
      <c r="AL155" s="553">
        <f>SUMIF($B$134:$B$154,$B155,AL$134:AL$154)</f>
        <v>3.117038</v>
      </c>
      <c r="AM155" s="551">
        <f>SUMIF($B$134:$B$154,$B155,AM$134:AM$154)</f>
        <v>6521</v>
      </c>
      <c r="AN155" s="552"/>
      <c r="AO155" s="553">
        <f>SUMIF($B$134:$B$154,$B155,AO$134:AO$154)</f>
        <v>3.208332</v>
      </c>
      <c r="AP155" s="551">
        <f>SUMIF($B$134:$B$154,$B155,AP$134:AP$154)</f>
        <v>6521</v>
      </c>
      <c r="AQ155" s="552"/>
      <c r="AR155" s="553">
        <f>SUMIF($B$134:$B$154,$B155,AR$134:AR$154)</f>
        <v>3.3061470000000002</v>
      </c>
      <c r="AS155" s="551">
        <f>SUMIF($B$134:$B$154,$B155,AS$134:AS$154)</f>
        <v>6521</v>
      </c>
      <c r="AT155" s="552"/>
      <c r="AU155" s="553">
        <f>SUMIF($B$134:$B$154,$B155,AU$134:AU$154)</f>
        <v>3.4039619999999999</v>
      </c>
      <c r="AV155" s="551">
        <f>SUMIF($B$134:$B$154,$B155,AV$134:AV$154)</f>
        <v>6521</v>
      </c>
      <c r="AW155" s="552"/>
      <c r="AX155" s="553">
        <f>SUMIF($B$134:$B$154,$B155,AX$134:AX$154)</f>
        <v>3.5082979999999999</v>
      </c>
      <c r="AY155" s="551">
        <f>SUMIF($B$134:$B$154,$B155,AY$134:AY$154)</f>
        <v>6521</v>
      </c>
      <c r="AZ155" s="552"/>
      <c r="BA155" s="553">
        <f>SUMIF($B$134:$B$154,$B155,BA$134:BA$154)</f>
        <v>3.6126339999999999</v>
      </c>
      <c r="BJ155" s="529">
        <f t="shared" si="672"/>
        <v>0</v>
      </c>
      <c r="BK155" s="529">
        <f t="shared" si="673"/>
        <v>7.5887185000000006</v>
      </c>
      <c r="BL155" s="529">
        <f t="shared" si="674"/>
        <v>3.119688</v>
      </c>
      <c r="BM155" s="529">
        <f t="shared" si="675"/>
        <v>0.16014600000000001</v>
      </c>
      <c r="BN155" s="529">
        <f t="shared" si="676"/>
        <v>2.9023105999999999</v>
      </c>
      <c r="BO155" s="529">
        <f t="shared" si="677"/>
        <v>0</v>
      </c>
      <c r="BP155" s="529">
        <f t="shared" si="678"/>
        <v>3.5605480000000003</v>
      </c>
      <c r="BQ155" s="529">
        <f t="shared" si="679"/>
        <v>4.0602239999999998</v>
      </c>
      <c r="BR155" s="529">
        <f t="shared" si="680"/>
        <v>3.547129</v>
      </c>
      <c r="BS155" s="529">
        <f t="shared" si="681"/>
        <v>2.93445</v>
      </c>
      <c r="BT155" s="529">
        <f t="shared" si="682"/>
        <v>3.025744</v>
      </c>
      <c r="BU155" s="529">
        <f t="shared" si="683"/>
        <v>3.117038</v>
      </c>
      <c r="BV155" s="529">
        <f t="shared" si="684"/>
        <v>3.208332</v>
      </c>
      <c r="BW155" s="529">
        <f t="shared" si="685"/>
        <v>3.3061470000000002</v>
      </c>
      <c r="BX155" s="529">
        <f t="shared" si="705"/>
        <v>3.4039619999999999</v>
      </c>
      <c r="BY155" s="529">
        <f t="shared" si="706"/>
        <v>3.5082979999999999</v>
      </c>
      <c r="BZ155" s="529">
        <f t="shared" si="707"/>
        <v>3.6126339999999999</v>
      </c>
      <c r="CB155" s="529">
        <f t="shared" si="686"/>
        <v>0</v>
      </c>
      <c r="CC155" s="529">
        <f t="shared" si="687"/>
        <v>32431.5</v>
      </c>
      <c r="CD155" s="529">
        <f t="shared" si="688"/>
        <v>3999.6</v>
      </c>
      <c r="CE155" s="529">
        <f t="shared" si="689"/>
        <v>558</v>
      </c>
      <c r="CF155" s="529">
        <f t="shared" si="690"/>
        <v>9973.7000000000007</v>
      </c>
      <c r="CG155" s="529">
        <f t="shared" si="691"/>
        <v>0</v>
      </c>
      <c r="CH155" s="529">
        <f t="shared" si="692"/>
        <v>8659</v>
      </c>
      <c r="CI155" s="529">
        <f t="shared" si="693"/>
        <v>9576</v>
      </c>
      <c r="CJ155" s="529">
        <f t="shared" si="694"/>
        <v>8117</v>
      </c>
      <c r="CK155" s="529">
        <f t="shared" si="695"/>
        <v>6521</v>
      </c>
      <c r="CL155" s="529">
        <f t="shared" si="696"/>
        <v>6521</v>
      </c>
      <c r="CM155" s="529">
        <f t="shared" si="697"/>
        <v>6521</v>
      </c>
      <c r="CN155" s="529">
        <f t="shared" si="698"/>
        <v>6521</v>
      </c>
      <c r="CO155" s="529">
        <f t="shared" si="699"/>
        <v>6521</v>
      </c>
      <c r="CP155" s="529">
        <f t="shared" si="708"/>
        <v>6521</v>
      </c>
      <c r="CQ155" s="529">
        <f t="shared" si="709"/>
        <v>6521</v>
      </c>
      <c r="CR155" s="529">
        <f t="shared" si="710"/>
        <v>6521</v>
      </c>
    </row>
    <row r="156" spans="1:96" x14ac:dyDescent="0.2">
      <c r="A156" s="771"/>
      <c r="B156" s="555" t="s">
        <v>618</v>
      </c>
      <c r="C156" s="559">
        <f t="shared" ref="C156:C160" si="882">SUMIF($B$134:$B$154,$B156,C$134:C$154)</f>
        <v>0</v>
      </c>
      <c r="D156" s="557"/>
      <c r="E156" s="558">
        <f t="shared" si="876"/>
        <v>0</v>
      </c>
      <c r="F156" s="559">
        <f t="shared" si="876"/>
        <v>0</v>
      </c>
      <c r="G156" s="557"/>
      <c r="H156" s="558">
        <f t="shared" si="877"/>
        <v>0</v>
      </c>
      <c r="I156" s="559">
        <f t="shared" si="876"/>
        <v>4962.3999999999996</v>
      </c>
      <c r="J156" s="557"/>
      <c r="K156" s="558">
        <f t="shared" si="878"/>
        <v>0.78405919999999996</v>
      </c>
      <c r="L156" s="556">
        <f t="shared" si="876"/>
        <v>0</v>
      </c>
      <c r="M156" s="557"/>
      <c r="N156" s="558">
        <f t="shared" si="879"/>
        <v>0</v>
      </c>
      <c r="O156" s="559">
        <f t="shared" si="876"/>
        <v>0</v>
      </c>
      <c r="P156" s="557"/>
      <c r="Q156" s="558">
        <f t="shared" si="880"/>
        <v>0</v>
      </c>
      <c r="R156" s="559">
        <f t="shared" si="876"/>
        <v>0</v>
      </c>
      <c r="S156" s="557"/>
      <c r="T156" s="558">
        <f>SUMIF($B$134:$B$154,$B156,T$134:T$154)</f>
        <v>0</v>
      </c>
      <c r="U156" s="559">
        <f t="shared" ref="U156:W160" si="883">SUMIF($B$134:$B$154,$B156,U$134:U$154)</f>
        <v>0</v>
      </c>
      <c r="V156" s="632"/>
      <c r="W156" s="558">
        <f t="shared" si="883"/>
        <v>0</v>
      </c>
      <c r="X156" s="559">
        <f>SUMIF($B$134:$B$154,$B156,X$134:X$154)</f>
        <v>0</v>
      </c>
      <c r="Y156" s="557"/>
      <c r="Z156" s="558">
        <f t="shared" ref="Z156:Z160" si="884">SUMIF($B$134:$B$154,$B156,Z$134:Z$154)</f>
        <v>0</v>
      </c>
      <c r="AA156" s="559">
        <f>SUMIF($B$134:$B$154,$B156,AA$134:AA$154)</f>
        <v>0</v>
      </c>
      <c r="AB156" s="557"/>
      <c r="AC156" s="558">
        <f t="shared" ref="AC156:AC160" si="885">SUMIF($B$134:$B$154,$B156,AC$134:AC$154)</f>
        <v>0</v>
      </c>
      <c r="AD156" s="559">
        <f>SUMIF($B$134:$B$154,$B156,AD$134:AD$154)</f>
        <v>0</v>
      </c>
      <c r="AE156" s="557"/>
      <c r="AF156" s="558">
        <f t="shared" ref="AF156:AF160" si="886">SUMIF($B$134:$B$154,$B156,AF$134:AF$154)</f>
        <v>0</v>
      </c>
      <c r="AG156" s="559">
        <f>SUMIF($B$134:$B$154,$B156,AG$134:AG$154)</f>
        <v>0</v>
      </c>
      <c r="AH156" s="557"/>
      <c r="AI156" s="558">
        <f t="shared" ref="AI156:AI160" si="887">SUMIF($B$134:$B$154,$B156,AI$134:AI$154)</f>
        <v>0</v>
      </c>
      <c r="AJ156" s="559">
        <f>SUMIF($B$134:$B$154,$B156,AJ$134:AJ$154)</f>
        <v>0</v>
      </c>
      <c r="AK156" s="557"/>
      <c r="AL156" s="558">
        <f t="shared" ref="AL156:AL160" si="888">SUMIF($B$134:$B$154,$B156,AL$134:AL$154)</f>
        <v>0</v>
      </c>
      <c r="AM156" s="559">
        <f>SUMIF($B$134:$B$154,$B156,AM$134:AM$154)</f>
        <v>0</v>
      </c>
      <c r="AN156" s="557"/>
      <c r="AO156" s="558">
        <f t="shared" ref="AO156:AO160" si="889">SUMIF($B$134:$B$154,$B156,AO$134:AO$154)</f>
        <v>0</v>
      </c>
      <c r="AP156" s="559">
        <f>SUMIF($B$134:$B$154,$B156,AP$134:AP$154)</f>
        <v>0</v>
      </c>
      <c r="AQ156" s="557"/>
      <c r="AR156" s="558">
        <f t="shared" ref="AR156:AS160" si="890">SUMIF($B$134:$B$154,$B156,AR$134:AR$154)</f>
        <v>0</v>
      </c>
      <c r="AS156" s="559">
        <f>SUMIF($B$134:$B$154,$B156,AS$134:AS$154)</f>
        <v>0</v>
      </c>
      <c r="AT156" s="557"/>
      <c r="AU156" s="558">
        <f t="shared" ref="AU156:AV160" si="891">SUMIF($B$134:$B$154,$B156,AU$134:AU$154)</f>
        <v>0</v>
      </c>
      <c r="AV156" s="559">
        <f>SUMIF($B$134:$B$154,$B156,AV$134:AV$154)</f>
        <v>0</v>
      </c>
      <c r="AW156" s="557"/>
      <c r="AX156" s="558">
        <f t="shared" ref="AX156:AY160" si="892">SUMIF($B$134:$B$154,$B156,AX$134:AX$154)</f>
        <v>0</v>
      </c>
      <c r="AY156" s="559">
        <f>SUMIF($B$134:$B$154,$B156,AY$134:AY$154)</f>
        <v>0</v>
      </c>
      <c r="AZ156" s="557"/>
      <c r="BA156" s="558">
        <f t="shared" ref="BA156:BA160" si="893">SUMIF($B$134:$B$154,$B156,BA$134:BA$154)</f>
        <v>0</v>
      </c>
      <c r="BJ156" s="529">
        <f t="shared" si="672"/>
        <v>0</v>
      </c>
      <c r="BK156" s="529">
        <f t="shared" si="673"/>
        <v>0</v>
      </c>
      <c r="BL156" s="529">
        <f t="shared" si="674"/>
        <v>0.78405919999999996</v>
      </c>
      <c r="BM156" s="529">
        <f t="shared" si="675"/>
        <v>0</v>
      </c>
      <c r="BN156" s="529">
        <f t="shared" si="676"/>
        <v>0</v>
      </c>
      <c r="BO156" s="529">
        <f t="shared" si="677"/>
        <v>0</v>
      </c>
      <c r="BP156" s="529">
        <f t="shared" si="678"/>
        <v>0</v>
      </c>
      <c r="BQ156" s="529">
        <f t="shared" si="679"/>
        <v>0</v>
      </c>
      <c r="BR156" s="529">
        <f t="shared" si="680"/>
        <v>0</v>
      </c>
      <c r="BS156" s="529">
        <f t="shared" si="681"/>
        <v>0</v>
      </c>
      <c r="BT156" s="529">
        <f t="shared" si="682"/>
        <v>0</v>
      </c>
      <c r="BU156" s="529">
        <f t="shared" si="683"/>
        <v>0</v>
      </c>
      <c r="BV156" s="529">
        <f t="shared" si="684"/>
        <v>0</v>
      </c>
      <c r="BW156" s="529">
        <f t="shared" si="685"/>
        <v>0</v>
      </c>
      <c r="BX156" s="529">
        <f t="shared" si="705"/>
        <v>0</v>
      </c>
      <c r="BY156" s="529">
        <f t="shared" si="706"/>
        <v>0</v>
      </c>
      <c r="BZ156" s="529">
        <f t="shared" si="707"/>
        <v>0</v>
      </c>
      <c r="CB156" s="529">
        <f t="shared" si="686"/>
        <v>0</v>
      </c>
      <c r="CC156" s="529">
        <f t="shared" si="687"/>
        <v>0</v>
      </c>
      <c r="CD156" s="529">
        <f t="shared" si="688"/>
        <v>4962.3999999999996</v>
      </c>
      <c r="CE156" s="529">
        <f t="shared" si="689"/>
        <v>0</v>
      </c>
      <c r="CF156" s="529">
        <f t="shared" si="690"/>
        <v>0</v>
      </c>
      <c r="CG156" s="529">
        <f t="shared" si="691"/>
        <v>0</v>
      </c>
      <c r="CH156" s="529">
        <f t="shared" si="692"/>
        <v>0</v>
      </c>
      <c r="CI156" s="529">
        <f t="shared" si="693"/>
        <v>0</v>
      </c>
      <c r="CJ156" s="529">
        <f t="shared" si="694"/>
        <v>0</v>
      </c>
      <c r="CK156" s="529">
        <f t="shared" si="695"/>
        <v>0</v>
      </c>
      <c r="CL156" s="529">
        <f t="shared" si="696"/>
        <v>0</v>
      </c>
      <c r="CM156" s="529">
        <f t="shared" si="697"/>
        <v>0</v>
      </c>
      <c r="CN156" s="529">
        <f t="shared" si="698"/>
        <v>0</v>
      </c>
      <c r="CO156" s="529">
        <f t="shared" si="699"/>
        <v>0</v>
      </c>
      <c r="CP156" s="529">
        <f t="shared" si="708"/>
        <v>0</v>
      </c>
      <c r="CQ156" s="529">
        <f t="shared" si="709"/>
        <v>0</v>
      </c>
      <c r="CR156" s="529">
        <f t="shared" si="710"/>
        <v>0</v>
      </c>
    </row>
    <row r="157" spans="1:96" x14ac:dyDescent="0.2">
      <c r="A157" s="771"/>
      <c r="B157" s="555" t="s">
        <v>495</v>
      </c>
      <c r="C157" s="559">
        <f t="shared" si="882"/>
        <v>0</v>
      </c>
      <c r="D157" s="557"/>
      <c r="E157" s="558">
        <f t="shared" si="876"/>
        <v>0</v>
      </c>
      <c r="F157" s="559">
        <f t="shared" si="876"/>
        <v>0</v>
      </c>
      <c r="G157" s="557"/>
      <c r="H157" s="558">
        <f t="shared" si="877"/>
        <v>0</v>
      </c>
      <c r="I157" s="559">
        <f t="shared" si="876"/>
        <v>2213.75</v>
      </c>
      <c r="J157" s="557"/>
      <c r="K157" s="558">
        <f t="shared" si="878"/>
        <v>0.39847500000000002</v>
      </c>
      <c r="L157" s="556">
        <f t="shared" si="876"/>
        <v>0</v>
      </c>
      <c r="M157" s="557"/>
      <c r="N157" s="558">
        <f t="shared" si="879"/>
        <v>0</v>
      </c>
      <c r="O157" s="559">
        <f t="shared" si="876"/>
        <v>0</v>
      </c>
      <c r="P157" s="557"/>
      <c r="Q157" s="558">
        <f t="shared" si="880"/>
        <v>0</v>
      </c>
      <c r="R157" s="559">
        <f t="shared" si="876"/>
        <v>0</v>
      </c>
      <c r="S157" s="557"/>
      <c r="T157" s="558">
        <f>SUMIF($B$134:$B$154,$B157,T$134:T$154)</f>
        <v>0</v>
      </c>
      <c r="U157" s="559">
        <f t="shared" si="883"/>
        <v>0</v>
      </c>
      <c r="V157" s="632"/>
      <c r="W157" s="558">
        <f t="shared" si="883"/>
        <v>0</v>
      </c>
      <c r="X157" s="559">
        <f t="shared" ref="X157:AP160" si="894">SUMIF($B$134:$B$154,$B157,X$134:X$154)</f>
        <v>0</v>
      </c>
      <c r="Y157" s="557"/>
      <c r="Z157" s="558">
        <f t="shared" si="884"/>
        <v>0</v>
      </c>
      <c r="AA157" s="559">
        <f t="shared" si="894"/>
        <v>0</v>
      </c>
      <c r="AB157" s="557"/>
      <c r="AC157" s="558">
        <f t="shared" si="885"/>
        <v>0</v>
      </c>
      <c r="AD157" s="559">
        <f t="shared" si="894"/>
        <v>0</v>
      </c>
      <c r="AE157" s="557"/>
      <c r="AF157" s="558">
        <f t="shared" si="886"/>
        <v>0</v>
      </c>
      <c r="AG157" s="559">
        <f t="shared" si="894"/>
        <v>0</v>
      </c>
      <c r="AH157" s="557"/>
      <c r="AI157" s="558">
        <f t="shared" si="887"/>
        <v>0</v>
      </c>
      <c r="AJ157" s="559">
        <f t="shared" si="894"/>
        <v>0</v>
      </c>
      <c r="AK157" s="557"/>
      <c r="AL157" s="558">
        <f t="shared" si="888"/>
        <v>0</v>
      </c>
      <c r="AM157" s="559">
        <f t="shared" si="894"/>
        <v>0</v>
      </c>
      <c r="AN157" s="557"/>
      <c r="AO157" s="558">
        <f t="shared" si="889"/>
        <v>0</v>
      </c>
      <c r="AP157" s="559">
        <f t="shared" si="894"/>
        <v>0</v>
      </c>
      <c r="AQ157" s="557"/>
      <c r="AR157" s="558">
        <f t="shared" si="890"/>
        <v>0</v>
      </c>
      <c r="AS157" s="559">
        <f t="shared" si="890"/>
        <v>0</v>
      </c>
      <c r="AT157" s="557"/>
      <c r="AU157" s="558">
        <f t="shared" si="891"/>
        <v>0</v>
      </c>
      <c r="AV157" s="559">
        <f t="shared" si="891"/>
        <v>0</v>
      </c>
      <c r="AW157" s="557"/>
      <c r="AX157" s="558">
        <f t="shared" si="892"/>
        <v>0</v>
      </c>
      <c r="AY157" s="559">
        <f t="shared" si="892"/>
        <v>0</v>
      </c>
      <c r="AZ157" s="557"/>
      <c r="BA157" s="558">
        <f t="shared" si="893"/>
        <v>0</v>
      </c>
      <c r="BJ157" s="529">
        <f t="shared" si="672"/>
        <v>0</v>
      </c>
      <c r="BK157" s="529">
        <f t="shared" si="673"/>
        <v>0</v>
      </c>
      <c r="BL157" s="529">
        <f t="shared" si="674"/>
        <v>0.39847500000000002</v>
      </c>
      <c r="BM157" s="529">
        <f t="shared" si="675"/>
        <v>0</v>
      </c>
      <c r="BN157" s="529">
        <f t="shared" si="676"/>
        <v>0</v>
      </c>
      <c r="BO157" s="529">
        <f t="shared" si="677"/>
        <v>0</v>
      </c>
      <c r="BP157" s="529">
        <f t="shared" si="678"/>
        <v>0</v>
      </c>
      <c r="BQ157" s="529">
        <f t="shared" si="679"/>
        <v>0</v>
      </c>
      <c r="BR157" s="529">
        <f t="shared" si="680"/>
        <v>0</v>
      </c>
      <c r="BS157" s="529">
        <f t="shared" si="681"/>
        <v>0</v>
      </c>
      <c r="BT157" s="529">
        <f t="shared" si="682"/>
        <v>0</v>
      </c>
      <c r="BU157" s="529">
        <f t="shared" si="683"/>
        <v>0</v>
      </c>
      <c r="BV157" s="529">
        <f t="shared" si="684"/>
        <v>0</v>
      </c>
      <c r="BW157" s="529">
        <f t="shared" si="685"/>
        <v>0</v>
      </c>
      <c r="BX157" s="529">
        <f t="shared" si="705"/>
        <v>0</v>
      </c>
      <c r="BY157" s="529">
        <f t="shared" si="706"/>
        <v>0</v>
      </c>
      <c r="BZ157" s="529">
        <f t="shared" si="707"/>
        <v>0</v>
      </c>
      <c r="CB157" s="529">
        <f t="shared" si="686"/>
        <v>0</v>
      </c>
      <c r="CC157" s="529">
        <f t="shared" si="687"/>
        <v>0</v>
      </c>
      <c r="CD157" s="529">
        <f t="shared" si="688"/>
        <v>2213.75</v>
      </c>
      <c r="CE157" s="529">
        <f t="shared" si="689"/>
        <v>0</v>
      </c>
      <c r="CF157" s="529">
        <f t="shared" si="690"/>
        <v>0</v>
      </c>
      <c r="CG157" s="529">
        <f t="shared" si="691"/>
        <v>0</v>
      </c>
      <c r="CH157" s="529">
        <f t="shared" si="692"/>
        <v>0</v>
      </c>
      <c r="CI157" s="529">
        <f t="shared" si="693"/>
        <v>0</v>
      </c>
      <c r="CJ157" s="529">
        <f t="shared" si="694"/>
        <v>0</v>
      </c>
      <c r="CK157" s="529">
        <f t="shared" si="695"/>
        <v>0</v>
      </c>
      <c r="CL157" s="529">
        <f t="shared" si="696"/>
        <v>0</v>
      </c>
      <c r="CM157" s="529">
        <f t="shared" si="697"/>
        <v>0</v>
      </c>
      <c r="CN157" s="529">
        <f t="shared" si="698"/>
        <v>0</v>
      </c>
      <c r="CO157" s="529">
        <f t="shared" si="699"/>
        <v>0</v>
      </c>
      <c r="CP157" s="529">
        <f t="shared" si="708"/>
        <v>0</v>
      </c>
      <c r="CQ157" s="529">
        <f t="shared" si="709"/>
        <v>0</v>
      </c>
      <c r="CR157" s="529">
        <f t="shared" si="710"/>
        <v>0</v>
      </c>
    </row>
    <row r="158" spans="1:96" x14ac:dyDescent="0.2">
      <c r="A158" s="771"/>
      <c r="B158" s="555" t="s">
        <v>113</v>
      </c>
      <c r="C158" s="559">
        <f t="shared" si="882"/>
        <v>0</v>
      </c>
      <c r="D158" s="557"/>
      <c r="E158" s="558">
        <f t="shared" si="876"/>
        <v>0</v>
      </c>
      <c r="F158" s="559">
        <f t="shared" si="876"/>
        <v>0</v>
      </c>
      <c r="G158" s="557"/>
      <c r="H158" s="558">
        <f t="shared" si="877"/>
        <v>0</v>
      </c>
      <c r="I158" s="559">
        <f t="shared" si="876"/>
        <v>0</v>
      </c>
      <c r="J158" s="557"/>
      <c r="K158" s="558">
        <f t="shared" si="878"/>
        <v>0</v>
      </c>
      <c r="L158" s="556">
        <f t="shared" si="876"/>
        <v>0</v>
      </c>
      <c r="M158" s="557"/>
      <c r="N158" s="558">
        <f t="shared" si="879"/>
        <v>0</v>
      </c>
      <c r="O158" s="559">
        <f t="shared" si="876"/>
        <v>0</v>
      </c>
      <c r="P158" s="557"/>
      <c r="Q158" s="558">
        <f t="shared" si="880"/>
        <v>0</v>
      </c>
      <c r="R158" s="559">
        <f t="shared" si="876"/>
        <v>0</v>
      </c>
      <c r="S158" s="557"/>
      <c r="T158" s="558">
        <f>SUMIF($B$134:$B$154,$B158,T$134:T$154)</f>
        <v>0</v>
      </c>
      <c r="U158" s="559">
        <f t="shared" si="883"/>
        <v>0</v>
      </c>
      <c r="V158" s="632"/>
      <c r="W158" s="558">
        <f t="shared" si="883"/>
        <v>0</v>
      </c>
      <c r="X158" s="559">
        <f t="shared" si="894"/>
        <v>0</v>
      </c>
      <c r="Y158" s="557"/>
      <c r="Z158" s="558">
        <f t="shared" si="884"/>
        <v>0</v>
      </c>
      <c r="AA158" s="559">
        <f t="shared" si="894"/>
        <v>0</v>
      </c>
      <c r="AB158" s="557"/>
      <c r="AC158" s="558">
        <f t="shared" si="885"/>
        <v>0</v>
      </c>
      <c r="AD158" s="559">
        <f t="shared" si="894"/>
        <v>0</v>
      </c>
      <c r="AE158" s="557"/>
      <c r="AF158" s="558">
        <f t="shared" si="886"/>
        <v>0</v>
      </c>
      <c r="AG158" s="559">
        <f t="shared" si="894"/>
        <v>0</v>
      </c>
      <c r="AH158" s="557"/>
      <c r="AI158" s="558">
        <f t="shared" si="887"/>
        <v>0</v>
      </c>
      <c r="AJ158" s="559">
        <f t="shared" si="894"/>
        <v>0</v>
      </c>
      <c r="AK158" s="557"/>
      <c r="AL158" s="558">
        <f t="shared" si="888"/>
        <v>0</v>
      </c>
      <c r="AM158" s="559">
        <f t="shared" si="894"/>
        <v>0</v>
      </c>
      <c r="AN158" s="557"/>
      <c r="AO158" s="558">
        <f t="shared" si="889"/>
        <v>0</v>
      </c>
      <c r="AP158" s="559">
        <f t="shared" si="894"/>
        <v>0</v>
      </c>
      <c r="AQ158" s="557"/>
      <c r="AR158" s="558">
        <f t="shared" si="890"/>
        <v>0</v>
      </c>
      <c r="AS158" s="559">
        <f t="shared" si="890"/>
        <v>0</v>
      </c>
      <c r="AT158" s="557"/>
      <c r="AU158" s="558">
        <f t="shared" si="891"/>
        <v>0</v>
      </c>
      <c r="AV158" s="559">
        <f t="shared" si="891"/>
        <v>0</v>
      </c>
      <c r="AW158" s="557"/>
      <c r="AX158" s="558">
        <f t="shared" si="892"/>
        <v>0</v>
      </c>
      <c r="AY158" s="559">
        <f t="shared" si="892"/>
        <v>0</v>
      </c>
      <c r="AZ158" s="557"/>
      <c r="BA158" s="558">
        <f t="shared" si="893"/>
        <v>0</v>
      </c>
      <c r="BJ158" s="529">
        <f t="shared" si="672"/>
        <v>0</v>
      </c>
      <c r="BK158" s="529">
        <f t="shared" si="673"/>
        <v>0</v>
      </c>
      <c r="BL158" s="529">
        <f t="shared" si="674"/>
        <v>0</v>
      </c>
      <c r="BM158" s="529">
        <f t="shared" si="675"/>
        <v>0</v>
      </c>
      <c r="BN158" s="529">
        <f t="shared" si="676"/>
        <v>0</v>
      </c>
      <c r="BO158" s="529">
        <f t="shared" si="677"/>
        <v>0</v>
      </c>
      <c r="BP158" s="529">
        <f t="shared" si="678"/>
        <v>0</v>
      </c>
      <c r="BQ158" s="529">
        <f t="shared" si="679"/>
        <v>0</v>
      </c>
      <c r="BR158" s="529">
        <f t="shared" si="680"/>
        <v>0</v>
      </c>
      <c r="BS158" s="529">
        <f t="shared" si="681"/>
        <v>0</v>
      </c>
      <c r="BT158" s="529">
        <f t="shared" si="682"/>
        <v>0</v>
      </c>
      <c r="BU158" s="529">
        <f t="shared" si="683"/>
        <v>0</v>
      </c>
      <c r="BV158" s="529">
        <f t="shared" si="684"/>
        <v>0</v>
      </c>
      <c r="BW158" s="529">
        <f t="shared" si="685"/>
        <v>0</v>
      </c>
      <c r="BX158" s="529">
        <f t="shared" si="705"/>
        <v>0</v>
      </c>
      <c r="BY158" s="529">
        <f t="shared" si="706"/>
        <v>0</v>
      </c>
      <c r="BZ158" s="529">
        <f t="shared" si="707"/>
        <v>0</v>
      </c>
      <c r="CB158" s="529">
        <f t="shared" si="686"/>
        <v>0</v>
      </c>
      <c r="CC158" s="529">
        <f t="shared" si="687"/>
        <v>0</v>
      </c>
      <c r="CD158" s="529">
        <f t="shared" si="688"/>
        <v>0</v>
      </c>
      <c r="CE158" s="529">
        <f t="shared" si="689"/>
        <v>0</v>
      </c>
      <c r="CF158" s="529">
        <f t="shared" si="690"/>
        <v>0</v>
      </c>
      <c r="CG158" s="529">
        <f t="shared" si="691"/>
        <v>0</v>
      </c>
      <c r="CH158" s="529">
        <f t="shared" si="692"/>
        <v>0</v>
      </c>
      <c r="CI158" s="529">
        <f t="shared" si="693"/>
        <v>0</v>
      </c>
      <c r="CJ158" s="529">
        <f t="shared" si="694"/>
        <v>0</v>
      </c>
      <c r="CK158" s="529">
        <f t="shared" si="695"/>
        <v>0</v>
      </c>
      <c r="CL158" s="529">
        <f t="shared" si="696"/>
        <v>0</v>
      </c>
      <c r="CM158" s="529">
        <f t="shared" si="697"/>
        <v>0</v>
      </c>
      <c r="CN158" s="529">
        <f t="shared" si="698"/>
        <v>0</v>
      </c>
      <c r="CO158" s="529">
        <f t="shared" si="699"/>
        <v>0</v>
      </c>
      <c r="CP158" s="529">
        <f t="shared" si="708"/>
        <v>0</v>
      </c>
      <c r="CQ158" s="529">
        <f t="shared" si="709"/>
        <v>0</v>
      </c>
      <c r="CR158" s="529">
        <f t="shared" si="710"/>
        <v>0</v>
      </c>
    </row>
    <row r="159" spans="1:96" x14ac:dyDescent="0.2">
      <c r="A159" s="771"/>
      <c r="B159" s="555" t="s">
        <v>502</v>
      </c>
      <c r="C159" s="559">
        <f t="shared" si="882"/>
        <v>0</v>
      </c>
      <c r="D159" s="557"/>
      <c r="E159" s="558">
        <f t="shared" si="876"/>
        <v>0</v>
      </c>
      <c r="F159" s="559">
        <f t="shared" si="876"/>
        <v>0</v>
      </c>
      <c r="G159" s="557"/>
      <c r="H159" s="558">
        <f t="shared" si="877"/>
        <v>0</v>
      </c>
      <c r="I159" s="559">
        <f t="shared" si="876"/>
        <v>0</v>
      </c>
      <c r="J159" s="557"/>
      <c r="K159" s="558">
        <f t="shared" si="878"/>
        <v>0</v>
      </c>
      <c r="L159" s="556">
        <f t="shared" si="876"/>
        <v>0</v>
      </c>
      <c r="M159" s="557"/>
      <c r="N159" s="558">
        <f t="shared" si="879"/>
        <v>0</v>
      </c>
      <c r="O159" s="559">
        <f t="shared" si="876"/>
        <v>0</v>
      </c>
      <c r="P159" s="557"/>
      <c r="Q159" s="558">
        <f t="shared" si="880"/>
        <v>0</v>
      </c>
      <c r="R159" s="559">
        <f t="shared" si="876"/>
        <v>0</v>
      </c>
      <c r="S159" s="557"/>
      <c r="T159" s="558">
        <f>SUMIF($B$134:$B$154,$B159,T$134:T$154)</f>
        <v>0</v>
      </c>
      <c r="U159" s="559">
        <f t="shared" si="883"/>
        <v>0</v>
      </c>
      <c r="V159" s="632"/>
      <c r="W159" s="558">
        <f t="shared" si="883"/>
        <v>0</v>
      </c>
      <c r="X159" s="559">
        <f t="shared" si="894"/>
        <v>0</v>
      </c>
      <c r="Y159" s="557"/>
      <c r="Z159" s="558">
        <f t="shared" si="884"/>
        <v>0</v>
      </c>
      <c r="AA159" s="559">
        <f t="shared" si="894"/>
        <v>0</v>
      </c>
      <c r="AB159" s="557"/>
      <c r="AC159" s="558">
        <f t="shared" si="885"/>
        <v>0</v>
      </c>
      <c r="AD159" s="559">
        <f t="shared" si="894"/>
        <v>0</v>
      </c>
      <c r="AE159" s="557"/>
      <c r="AF159" s="558">
        <f t="shared" si="886"/>
        <v>0</v>
      </c>
      <c r="AG159" s="559">
        <f t="shared" si="894"/>
        <v>0</v>
      </c>
      <c r="AH159" s="557"/>
      <c r="AI159" s="558">
        <f t="shared" si="887"/>
        <v>0</v>
      </c>
      <c r="AJ159" s="559">
        <f t="shared" si="894"/>
        <v>0</v>
      </c>
      <c r="AK159" s="557"/>
      <c r="AL159" s="558">
        <f t="shared" si="888"/>
        <v>0</v>
      </c>
      <c r="AM159" s="559">
        <f t="shared" si="894"/>
        <v>0</v>
      </c>
      <c r="AN159" s="557"/>
      <c r="AO159" s="558">
        <f t="shared" si="889"/>
        <v>0</v>
      </c>
      <c r="AP159" s="559">
        <f t="shared" si="894"/>
        <v>0</v>
      </c>
      <c r="AQ159" s="557"/>
      <c r="AR159" s="558">
        <f t="shared" si="890"/>
        <v>0</v>
      </c>
      <c r="AS159" s="559">
        <f t="shared" si="890"/>
        <v>0</v>
      </c>
      <c r="AT159" s="557"/>
      <c r="AU159" s="558">
        <f t="shared" si="891"/>
        <v>0</v>
      </c>
      <c r="AV159" s="559">
        <f t="shared" si="891"/>
        <v>0</v>
      </c>
      <c r="AW159" s="557"/>
      <c r="AX159" s="558">
        <f t="shared" si="892"/>
        <v>0</v>
      </c>
      <c r="AY159" s="559">
        <f t="shared" si="892"/>
        <v>0</v>
      </c>
      <c r="AZ159" s="557"/>
      <c r="BA159" s="558">
        <f t="shared" si="893"/>
        <v>0</v>
      </c>
      <c r="BJ159" s="529">
        <f t="shared" si="672"/>
        <v>0</v>
      </c>
      <c r="BK159" s="529">
        <f t="shared" si="673"/>
        <v>0</v>
      </c>
      <c r="BL159" s="529">
        <f t="shared" si="674"/>
        <v>0</v>
      </c>
      <c r="BM159" s="529">
        <f t="shared" si="675"/>
        <v>0</v>
      </c>
      <c r="BN159" s="529">
        <f t="shared" si="676"/>
        <v>0</v>
      </c>
      <c r="BO159" s="529">
        <f t="shared" si="677"/>
        <v>0</v>
      </c>
      <c r="BP159" s="529">
        <f t="shared" si="678"/>
        <v>0</v>
      </c>
      <c r="BQ159" s="529">
        <f t="shared" si="679"/>
        <v>0</v>
      </c>
      <c r="BR159" s="529">
        <f t="shared" si="680"/>
        <v>0</v>
      </c>
      <c r="BS159" s="529">
        <f t="shared" si="681"/>
        <v>0</v>
      </c>
      <c r="BT159" s="529">
        <f t="shared" si="682"/>
        <v>0</v>
      </c>
      <c r="BU159" s="529">
        <f t="shared" si="683"/>
        <v>0</v>
      </c>
      <c r="BV159" s="529">
        <f t="shared" si="684"/>
        <v>0</v>
      </c>
      <c r="BW159" s="529">
        <f t="shared" si="685"/>
        <v>0</v>
      </c>
      <c r="BX159" s="529">
        <f t="shared" si="705"/>
        <v>0</v>
      </c>
      <c r="BY159" s="529">
        <f t="shared" si="706"/>
        <v>0</v>
      </c>
      <c r="BZ159" s="529">
        <f t="shared" si="707"/>
        <v>0</v>
      </c>
      <c r="CB159" s="529">
        <f t="shared" si="686"/>
        <v>0</v>
      </c>
      <c r="CC159" s="529">
        <f t="shared" si="687"/>
        <v>0</v>
      </c>
      <c r="CD159" s="529">
        <f t="shared" si="688"/>
        <v>0</v>
      </c>
      <c r="CE159" s="529">
        <f t="shared" si="689"/>
        <v>0</v>
      </c>
      <c r="CF159" s="529">
        <f t="shared" si="690"/>
        <v>0</v>
      </c>
      <c r="CG159" s="529">
        <f t="shared" si="691"/>
        <v>0</v>
      </c>
      <c r="CH159" s="529">
        <f t="shared" si="692"/>
        <v>0</v>
      </c>
      <c r="CI159" s="529">
        <f t="shared" si="693"/>
        <v>0</v>
      </c>
      <c r="CJ159" s="529">
        <f t="shared" si="694"/>
        <v>0</v>
      </c>
      <c r="CK159" s="529">
        <f t="shared" si="695"/>
        <v>0</v>
      </c>
      <c r="CL159" s="529">
        <f t="shared" si="696"/>
        <v>0</v>
      </c>
      <c r="CM159" s="529">
        <f t="shared" si="697"/>
        <v>0</v>
      </c>
      <c r="CN159" s="529">
        <f t="shared" si="698"/>
        <v>0</v>
      </c>
      <c r="CO159" s="529">
        <f t="shared" si="699"/>
        <v>0</v>
      </c>
      <c r="CP159" s="529">
        <f t="shared" si="708"/>
        <v>0</v>
      </c>
      <c r="CQ159" s="529">
        <f t="shared" si="709"/>
        <v>0</v>
      </c>
      <c r="CR159" s="529">
        <f t="shared" si="710"/>
        <v>0</v>
      </c>
    </row>
    <row r="160" spans="1:96" ht="14.25" thickBot="1" x14ac:dyDescent="0.3">
      <c r="A160" s="756"/>
      <c r="B160" s="560" t="s">
        <v>622</v>
      </c>
      <c r="C160" s="561">
        <f t="shared" si="882"/>
        <v>0</v>
      </c>
      <c r="D160" s="567"/>
      <c r="E160" s="563">
        <f t="shared" si="876"/>
        <v>0</v>
      </c>
      <c r="F160" s="561">
        <f t="shared" si="876"/>
        <v>14918.49</v>
      </c>
      <c r="G160" s="567"/>
      <c r="H160" s="563">
        <f t="shared" si="877"/>
        <v>7.5887185000000006</v>
      </c>
      <c r="I160" s="561">
        <f t="shared" si="876"/>
        <v>4653.82</v>
      </c>
      <c r="J160" s="567"/>
      <c r="K160" s="563">
        <f t="shared" si="878"/>
        <v>4.3022222000000001</v>
      </c>
      <c r="L160" s="564">
        <f t="shared" si="876"/>
        <v>256.68</v>
      </c>
      <c r="M160" s="567"/>
      <c r="N160" s="563">
        <f t="shared" si="879"/>
        <v>0.16014600000000001</v>
      </c>
      <c r="O160" s="561">
        <f t="shared" si="876"/>
        <v>4587.902</v>
      </c>
      <c r="P160" s="567"/>
      <c r="Q160" s="563">
        <f t="shared" si="880"/>
        <v>2.9023105999999999</v>
      </c>
      <c r="R160" s="561">
        <f t="shared" si="876"/>
        <v>0</v>
      </c>
      <c r="S160" s="567"/>
      <c r="T160" s="563">
        <f>SUMIF($B$134:$B$154,$B160,T$134:T$154)</f>
        <v>0</v>
      </c>
      <c r="U160" s="561">
        <f t="shared" si="883"/>
        <v>3983.1400000000003</v>
      </c>
      <c r="V160" s="625"/>
      <c r="W160" s="563">
        <f t="shared" si="883"/>
        <v>3.5605480000000003</v>
      </c>
      <c r="X160" s="561">
        <f t="shared" si="894"/>
        <v>4404.96</v>
      </c>
      <c r="Y160" s="567"/>
      <c r="Z160" s="563">
        <f t="shared" si="884"/>
        <v>4.0602239999999998</v>
      </c>
      <c r="AA160" s="561">
        <f t="shared" si="894"/>
        <v>3733.82</v>
      </c>
      <c r="AB160" s="567"/>
      <c r="AC160" s="563">
        <f t="shared" si="885"/>
        <v>3.547129</v>
      </c>
      <c r="AD160" s="561">
        <f t="shared" si="894"/>
        <v>2999.6600000000003</v>
      </c>
      <c r="AE160" s="567"/>
      <c r="AF160" s="563">
        <f t="shared" si="886"/>
        <v>2.93445</v>
      </c>
      <c r="AG160" s="561">
        <f t="shared" si="894"/>
        <v>2999.6600000000003</v>
      </c>
      <c r="AH160" s="567"/>
      <c r="AI160" s="563">
        <f t="shared" si="887"/>
        <v>3.025744</v>
      </c>
      <c r="AJ160" s="561">
        <f t="shared" si="894"/>
        <v>2999.6600000000003</v>
      </c>
      <c r="AK160" s="567"/>
      <c r="AL160" s="563">
        <f t="shared" si="888"/>
        <v>3.117038</v>
      </c>
      <c r="AM160" s="561">
        <f t="shared" si="894"/>
        <v>2999.6600000000003</v>
      </c>
      <c r="AN160" s="567"/>
      <c r="AO160" s="563">
        <f t="shared" si="889"/>
        <v>3.208332</v>
      </c>
      <c r="AP160" s="561">
        <f t="shared" si="894"/>
        <v>2999.6600000000003</v>
      </c>
      <c r="AQ160" s="567"/>
      <c r="AR160" s="563">
        <f t="shared" si="890"/>
        <v>3.3061470000000002</v>
      </c>
      <c r="AS160" s="561">
        <f t="shared" si="890"/>
        <v>2999.6600000000003</v>
      </c>
      <c r="AT160" s="567"/>
      <c r="AU160" s="563">
        <f t="shared" si="891"/>
        <v>3.4039619999999999</v>
      </c>
      <c r="AV160" s="561">
        <f t="shared" si="891"/>
        <v>2999.6600000000003</v>
      </c>
      <c r="AW160" s="567"/>
      <c r="AX160" s="563">
        <f t="shared" si="892"/>
        <v>3.5082979999999999</v>
      </c>
      <c r="AY160" s="561">
        <f t="shared" si="892"/>
        <v>2999.6600000000003</v>
      </c>
      <c r="AZ160" s="567"/>
      <c r="BA160" s="563">
        <f t="shared" si="893"/>
        <v>3.6126339999999999</v>
      </c>
      <c r="BJ160" s="529">
        <f t="shared" si="672"/>
        <v>0</v>
      </c>
      <c r="BK160" s="529">
        <f t="shared" si="673"/>
        <v>7.5887185000000006</v>
      </c>
      <c r="BL160" s="529">
        <f t="shared" si="674"/>
        <v>4.3022222000000001</v>
      </c>
      <c r="BM160" s="529">
        <f t="shared" si="675"/>
        <v>0.16014600000000001</v>
      </c>
      <c r="BN160" s="529">
        <f t="shared" si="676"/>
        <v>2.9023105999999999</v>
      </c>
      <c r="BO160" s="529">
        <f t="shared" si="677"/>
        <v>0</v>
      </c>
      <c r="BP160" s="529">
        <f t="shared" si="678"/>
        <v>3.5605480000000003</v>
      </c>
      <c r="BQ160" s="529">
        <f t="shared" si="679"/>
        <v>4.0602239999999998</v>
      </c>
      <c r="BR160" s="529">
        <f t="shared" si="680"/>
        <v>3.547129</v>
      </c>
      <c r="BS160" s="529">
        <f t="shared" si="681"/>
        <v>2.93445</v>
      </c>
      <c r="BT160" s="529">
        <f t="shared" si="682"/>
        <v>3.025744</v>
      </c>
      <c r="BU160" s="529">
        <f t="shared" si="683"/>
        <v>3.117038</v>
      </c>
      <c r="BV160" s="529">
        <f t="shared" si="684"/>
        <v>3.208332</v>
      </c>
      <c r="BW160" s="529">
        <f t="shared" si="685"/>
        <v>3.3061470000000002</v>
      </c>
      <c r="BX160" s="529">
        <f t="shared" si="705"/>
        <v>3.4039619999999999</v>
      </c>
      <c r="BY160" s="529">
        <f t="shared" si="706"/>
        <v>3.5082979999999999</v>
      </c>
      <c r="BZ160" s="529">
        <f t="shared" si="707"/>
        <v>3.6126339999999999</v>
      </c>
      <c r="CB160" s="529">
        <f t="shared" si="686"/>
        <v>0</v>
      </c>
      <c r="CC160" s="529">
        <f t="shared" si="687"/>
        <v>14918.49</v>
      </c>
      <c r="CD160" s="529">
        <f t="shared" si="688"/>
        <v>4653.82</v>
      </c>
      <c r="CE160" s="529">
        <f t="shared" si="689"/>
        <v>256.68</v>
      </c>
      <c r="CF160" s="529">
        <f t="shared" si="690"/>
        <v>4587.902</v>
      </c>
      <c r="CG160" s="529">
        <f t="shared" si="691"/>
        <v>0</v>
      </c>
      <c r="CH160" s="529">
        <f t="shared" si="692"/>
        <v>3983.1400000000003</v>
      </c>
      <c r="CI160" s="529">
        <f t="shared" si="693"/>
        <v>4404.96</v>
      </c>
      <c r="CJ160" s="529">
        <f t="shared" si="694"/>
        <v>3733.82</v>
      </c>
      <c r="CK160" s="529">
        <f t="shared" si="695"/>
        <v>2999.6600000000003</v>
      </c>
      <c r="CL160" s="529">
        <f t="shared" si="696"/>
        <v>2999.6600000000003</v>
      </c>
      <c r="CM160" s="529">
        <f t="shared" si="697"/>
        <v>2999.6600000000003</v>
      </c>
      <c r="CN160" s="529">
        <f t="shared" si="698"/>
        <v>2999.6600000000003</v>
      </c>
      <c r="CO160" s="529">
        <f t="shared" si="699"/>
        <v>2999.6600000000003</v>
      </c>
      <c r="CP160" s="529">
        <f t="shared" si="708"/>
        <v>2999.6600000000003</v>
      </c>
      <c r="CQ160" s="529">
        <f t="shared" si="709"/>
        <v>2999.6600000000003</v>
      </c>
      <c r="CR160" s="529">
        <f t="shared" si="710"/>
        <v>2999.6600000000003</v>
      </c>
    </row>
    <row r="161" spans="1:96" ht="12.75" thickBot="1" x14ac:dyDescent="0.25">
      <c r="AO161" s="578"/>
      <c r="BJ161" s="529">
        <f t="shared" si="672"/>
        <v>0</v>
      </c>
      <c r="BK161" s="529">
        <f t="shared" si="673"/>
        <v>0</v>
      </c>
      <c r="BL161" s="529">
        <f t="shared" si="674"/>
        <v>0</v>
      </c>
      <c r="BM161" s="529">
        <f t="shared" si="675"/>
        <v>0</v>
      </c>
      <c r="BN161" s="529">
        <f t="shared" si="676"/>
        <v>0</v>
      </c>
      <c r="BO161" s="529">
        <f t="shared" si="677"/>
        <v>0</v>
      </c>
      <c r="BP161" s="529">
        <f t="shared" si="678"/>
        <v>0</v>
      </c>
      <c r="BQ161" s="529">
        <f t="shared" si="679"/>
        <v>0</v>
      </c>
      <c r="BR161" s="529">
        <f t="shared" si="680"/>
        <v>0</v>
      </c>
      <c r="BS161" s="529">
        <f t="shared" si="681"/>
        <v>0</v>
      </c>
      <c r="BT161" s="529">
        <f t="shared" si="682"/>
        <v>0</v>
      </c>
      <c r="BU161" s="529">
        <f t="shared" si="683"/>
        <v>0</v>
      </c>
      <c r="BV161" s="529">
        <f t="shared" si="684"/>
        <v>0</v>
      </c>
      <c r="BW161" s="529">
        <f t="shared" si="685"/>
        <v>0</v>
      </c>
      <c r="BX161" s="529">
        <f t="shared" si="705"/>
        <v>0</v>
      </c>
      <c r="BY161" s="529">
        <f t="shared" si="706"/>
        <v>0</v>
      </c>
      <c r="BZ161" s="529">
        <f t="shared" si="707"/>
        <v>0</v>
      </c>
      <c r="CB161" s="529">
        <f t="shared" si="686"/>
        <v>0</v>
      </c>
      <c r="CC161" s="529">
        <f t="shared" si="687"/>
        <v>0</v>
      </c>
      <c r="CD161" s="529">
        <f t="shared" si="688"/>
        <v>0</v>
      </c>
      <c r="CE161" s="529">
        <f t="shared" si="689"/>
        <v>0</v>
      </c>
      <c r="CF161" s="529">
        <f t="shared" si="690"/>
        <v>0</v>
      </c>
      <c r="CG161" s="529">
        <f t="shared" si="691"/>
        <v>0</v>
      </c>
      <c r="CH161" s="529">
        <f t="shared" si="692"/>
        <v>0</v>
      </c>
      <c r="CI161" s="529">
        <f t="shared" si="693"/>
        <v>0</v>
      </c>
      <c r="CJ161" s="529">
        <f t="shared" si="694"/>
        <v>0</v>
      </c>
      <c r="CK161" s="529">
        <f t="shared" si="695"/>
        <v>0</v>
      </c>
      <c r="CL161" s="529">
        <f t="shared" si="696"/>
        <v>0</v>
      </c>
      <c r="CM161" s="529">
        <f t="shared" si="697"/>
        <v>0</v>
      </c>
      <c r="CN161" s="529">
        <f t="shared" si="698"/>
        <v>0</v>
      </c>
      <c r="CO161" s="529">
        <f t="shared" si="699"/>
        <v>0</v>
      </c>
      <c r="CP161" s="529">
        <f t="shared" si="708"/>
        <v>0</v>
      </c>
      <c r="CQ161" s="529">
        <f t="shared" si="709"/>
        <v>0</v>
      </c>
      <c r="CR161" s="529">
        <f t="shared" si="710"/>
        <v>0</v>
      </c>
    </row>
    <row r="162" spans="1:96" x14ac:dyDescent="0.2">
      <c r="A162" s="770" t="s">
        <v>645</v>
      </c>
      <c r="B162" s="579" t="s">
        <v>150</v>
      </c>
      <c r="C162" s="580">
        <f>C2</f>
        <v>2006</v>
      </c>
      <c r="D162" s="581"/>
      <c r="E162" s="582"/>
      <c r="F162" s="580">
        <f>F2</f>
        <v>2007</v>
      </c>
      <c r="G162" s="581"/>
      <c r="H162" s="582"/>
      <c r="I162" s="580">
        <f>I2</f>
        <v>2008</v>
      </c>
      <c r="J162" s="581"/>
      <c r="K162" s="582"/>
      <c r="L162" s="580">
        <f>L2</f>
        <v>2009</v>
      </c>
      <c r="M162" s="581"/>
      <c r="N162" s="582"/>
      <c r="O162" s="580">
        <f>O2</f>
        <v>2010</v>
      </c>
      <c r="P162" s="581"/>
      <c r="Q162" s="582"/>
      <c r="R162" s="580">
        <f>R2</f>
        <v>2011</v>
      </c>
      <c r="S162" s="581"/>
      <c r="T162" s="582"/>
      <c r="U162" s="580">
        <f>U2</f>
        <v>2012</v>
      </c>
      <c r="V162" s="633"/>
      <c r="W162" s="582"/>
      <c r="X162" s="580">
        <f>X2</f>
        <v>2013</v>
      </c>
      <c r="Y162" s="581"/>
      <c r="Z162" s="582"/>
      <c r="AA162" s="580">
        <f>AA2</f>
        <v>2014</v>
      </c>
      <c r="AB162" s="581"/>
      <c r="AC162" s="582"/>
      <c r="AD162" s="580">
        <f>AD2</f>
        <v>2015</v>
      </c>
      <c r="AE162" s="581"/>
      <c r="AF162" s="582"/>
      <c r="AG162" s="580">
        <f>AG2</f>
        <v>2016</v>
      </c>
      <c r="AH162" s="581"/>
      <c r="AI162" s="582"/>
      <c r="AJ162" s="580">
        <f>AJ2</f>
        <v>2017</v>
      </c>
      <c r="AK162" s="581"/>
      <c r="AL162" s="582"/>
      <c r="AM162" s="580">
        <f>AM2</f>
        <v>2018</v>
      </c>
      <c r="AN162" s="581"/>
      <c r="AO162" s="582"/>
      <c r="AP162" s="580">
        <f>AP2</f>
        <v>2019</v>
      </c>
      <c r="AQ162" s="581"/>
      <c r="AR162" s="583"/>
      <c r="AS162" s="580">
        <f>AS2</f>
        <v>2020</v>
      </c>
      <c r="AT162" s="581"/>
      <c r="AU162" s="583"/>
      <c r="AV162" s="580">
        <f>AV2</f>
        <v>2021</v>
      </c>
      <c r="AW162" s="581"/>
      <c r="AX162" s="583"/>
      <c r="AY162" s="580">
        <f>AY2</f>
        <v>2022</v>
      </c>
      <c r="AZ162" s="581"/>
      <c r="BA162" s="583"/>
      <c r="BD162" s="732"/>
      <c r="BJ162" s="529">
        <f t="shared" ref="BJ162:BJ169" si="895">E162</f>
        <v>0</v>
      </c>
      <c r="BK162" s="529">
        <f t="shared" ref="BK162:BK169" si="896">H162</f>
        <v>0</v>
      </c>
      <c r="BL162" s="529">
        <f t="shared" ref="BL162:BL169" si="897">K162</f>
        <v>0</v>
      </c>
      <c r="BM162" s="529">
        <f t="shared" ref="BM162:BM169" si="898">N162</f>
        <v>0</v>
      </c>
      <c r="BN162" s="529">
        <f t="shared" ref="BN162:BN169" si="899">Q162</f>
        <v>0</v>
      </c>
      <c r="BO162" s="529">
        <f t="shared" ref="BO162:BO169" si="900">T162</f>
        <v>0</v>
      </c>
      <c r="BP162" s="529">
        <f t="shared" ref="BP162:BP169" si="901">W162</f>
        <v>0</v>
      </c>
      <c r="BQ162" s="529">
        <f t="shared" ref="BQ162:BQ169" si="902">Z162</f>
        <v>0</v>
      </c>
      <c r="BR162" s="529">
        <f t="shared" ref="BR162:BR169" si="903">AC162</f>
        <v>0</v>
      </c>
      <c r="BS162" s="529">
        <f t="shared" ref="BS162:BS169" si="904">AF162</f>
        <v>0</v>
      </c>
      <c r="BT162" s="529">
        <f t="shared" ref="BT162:BT169" si="905">AI162</f>
        <v>0</v>
      </c>
      <c r="BU162" s="529">
        <f t="shared" ref="BU162:BU169" si="906">AL162</f>
        <v>0</v>
      </c>
      <c r="BV162" s="529">
        <f t="shared" ref="BV162:BV169" si="907">AO162</f>
        <v>0</v>
      </c>
      <c r="BW162" s="529">
        <f t="shared" ref="BW162:BW169" si="908">AR162</f>
        <v>0</v>
      </c>
      <c r="BX162" s="529">
        <f t="shared" si="705"/>
        <v>0</v>
      </c>
      <c r="BY162" s="529">
        <f t="shared" si="706"/>
        <v>0</v>
      </c>
      <c r="BZ162" s="529">
        <f t="shared" si="707"/>
        <v>0</v>
      </c>
      <c r="CB162" s="529">
        <f t="shared" ref="CB162:CB169" si="909">C162</f>
        <v>2006</v>
      </c>
      <c r="CC162" s="529">
        <f t="shared" ref="CC162:CC169" si="910">F162</f>
        <v>2007</v>
      </c>
      <c r="CD162" s="529">
        <f t="shared" ref="CD162:CD169" si="911">I162</f>
        <v>2008</v>
      </c>
      <c r="CE162" s="529">
        <f t="shared" ref="CE162:CE169" si="912">L162</f>
        <v>2009</v>
      </c>
      <c r="CF162" s="529">
        <f t="shared" ref="CF162:CF169" si="913">O162</f>
        <v>2010</v>
      </c>
      <c r="CG162" s="529">
        <f t="shared" ref="CG162:CG169" si="914">R162</f>
        <v>2011</v>
      </c>
      <c r="CH162" s="529">
        <f t="shared" ref="CH162:CH169" si="915">U162</f>
        <v>2012</v>
      </c>
      <c r="CI162" s="529">
        <f t="shared" ref="CI162:CI169" si="916">X162</f>
        <v>2013</v>
      </c>
      <c r="CJ162" s="529">
        <f t="shared" ref="CJ162:CJ169" si="917">AA162</f>
        <v>2014</v>
      </c>
      <c r="CK162" s="529">
        <f t="shared" ref="CK162:CK169" si="918">AD162</f>
        <v>2015</v>
      </c>
      <c r="CL162" s="529">
        <f t="shared" ref="CL162:CL169" si="919">AG162</f>
        <v>2016</v>
      </c>
      <c r="CM162" s="529">
        <f t="shared" ref="CM162:CM169" si="920">AJ162</f>
        <v>2017</v>
      </c>
      <c r="CN162" s="529">
        <f t="shared" ref="CN162:CN169" si="921">AM162</f>
        <v>2018</v>
      </c>
      <c r="CO162" s="529">
        <f t="shared" ref="CO162:CO169" si="922">AP162</f>
        <v>2019</v>
      </c>
      <c r="CP162" s="529">
        <f t="shared" si="708"/>
        <v>2020</v>
      </c>
      <c r="CQ162" s="529">
        <f t="shared" si="709"/>
        <v>2021</v>
      </c>
      <c r="CR162" s="529">
        <f t="shared" si="710"/>
        <v>2022</v>
      </c>
    </row>
    <row r="163" spans="1:96" x14ac:dyDescent="0.2">
      <c r="A163" s="771"/>
      <c r="B163" s="529" t="s">
        <v>494</v>
      </c>
      <c r="C163" s="584">
        <f>C27+C32+C87+C105+C122+C130+C155</f>
        <v>0</v>
      </c>
      <c r="D163" s="585"/>
      <c r="E163" s="586">
        <f>E27+E32+E87+E105+E122+E130+E155</f>
        <v>0</v>
      </c>
      <c r="F163" s="584">
        <f>F27+F32+F87+F105+F122+F130+F155</f>
        <v>71666.049999999988</v>
      </c>
      <c r="G163" s="585"/>
      <c r="H163" s="586">
        <f t="shared" ref="H163:I163" si="923">H27+H32+H87+H105+H122+H130+H155</f>
        <v>16.8074957</v>
      </c>
      <c r="I163" s="584">
        <f t="shared" si="923"/>
        <v>53415.7</v>
      </c>
      <c r="J163" s="585"/>
      <c r="K163" s="586">
        <f t="shared" ref="K163:L163" si="924">K27+K32+K87+K105+K122+K130+K155</f>
        <v>29.978016299999997</v>
      </c>
      <c r="L163" s="584">
        <f t="shared" si="924"/>
        <v>20187.75</v>
      </c>
      <c r="M163" s="585"/>
      <c r="N163" s="586">
        <f t="shared" ref="N163:O163" si="925">N27+N32+N87+N105+N122+N130+N155</f>
        <v>5.5933188500000002</v>
      </c>
      <c r="O163" s="584">
        <f t="shared" si="925"/>
        <v>88933.400000000009</v>
      </c>
      <c r="P163" s="585"/>
      <c r="Q163" s="586">
        <f t="shared" ref="Q163:R163" si="926">Q27+Q32+Q87+Q105+Q122+Q130+Q155</f>
        <v>25.888869900000003</v>
      </c>
      <c r="R163" s="584">
        <f t="shared" si="926"/>
        <v>65897.049999999988</v>
      </c>
      <c r="S163" s="585"/>
      <c r="T163" s="586">
        <f t="shared" ref="T163:U163" si="927">T27+T32+T87+T105+T122+T130+T155</f>
        <v>25.489601150000002</v>
      </c>
      <c r="U163" s="584">
        <f t="shared" si="927"/>
        <v>65000</v>
      </c>
      <c r="V163" s="624">
        <f>IFERROR(+W163*1000000/U163,0)</f>
        <v>420</v>
      </c>
      <c r="W163" s="586">
        <f>W27+W32+W87+W105+W122+W130+W155</f>
        <v>27.3</v>
      </c>
      <c r="X163" s="584">
        <f t="shared" ref="X163" si="928">X27+X32+X87+X105+X122+X130+X155</f>
        <v>71885</v>
      </c>
      <c r="Y163" s="624">
        <f>IFERROR(+Z163*1000000/X163,0)</f>
        <v>432.72325241705499</v>
      </c>
      <c r="Z163" s="586">
        <f t="shared" ref="Z163:AA163" si="929">Z27+Z32+Z87+Z105+Z122+Z130+Z155</f>
        <v>31.106310999999998</v>
      </c>
      <c r="AA163" s="584">
        <f t="shared" si="929"/>
        <v>60935</v>
      </c>
      <c r="AB163" s="624">
        <f>IFERROR(+AC163*1000000/AA163,0)</f>
        <v>445.72319684910144</v>
      </c>
      <c r="AC163" s="586">
        <f t="shared" ref="AC163:AD163" si="930">AC27+AC32+AC87+AC105+AC122+AC130+AC155</f>
        <v>27.160142999999998</v>
      </c>
      <c r="AD163" s="584">
        <f t="shared" si="930"/>
        <v>48956</v>
      </c>
      <c r="AE163" s="624">
        <f>IFERROR(+AF163*1000000/AD163,0)</f>
        <v>459.01638205735765</v>
      </c>
      <c r="AF163" s="586">
        <f t="shared" ref="AF163:AG163" si="931">AF27+AF32+AF87+AF105+AF122+AF130+AF155</f>
        <v>22.471606000000001</v>
      </c>
      <c r="AG163" s="584">
        <f t="shared" si="931"/>
        <v>48956</v>
      </c>
      <c r="AH163" s="624">
        <f>IFERROR(+AI163*1000000/AG163,0)</f>
        <v>473.01638205735753</v>
      </c>
      <c r="AI163" s="586">
        <f t="shared" ref="AI163:AJ163" si="932">AI27+AI32+AI87+AI105+AI122+AI130+AI155</f>
        <v>23.156989999999997</v>
      </c>
      <c r="AJ163" s="584">
        <f t="shared" si="932"/>
        <v>48956</v>
      </c>
      <c r="AK163" s="624">
        <f>IFERROR(+AL163*1000000/AJ163,0)</f>
        <v>487.07866247242424</v>
      </c>
      <c r="AL163" s="586">
        <f t="shared" ref="AL163:AM163" si="933">AL27+AL32+AL87+AL105+AL122+AL130+AL155</f>
        <v>23.845423</v>
      </c>
      <c r="AM163" s="584">
        <f t="shared" si="933"/>
        <v>48956</v>
      </c>
      <c r="AN163" s="624">
        <f>IFERROR(+AO163*1000000/AM163,0)</f>
        <v>501.69478715581329</v>
      </c>
      <c r="AO163" s="586">
        <f t="shared" ref="AO163:AP163" si="934">AO27+AO32+AO87+AO105+AO122+AO130+AO155</f>
        <v>24.560969999999998</v>
      </c>
      <c r="AP163" s="584">
        <f t="shared" si="934"/>
        <v>48956</v>
      </c>
      <c r="AQ163" s="624">
        <f>IFERROR(+AR163*1000000/AP163,0)</f>
        <v>516.69478715581329</v>
      </c>
      <c r="AR163" s="587">
        <f t="shared" ref="AR163:AS163" si="935">AR27+AR32+AR87+AR105+AR122+AR130+AR155</f>
        <v>25.295309999999997</v>
      </c>
      <c r="AS163" s="584">
        <f t="shared" si="935"/>
        <v>48956</v>
      </c>
      <c r="AT163" s="624">
        <f>IFERROR(+AU163*1000000/AS163,0)</f>
        <v>532.3109118392025</v>
      </c>
      <c r="AU163" s="587">
        <f t="shared" ref="AU163:AV163" si="936">AU27+AU32+AU87+AU105+AU122+AU130+AU155</f>
        <v>26.059812999999998</v>
      </c>
      <c r="AV163" s="584">
        <f t="shared" si="936"/>
        <v>48956</v>
      </c>
      <c r="AW163" s="624">
        <f>IFERROR(+AX163*1000000/AV163,0)</f>
        <v>548.3109118392025</v>
      </c>
      <c r="AX163" s="587">
        <f t="shared" ref="AX163:AY163" si="937">AX27+AX32+AX87+AX105+AX122+AX130+AX155</f>
        <v>26.843108999999998</v>
      </c>
      <c r="AY163" s="584">
        <f t="shared" si="937"/>
        <v>48956</v>
      </c>
      <c r="AZ163" s="624">
        <f>IFERROR(+BA163*1000000/AY163,0)</f>
        <v>564.75780292507568</v>
      </c>
      <c r="BA163" s="587">
        <f t="shared" ref="BA163" si="938">BA27+BA32+BA87+BA105+BA122+BA130+BA155</f>
        <v>27.648283000000003</v>
      </c>
      <c r="BD163" s="732"/>
      <c r="BJ163" s="529">
        <f t="shared" si="895"/>
        <v>0</v>
      </c>
      <c r="BK163" s="529">
        <f t="shared" si="896"/>
        <v>16.8074957</v>
      </c>
      <c r="BL163" s="529">
        <f t="shared" si="897"/>
        <v>29.978016299999997</v>
      </c>
      <c r="BM163" s="529">
        <f t="shared" si="898"/>
        <v>5.5933188500000002</v>
      </c>
      <c r="BN163" s="529">
        <f t="shared" si="899"/>
        <v>25.888869900000003</v>
      </c>
      <c r="BO163" s="529">
        <f t="shared" si="900"/>
        <v>25.489601150000002</v>
      </c>
      <c r="BP163" s="529">
        <f t="shared" si="901"/>
        <v>27.3</v>
      </c>
      <c r="BQ163" s="529">
        <f t="shared" si="902"/>
        <v>31.106310999999998</v>
      </c>
      <c r="BR163" s="529">
        <f t="shared" si="903"/>
        <v>27.160142999999998</v>
      </c>
      <c r="BS163" s="529">
        <f t="shared" si="904"/>
        <v>22.471606000000001</v>
      </c>
      <c r="BT163" s="529">
        <f t="shared" si="905"/>
        <v>23.156989999999997</v>
      </c>
      <c r="BU163" s="529">
        <f t="shared" si="906"/>
        <v>23.845423</v>
      </c>
      <c r="BV163" s="529">
        <f t="shared" si="907"/>
        <v>24.560969999999998</v>
      </c>
      <c r="BW163" s="529">
        <f t="shared" si="908"/>
        <v>25.295309999999997</v>
      </c>
      <c r="BX163" s="529">
        <f t="shared" si="705"/>
        <v>26.059812999999998</v>
      </c>
      <c r="BY163" s="529">
        <f t="shared" si="706"/>
        <v>26.843108999999998</v>
      </c>
      <c r="BZ163" s="529">
        <f t="shared" si="707"/>
        <v>27.648283000000003</v>
      </c>
      <c r="CB163" s="529">
        <f t="shared" si="909"/>
        <v>0</v>
      </c>
      <c r="CC163" s="529">
        <f t="shared" si="910"/>
        <v>71666.049999999988</v>
      </c>
      <c r="CD163" s="529">
        <f t="shared" si="911"/>
        <v>53415.7</v>
      </c>
      <c r="CE163" s="529">
        <f t="shared" si="912"/>
        <v>20187.75</v>
      </c>
      <c r="CF163" s="529">
        <f t="shared" si="913"/>
        <v>88933.400000000009</v>
      </c>
      <c r="CG163" s="529">
        <f t="shared" si="914"/>
        <v>65897.049999999988</v>
      </c>
      <c r="CH163" s="529">
        <f t="shared" si="915"/>
        <v>65000</v>
      </c>
      <c r="CI163" s="529">
        <f t="shared" si="916"/>
        <v>71885</v>
      </c>
      <c r="CJ163" s="529">
        <f t="shared" si="917"/>
        <v>60935</v>
      </c>
      <c r="CK163" s="529">
        <f t="shared" si="918"/>
        <v>48956</v>
      </c>
      <c r="CL163" s="529">
        <f t="shared" si="919"/>
        <v>48956</v>
      </c>
      <c r="CM163" s="529">
        <f t="shared" si="920"/>
        <v>48956</v>
      </c>
      <c r="CN163" s="529">
        <f t="shared" si="921"/>
        <v>48956</v>
      </c>
      <c r="CO163" s="529">
        <f t="shared" si="922"/>
        <v>48956</v>
      </c>
      <c r="CP163" s="529">
        <f t="shared" si="708"/>
        <v>48956</v>
      </c>
      <c r="CQ163" s="529">
        <f t="shared" si="709"/>
        <v>48956</v>
      </c>
      <c r="CR163" s="529">
        <f t="shared" si="710"/>
        <v>48956</v>
      </c>
    </row>
    <row r="164" spans="1:96" x14ac:dyDescent="0.2">
      <c r="A164" s="771"/>
      <c r="B164" s="529" t="s">
        <v>618</v>
      </c>
      <c r="C164" s="588">
        <f>C28+C33+C88+C106+C156</f>
        <v>0</v>
      </c>
      <c r="D164" s="585"/>
      <c r="E164" s="589">
        <f>E28+E33+E88+E106+E156</f>
        <v>0</v>
      </c>
      <c r="F164" s="588">
        <f t="shared" ref="F164" si="939">F28+F33+F88+F106+F156</f>
        <v>0</v>
      </c>
      <c r="G164" s="585"/>
      <c r="H164" s="589">
        <f t="shared" ref="H164:I164" si="940">H28+H33+H88+H106+H156</f>
        <v>0</v>
      </c>
      <c r="I164" s="588">
        <f t="shared" si="940"/>
        <v>28035.059999999998</v>
      </c>
      <c r="J164" s="585"/>
      <c r="K164" s="589">
        <f t="shared" ref="K164:L164" si="941">K28+K33+K88+K106+K156</f>
        <v>4.9342016800000001</v>
      </c>
      <c r="L164" s="588">
        <f t="shared" si="941"/>
        <v>2117.91</v>
      </c>
      <c r="M164" s="585"/>
      <c r="N164" s="589">
        <f t="shared" ref="N164:O164" si="942">N28+N33+N88+N106+N156</f>
        <v>1.4084101499999999</v>
      </c>
      <c r="O164" s="588">
        <f t="shared" si="942"/>
        <v>3084.2</v>
      </c>
      <c r="P164" s="585"/>
      <c r="Q164" s="589">
        <f t="shared" ref="Q164:R164" si="943">Q28+Q33+Q88+Q106+Q156</f>
        <v>0.60141900000000004</v>
      </c>
      <c r="R164" s="588">
        <f t="shared" si="943"/>
        <v>7999.2000000000007</v>
      </c>
      <c r="S164" s="585"/>
      <c r="T164" s="589">
        <f t="shared" ref="T164:U164" si="944">T28+T33+T88+T106+T156</f>
        <v>1.6915277999999998</v>
      </c>
      <c r="U164" s="588">
        <f t="shared" si="944"/>
        <v>21740</v>
      </c>
      <c r="V164" s="624">
        <f t="shared" ref="V164:V167" si="945">IFERROR(+W164*1000000/U164,0)</f>
        <v>0</v>
      </c>
      <c r="W164" s="589">
        <f t="shared" ref="W164:X164" si="946">W28+W33+W88+W106+W156</f>
        <v>0</v>
      </c>
      <c r="X164" s="588">
        <f t="shared" si="946"/>
        <v>0</v>
      </c>
      <c r="Y164" s="624">
        <f t="shared" ref="Y164:Y167" si="947">IFERROR(+Z164*1000000/X164,0)</f>
        <v>0</v>
      </c>
      <c r="Z164" s="589">
        <f t="shared" ref="Z164:AA164" si="948">Z28+Z33+Z88+Z106+Z156</f>
        <v>0</v>
      </c>
      <c r="AA164" s="588">
        <f t="shared" si="948"/>
        <v>0</v>
      </c>
      <c r="AB164" s="624">
        <f t="shared" ref="AB164:AB167" si="949">IFERROR(+AC164*1000000/AA164,0)</f>
        <v>0</v>
      </c>
      <c r="AC164" s="589">
        <f t="shared" ref="AC164:AD164" si="950">AC28+AC33+AC88+AC106+AC156</f>
        <v>0</v>
      </c>
      <c r="AD164" s="588">
        <f t="shared" si="950"/>
        <v>0</v>
      </c>
      <c r="AE164" s="624">
        <f t="shared" ref="AE164:AE167" si="951">IFERROR(+AF164*1000000/AD164,0)</f>
        <v>0</v>
      </c>
      <c r="AF164" s="589">
        <f t="shared" ref="AF164:AG164" si="952">AF28+AF33+AF88+AF106+AF156</f>
        <v>0</v>
      </c>
      <c r="AG164" s="588">
        <f t="shared" si="952"/>
        <v>0</v>
      </c>
      <c r="AH164" s="624">
        <f t="shared" ref="AH164:AH167" si="953">IFERROR(+AI164*1000000/AG164,0)</f>
        <v>0</v>
      </c>
      <c r="AI164" s="589">
        <f t="shared" ref="AI164:AJ164" si="954">AI28+AI33+AI88+AI106+AI156</f>
        <v>0</v>
      </c>
      <c r="AJ164" s="588">
        <f t="shared" si="954"/>
        <v>0</v>
      </c>
      <c r="AK164" s="624">
        <f t="shared" ref="AK164:AK167" si="955">IFERROR(+AL164*1000000/AJ164,0)</f>
        <v>0</v>
      </c>
      <c r="AL164" s="589">
        <f t="shared" ref="AL164:AM164" si="956">AL28+AL33+AL88+AL106+AL156</f>
        <v>0</v>
      </c>
      <c r="AM164" s="588">
        <f t="shared" si="956"/>
        <v>0</v>
      </c>
      <c r="AN164" s="624">
        <f t="shared" ref="AN164:AN167" si="957">IFERROR(+AO164*1000000/AM164,0)</f>
        <v>0</v>
      </c>
      <c r="AO164" s="589">
        <f t="shared" ref="AO164:AP164" si="958">AO28+AO33+AO88+AO106+AO156</f>
        <v>0</v>
      </c>
      <c r="AP164" s="588">
        <f t="shared" si="958"/>
        <v>0</v>
      </c>
      <c r="AQ164" s="624">
        <f t="shared" ref="AQ164:AQ167" si="959">IFERROR(+AR164*1000000/AP164,0)</f>
        <v>0</v>
      </c>
      <c r="AR164" s="590">
        <f t="shared" ref="AR164:AS164" si="960">AR28+AR33+AR88+AR106+AR156</f>
        <v>0</v>
      </c>
      <c r="AS164" s="588">
        <f t="shared" si="960"/>
        <v>0</v>
      </c>
      <c r="AT164" s="624">
        <f t="shared" ref="AT164:AT167" si="961">IFERROR(+AU164*1000000/AS164,0)</f>
        <v>0</v>
      </c>
      <c r="AU164" s="590">
        <f t="shared" ref="AU164:AV164" si="962">AU28+AU33+AU88+AU106+AU156</f>
        <v>0</v>
      </c>
      <c r="AV164" s="588">
        <f t="shared" si="962"/>
        <v>0</v>
      </c>
      <c r="AW164" s="624">
        <f t="shared" ref="AW164:AW167" si="963">IFERROR(+AX164*1000000/AV164,0)</f>
        <v>0</v>
      </c>
      <c r="AX164" s="590">
        <f t="shared" ref="AX164:AY164" si="964">AX28+AX33+AX88+AX106+AX156</f>
        <v>0</v>
      </c>
      <c r="AY164" s="588">
        <f t="shared" si="964"/>
        <v>0</v>
      </c>
      <c r="AZ164" s="624">
        <f t="shared" ref="AZ164:AZ167" si="965">IFERROR(+BA164*1000000/AY164,0)</f>
        <v>0</v>
      </c>
      <c r="BA164" s="590">
        <f t="shared" ref="BA164" si="966">BA28+BA33+BA88+BA106+BA156</f>
        <v>0</v>
      </c>
      <c r="BD164" s="732"/>
      <c r="BJ164" s="529">
        <f t="shared" si="895"/>
        <v>0</v>
      </c>
      <c r="BK164" s="529">
        <f t="shared" si="896"/>
        <v>0</v>
      </c>
      <c r="BL164" s="529">
        <f t="shared" si="897"/>
        <v>4.9342016800000001</v>
      </c>
      <c r="BM164" s="529">
        <f t="shared" si="898"/>
        <v>1.4084101499999999</v>
      </c>
      <c r="BN164" s="529">
        <f t="shared" si="899"/>
        <v>0.60141900000000004</v>
      </c>
      <c r="BO164" s="529">
        <f t="shared" si="900"/>
        <v>1.6915277999999998</v>
      </c>
      <c r="BP164" s="529">
        <f t="shared" si="901"/>
        <v>0</v>
      </c>
      <c r="BQ164" s="529">
        <f t="shared" si="902"/>
        <v>0</v>
      </c>
      <c r="BR164" s="529">
        <f t="shared" si="903"/>
        <v>0</v>
      </c>
      <c r="BS164" s="529">
        <f t="shared" si="904"/>
        <v>0</v>
      </c>
      <c r="BT164" s="529">
        <f t="shared" si="905"/>
        <v>0</v>
      </c>
      <c r="BU164" s="529">
        <f t="shared" si="906"/>
        <v>0</v>
      </c>
      <c r="BV164" s="529">
        <f t="shared" si="907"/>
        <v>0</v>
      </c>
      <c r="BW164" s="529">
        <f t="shared" si="908"/>
        <v>0</v>
      </c>
      <c r="BX164" s="529">
        <f t="shared" si="705"/>
        <v>0</v>
      </c>
      <c r="BY164" s="529">
        <f t="shared" si="706"/>
        <v>0</v>
      </c>
      <c r="BZ164" s="529">
        <f t="shared" si="707"/>
        <v>0</v>
      </c>
      <c r="CB164" s="529">
        <f t="shared" si="909"/>
        <v>0</v>
      </c>
      <c r="CC164" s="529">
        <f t="shared" si="910"/>
        <v>0</v>
      </c>
      <c r="CD164" s="529">
        <f t="shared" si="911"/>
        <v>28035.059999999998</v>
      </c>
      <c r="CE164" s="529">
        <f t="shared" si="912"/>
        <v>2117.91</v>
      </c>
      <c r="CF164" s="529">
        <f t="shared" si="913"/>
        <v>3084.2</v>
      </c>
      <c r="CG164" s="529">
        <f t="shared" si="914"/>
        <v>7999.2000000000007</v>
      </c>
      <c r="CH164" s="529">
        <f t="shared" si="915"/>
        <v>21740</v>
      </c>
      <c r="CI164" s="529">
        <f t="shared" si="916"/>
        <v>0</v>
      </c>
      <c r="CJ164" s="529">
        <f t="shared" si="917"/>
        <v>0</v>
      </c>
      <c r="CK164" s="529">
        <f t="shared" si="918"/>
        <v>0</v>
      </c>
      <c r="CL164" s="529">
        <f t="shared" si="919"/>
        <v>0</v>
      </c>
      <c r="CM164" s="529">
        <f t="shared" si="920"/>
        <v>0</v>
      </c>
      <c r="CN164" s="529">
        <f t="shared" si="921"/>
        <v>0</v>
      </c>
      <c r="CO164" s="529">
        <f t="shared" si="922"/>
        <v>0</v>
      </c>
      <c r="CP164" s="529">
        <f t="shared" si="708"/>
        <v>0</v>
      </c>
      <c r="CQ164" s="529">
        <f t="shared" si="709"/>
        <v>0</v>
      </c>
      <c r="CR164" s="529">
        <f t="shared" si="710"/>
        <v>0</v>
      </c>
    </row>
    <row r="165" spans="1:96" x14ac:dyDescent="0.2">
      <c r="A165" s="771"/>
      <c r="B165" s="529" t="s">
        <v>495</v>
      </c>
      <c r="C165" s="588">
        <f>C29+C34+C89+C107+C123+C132+C157</f>
        <v>127</v>
      </c>
      <c r="D165" s="591"/>
      <c r="E165" s="589">
        <f>E29+E34+E89+E107+E123+E132+E157</f>
        <v>1.6764000000000001E-2</v>
      </c>
      <c r="F165" s="588">
        <f>F29+F34+F89+F107+F123+F132+F157</f>
        <v>27980.74</v>
      </c>
      <c r="G165" s="591"/>
      <c r="H165" s="589">
        <f t="shared" ref="H165:I165" si="967">H29+H34+H89+H107+H123+H132+H157</f>
        <v>3.7500934699999999</v>
      </c>
      <c r="I165" s="588">
        <f t="shared" si="967"/>
        <v>43097.599999999999</v>
      </c>
      <c r="J165" s="591"/>
      <c r="K165" s="589">
        <f t="shared" ref="K165:L165" si="968">K29+K34+K89+K107+K123+K132+K157</f>
        <v>13.059903199999999</v>
      </c>
      <c r="L165" s="588">
        <f t="shared" si="968"/>
        <v>23573</v>
      </c>
      <c r="M165" s="591"/>
      <c r="N165" s="589">
        <f t="shared" ref="N165:O165" si="969">N29+N34+N89+N107+N123+N132+N157</f>
        <v>3.4631591999999998</v>
      </c>
      <c r="O165" s="588">
        <f t="shared" si="969"/>
        <v>39543.300000000003</v>
      </c>
      <c r="P165" s="591"/>
      <c r="Q165" s="589">
        <f t="shared" ref="Q165:R165" si="970">Q29+Q34+Q89+Q107+Q123+Q132+Q157</f>
        <v>6.6874095000000002</v>
      </c>
      <c r="R165" s="588">
        <f t="shared" si="970"/>
        <v>60336.000000000007</v>
      </c>
      <c r="S165" s="591"/>
      <c r="T165" s="589">
        <f t="shared" ref="T165:U165" si="971">T29+T34+T89+T107+T123+T132+T157</f>
        <v>13.1075488</v>
      </c>
      <c r="U165" s="588">
        <f t="shared" si="971"/>
        <v>80000</v>
      </c>
      <c r="V165" s="624">
        <f t="shared" si="945"/>
        <v>240</v>
      </c>
      <c r="W165" s="589">
        <f t="shared" ref="W165:X165" si="972">W29+W34+W89+W107+W123+W132+W157</f>
        <v>19.2</v>
      </c>
      <c r="X165" s="588">
        <f t="shared" si="972"/>
        <v>88473</v>
      </c>
      <c r="Y165" s="624">
        <f t="shared" si="947"/>
        <v>247.30054366868984</v>
      </c>
      <c r="Z165" s="589">
        <f t="shared" ref="Z165:AA165" si="973">Z29+Z34+Z89+Z107+Z123+Z132+Z157</f>
        <v>21.879420999999997</v>
      </c>
      <c r="AA165" s="588">
        <f t="shared" si="973"/>
        <v>74998</v>
      </c>
      <c r="AB165" s="624">
        <f t="shared" si="949"/>
        <v>254.61730979492791</v>
      </c>
      <c r="AC165" s="589">
        <f t="shared" ref="AC165:AD165" si="974">AC29+AC34+AC89+AC107+AC123+AC132+AC157</f>
        <v>19.095789000000003</v>
      </c>
      <c r="AD165" s="588">
        <f t="shared" si="974"/>
        <v>60251</v>
      </c>
      <c r="AE165" s="624">
        <f t="shared" si="951"/>
        <v>261.93412557467929</v>
      </c>
      <c r="AF165" s="589">
        <f t="shared" ref="AF165:AG165" si="975">AF29+AF34+AF89+AF107+AF123+AF132+AF157</f>
        <v>15.781793</v>
      </c>
      <c r="AG165" s="588">
        <f t="shared" si="975"/>
        <v>60251</v>
      </c>
      <c r="AH165" s="624">
        <f t="shared" si="953"/>
        <v>269.93412557467929</v>
      </c>
      <c r="AI165" s="589">
        <f t="shared" ref="AI165:AJ165" si="976">AI29+AI34+AI89+AI107+AI123+AI132+AI157</f>
        <v>16.263801000000001</v>
      </c>
      <c r="AJ165" s="588">
        <f t="shared" si="976"/>
        <v>60251</v>
      </c>
      <c r="AK165" s="624">
        <f t="shared" si="955"/>
        <v>278.06200726958889</v>
      </c>
      <c r="AL165" s="589">
        <f t="shared" ref="AL165:AM165" si="977">AL29+AL34+AL89+AL107+AL123+AL132+AL157</f>
        <v>16.753513999999999</v>
      </c>
      <c r="AM165" s="588">
        <f t="shared" si="977"/>
        <v>60251</v>
      </c>
      <c r="AN165" s="624">
        <f t="shared" si="957"/>
        <v>286.37869910872848</v>
      </c>
      <c r="AO165" s="589">
        <f t="shared" ref="AO165:AP165" si="978">AO29+AO34+AO89+AO107+AO123+AO132+AO157</f>
        <v>17.254602999999999</v>
      </c>
      <c r="AP165" s="588">
        <f t="shared" si="978"/>
        <v>60251</v>
      </c>
      <c r="AQ165" s="624">
        <f t="shared" si="959"/>
        <v>294.69539094786808</v>
      </c>
      <c r="AR165" s="590">
        <f t="shared" ref="AR165:AS165" si="979">AR29+AR34+AR89+AR107+AR123+AR132+AR157</f>
        <v>17.755692</v>
      </c>
      <c r="AS165" s="588">
        <f t="shared" si="979"/>
        <v>60251</v>
      </c>
      <c r="AT165" s="624">
        <f t="shared" si="961"/>
        <v>303.69539094786808</v>
      </c>
      <c r="AU165" s="590">
        <f t="shared" ref="AU165:AV165" si="980">AU29+AU34+AU89+AU107+AU123+AU132+AU157</f>
        <v>18.297951000000001</v>
      </c>
      <c r="AV165" s="588">
        <f t="shared" si="980"/>
        <v>60251</v>
      </c>
      <c r="AW165" s="624">
        <f t="shared" si="963"/>
        <v>312.98708735124728</v>
      </c>
      <c r="AX165" s="590">
        <f t="shared" ref="AX165:AY165" si="981">AX29+AX34+AX89+AX107+AX123+AX132+AX157</f>
        <v>18.857785</v>
      </c>
      <c r="AY165" s="588">
        <f t="shared" si="981"/>
        <v>60251</v>
      </c>
      <c r="AZ165" s="624">
        <f t="shared" si="965"/>
        <v>322.30377919038688</v>
      </c>
      <c r="BA165" s="590">
        <f t="shared" ref="BA165" si="982">BA29+BA34+BA89+BA107+BA123+BA132+BA157</f>
        <v>19.419125000000001</v>
      </c>
      <c r="BD165" s="732"/>
      <c r="BJ165" s="529">
        <f t="shared" si="895"/>
        <v>1.6764000000000001E-2</v>
      </c>
      <c r="BK165" s="529">
        <f t="shared" si="896"/>
        <v>3.7500934699999999</v>
      </c>
      <c r="BL165" s="529">
        <f t="shared" si="897"/>
        <v>13.059903199999999</v>
      </c>
      <c r="BM165" s="529">
        <f t="shared" si="898"/>
        <v>3.4631591999999998</v>
      </c>
      <c r="BN165" s="529">
        <f t="shared" si="899"/>
        <v>6.6874095000000002</v>
      </c>
      <c r="BO165" s="529">
        <f t="shared" si="900"/>
        <v>13.1075488</v>
      </c>
      <c r="BP165" s="529">
        <f t="shared" si="901"/>
        <v>19.2</v>
      </c>
      <c r="BQ165" s="529">
        <f t="shared" si="902"/>
        <v>21.879420999999997</v>
      </c>
      <c r="BR165" s="529">
        <f t="shared" si="903"/>
        <v>19.095789000000003</v>
      </c>
      <c r="BS165" s="529">
        <f t="shared" si="904"/>
        <v>15.781793</v>
      </c>
      <c r="BT165" s="529">
        <f t="shared" si="905"/>
        <v>16.263801000000001</v>
      </c>
      <c r="BU165" s="529">
        <f t="shared" si="906"/>
        <v>16.753513999999999</v>
      </c>
      <c r="BV165" s="529">
        <f t="shared" si="907"/>
        <v>17.254602999999999</v>
      </c>
      <c r="BW165" s="529">
        <f t="shared" si="908"/>
        <v>17.755692</v>
      </c>
      <c r="BX165" s="529">
        <f t="shared" si="705"/>
        <v>18.297951000000001</v>
      </c>
      <c r="BY165" s="529">
        <f t="shared" si="706"/>
        <v>18.857785</v>
      </c>
      <c r="BZ165" s="529">
        <f t="shared" si="707"/>
        <v>19.419125000000001</v>
      </c>
      <c r="CB165" s="529">
        <f t="shared" si="909"/>
        <v>127</v>
      </c>
      <c r="CC165" s="529">
        <f t="shared" si="910"/>
        <v>27980.74</v>
      </c>
      <c r="CD165" s="529">
        <f t="shared" si="911"/>
        <v>43097.599999999999</v>
      </c>
      <c r="CE165" s="529">
        <f t="shared" si="912"/>
        <v>23573</v>
      </c>
      <c r="CF165" s="529">
        <f t="shared" si="913"/>
        <v>39543.300000000003</v>
      </c>
      <c r="CG165" s="529">
        <f t="shared" si="914"/>
        <v>60336.000000000007</v>
      </c>
      <c r="CH165" s="529">
        <f t="shared" si="915"/>
        <v>80000</v>
      </c>
      <c r="CI165" s="529">
        <f t="shared" si="916"/>
        <v>88473</v>
      </c>
      <c r="CJ165" s="529">
        <f t="shared" si="917"/>
        <v>74998</v>
      </c>
      <c r="CK165" s="529">
        <f t="shared" si="918"/>
        <v>60251</v>
      </c>
      <c r="CL165" s="529">
        <f t="shared" si="919"/>
        <v>60251</v>
      </c>
      <c r="CM165" s="529">
        <f t="shared" si="920"/>
        <v>60251</v>
      </c>
      <c r="CN165" s="529">
        <f t="shared" si="921"/>
        <v>60251</v>
      </c>
      <c r="CO165" s="529">
        <f t="shared" si="922"/>
        <v>60251</v>
      </c>
      <c r="CP165" s="529">
        <f t="shared" si="708"/>
        <v>60251</v>
      </c>
      <c r="CQ165" s="529">
        <f t="shared" si="709"/>
        <v>60251</v>
      </c>
      <c r="CR165" s="529">
        <f t="shared" si="710"/>
        <v>60251</v>
      </c>
    </row>
    <row r="166" spans="1:96" x14ac:dyDescent="0.2">
      <c r="A166" s="771"/>
      <c r="B166" s="529" t="s">
        <v>113</v>
      </c>
      <c r="C166" s="588">
        <f>C30+C35+C90+C108+C131+C158</f>
        <v>33086.160000000003</v>
      </c>
      <c r="D166" s="591"/>
      <c r="E166" s="589">
        <f>E30+E35+E90+E108+E131+E158</f>
        <v>3.7977358749999999</v>
      </c>
      <c r="F166" s="588">
        <f t="shared" ref="F166" si="983">F30+F35+F90+F108+F131+F158</f>
        <v>14856.849999999999</v>
      </c>
      <c r="G166" s="591"/>
      <c r="H166" s="589">
        <f t="shared" ref="H166:I166" si="984">H30+H35+H90+H108+H131+H158</f>
        <v>1.7792380999999999</v>
      </c>
      <c r="I166" s="588">
        <f t="shared" si="984"/>
        <v>7108</v>
      </c>
      <c r="J166" s="591"/>
      <c r="K166" s="589">
        <f t="shared" ref="K166:L166" si="985">K30+K35+K90+K108+K131+K158</f>
        <v>0.38890999999999998</v>
      </c>
      <c r="L166" s="588">
        <f t="shared" si="985"/>
        <v>2000</v>
      </c>
      <c r="M166" s="591"/>
      <c r="N166" s="589">
        <f t="shared" ref="N166:O166" si="986">N30+N35+N90+N108+N131+N158</f>
        <v>0.40400000000000003</v>
      </c>
      <c r="O166" s="588">
        <f t="shared" si="986"/>
        <v>0</v>
      </c>
      <c r="P166" s="591"/>
      <c r="Q166" s="589">
        <f t="shared" ref="Q166:R166" si="987">Q30+Q35+Q90+Q108+Q131+Q158</f>
        <v>0</v>
      </c>
      <c r="R166" s="588">
        <f t="shared" si="987"/>
        <v>0</v>
      </c>
      <c r="S166" s="591"/>
      <c r="T166" s="589">
        <f t="shared" ref="T166:U166" si="988">T30+T35+T90+T108+T131+T158</f>
        <v>0</v>
      </c>
      <c r="U166" s="588">
        <f t="shared" si="988"/>
        <v>0</v>
      </c>
      <c r="V166" s="624">
        <f t="shared" si="945"/>
        <v>0</v>
      </c>
      <c r="W166" s="589">
        <f t="shared" ref="W166:X166" si="989">W30+W35+W90+W108+W131+W158</f>
        <v>0</v>
      </c>
      <c r="X166" s="588">
        <f t="shared" si="989"/>
        <v>0</v>
      </c>
      <c r="Y166" s="624">
        <f t="shared" si="947"/>
        <v>0</v>
      </c>
      <c r="Z166" s="589">
        <f t="shared" ref="Z166:AA166" si="990">Z30+Z35+Z90+Z108+Z131+Z158</f>
        <v>0</v>
      </c>
      <c r="AA166" s="588">
        <f t="shared" si="990"/>
        <v>0</v>
      </c>
      <c r="AB166" s="624">
        <f t="shared" si="949"/>
        <v>0</v>
      </c>
      <c r="AC166" s="589">
        <f t="shared" ref="AC166:AD166" si="991">AC30+AC35+AC90+AC108+AC131+AC158</f>
        <v>0</v>
      </c>
      <c r="AD166" s="588">
        <f t="shared" si="991"/>
        <v>0</v>
      </c>
      <c r="AE166" s="624">
        <f t="shared" si="951"/>
        <v>0</v>
      </c>
      <c r="AF166" s="589">
        <f t="shared" ref="AF166:AG166" si="992">AF30+AF35+AF90+AF108+AF131+AF158</f>
        <v>0</v>
      </c>
      <c r="AG166" s="588">
        <f t="shared" si="992"/>
        <v>0</v>
      </c>
      <c r="AH166" s="624">
        <f t="shared" si="953"/>
        <v>0</v>
      </c>
      <c r="AI166" s="589">
        <f t="shared" ref="AI166:AJ166" si="993">AI30+AI35+AI90+AI108+AI131+AI158</f>
        <v>0</v>
      </c>
      <c r="AJ166" s="588">
        <f t="shared" si="993"/>
        <v>0</v>
      </c>
      <c r="AK166" s="624">
        <f t="shared" si="955"/>
        <v>0</v>
      </c>
      <c r="AL166" s="589">
        <f t="shared" ref="AL166:AM166" si="994">AL30+AL35+AL90+AL108+AL131+AL158</f>
        <v>0</v>
      </c>
      <c r="AM166" s="588">
        <f t="shared" si="994"/>
        <v>0</v>
      </c>
      <c r="AN166" s="624">
        <f t="shared" si="957"/>
        <v>0</v>
      </c>
      <c r="AO166" s="589">
        <f t="shared" ref="AO166:AP166" si="995">AO30+AO35+AO90+AO108+AO131+AO158</f>
        <v>0</v>
      </c>
      <c r="AP166" s="588">
        <f t="shared" si="995"/>
        <v>0</v>
      </c>
      <c r="AQ166" s="624">
        <f t="shared" si="959"/>
        <v>0</v>
      </c>
      <c r="AR166" s="590">
        <f t="shared" ref="AR166:AS166" si="996">AR30+AR35+AR90+AR108+AR131+AR158</f>
        <v>0</v>
      </c>
      <c r="AS166" s="588">
        <f t="shared" si="996"/>
        <v>0</v>
      </c>
      <c r="AT166" s="624">
        <f t="shared" si="961"/>
        <v>0</v>
      </c>
      <c r="AU166" s="590">
        <f t="shared" ref="AU166:AV166" si="997">AU30+AU35+AU90+AU108+AU131+AU158</f>
        <v>0</v>
      </c>
      <c r="AV166" s="588">
        <f t="shared" si="997"/>
        <v>0</v>
      </c>
      <c r="AW166" s="624">
        <f t="shared" si="963"/>
        <v>0</v>
      </c>
      <c r="AX166" s="590">
        <f t="shared" ref="AX166:AY166" si="998">AX30+AX35+AX90+AX108+AX131+AX158</f>
        <v>0</v>
      </c>
      <c r="AY166" s="588">
        <f t="shared" si="998"/>
        <v>0</v>
      </c>
      <c r="AZ166" s="624">
        <f t="shared" si="965"/>
        <v>0</v>
      </c>
      <c r="BA166" s="590">
        <f t="shared" ref="BA166" si="999">BA30+BA35+BA90+BA108+BA131+BA158</f>
        <v>0</v>
      </c>
      <c r="BD166" s="732"/>
      <c r="BJ166" s="529">
        <f t="shared" si="895"/>
        <v>3.7977358749999999</v>
      </c>
      <c r="BK166" s="529">
        <f t="shared" si="896"/>
        <v>1.7792380999999999</v>
      </c>
      <c r="BL166" s="529">
        <f t="shared" si="897"/>
        <v>0.38890999999999998</v>
      </c>
      <c r="BM166" s="529">
        <f t="shared" si="898"/>
        <v>0.40400000000000003</v>
      </c>
      <c r="BN166" s="529">
        <f t="shared" si="899"/>
        <v>0</v>
      </c>
      <c r="BO166" s="529">
        <f t="shared" si="900"/>
        <v>0</v>
      </c>
      <c r="BP166" s="529">
        <f t="shared" si="901"/>
        <v>0</v>
      </c>
      <c r="BQ166" s="529">
        <f t="shared" si="902"/>
        <v>0</v>
      </c>
      <c r="BR166" s="529">
        <f t="shared" si="903"/>
        <v>0</v>
      </c>
      <c r="BS166" s="529">
        <f t="shared" si="904"/>
        <v>0</v>
      </c>
      <c r="BT166" s="529">
        <f t="shared" si="905"/>
        <v>0</v>
      </c>
      <c r="BU166" s="529">
        <f t="shared" si="906"/>
        <v>0</v>
      </c>
      <c r="BV166" s="529">
        <f t="shared" si="907"/>
        <v>0</v>
      </c>
      <c r="BW166" s="529">
        <f t="shared" si="908"/>
        <v>0</v>
      </c>
      <c r="BX166" s="529">
        <f t="shared" si="705"/>
        <v>0</v>
      </c>
      <c r="BY166" s="529">
        <f t="shared" si="706"/>
        <v>0</v>
      </c>
      <c r="BZ166" s="529">
        <f t="shared" si="707"/>
        <v>0</v>
      </c>
      <c r="CB166" s="529">
        <f t="shared" si="909"/>
        <v>33086.160000000003</v>
      </c>
      <c r="CC166" s="529">
        <f t="shared" si="910"/>
        <v>14856.849999999999</v>
      </c>
      <c r="CD166" s="529">
        <f t="shared" si="911"/>
        <v>7108</v>
      </c>
      <c r="CE166" s="529">
        <f t="shared" si="912"/>
        <v>2000</v>
      </c>
      <c r="CF166" s="529">
        <f t="shared" si="913"/>
        <v>0</v>
      </c>
      <c r="CG166" s="529">
        <f t="shared" si="914"/>
        <v>0</v>
      </c>
      <c r="CH166" s="529">
        <f t="shared" si="915"/>
        <v>0</v>
      </c>
      <c r="CI166" s="529">
        <f t="shared" si="916"/>
        <v>0</v>
      </c>
      <c r="CJ166" s="529">
        <f t="shared" si="917"/>
        <v>0</v>
      </c>
      <c r="CK166" s="529">
        <f t="shared" si="918"/>
        <v>0</v>
      </c>
      <c r="CL166" s="529">
        <f t="shared" si="919"/>
        <v>0</v>
      </c>
      <c r="CM166" s="529">
        <f t="shared" si="920"/>
        <v>0</v>
      </c>
      <c r="CN166" s="529">
        <f t="shared" si="921"/>
        <v>0</v>
      </c>
      <c r="CO166" s="529">
        <f t="shared" si="922"/>
        <v>0</v>
      </c>
      <c r="CP166" s="529">
        <f t="shared" si="708"/>
        <v>0</v>
      </c>
      <c r="CQ166" s="529">
        <f t="shared" si="709"/>
        <v>0</v>
      </c>
      <c r="CR166" s="529">
        <f t="shared" si="710"/>
        <v>0</v>
      </c>
    </row>
    <row r="167" spans="1:96" x14ac:dyDescent="0.2">
      <c r="A167" s="771"/>
      <c r="B167" s="529" t="s">
        <v>502</v>
      </c>
      <c r="C167" s="588">
        <f>C124+C159</f>
        <v>0</v>
      </c>
      <c r="D167" s="591"/>
      <c r="E167" s="589">
        <f>E124+E159</f>
        <v>0</v>
      </c>
      <c r="F167" s="588">
        <f t="shared" ref="F167" si="1000">F124+F159</f>
        <v>0</v>
      </c>
      <c r="G167" s="591"/>
      <c r="H167" s="589">
        <f t="shared" ref="H167:I167" si="1001">H124+H159</f>
        <v>0</v>
      </c>
      <c r="I167" s="588">
        <f t="shared" si="1001"/>
        <v>0</v>
      </c>
      <c r="J167" s="591"/>
      <c r="K167" s="589">
        <f t="shared" ref="K167:L167" si="1002">K124+K159</f>
        <v>0</v>
      </c>
      <c r="L167" s="588">
        <f t="shared" si="1002"/>
        <v>0</v>
      </c>
      <c r="M167" s="591"/>
      <c r="N167" s="589">
        <f t="shared" ref="N167:O167" si="1003">N124+N159</f>
        <v>0</v>
      </c>
      <c r="O167" s="588">
        <f t="shared" si="1003"/>
        <v>16260</v>
      </c>
      <c r="P167" s="591"/>
      <c r="Q167" s="589">
        <f t="shared" ref="Q167:R167" si="1004">Q124+Q159</f>
        <v>6.14628</v>
      </c>
      <c r="R167" s="588">
        <f t="shared" si="1004"/>
        <v>0</v>
      </c>
      <c r="S167" s="591"/>
      <c r="T167" s="589">
        <f t="shared" ref="T167:U167" si="1005">T124+T159</f>
        <v>0</v>
      </c>
      <c r="U167" s="588">
        <f t="shared" si="1005"/>
        <v>0</v>
      </c>
      <c r="V167" s="624">
        <f t="shared" si="945"/>
        <v>0</v>
      </c>
      <c r="W167" s="589">
        <f t="shared" ref="W167:X167" si="1006">W124+W159</f>
        <v>0</v>
      </c>
      <c r="X167" s="588">
        <f t="shared" si="1006"/>
        <v>0</v>
      </c>
      <c r="Y167" s="624">
        <f t="shared" si="947"/>
        <v>0</v>
      </c>
      <c r="Z167" s="589">
        <f t="shared" ref="Z167:AA167" si="1007">Z124+Z159</f>
        <v>0</v>
      </c>
      <c r="AA167" s="588">
        <f t="shared" si="1007"/>
        <v>0</v>
      </c>
      <c r="AB167" s="624">
        <f t="shared" si="949"/>
        <v>0</v>
      </c>
      <c r="AC167" s="589">
        <f t="shared" ref="AC167:AD167" si="1008">AC124+AC159</f>
        <v>0</v>
      </c>
      <c r="AD167" s="588">
        <f t="shared" si="1008"/>
        <v>0</v>
      </c>
      <c r="AE167" s="624">
        <f t="shared" si="951"/>
        <v>0</v>
      </c>
      <c r="AF167" s="589">
        <f t="shared" ref="AF167:AG167" si="1009">AF124+AF159</f>
        <v>0</v>
      </c>
      <c r="AG167" s="588">
        <f t="shared" si="1009"/>
        <v>0</v>
      </c>
      <c r="AH167" s="624">
        <f t="shared" si="953"/>
        <v>0</v>
      </c>
      <c r="AI167" s="589">
        <f t="shared" ref="AI167:AJ167" si="1010">AI124+AI159</f>
        <v>0</v>
      </c>
      <c r="AJ167" s="588">
        <f t="shared" si="1010"/>
        <v>0</v>
      </c>
      <c r="AK167" s="624">
        <f t="shared" si="955"/>
        <v>0</v>
      </c>
      <c r="AL167" s="589">
        <f t="shared" ref="AL167:AM167" si="1011">AL124+AL159</f>
        <v>0</v>
      </c>
      <c r="AM167" s="588">
        <f t="shared" si="1011"/>
        <v>0</v>
      </c>
      <c r="AN167" s="624">
        <f t="shared" si="957"/>
        <v>0</v>
      </c>
      <c r="AO167" s="589">
        <f t="shared" ref="AO167:AP167" si="1012">AO124+AO159</f>
        <v>0</v>
      </c>
      <c r="AP167" s="588">
        <f t="shared" si="1012"/>
        <v>0</v>
      </c>
      <c r="AQ167" s="624">
        <f t="shared" si="959"/>
        <v>0</v>
      </c>
      <c r="AR167" s="590">
        <f t="shared" ref="AR167:AS167" si="1013">AR124+AR159</f>
        <v>0</v>
      </c>
      <c r="AS167" s="588">
        <f t="shared" si="1013"/>
        <v>0</v>
      </c>
      <c r="AT167" s="624">
        <f t="shared" si="961"/>
        <v>0</v>
      </c>
      <c r="AU167" s="590">
        <f t="shared" ref="AU167:AV167" si="1014">AU124+AU159</f>
        <v>0</v>
      </c>
      <c r="AV167" s="588">
        <f t="shared" si="1014"/>
        <v>0</v>
      </c>
      <c r="AW167" s="624">
        <f t="shared" si="963"/>
        <v>0</v>
      </c>
      <c r="AX167" s="590">
        <f t="shared" ref="AX167:AY167" si="1015">AX124+AX159</f>
        <v>0</v>
      </c>
      <c r="AY167" s="588">
        <f t="shared" si="1015"/>
        <v>0</v>
      </c>
      <c r="AZ167" s="624">
        <f t="shared" si="965"/>
        <v>0</v>
      </c>
      <c r="BA167" s="590">
        <f t="shared" ref="BA167" si="1016">BA124+BA159</f>
        <v>0</v>
      </c>
      <c r="BD167" s="732"/>
      <c r="BJ167" s="529">
        <f t="shared" si="895"/>
        <v>0</v>
      </c>
      <c r="BK167" s="529">
        <f t="shared" si="896"/>
        <v>0</v>
      </c>
      <c r="BL167" s="529">
        <f t="shared" si="897"/>
        <v>0</v>
      </c>
      <c r="BM167" s="529">
        <f t="shared" si="898"/>
        <v>0</v>
      </c>
      <c r="BN167" s="529">
        <f t="shared" si="899"/>
        <v>6.14628</v>
      </c>
      <c r="BO167" s="529">
        <f t="shared" si="900"/>
        <v>0</v>
      </c>
      <c r="BP167" s="529">
        <f t="shared" si="901"/>
        <v>0</v>
      </c>
      <c r="BQ167" s="529">
        <f t="shared" si="902"/>
        <v>0</v>
      </c>
      <c r="BR167" s="529">
        <f t="shared" si="903"/>
        <v>0</v>
      </c>
      <c r="BS167" s="529">
        <f t="shared" si="904"/>
        <v>0</v>
      </c>
      <c r="BT167" s="529">
        <f t="shared" si="905"/>
        <v>0</v>
      </c>
      <c r="BU167" s="529">
        <f t="shared" si="906"/>
        <v>0</v>
      </c>
      <c r="BV167" s="529">
        <f t="shared" si="907"/>
        <v>0</v>
      </c>
      <c r="BW167" s="529">
        <f t="shared" si="908"/>
        <v>0</v>
      </c>
      <c r="BX167" s="529">
        <f t="shared" si="705"/>
        <v>0</v>
      </c>
      <c r="BY167" s="529">
        <f t="shared" si="706"/>
        <v>0</v>
      </c>
      <c r="BZ167" s="529">
        <f t="shared" si="707"/>
        <v>0</v>
      </c>
      <c r="CB167" s="529">
        <f t="shared" si="909"/>
        <v>0</v>
      </c>
      <c r="CC167" s="529">
        <f t="shared" si="910"/>
        <v>0</v>
      </c>
      <c r="CD167" s="529">
        <f t="shared" si="911"/>
        <v>0</v>
      </c>
      <c r="CE167" s="529">
        <f t="shared" si="912"/>
        <v>0</v>
      </c>
      <c r="CF167" s="529">
        <f t="shared" si="913"/>
        <v>16260</v>
      </c>
      <c r="CG167" s="529">
        <f t="shared" si="914"/>
        <v>0</v>
      </c>
      <c r="CH167" s="529">
        <f t="shared" si="915"/>
        <v>0</v>
      </c>
      <c r="CI167" s="529">
        <f t="shared" si="916"/>
        <v>0</v>
      </c>
      <c r="CJ167" s="529">
        <f t="shared" si="917"/>
        <v>0</v>
      </c>
      <c r="CK167" s="529">
        <f t="shared" si="918"/>
        <v>0</v>
      </c>
      <c r="CL167" s="529">
        <f t="shared" si="919"/>
        <v>0</v>
      </c>
      <c r="CM167" s="529">
        <f t="shared" si="920"/>
        <v>0</v>
      </c>
      <c r="CN167" s="529">
        <f t="shared" si="921"/>
        <v>0</v>
      </c>
      <c r="CO167" s="529">
        <f t="shared" si="922"/>
        <v>0</v>
      </c>
      <c r="CP167" s="529">
        <f t="shared" si="708"/>
        <v>0</v>
      </c>
      <c r="CQ167" s="529">
        <f t="shared" si="709"/>
        <v>0</v>
      </c>
      <c r="CR167" s="529">
        <f t="shared" si="710"/>
        <v>0</v>
      </c>
    </row>
    <row r="168" spans="1:96" ht="14.25" thickBot="1" x14ac:dyDescent="0.3">
      <c r="A168" s="756"/>
      <c r="B168" s="592" t="s">
        <v>622</v>
      </c>
      <c r="C168" s="593">
        <f>C163*0.46+C164*0.46+C165*0.24+C166*0.24+C167*0.52</f>
        <v>7971.1584000000003</v>
      </c>
      <c r="D168" s="594"/>
      <c r="E168" s="595">
        <f>SUM(E163:E167)</f>
        <v>3.8144998750000001</v>
      </c>
      <c r="F168" s="593">
        <f t="shared" ref="F168" si="1017">F163*0.46+F164*0.46+F165*0.24+F166*0.24+F167*0.52</f>
        <v>43247.404599999994</v>
      </c>
      <c r="G168" s="594"/>
      <c r="H168" s="595">
        <f t="shared" ref="H168" si="1018">SUM(H163:H167)</f>
        <v>22.336827270000001</v>
      </c>
      <c r="I168" s="593">
        <f t="shared" ref="I168" si="1019">I163*0.46+I164*0.46+I165*0.24+I166*0.24+I167*0.52</f>
        <v>49516.693599999999</v>
      </c>
      <c r="J168" s="594"/>
      <c r="K168" s="595">
        <f t="shared" ref="K168" si="1020">SUM(K163:K167)</f>
        <v>48.361031179999998</v>
      </c>
      <c r="L168" s="593">
        <f t="shared" ref="L168" si="1021">L163*0.46+L164*0.46+L165*0.24+L166*0.24+L167*0.52</f>
        <v>16398.123599999999</v>
      </c>
      <c r="M168" s="594"/>
      <c r="N168" s="595">
        <f t="shared" ref="N168" si="1022">SUM(N163:N167)</f>
        <v>10.868888200000001</v>
      </c>
      <c r="O168" s="593">
        <f t="shared" ref="O168" si="1023">O163*0.46+O164*0.46+O165*0.24+O166*0.24+O167*0.52</f>
        <v>60273.688000000009</v>
      </c>
      <c r="P168" s="594"/>
      <c r="Q168" s="595">
        <f t="shared" ref="Q168" si="1024">SUM(Q163:Q167)</f>
        <v>39.323978400000001</v>
      </c>
      <c r="R168" s="593">
        <f t="shared" ref="R168" si="1025">R163*0.46+R164*0.46+R165*0.24+R166*0.24+R167*0.52</f>
        <v>48472.914999999994</v>
      </c>
      <c r="S168" s="594"/>
      <c r="T168" s="595">
        <f t="shared" ref="T168" si="1026">SUM(T163:T167)</f>
        <v>40.288677750000005</v>
      </c>
      <c r="U168" s="593">
        <f t="shared" ref="U168" si="1027">U163*0.46+U164*0.46+U165*0.24+U166*0.24+U167*0.52</f>
        <v>59100.4</v>
      </c>
      <c r="V168" s="634"/>
      <c r="W168" s="595">
        <f t="shared" ref="W168" si="1028">SUM(W163:W167)</f>
        <v>46.5</v>
      </c>
      <c r="X168" s="593">
        <f t="shared" ref="X168" si="1029">X163*0.46+X164*0.46+X165*0.24+X166*0.24+X167*0.52</f>
        <v>54300.619999999995</v>
      </c>
      <c r="Y168" s="594"/>
      <c r="Z168" s="595">
        <f t="shared" ref="Z168" si="1030">SUM(Z163:Z167)</f>
        <v>52.985731999999999</v>
      </c>
      <c r="AA168" s="593">
        <f t="shared" ref="AA168" si="1031">AA163*0.46+AA164*0.46+AA165*0.24+AA166*0.24+AA167*0.52</f>
        <v>46029.62</v>
      </c>
      <c r="AB168" s="594"/>
      <c r="AC168" s="595">
        <f t="shared" ref="AC168" si="1032">SUM(AC163:AC167)</f>
        <v>46.255932000000001</v>
      </c>
      <c r="AD168" s="593">
        <f t="shared" ref="AD168" si="1033">AD163*0.46+AD164*0.46+AD165*0.24+AD166*0.24+AD167*0.52</f>
        <v>36980</v>
      </c>
      <c r="AE168" s="594"/>
      <c r="AF168" s="595">
        <f t="shared" ref="AF168" si="1034">SUM(AF163:AF167)</f>
        <v>38.253399000000002</v>
      </c>
      <c r="AG168" s="593">
        <f t="shared" ref="AG168" si="1035">AG163*0.46+AG164*0.46+AG165*0.24+AG166*0.24+AG167*0.52</f>
        <v>36980</v>
      </c>
      <c r="AH168" s="594"/>
      <c r="AI168" s="595">
        <f t="shared" ref="AI168" si="1036">SUM(AI163:AI167)</f>
        <v>39.420790999999994</v>
      </c>
      <c r="AJ168" s="593">
        <f t="shared" ref="AJ168" si="1037">AJ163*0.46+AJ164*0.46+AJ165*0.24+AJ166*0.24+AJ167*0.52</f>
        <v>36980</v>
      </c>
      <c r="AK168" s="594"/>
      <c r="AL168" s="595">
        <f t="shared" ref="AL168" si="1038">SUM(AL163:AL167)</f>
        <v>40.598936999999999</v>
      </c>
      <c r="AM168" s="593">
        <f t="shared" ref="AM168" si="1039">AM163*0.46+AM164*0.46+AM165*0.24+AM166*0.24+AM167*0.52</f>
        <v>36980</v>
      </c>
      <c r="AN168" s="594"/>
      <c r="AO168" s="595">
        <f t="shared" ref="AO168" si="1040">SUM(AO163:AO167)</f>
        <v>41.815573000000001</v>
      </c>
      <c r="AP168" s="593">
        <f t="shared" ref="AP168" si="1041">AP163*0.46+AP164*0.46+AP165*0.24+AP166*0.24+AP167*0.52</f>
        <v>36980</v>
      </c>
      <c r="AQ168" s="594"/>
      <c r="AR168" s="596">
        <f t="shared" ref="AR168" si="1042">SUM(AR163:AR167)</f>
        <v>43.051001999999997</v>
      </c>
      <c r="AS168" s="593">
        <f t="shared" ref="AS168" si="1043">AS163*0.46+AS164*0.46+AS165*0.24+AS166*0.24+AS167*0.52</f>
        <v>36980</v>
      </c>
      <c r="AT168" s="594"/>
      <c r="AU168" s="596">
        <f t="shared" ref="AU168" si="1044">SUM(AU163:AU167)</f>
        <v>44.357764000000003</v>
      </c>
      <c r="AV168" s="593">
        <f t="shared" ref="AV168" si="1045">AV163*0.46+AV164*0.46+AV165*0.24+AV166*0.24+AV167*0.52</f>
        <v>36980</v>
      </c>
      <c r="AW168" s="594"/>
      <c r="AX168" s="596">
        <f t="shared" ref="AX168" si="1046">SUM(AX163:AX167)</f>
        <v>45.700893999999998</v>
      </c>
      <c r="AY168" s="593">
        <f t="shared" ref="AY168" si="1047">AY163*0.46+AY164*0.46+AY165*0.24+AY166*0.24+AY167*0.52</f>
        <v>36980</v>
      </c>
      <c r="AZ168" s="594"/>
      <c r="BA168" s="596">
        <f t="shared" ref="BA168" si="1048">SUM(BA163:BA167)</f>
        <v>47.067408</v>
      </c>
      <c r="BD168" s="732"/>
      <c r="BJ168" s="529">
        <f t="shared" si="895"/>
        <v>3.8144998750000001</v>
      </c>
      <c r="BK168" s="529">
        <f t="shared" si="896"/>
        <v>22.336827270000001</v>
      </c>
      <c r="BL168" s="529">
        <f t="shared" si="897"/>
        <v>48.361031179999998</v>
      </c>
      <c r="BM168" s="529">
        <f t="shared" si="898"/>
        <v>10.868888200000001</v>
      </c>
      <c r="BN168" s="529">
        <f t="shared" si="899"/>
        <v>39.323978400000001</v>
      </c>
      <c r="BO168" s="529">
        <f t="shared" si="900"/>
        <v>40.288677750000005</v>
      </c>
      <c r="BP168" s="529">
        <f t="shared" si="901"/>
        <v>46.5</v>
      </c>
      <c r="BQ168" s="529">
        <f t="shared" si="902"/>
        <v>52.985731999999999</v>
      </c>
      <c r="BR168" s="529">
        <f t="shared" si="903"/>
        <v>46.255932000000001</v>
      </c>
      <c r="BS168" s="529">
        <f t="shared" si="904"/>
        <v>38.253399000000002</v>
      </c>
      <c r="BT168" s="529">
        <f t="shared" si="905"/>
        <v>39.420790999999994</v>
      </c>
      <c r="BU168" s="529">
        <f t="shared" si="906"/>
        <v>40.598936999999999</v>
      </c>
      <c r="BV168" s="529">
        <f t="shared" si="907"/>
        <v>41.815573000000001</v>
      </c>
      <c r="BW168" s="529">
        <f t="shared" si="908"/>
        <v>43.051001999999997</v>
      </c>
      <c r="BX168" s="529">
        <f t="shared" si="705"/>
        <v>44.357764000000003</v>
      </c>
      <c r="BY168" s="529">
        <f t="shared" si="706"/>
        <v>45.700893999999998</v>
      </c>
      <c r="BZ168" s="529">
        <f t="shared" si="707"/>
        <v>47.067408</v>
      </c>
      <c r="CB168" s="529">
        <f t="shared" si="909"/>
        <v>7971.1584000000003</v>
      </c>
      <c r="CC168" s="529">
        <f t="shared" si="910"/>
        <v>43247.404599999994</v>
      </c>
      <c r="CD168" s="529">
        <f t="shared" si="911"/>
        <v>49516.693599999999</v>
      </c>
      <c r="CE168" s="529">
        <f t="shared" si="912"/>
        <v>16398.123599999999</v>
      </c>
      <c r="CF168" s="529">
        <f t="shared" si="913"/>
        <v>60273.688000000009</v>
      </c>
      <c r="CG168" s="529">
        <f t="shared" si="914"/>
        <v>48472.914999999994</v>
      </c>
      <c r="CH168" s="529">
        <f t="shared" si="915"/>
        <v>59100.4</v>
      </c>
      <c r="CI168" s="529">
        <f t="shared" si="916"/>
        <v>54300.619999999995</v>
      </c>
      <c r="CJ168" s="529">
        <f t="shared" si="917"/>
        <v>46029.62</v>
      </c>
      <c r="CK168" s="529">
        <f t="shared" si="918"/>
        <v>36980</v>
      </c>
      <c r="CL168" s="529">
        <f t="shared" si="919"/>
        <v>36980</v>
      </c>
      <c r="CM168" s="529">
        <f t="shared" si="920"/>
        <v>36980</v>
      </c>
      <c r="CN168" s="529">
        <f t="shared" si="921"/>
        <v>36980</v>
      </c>
      <c r="CO168" s="529">
        <f t="shared" si="922"/>
        <v>36980</v>
      </c>
      <c r="CP168" s="529">
        <f t="shared" si="708"/>
        <v>36980</v>
      </c>
      <c r="CQ168" s="529">
        <f t="shared" si="709"/>
        <v>36980</v>
      </c>
      <c r="CR168" s="529">
        <f t="shared" si="710"/>
        <v>36980</v>
      </c>
    </row>
    <row r="169" spans="1:96" x14ac:dyDescent="0.2">
      <c r="A169" s="597"/>
      <c r="B169" s="565"/>
      <c r="C169" s="537">
        <f>SUM(C163:C167)</f>
        <v>33213.160000000003</v>
      </c>
      <c r="D169" s="598"/>
      <c r="E169" s="599"/>
      <c r="F169" s="537">
        <f>SUM(F163:F167)</f>
        <v>114503.63999999998</v>
      </c>
      <c r="G169" s="598"/>
      <c r="H169" s="599"/>
      <c r="I169" s="537">
        <f>SUM(I163:I167)</f>
        <v>131656.35999999999</v>
      </c>
      <c r="J169" s="598"/>
      <c r="K169" s="599"/>
      <c r="L169" s="537">
        <f>SUM(L163:L167)</f>
        <v>47878.66</v>
      </c>
      <c r="M169" s="598"/>
      <c r="N169" s="599"/>
      <c r="O169" s="537">
        <f>SUM(O163:O167)</f>
        <v>147820.90000000002</v>
      </c>
      <c r="P169" s="598"/>
      <c r="Q169" s="599"/>
      <c r="R169" s="537">
        <f>SUM(R163:R167)</f>
        <v>134232.25</v>
      </c>
      <c r="S169" s="598"/>
      <c r="T169" s="599"/>
      <c r="U169" s="537">
        <f>SUM(U163:U167)</f>
        <v>166740</v>
      </c>
      <c r="W169" s="599"/>
      <c r="X169" s="537">
        <f>SUM(X163:X167)</f>
        <v>160358</v>
      </c>
      <c r="Y169" s="598"/>
      <c r="Z169" s="599"/>
      <c r="AA169" s="537">
        <f>SUM(AA163:AA167)</f>
        <v>135933</v>
      </c>
      <c r="AB169" s="598"/>
      <c r="AC169" s="599"/>
      <c r="AD169" s="537">
        <f>SUM(AD163:AD167)</f>
        <v>109207</v>
      </c>
      <c r="AE169" s="598"/>
      <c r="AF169" s="599"/>
      <c r="AG169" s="537">
        <f>SUM(AG163:AG167)</f>
        <v>109207</v>
      </c>
      <c r="AH169" s="598"/>
      <c r="AI169" s="599"/>
      <c r="AJ169" s="537">
        <f>SUM(AJ163:AJ167)</f>
        <v>109207</v>
      </c>
      <c r="AK169" s="598"/>
      <c r="AL169" s="599"/>
      <c r="AM169" s="537">
        <f>SUM(AM163:AM167)</f>
        <v>109207</v>
      </c>
      <c r="AN169" s="598"/>
      <c r="AO169" s="599"/>
      <c r="AP169" s="537">
        <f>SUM(AP163:AP167)</f>
        <v>109207</v>
      </c>
      <c r="AQ169" s="598"/>
      <c r="AR169" s="599"/>
      <c r="AS169" s="537">
        <f>SUM(AS163:AS167)</f>
        <v>109207</v>
      </c>
      <c r="AT169" s="598"/>
      <c r="AU169" s="599"/>
      <c r="AV169" s="537">
        <f>SUM(AV163:AV167)</f>
        <v>109207</v>
      </c>
      <c r="AW169" s="598"/>
      <c r="AX169" s="599"/>
      <c r="AY169" s="537">
        <f>SUM(AY163:AY167)</f>
        <v>109207</v>
      </c>
      <c r="AZ169" s="598"/>
      <c r="BA169" s="599"/>
      <c r="BD169" s="732"/>
      <c r="BJ169" s="529">
        <f t="shared" si="895"/>
        <v>0</v>
      </c>
      <c r="BK169" s="529">
        <f t="shared" si="896"/>
        <v>0</v>
      </c>
      <c r="BL169" s="529">
        <f t="shared" si="897"/>
        <v>0</v>
      </c>
      <c r="BM169" s="529">
        <f t="shared" si="898"/>
        <v>0</v>
      </c>
      <c r="BN169" s="529">
        <f t="shared" si="899"/>
        <v>0</v>
      </c>
      <c r="BO169" s="529">
        <f t="shared" si="900"/>
        <v>0</v>
      </c>
      <c r="BP169" s="529">
        <f t="shared" si="901"/>
        <v>0</v>
      </c>
      <c r="BQ169" s="529">
        <f t="shared" si="902"/>
        <v>0</v>
      </c>
      <c r="BR169" s="529">
        <f t="shared" si="903"/>
        <v>0</v>
      </c>
      <c r="BS169" s="529">
        <f t="shared" si="904"/>
        <v>0</v>
      </c>
      <c r="BT169" s="529">
        <f t="shared" si="905"/>
        <v>0</v>
      </c>
      <c r="BU169" s="529">
        <f t="shared" si="906"/>
        <v>0</v>
      </c>
      <c r="BV169" s="529">
        <f t="shared" si="907"/>
        <v>0</v>
      </c>
      <c r="BW169" s="529">
        <f t="shared" si="908"/>
        <v>0</v>
      </c>
      <c r="BX169" s="529">
        <f t="shared" si="705"/>
        <v>0</v>
      </c>
      <c r="BY169" s="529">
        <f t="shared" si="706"/>
        <v>0</v>
      </c>
      <c r="BZ169" s="529">
        <f t="shared" si="707"/>
        <v>0</v>
      </c>
      <c r="CB169" s="529">
        <f t="shared" si="909"/>
        <v>33213.160000000003</v>
      </c>
      <c r="CC169" s="529">
        <f t="shared" si="910"/>
        <v>114503.63999999998</v>
      </c>
      <c r="CD169" s="529">
        <f t="shared" si="911"/>
        <v>131656.35999999999</v>
      </c>
      <c r="CE169" s="529">
        <f t="shared" si="912"/>
        <v>47878.66</v>
      </c>
      <c r="CF169" s="529">
        <f t="shared" si="913"/>
        <v>147820.90000000002</v>
      </c>
      <c r="CG169" s="529">
        <f t="shared" si="914"/>
        <v>134232.25</v>
      </c>
      <c r="CH169" s="529">
        <f t="shared" si="915"/>
        <v>166740</v>
      </c>
      <c r="CI169" s="529">
        <f t="shared" si="916"/>
        <v>160358</v>
      </c>
      <c r="CJ169" s="529">
        <f t="shared" si="917"/>
        <v>135933</v>
      </c>
      <c r="CK169" s="529">
        <f t="shared" si="918"/>
        <v>109207</v>
      </c>
      <c r="CL169" s="529">
        <f t="shared" si="919"/>
        <v>109207</v>
      </c>
      <c r="CM169" s="529">
        <f t="shared" si="920"/>
        <v>109207</v>
      </c>
      <c r="CN169" s="529">
        <f t="shared" si="921"/>
        <v>109207</v>
      </c>
      <c r="CO169" s="529">
        <f t="shared" si="922"/>
        <v>109207</v>
      </c>
      <c r="CP169" s="529">
        <f t="shared" si="708"/>
        <v>109207</v>
      </c>
      <c r="CQ169" s="529">
        <f t="shared" si="709"/>
        <v>109207</v>
      </c>
      <c r="CR169" s="529">
        <f t="shared" si="710"/>
        <v>109207</v>
      </c>
    </row>
    <row r="170" spans="1:96" ht="12" customHeight="1" x14ac:dyDescent="0.2">
      <c r="A170" s="772" t="s">
        <v>713</v>
      </c>
      <c r="B170" s="772"/>
      <c r="C170" s="712"/>
      <c r="D170" s="713"/>
      <c r="E170" s="714"/>
      <c r="F170" s="712"/>
      <c r="G170" s="713"/>
      <c r="H170" s="714"/>
      <c r="I170" s="712"/>
      <c r="J170" s="713"/>
      <c r="K170" s="714"/>
      <c r="L170" s="712"/>
      <c r="M170" s="713"/>
      <c r="N170" s="714"/>
      <c r="O170" s="712"/>
      <c r="P170" s="713"/>
      <c r="Q170" s="714"/>
      <c r="R170" s="712"/>
      <c r="S170" s="713"/>
      <c r="T170" s="714"/>
      <c r="U170" s="712">
        <f>+U163*0.46+U165*0.24</f>
        <v>49100</v>
      </c>
      <c r="V170" s="715"/>
      <c r="W170" s="714"/>
      <c r="X170" s="712">
        <f>+X163*0.46+X165*0.24</f>
        <v>54300.619999999995</v>
      </c>
      <c r="Y170" s="713"/>
      <c r="Z170" s="714"/>
      <c r="AA170" s="712">
        <f>+AA163*0.46+AA165*0.24</f>
        <v>46029.62</v>
      </c>
      <c r="AB170" s="713"/>
      <c r="AC170" s="714"/>
      <c r="AD170" s="712">
        <f>+AD163*0.46+AD165*0.24</f>
        <v>36980</v>
      </c>
      <c r="AE170" s="713"/>
      <c r="AF170" s="714"/>
      <c r="AG170" s="712">
        <f>+AG163*0.46+AG165*0.24</f>
        <v>36980</v>
      </c>
      <c r="AH170" s="713"/>
      <c r="AI170" s="714"/>
      <c r="AJ170" s="712">
        <f>+AJ163*0.46+AJ165*0.24</f>
        <v>36980</v>
      </c>
      <c r="AK170" s="713"/>
      <c r="AL170" s="714"/>
      <c r="AM170" s="712">
        <f>+AM163*0.46+AM165*0.24</f>
        <v>36980</v>
      </c>
      <c r="AN170" s="713"/>
      <c r="AO170" s="714"/>
      <c r="AP170" s="712">
        <f>+AP163*0.46+AP165*0.24</f>
        <v>36980</v>
      </c>
      <c r="AQ170" s="713"/>
      <c r="AR170" s="714"/>
      <c r="AS170" s="712">
        <f>+AS163*0.46+AS165*0.24</f>
        <v>36980</v>
      </c>
      <c r="AT170" s="713"/>
      <c r="AU170" s="714"/>
      <c r="AV170" s="712">
        <f>+AV163*0.46+AV165*0.24</f>
        <v>36980</v>
      </c>
      <c r="AW170" s="713"/>
      <c r="AX170" s="714"/>
      <c r="AY170" s="712">
        <f>+AY163*0.46+AY165*0.24</f>
        <v>36980</v>
      </c>
      <c r="AZ170" s="713"/>
      <c r="BA170" s="714"/>
      <c r="BD170" s="732"/>
    </row>
    <row r="171" spans="1:96" x14ac:dyDescent="0.2">
      <c r="A171" s="711" t="s">
        <v>714</v>
      </c>
      <c r="B171" s="711"/>
      <c r="C171" s="712"/>
      <c r="D171" s="713"/>
      <c r="E171" s="714"/>
      <c r="F171" s="712"/>
      <c r="G171" s="713"/>
      <c r="H171" s="714"/>
      <c r="I171" s="712"/>
      <c r="J171" s="713"/>
      <c r="K171" s="714"/>
      <c r="L171" s="712"/>
      <c r="M171" s="713"/>
      <c r="N171" s="714"/>
      <c r="O171" s="712"/>
      <c r="P171" s="713"/>
      <c r="Q171" s="714"/>
      <c r="R171" s="712"/>
      <c r="S171" s="713"/>
      <c r="T171" s="714"/>
      <c r="U171" s="712">
        <f>+U305*$A305+U306*$A306+U307*$A307+U308*$A308</f>
        <v>0</v>
      </c>
      <c r="V171" s="715"/>
      <c r="W171" s="714"/>
      <c r="X171" s="712">
        <f>+X305*$A305+X306*$A306+X307*$A307+X308*$A308</f>
        <v>0</v>
      </c>
      <c r="Y171" s="713"/>
      <c r="Z171" s="714"/>
      <c r="AA171" s="712">
        <f>+AA305*$A305+AA306*$A306+AA307*$A307+AA308*$A308</f>
        <v>13270</v>
      </c>
      <c r="AB171" s="713"/>
      <c r="AC171" s="714"/>
      <c r="AD171" s="712">
        <f>+AD305*$A305+AD306*$A306+AD307*$A307+AD308*$A308+AD309*$A309+AD310*$A310</f>
        <v>27320</v>
      </c>
      <c r="AE171" s="713"/>
      <c r="AF171" s="714"/>
      <c r="AG171" s="712">
        <f>+AG305*$A305+AG306*$A306+AG307*$A307+AG308*$A308+AG309*$A309+AG310*$A310</f>
        <v>27320</v>
      </c>
      <c r="AH171" s="713"/>
      <c r="AI171" s="714"/>
      <c r="AJ171" s="712">
        <f>+AJ305*$A305+AJ306*$A306+AJ307*$A307+AJ308*$A308+AJ309*$A309+AJ310*$A310</f>
        <v>27320</v>
      </c>
      <c r="AK171" s="713"/>
      <c r="AL171" s="714"/>
      <c r="AM171" s="712">
        <f>+AM305*$A305+AM306*$A306+AM307*$A307+AM308*$A308+AM309*$A309+AM310*$A310</f>
        <v>27320</v>
      </c>
      <c r="AN171" s="713"/>
      <c r="AO171" s="714"/>
      <c r="AP171" s="712">
        <f>+AP305*$A305+AP306*$A306+AP307*$A307+AP308*$A308+AP309*$A309+AP310*$A310</f>
        <v>27320</v>
      </c>
      <c r="AQ171" s="713"/>
      <c r="AR171" s="714"/>
      <c r="AS171" s="712">
        <f>+AS305*$A305+AS306*$A306+AS307*$A307+AS308*$A308+AS309*$A309+AS310*$A310</f>
        <v>27320</v>
      </c>
      <c r="AT171" s="713"/>
      <c r="AU171" s="714"/>
      <c r="AV171" s="712">
        <f>+AV305*$A305+AV306*$A306+AV307*$A307+AV308*$A308+AV309*$A309+AV310*$A310</f>
        <v>27320</v>
      </c>
      <c r="AW171" s="713"/>
      <c r="AX171" s="714"/>
      <c r="AY171" s="712">
        <f>+AY305*$A305+AY306*$A306+AY307*$A307+AY308*$A308+AY309*$A309+AY310*$A310</f>
        <v>27320</v>
      </c>
      <c r="AZ171" s="713"/>
      <c r="BA171" s="714"/>
      <c r="BD171" s="732"/>
    </row>
    <row r="172" spans="1:96" x14ac:dyDescent="0.2">
      <c r="A172" s="711" t="s">
        <v>715</v>
      </c>
      <c r="B172" s="711"/>
      <c r="C172" s="712"/>
      <c r="D172" s="713"/>
      <c r="E172" s="714"/>
      <c r="F172" s="712"/>
      <c r="G172" s="713"/>
      <c r="H172" s="714"/>
      <c r="I172" s="712"/>
      <c r="J172" s="713"/>
      <c r="K172" s="714"/>
      <c r="L172" s="712"/>
      <c r="M172" s="713"/>
      <c r="N172" s="714"/>
      <c r="O172" s="712"/>
      <c r="P172" s="713"/>
      <c r="Q172" s="714"/>
      <c r="R172" s="712"/>
      <c r="S172" s="713"/>
      <c r="T172" s="714"/>
      <c r="U172" s="712">
        <f>+Assumptions!G16*1000</f>
        <v>49100</v>
      </c>
      <c r="V172" s="715"/>
      <c r="W172" s="714"/>
      <c r="X172" s="712">
        <f>+Assumptions!H16*1000</f>
        <v>54300</v>
      </c>
      <c r="Y172" s="713"/>
      <c r="Z172" s="714"/>
      <c r="AA172" s="712">
        <f>+Assumptions!I16*1000</f>
        <v>59300</v>
      </c>
      <c r="AB172" s="713"/>
      <c r="AC172" s="714"/>
      <c r="AD172" s="712">
        <f>+Assumptions!J16*1000</f>
        <v>64300</v>
      </c>
      <c r="AE172" s="713"/>
      <c r="AF172" s="714"/>
      <c r="AG172" s="712">
        <f>+Assumptions!K16*1000</f>
        <v>64300</v>
      </c>
      <c r="AH172" s="713"/>
      <c r="AI172" s="714"/>
      <c r="AJ172" s="712">
        <f>+Assumptions!L16*1000</f>
        <v>64300</v>
      </c>
      <c r="AK172" s="713"/>
      <c r="AL172" s="714"/>
      <c r="AM172" s="712">
        <f>+Assumptions!M16*1000</f>
        <v>64300</v>
      </c>
      <c r="AN172" s="713"/>
      <c r="AO172" s="714"/>
      <c r="AP172" s="712">
        <f>+Assumptions!N16*1000</f>
        <v>64300</v>
      </c>
      <c r="AQ172" s="713"/>
      <c r="AR172" s="714"/>
      <c r="AS172" s="712">
        <f>+Assumptions!O16*1000</f>
        <v>64300</v>
      </c>
      <c r="AT172" s="713"/>
      <c r="AU172" s="714"/>
      <c r="AV172" s="712">
        <f>+Assumptions!P16*1000</f>
        <v>64300</v>
      </c>
      <c r="AW172" s="713"/>
      <c r="AX172" s="714"/>
      <c r="AY172" s="712">
        <f>+Assumptions!Q16*1000</f>
        <v>64300</v>
      </c>
      <c r="AZ172" s="713"/>
      <c r="BA172" s="714"/>
      <c r="BD172" s="732"/>
    </row>
    <row r="173" spans="1:96" x14ac:dyDescent="0.2">
      <c r="A173" s="711" t="s">
        <v>716</v>
      </c>
      <c r="B173" s="711"/>
      <c r="C173" s="712"/>
      <c r="D173" s="713"/>
      <c r="E173" s="714"/>
      <c r="F173" s="712"/>
      <c r="G173" s="713"/>
      <c r="H173" s="714"/>
      <c r="I173" s="712"/>
      <c r="J173" s="713"/>
      <c r="K173" s="714"/>
      <c r="L173" s="712"/>
      <c r="M173" s="713"/>
      <c r="N173" s="714"/>
      <c r="O173" s="712"/>
      <c r="P173" s="713"/>
      <c r="Q173" s="714"/>
      <c r="R173" s="712"/>
      <c r="S173" s="713"/>
      <c r="T173" s="714"/>
      <c r="U173" s="712">
        <f>+U172-U171</f>
        <v>49100</v>
      </c>
      <c r="V173" s="715"/>
      <c r="W173" s="714"/>
      <c r="X173" s="712">
        <f>+X172-X171</f>
        <v>54300</v>
      </c>
      <c r="Y173" s="713"/>
      <c r="Z173" s="714"/>
      <c r="AA173" s="712">
        <f>+AA172-AA171</f>
        <v>46030</v>
      </c>
      <c r="AB173" s="713"/>
      <c r="AC173" s="714"/>
      <c r="AD173" s="712">
        <f>+AD172-AD171</f>
        <v>36980</v>
      </c>
      <c r="AE173" s="713"/>
      <c r="AF173" s="714"/>
      <c r="AG173" s="712">
        <f>+AG172-AG171</f>
        <v>36980</v>
      </c>
      <c r="AH173" s="713"/>
      <c r="AI173" s="714"/>
      <c r="AJ173" s="712">
        <f>+AJ172-AJ171</f>
        <v>36980</v>
      </c>
      <c r="AK173" s="713"/>
      <c r="AL173" s="714"/>
      <c r="AM173" s="712">
        <f>+AM172-AM171</f>
        <v>36980</v>
      </c>
      <c r="AN173" s="713"/>
      <c r="AO173" s="714"/>
      <c r="AP173" s="712">
        <f>+AP172-AP171</f>
        <v>36980</v>
      </c>
      <c r="AQ173" s="713"/>
      <c r="AR173" s="714"/>
      <c r="AS173" s="712">
        <f>+AS172-AS171</f>
        <v>36980</v>
      </c>
      <c r="AT173" s="713"/>
      <c r="AU173" s="714"/>
      <c r="AV173" s="712">
        <f>+AV172-AV171</f>
        <v>36980</v>
      </c>
      <c r="AW173" s="713"/>
      <c r="AX173" s="714"/>
      <c r="AY173" s="712">
        <f>+AY172-AY171</f>
        <v>36980</v>
      </c>
      <c r="AZ173" s="713"/>
      <c r="BA173" s="714"/>
      <c r="BD173" s="732"/>
    </row>
    <row r="174" spans="1:96" x14ac:dyDescent="0.2">
      <c r="A174" s="711"/>
      <c r="B174" s="711"/>
      <c r="C174" s="712"/>
      <c r="D174" s="713"/>
      <c r="E174" s="714"/>
      <c r="F174" s="712"/>
      <c r="G174" s="713"/>
      <c r="H174" s="714"/>
      <c r="I174" s="712"/>
      <c r="J174" s="713"/>
      <c r="K174" s="714"/>
      <c r="L174" s="712"/>
      <c r="M174" s="713"/>
      <c r="N174" s="714"/>
      <c r="O174" s="712"/>
      <c r="P174" s="713"/>
      <c r="Q174" s="714"/>
      <c r="R174" s="712"/>
      <c r="S174" s="713"/>
      <c r="T174" s="714"/>
      <c r="U174" s="712"/>
      <c r="V174" s="715"/>
      <c r="W174" s="714"/>
      <c r="X174" s="718">
        <f>+X173/U170</f>
        <v>1.1059063136456211</v>
      </c>
      <c r="Y174" s="713"/>
      <c r="Z174" s="714"/>
      <c r="AA174" s="718">
        <f>+AA173/X170</f>
        <v>0.84768829527176681</v>
      </c>
      <c r="AB174" s="713"/>
      <c r="AC174" s="714"/>
      <c r="AD174" s="716">
        <f>+AD173/AA173</f>
        <v>0.80338909406908543</v>
      </c>
      <c r="AE174" s="713"/>
      <c r="AF174" s="714"/>
      <c r="AG174" s="716">
        <f>+AG173/AD173</f>
        <v>1</v>
      </c>
      <c r="AH174" s="713"/>
      <c r="AI174" s="714"/>
      <c r="AJ174" s="716">
        <f>+AJ173/AG173</f>
        <v>1</v>
      </c>
      <c r="AK174" s="713"/>
      <c r="AL174" s="714"/>
      <c r="AM174" s="716">
        <f>+AM173/AJ173</f>
        <v>1</v>
      </c>
      <c r="AN174" s="713"/>
      <c r="AO174" s="714"/>
      <c r="AP174" s="716">
        <f>+AP173/AM173</f>
        <v>1</v>
      </c>
      <c r="AQ174" s="713"/>
      <c r="AR174" s="714"/>
      <c r="AS174" s="716">
        <f>+AS173/AP173</f>
        <v>1</v>
      </c>
      <c r="AT174" s="713"/>
      <c r="AU174" s="714"/>
      <c r="AV174" s="716">
        <f>+AV173/AS173</f>
        <v>1</v>
      </c>
      <c r="AW174" s="713"/>
      <c r="AX174" s="714"/>
      <c r="AY174" s="716">
        <f>+AY173/AV173</f>
        <v>1</v>
      </c>
      <c r="AZ174" s="713"/>
      <c r="BA174" s="714"/>
      <c r="BD174" s="732"/>
    </row>
    <row r="175" spans="1:96" x14ac:dyDescent="0.2">
      <c r="A175" s="711"/>
      <c r="B175" s="711"/>
      <c r="C175" s="712"/>
      <c r="D175" s="713"/>
      <c r="E175" s="714"/>
      <c r="F175" s="712"/>
      <c r="G175" s="713"/>
      <c r="H175" s="714"/>
      <c r="I175" s="712"/>
      <c r="J175" s="713"/>
      <c r="K175" s="714"/>
      <c r="L175" s="712"/>
      <c r="M175" s="713"/>
      <c r="N175" s="714"/>
      <c r="O175" s="712"/>
      <c r="P175" s="713"/>
      <c r="Q175" s="714"/>
      <c r="R175" s="712"/>
      <c r="S175" s="713"/>
      <c r="T175" s="714"/>
      <c r="U175" s="712"/>
      <c r="V175" s="715"/>
      <c r="W175" s="714"/>
      <c r="X175" s="712"/>
      <c r="Y175" s="713"/>
      <c r="Z175" s="714"/>
      <c r="AA175" s="712"/>
      <c r="AB175" s="713"/>
      <c r="AC175" s="714"/>
      <c r="AD175" s="712"/>
      <c r="AE175" s="713"/>
      <c r="AF175" s="714"/>
      <c r="AG175" s="712"/>
      <c r="AH175" s="713"/>
      <c r="AI175" s="714"/>
      <c r="AJ175" s="712"/>
      <c r="AK175" s="713"/>
      <c r="AL175" s="714"/>
      <c r="AM175" s="712"/>
      <c r="AN175" s="713"/>
      <c r="AO175" s="714"/>
      <c r="AP175" s="712"/>
      <c r="AQ175" s="713"/>
      <c r="AR175" s="714"/>
      <c r="AS175" s="712"/>
      <c r="AT175" s="713"/>
      <c r="AU175" s="714"/>
      <c r="AV175" s="712"/>
      <c r="AW175" s="713"/>
      <c r="AX175" s="714"/>
      <c r="AY175" s="712"/>
      <c r="AZ175" s="713"/>
      <c r="BA175" s="714"/>
      <c r="BD175" s="732"/>
    </row>
    <row r="176" spans="1:96" x14ac:dyDescent="0.2">
      <c r="A176" s="711"/>
      <c r="B176" s="711"/>
      <c r="C176" s="712"/>
      <c r="D176" s="713"/>
      <c r="E176" s="714"/>
      <c r="F176" s="712"/>
      <c r="G176" s="713"/>
      <c r="H176" s="714"/>
      <c r="I176" s="712"/>
      <c r="J176" s="713"/>
      <c r="K176" s="714"/>
      <c r="L176" s="712"/>
      <c r="M176" s="713"/>
      <c r="N176" s="714"/>
      <c r="O176" s="712"/>
      <c r="P176" s="713"/>
      <c r="Q176" s="714"/>
      <c r="R176" s="712"/>
      <c r="S176" s="713"/>
      <c r="T176" s="714"/>
      <c r="U176" s="712"/>
      <c r="V176" s="715"/>
      <c r="W176" s="714"/>
      <c r="X176" s="712"/>
      <c r="Y176" s="713"/>
      <c r="Z176" s="714"/>
      <c r="AA176" s="712"/>
      <c r="AB176" s="713"/>
      <c r="AC176" s="714"/>
      <c r="AD176" s="712"/>
      <c r="AE176" s="713"/>
      <c r="AF176" s="714"/>
      <c r="AG176" s="712"/>
      <c r="AH176" s="713"/>
      <c r="AI176" s="714"/>
      <c r="AJ176" s="712"/>
      <c r="AK176" s="713"/>
      <c r="AL176" s="714"/>
      <c r="AM176" s="712"/>
      <c r="AN176" s="713"/>
      <c r="AO176" s="714"/>
      <c r="AP176" s="712"/>
      <c r="AQ176" s="713"/>
      <c r="AR176" s="714"/>
      <c r="AS176" s="712"/>
      <c r="AT176" s="713"/>
      <c r="AU176" s="714"/>
      <c r="AV176" s="712"/>
      <c r="AW176" s="713"/>
      <c r="AX176" s="714"/>
      <c r="AY176" s="712"/>
      <c r="AZ176" s="713"/>
      <c r="BA176" s="714"/>
      <c r="BD176" s="732"/>
    </row>
    <row r="177" spans="1:96" x14ac:dyDescent="0.2">
      <c r="B177" s="529" t="s">
        <v>150</v>
      </c>
      <c r="I177" s="529" t="s">
        <v>712</v>
      </c>
      <c r="AA177" s="537"/>
      <c r="BD177" s="732"/>
    </row>
    <row r="178" spans="1:96" x14ac:dyDescent="0.2">
      <c r="B178" s="529" t="s">
        <v>494</v>
      </c>
      <c r="I178" s="529">
        <v>53915.65</v>
      </c>
    </row>
    <row r="179" spans="1:96" x14ac:dyDescent="0.2">
      <c r="B179" s="529" t="s">
        <v>495</v>
      </c>
      <c r="I179" s="529">
        <v>47992</v>
      </c>
    </row>
    <row r="180" spans="1:96" x14ac:dyDescent="0.2">
      <c r="B180" s="529" t="s">
        <v>113</v>
      </c>
      <c r="I180" s="529">
        <v>1944.55</v>
      </c>
    </row>
    <row r="181" spans="1:96" x14ac:dyDescent="0.2">
      <c r="B181" s="529" t="s">
        <v>109</v>
      </c>
      <c r="K181" s="529">
        <f>55273</f>
        <v>55273</v>
      </c>
      <c r="L181" s="529" t="s">
        <v>646</v>
      </c>
    </row>
    <row r="182" spans="1:96" x14ac:dyDescent="0.2">
      <c r="A182" s="530" t="s">
        <v>489</v>
      </c>
      <c r="B182" s="530" t="s">
        <v>490</v>
      </c>
      <c r="C182" s="531">
        <v>2006</v>
      </c>
      <c r="D182" s="532"/>
      <c r="E182" s="600"/>
      <c r="F182" s="531">
        <v>2007</v>
      </c>
      <c r="G182" s="532"/>
      <c r="H182" s="600"/>
      <c r="I182" s="531">
        <v>2008</v>
      </c>
      <c r="J182" s="532"/>
      <c r="K182" s="600"/>
      <c r="L182" s="531">
        <v>2009</v>
      </c>
      <c r="M182" s="532"/>
      <c r="N182" s="600"/>
      <c r="O182" s="531">
        <v>2010</v>
      </c>
      <c r="P182" s="532"/>
      <c r="Q182" s="600"/>
      <c r="R182" s="531">
        <v>2011</v>
      </c>
      <c r="S182" s="532"/>
      <c r="T182" s="600"/>
      <c r="U182" s="531">
        <v>2012</v>
      </c>
      <c r="V182" s="627"/>
      <c r="W182" s="600"/>
      <c r="X182" s="531">
        <v>2013</v>
      </c>
      <c r="Y182" s="532"/>
      <c r="Z182" s="600"/>
      <c r="AA182" s="531">
        <v>2014</v>
      </c>
      <c r="AB182" s="532"/>
      <c r="AC182" s="600"/>
      <c r="AD182" s="531">
        <v>2015</v>
      </c>
      <c r="AE182" s="532"/>
      <c r="AF182" s="600"/>
      <c r="AG182" s="531">
        <v>2016</v>
      </c>
      <c r="AH182" s="532"/>
      <c r="AI182" s="600"/>
      <c r="AJ182" s="531">
        <v>2017</v>
      </c>
      <c r="AK182" s="532"/>
      <c r="AL182" s="600"/>
      <c r="AM182" s="531">
        <v>2018</v>
      </c>
      <c r="AN182" s="532"/>
      <c r="AO182" s="600"/>
      <c r="AP182" s="531">
        <v>2019</v>
      </c>
      <c r="AQ182" s="532"/>
      <c r="AR182" s="600"/>
      <c r="AS182" s="531">
        <v>2020</v>
      </c>
      <c r="AT182" s="532"/>
      <c r="AU182" s="600"/>
      <c r="AV182" s="531">
        <v>2021</v>
      </c>
      <c r="AW182" s="532"/>
      <c r="AX182" s="600"/>
      <c r="AY182" s="531">
        <v>2022</v>
      </c>
      <c r="AZ182" s="532"/>
      <c r="BA182" s="600"/>
    </row>
    <row r="183" spans="1:96" x14ac:dyDescent="0.2">
      <c r="A183" s="530"/>
      <c r="B183" s="530"/>
      <c r="C183" s="533" t="s">
        <v>491</v>
      </c>
      <c r="D183" s="535" t="s">
        <v>492</v>
      </c>
      <c r="E183" s="534"/>
      <c r="F183" s="533" t="s">
        <v>491</v>
      </c>
      <c r="G183" s="535" t="s">
        <v>492</v>
      </c>
      <c r="H183" s="534"/>
      <c r="I183" s="533" t="s">
        <v>491</v>
      </c>
      <c r="J183" s="535" t="s">
        <v>492</v>
      </c>
      <c r="K183" s="534"/>
      <c r="L183" s="533" t="s">
        <v>491</v>
      </c>
      <c r="M183" s="535" t="s">
        <v>492</v>
      </c>
      <c r="N183" s="534"/>
      <c r="O183" s="533" t="s">
        <v>491</v>
      </c>
      <c r="P183" s="535" t="s">
        <v>492</v>
      </c>
      <c r="Q183" s="534"/>
      <c r="R183" s="533" t="s">
        <v>491</v>
      </c>
      <c r="S183" s="535" t="s">
        <v>492</v>
      </c>
      <c r="T183" s="534"/>
      <c r="U183" s="533" t="s">
        <v>491</v>
      </c>
      <c r="V183" s="635" t="s">
        <v>492</v>
      </c>
      <c r="W183" s="534"/>
      <c r="X183" s="533" t="s">
        <v>491</v>
      </c>
      <c r="Y183" s="535" t="s">
        <v>492</v>
      </c>
      <c r="Z183" s="534"/>
      <c r="AA183" s="533" t="s">
        <v>491</v>
      </c>
      <c r="AB183" s="535" t="s">
        <v>492</v>
      </c>
      <c r="AC183" s="534"/>
      <c r="AD183" s="533" t="s">
        <v>491</v>
      </c>
      <c r="AE183" s="535" t="s">
        <v>492</v>
      </c>
      <c r="AF183" s="534"/>
      <c r="AG183" s="533" t="s">
        <v>491</v>
      </c>
      <c r="AH183" s="535" t="s">
        <v>492</v>
      </c>
      <c r="AI183" s="534"/>
      <c r="AJ183" s="533" t="s">
        <v>491</v>
      </c>
      <c r="AK183" s="535" t="s">
        <v>492</v>
      </c>
      <c r="AL183" s="534"/>
      <c r="AM183" s="533" t="s">
        <v>491</v>
      </c>
      <c r="AN183" s="535" t="s">
        <v>492</v>
      </c>
      <c r="AO183" s="534"/>
      <c r="AP183" s="533" t="s">
        <v>491</v>
      </c>
      <c r="AQ183" s="535" t="s">
        <v>492</v>
      </c>
      <c r="AR183" s="534"/>
      <c r="AS183" s="533" t="s">
        <v>491</v>
      </c>
      <c r="AT183" s="535" t="s">
        <v>492</v>
      </c>
      <c r="AU183" s="534"/>
      <c r="AV183" s="533" t="s">
        <v>491</v>
      </c>
      <c r="AW183" s="535" t="s">
        <v>492</v>
      </c>
      <c r="AX183" s="534"/>
      <c r="AY183" s="533" t="s">
        <v>491</v>
      </c>
      <c r="AZ183" s="535" t="s">
        <v>492</v>
      </c>
      <c r="BA183" s="534"/>
      <c r="BB183" s="529" t="s">
        <v>709</v>
      </c>
      <c r="BJ183" s="529">
        <f t="shared" ref="BJ183:BJ214" si="1049">E183</f>
        <v>0</v>
      </c>
      <c r="BK183" s="529">
        <f t="shared" ref="BK183:BK214" si="1050">H183</f>
        <v>0</v>
      </c>
      <c r="BL183" s="529">
        <f t="shared" ref="BL183:BL214" si="1051">K183</f>
        <v>0</v>
      </c>
      <c r="BM183" s="529">
        <f t="shared" ref="BM183:BM214" si="1052">N183</f>
        <v>0</v>
      </c>
      <c r="BN183" s="529">
        <f t="shared" ref="BN183:BN214" si="1053">Q183</f>
        <v>0</v>
      </c>
      <c r="BO183" s="529">
        <f t="shared" ref="BO183:BO214" si="1054">T183</f>
        <v>0</v>
      </c>
      <c r="BP183" s="529">
        <f t="shared" ref="BP183:BP214" si="1055">W183</f>
        <v>0</v>
      </c>
      <c r="BQ183" s="529">
        <f t="shared" ref="BQ183:BQ214" si="1056">Z183</f>
        <v>0</v>
      </c>
      <c r="BR183" s="529">
        <f t="shared" ref="BR183:BR214" si="1057">AC183/1000000</f>
        <v>0</v>
      </c>
      <c r="BS183" s="529">
        <f t="shared" ref="BS183:BS214" si="1058">AF183/1000000</f>
        <v>0</v>
      </c>
      <c r="BT183" s="529">
        <f t="shared" ref="BT183:BT214" si="1059">AI183/1000000</f>
        <v>0</v>
      </c>
      <c r="BU183" s="529">
        <f t="shared" ref="BU183:BU214" si="1060">AL183/1000000</f>
        <v>0</v>
      </c>
      <c r="BV183" s="529">
        <f t="shared" ref="BV183:BV214" si="1061">AO183/1000000</f>
        <v>0</v>
      </c>
      <c r="BW183" s="529">
        <f t="shared" ref="BW183:BW214" si="1062">AR183/1000000</f>
        <v>0</v>
      </c>
      <c r="BX183" s="529">
        <f t="shared" ref="BX183:BX214" si="1063">AU183/1000000</f>
        <v>0</v>
      </c>
      <c r="BY183" s="529">
        <f t="shared" ref="BY183:BY214" si="1064">AX183/1000000</f>
        <v>0</v>
      </c>
      <c r="BZ183" s="529">
        <f t="shared" ref="BZ183:BZ214" si="1065">BA183/1000000</f>
        <v>0</v>
      </c>
      <c r="CB183" s="529" t="str">
        <f t="shared" ref="CB183:CB214" si="1066">C183</f>
        <v>TONS</v>
      </c>
      <c r="CC183" s="529" t="str">
        <f t="shared" ref="CC183:CC214" si="1067">F183</f>
        <v>TONS</v>
      </c>
      <c r="CD183" s="529" t="str">
        <f t="shared" ref="CD183:CD214" si="1068">I183</f>
        <v>TONS</v>
      </c>
      <c r="CE183" s="529" t="str">
        <f t="shared" ref="CE183:CE214" si="1069">L183</f>
        <v>TONS</v>
      </c>
      <c r="CF183" s="529" t="str">
        <f t="shared" ref="CF183:CF214" si="1070">O183</f>
        <v>TONS</v>
      </c>
      <c r="CG183" s="529" t="str">
        <f t="shared" ref="CG183:CG214" si="1071">R183</f>
        <v>TONS</v>
      </c>
      <c r="CH183" s="529" t="str">
        <f t="shared" ref="CH183:CH214" si="1072">U183</f>
        <v>TONS</v>
      </c>
      <c r="CI183" s="529" t="str">
        <f t="shared" ref="CI183:CI214" si="1073">X183</f>
        <v>TONS</v>
      </c>
      <c r="CJ183" s="529" t="str">
        <f t="shared" ref="CJ183:CJ214" si="1074">AA183</f>
        <v>TONS</v>
      </c>
      <c r="CK183" s="529" t="str">
        <f t="shared" ref="CK183:CK214" si="1075">AD183</f>
        <v>TONS</v>
      </c>
      <c r="CL183" s="529" t="str">
        <f t="shared" ref="CL183:CL214" si="1076">AG183</f>
        <v>TONS</v>
      </c>
      <c r="CM183" s="529" t="str">
        <f t="shared" ref="CM183:CM214" si="1077">AJ183</f>
        <v>TONS</v>
      </c>
      <c r="CN183" s="529" t="str">
        <f t="shared" ref="CN183:CN214" si="1078">AM183</f>
        <v>TONS</v>
      </c>
      <c r="CO183" s="529" t="str">
        <f t="shared" ref="CO183:CO214" si="1079">AP183</f>
        <v>TONS</v>
      </c>
      <c r="CP183" s="529" t="str">
        <f t="shared" ref="CP183" si="1080">AS183</f>
        <v>TONS</v>
      </c>
      <c r="CQ183" s="529" t="str">
        <f t="shared" ref="CQ183" si="1081">AV183</f>
        <v>TONS</v>
      </c>
      <c r="CR183" s="529" t="str">
        <f t="shared" ref="CR183" si="1082">AY183</f>
        <v>TONS</v>
      </c>
    </row>
    <row r="184" spans="1:96" x14ac:dyDescent="0.2">
      <c r="A184" s="762" t="s">
        <v>498</v>
      </c>
      <c r="B184" s="601" t="str">
        <f>+B305</f>
        <v>NPK 15-15-15</v>
      </c>
      <c r="C184" s="602"/>
      <c r="D184" s="603"/>
      <c r="E184" s="604"/>
      <c r="F184" s="605"/>
      <c r="G184" s="603"/>
      <c r="H184" s="604"/>
      <c r="I184" s="605"/>
      <c r="J184" s="603"/>
      <c r="K184" s="604"/>
      <c r="L184" s="605"/>
      <c r="M184" s="603"/>
      <c r="N184" s="604"/>
      <c r="O184" s="605"/>
      <c r="P184" s="603"/>
      <c r="Q184" s="604"/>
      <c r="R184" s="605"/>
      <c r="S184" s="603"/>
      <c r="T184" s="604"/>
      <c r="U184" s="605"/>
      <c r="V184" s="636"/>
      <c r="W184" s="604"/>
      <c r="X184" s="605"/>
      <c r="Y184" s="603"/>
      <c r="Z184" s="603"/>
      <c r="AA184" s="605">
        <f>+Assumptions!$I$13*$BC184*1000</f>
        <v>800.00000000000011</v>
      </c>
      <c r="AB184" s="603">
        <f>+AB$314+3</f>
        <v>318</v>
      </c>
      <c r="AC184" s="603">
        <f>+AB184*AA184</f>
        <v>254400.00000000003</v>
      </c>
      <c r="AD184" s="605">
        <f>+Assumptions!$J$13*$BC184*1000</f>
        <v>1600.0000000000002</v>
      </c>
      <c r="AE184" s="603">
        <f>+AE$314+3</f>
        <v>327</v>
      </c>
      <c r="AF184" s="603">
        <f>+AE184*AD184</f>
        <v>523200.00000000006</v>
      </c>
      <c r="AG184" s="605">
        <f>+Assumptions!$K$13*$BC184*1000</f>
        <v>1600.0000000000002</v>
      </c>
      <c r="AH184" s="603">
        <f>+AH$314+3</f>
        <v>337</v>
      </c>
      <c r="AI184" s="603">
        <f>+AH184*AG184</f>
        <v>539200.00000000012</v>
      </c>
      <c r="AJ184" s="605">
        <f>+Assumptions!$L$13*$BC184*1000</f>
        <v>1600.0000000000002</v>
      </c>
      <c r="AK184" s="603">
        <f>+AK$314+3</f>
        <v>347</v>
      </c>
      <c r="AL184" s="603">
        <f>+AK184*AJ184</f>
        <v>555200.00000000012</v>
      </c>
      <c r="AM184" s="605">
        <f>+Assumptions!$M$13*$BC184*1000</f>
        <v>1600.0000000000002</v>
      </c>
      <c r="AN184" s="603">
        <f>+AN$314+3</f>
        <v>357</v>
      </c>
      <c r="AO184" s="603">
        <f>+AN184*AM184</f>
        <v>571200.00000000012</v>
      </c>
      <c r="AP184" s="605">
        <f>+Assumptions!$N$13*$BC184*1000</f>
        <v>1600.0000000000002</v>
      </c>
      <c r="AQ184" s="603">
        <f>+AQ$314+3</f>
        <v>368</v>
      </c>
      <c r="AR184" s="603">
        <f>+AQ184*AP184</f>
        <v>588800.00000000012</v>
      </c>
      <c r="AS184" s="605">
        <f>+Assumptions!$N$13*$BC184*1000</f>
        <v>1600.0000000000002</v>
      </c>
      <c r="AT184" s="603">
        <f>+AT$314+3</f>
        <v>379</v>
      </c>
      <c r="AU184" s="603">
        <f>+AT184*AS184</f>
        <v>606400.00000000012</v>
      </c>
      <c r="AV184" s="605">
        <f>+Assumptions!$N$13*$BC184*1000</f>
        <v>1600.0000000000002</v>
      </c>
      <c r="AW184" s="603">
        <f>+AW$314+3</f>
        <v>390</v>
      </c>
      <c r="AX184" s="603">
        <f>+AW184*AV184</f>
        <v>624000.00000000012</v>
      </c>
      <c r="AY184" s="605">
        <f>+Assumptions!$N$13*$BC184*1000</f>
        <v>1600.0000000000002</v>
      </c>
      <c r="AZ184" s="603">
        <f>+AZ$314+3</f>
        <v>402</v>
      </c>
      <c r="BA184" s="603">
        <f>+AZ184*AY184</f>
        <v>643200.00000000012</v>
      </c>
      <c r="BC184" s="710">
        <v>1.0000000000000002E-2</v>
      </c>
      <c r="BD184" s="729">
        <v>0.1</v>
      </c>
      <c r="BJ184" s="529">
        <f t="shared" si="1049"/>
        <v>0</v>
      </c>
      <c r="BK184" s="529">
        <f t="shared" si="1050"/>
        <v>0</v>
      </c>
      <c r="BL184" s="529">
        <f t="shared" si="1051"/>
        <v>0</v>
      </c>
      <c r="BM184" s="529">
        <f t="shared" si="1052"/>
        <v>0</v>
      </c>
      <c r="BN184" s="529">
        <f t="shared" si="1053"/>
        <v>0</v>
      </c>
      <c r="BO184" s="529">
        <f t="shared" si="1054"/>
        <v>0</v>
      </c>
      <c r="BP184" s="529">
        <f t="shared" si="1055"/>
        <v>0</v>
      </c>
      <c r="BQ184" s="529">
        <f t="shared" si="1056"/>
        <v>0</v>
      </c>
      <c r="BR184" s="529">
        <f t="shared" si="1057"/>
        <v>0.25440000000000002</v>
      </c>
      <c r="BS184" s="529">
        <f t="shared" si="1058"/>
        <v>0.52320000000000011</v>
      </c>
      <c r="BT184" s="529">
        <f t="shared" si="1059"/>
        <v>0.53920000000000012</v>
      </c>
      <c r="BU184" s="529">
        <f t="shared" si="1060"/>
        <v>0.55520000000000014</v>
      </c>
      <c r="BV184" s="529">
        <f t="shared" si="1061"/>
        <v>0.57120000000000015</v>
      </c>
      <c r="BW184" s="529">
        <f t="shared" si="1062"/>
        <v>0.5888000000000001</v>
      </c>
      <c r="BX184" s="529">
        <f t="shared" si="1063"/>
        <v>0.60640000000000016</v>
      </c>
      <c r="BY184" s="529">
        <f t="shared" si="1064"/>
        <v>0.62400000000000011</v>
      </c>
      <c r="BZ184" s="529">
        <f t="shared" si="1065"/>
        <v>0.6432000000000001</v>
      </c>
      <c r="CB184" s="529">
        <f t="shared" si="1066"/>
        <v>0</v>
      </c>
      <c r="CC184" s="529">
        <f t="shared" si="1067"/>
        <v>0</v>
      </c>
      <c r="CD184" s="529">
        <f t="shared" si="1068"/>
        <v>0</v>
      </c>
      <c r="CE184" s="529">
        <f t="shared" si="1069"/>
        <v>0</v>
      </c>
      <c r="CF184" s="529">
        <f t="shared" si="1070"/>
        <v>0</v>
      </c>
      <c r="CG184" s="529">
        <f t="shared" si="1071"/>
        <v>0</v>
      </c>
      <c r="CH184" s="529">
        <f t="shared" si="1072"/>
        <v>0</v>
      </c>
      <c r="CI184" s="529">
        <f t="shared" si="1073"/>
        <v>0</v>
      </c>
      <c r="CJ184" s="529">
        <f t="shared" si="1074"/>
        <v>800.00000000000011</v>
      </c>
      <c r="CK184" s="529">
        <f t="shared" si="1075"/>
        <v>1600.0000000000002</v>
      </c>
      <c r="CL184" s="529">
        <f t="shared" si="1076"/>
        <v>1600.0000000000002</v>
      </c>
      <c r="CM184" s="529">
        <f t="shared" si="1077"/>
        <v>1600.0000000000002</v>
      </c>
      <c r="CN184" s="529">
        <f t="shared" si="1078"/>
        <v>1600.0000000000002</v>
      </c>
      <c r="CO184" s="529">
        <f t="shared" si="1079"/>
        <v>1600.0000000000002</v>
      </c>
      <c r="CP184" s="529">
        <f t="shared" ref="CP184:CP247" si="1083">AS184</f>
        <v>1600.0000000000002</v>
      </c>
      <c r="CQ184" s="529">
        <f t="shared" ref="CQ184:CQ247" si="1084">AV184</f>
        <v>1600.0000000000002</v>
      </c>
      <c r="CR184" s="529">
        <f t="shared" ref="CR184:CR247" si="1085">AY184</f>
        <v>1600.0000000000002</v>
      </c>
    </row>
    <row r="185" spans="1:96" x14ac:dyDescent="0.2">
      <c r="A185" s="763"/>
      <c r="B185" s="606" t="str">
        <f>+B306</f>
        <v>NPK 16-16-16</v>
      </c>
      <c r="C185" s="541"/>
      <c r="D185" s="607"/>
      <c r="E185" s="539"/>
      <c r="F185" s="538"/>
      <c r="G185" s="607"/>
      <c r="H185" s="539"/>
      <c r="I185" s="538"/>
      <c r="J185" s="607"/>
      <c r="K185" s="539"/>
      <c r="L185" s="538"/>
      <c r="M185" s="607"/>
      <c r="N185" s="539"/>
      <c r="O185" s="538"/>
      <c r="P185" s="607"/>
      <c r="Q185" s="539"/>
      <c r="R185" s="538"/>
      <c r="S185" s="607"/>
      <c r="T185" s="539"/>
      <c r="U185" s="538"/>
      <c r="V185" s="637"/>
      <c r="W185" s="539"/>
      <c r="X185" s="538"/>
      <c r="Y185" s="607"/>
      <c r="Z185" s="607"/>
      <c r="AA185" s="538">
        <f>+Assumptions!$I$13*$BC185*1000</f>
        <v>16800</v>
      </c>
      <c r="AB185" s="607">
        <f>+AB$315+3</f>
        <v>340</v>
      </c>
      <c r="AC185" s="607">
        <f t="shared" ref="AC185:AC299" si="1086">+AB185*AA185</f>
        <v>5712000</v>
      </c>
      <c r="AD185" s="538">
        <f>+Assumptions!$J$13*$BC185*1000</f>
        <v>33600</v>
      </c>
      <c r="AE185" s="607">
        <f>+AE$315+3</f>
        <v>350</v>
      </c>
      <c r="AF185" s="607">
        <f t="shared" ref="AF185:AF299" si="1087">+AE185*AD185</f>
        <v>11760000</v>
      </c>
      <c r="AG185" s="538">
        <f>+Assumptions!$K$13*$BC185*1000</f>
        <v>33600</v>
      </c>
      <c r="AH185" s="607">
        <f>+AH$315+3</f>
        <v>360</v>
      </c>
      <c r="AI185" s="607">
        <f t="shared" ref="AI185:AI299" si="1088">+AH185*AG185</f>
        <v>12096000</v>
      </c>
      <c r="AJ185" s="538">
        <f>+Assumptions!$L$13*$BC185*1000</f>
        <v>33600</v>
      </c>
      <c r="AK185" s="607">
        <f>+AK$315+3</f>
        <v>371</v>
      </c>
      <c r="AL185" s="607">
        <f t="shared" ref="AL185:AL299" si="1089">+AK185*AJ185</f>
        <v>12465600</v>
      </c>
      <c r="AM185" s="538">
        <f>+Assumptions!$M$13*$BC185*1000</f>
        <v>33600</v>
      </c>
      <c r="AN185" s="607">
        <f>+AN$315+3</f>
        <v>382</v>
      </c>
      <c r="AO185" s="607">
        <f t="shared" ref="AO185:AO299" si="1090">+AN185*AM185</f>
        <v>12835200</v>
      </c>
      <c r="AP185" s="538">
        <f>+Assumptions!$N$13*$BC185*1000</f>
        <v>33600</v>
      </c>
      <c r="AQ185" s="607">
        <f>+AQ$315+3</f>
        <v>393</v>
      </c>
      <c r="AR185" s="607">
        <f t="shared" ref="AR185:AR299" si="1091">+AQ185*AP185</f>
        <v>13204800</v>
      </c>
      <c r="AS185" s="538">
        <f>+Assumptions!$N$13*$BC185*1000</f>
        <v>33600</v>
      </c>
      <c r="AT185" s="607">
        <f>+AT$315+3</f>
        <v>405</v>
      </c>
      <c r="AU185" s="607">
        <f t="shared" ref="AU185:AU189" si="1092">+AT185*AS185</f>
        <v>13608000</v>
      </c>
      <c r="AV185" s="538">
        <f>+Assumptions!$N$13*$BC185*1000</f>
        <v>33600</v>
      </c>
      <c r="AW185" s="607">
        <f>+AW$315+3</f>
        <v>417</v>
      </c>
      <c r="AX185" s="607">
        <f t="shared" ref="AX185:AX189" si="1093">+AW185*AV185</f>
        <v>14011200</v>
      </c>
      <c r="AY185" s="538">
        <f>+Assumptions!$N$13*$BC185*1000</f>
        <v>33600</v>
      </c>
      <c r="AZ185" s="607">
        <f>+AZ$315+3</f>
        <v>429</v>
      </c>
      <c r="BA185" s="607">
        <f t="shared" ref="BA185:BA189" si="1094">+AZ185*AY185</f>
        <v>14414400</v>
      </c>
      <c r="BC185" s="710">
        <v>0.21</v>
      </c>
      <c r="BD185" s="729">
        <v>0.3</v>
      </c>
      <c r="BJ185" s="529">
        <f t="shared" si="1049"/>
        <v>0</v>
      </c>
      <c r="BK185" s="529">
        <f t="shared" si="1050"/>
        <v>0</v>
      </c>
      <c r="BL185" s="529">
        <f t="shared" si="1051"/>
        <v>0</v>
      </c>
      <c r="BM185" s="529">
        <f t="shared" si="1052"/>
        <v>0</v>
      </c>
      <c r="BN185" s="529">
        <f t="shared" si="1053"/>
        <v>0</v>
      </c>
      <c r="BO185" s="529">
        <f t="shared" si="1054"/>
        <v>0</v>
      </c>
      <c r="BP185" s="529">
        <f t="shared" si="1055"/>
        <v>0</v>
      </c>
      <c r="BQ185" s="529">
        <f t="shared" si="1056"/>
        <v>0</v>
      </c>
      <c r="BR185" s="529">
        <f t="shared" si="1057"/>
        <v>5.7119999999999997</v>
      </c>
      <c r="BS185" s="529">
        <f t="shared" si="1058"/>
        <v>11.76</v>
      </c>
      <c r="BT185" s="529">
        <f t="shared" si="1059"/>
        <v>12.096</v>
      </c>
      <c r="BU185" s="529">
        <f t="shared" si="1060"/>
        <v>12.4656</v>
      </c>
      <c r="BV185" s="529">
        <f t="shared" si="1061"/>
        <v>12.8352</v>
      </c>
      <c r="BW185" s="529">
        <f t="shared" si="1062"/>
        <v>13.204800000000001</v>
      </c>
      <c r="BX185" s="529">
        <f t="shared" si="1063"/>
        <v>13.608000000000001</v>
      </c>
      <c r="BY185" s="529">
        <f t="shared" si="1064"/>
        <v>14.011200000000001</v>
      </c>
      <c r="BZ185" s="529">
        <f t="shared" si="1065"/>
        <v>14.414400000000001</v>
      </c>
      <c r="CB185" s="529">
        <f t="shared" si="1066"/>
        <v>0</v>
      </c>
      <c r="CC185" s="529">
        <f t="shared" si="1067"/>
        <v>0</v>
      </c>
      <c r="CD185" s="529">
        <f t="shared" si="1068"/>
        <v>0</v>
      </c>
      <c r="CE185" s="529">
        <f t="shared" si="1069"/>
        <v>0</v>
      </c>
      <c r="CF185" s="529">
        <f t="shared" si="1070"/>
        <v>0</v>
      </c>
      <c r="CG185" s="529">
        <f t="shared" si="1071"/>
        <v>0</v>
      </c>
      <c r="CH185" s="529">
        <f t="shared" si="1072"/>
        <v>0</v>
      </c>
      <c r="CI185" s="529">
        <f t="shared" si="1073"/>
        <v>0</v>
      </c>
      <c r="CJ185" s="529">
        <f t="shared" si="1074"/>
        <v>16800</v>
      </c>
      <c r="CK185" s="529">
        <f t="shared" si="1075"/>
        <v>33600</v>
      </c>
      <c r="CL185" s="529">
        <f t="shared" si="1076"/>
        <v>33600</v>
      </c>
      <c r="CM185" s="529">
        <f t="shared" si="1077"/>
        <v>33600</v>
      </c>
      <c r="CN185" s="529">
        <f t="shared" si="1078"/>
        <v>33600</v>
      </c>
      <c r="CO185" s="529">
        <f t="shared" si="1079"/>
        <v>33600</v>
      </c>
      <c r="CP185" s="529">
        <f t="shared" si="1083"/>
        <v>33600</v>
      </c>
      <c r="CQ185" s="529">
        <f t="shared" si="1084"/>
        <v>33600</v>
      </c>
      <c r="CR185" s="529">
        <f t="shared" si="1085"/>
        <v>33600</v>
      </c>
    </row>
    <row r="186" spans="1:96" x14ac:dyDescent="0.2">
      <c r="A186" s="764"/>
      <c r="B186" s="606" t="str">
        <f>+B307</f>
        <v>NPK 10-26-26</v>
      </c>
      <c r="C186" s="541"/>
      <c r="D186" s="607"/>
      <c r="E186" s="539"/>
      <c r="F186" s="538"/>
      <c r="G186" s="607"/>
      <c r="H186" s="539"/>
      <c r="I186" s="538"/>
      <c r="J186" s="607"/>
      <c r="K186" s="539"/>
      <c r="L186" s="538"/>
      <c r="M186" s="607"/>
      <c r="N186" s="539"/>
      <c r="O186" s="538"/>
      <c r="P186" s="607"/>
      <c r="Q186" s="539"/>
      <c r="R186" s="538"/>
      <c r="S186" s="607"/>
      <c r="T186" s="539"/>
      <c r="U186" s="538"/>
      <c r="V186" s="637"/>
      <c r="W186" s="539"/>
      <c r="X186" s="538"/>
      <c r="Y186" s="607"/>
      <c r="Z186" s="607"/>
      <c r="AA186" s="538">
        <f>+Assumptions!$I$13*$BC186*1000</f>
        <v>1700.0000000000002</v>
      </c>
      <c r="AB186" s="607">
        <f>+AB$316+3</f>
        <v>437</v>
      </c>
      <c r="AC186" s="607">
        <f t="shared" si="1086"/>
        <v>742900.00000000012</v>
      </c>
      <c r="AD186" s="538">
        <f>+Assumptions!$J$13*$BC186*1000</f>
        <v>3400.0000000000005</v>
      </c>
      <c r="AE186" s="607">
        <f>+AE$316+3</f>
        <v>450</v>
      </c>
      <c r="AF186" s="607">
        <f t="shared" si="1087"/>
        <v>1530000.0000000002</v>
      </c>
      <c r="AG186" s="538">
        <f>+Assumptions!$K$13*$BC186*1000</f>
        <v>3400.0000000000005</v>
      </c>
      <c r="AH186" s="607">
        <f>+AH$316+3</f>
        <v>463</v>
      </c>
      <c r="AI186" s="607">
        <f t="shared" si="1088"/>
        <v>1574200.0000000002</v>
      </c>
      <c r="AJ186" s="538">
        <f>+Assumptions!$L$13*$BC186*1000</f>
        <v>3400.0000000000005</v>
      </c>
      <c r="AK186" s="607">
        <f>+AK$316+3</f>
        <v>477</v>
      </c>
      <c r="AL186" s="607">
        <f t="shared" si="1089"/>
        <v>1621800.0000000002</v>
      </c>
      <c r="AM186" s="538">
        <f>+Assumptions!$M$13*$BC186*1000</f>
        <v>3400.0000000000005</v>
      </c>
      <c r="AN186" s="607">
        <f>+AN$316+3</f>
        <v>491</v>
      </c>
      <c r="AO186" s="607">
        <f t="shared" si="1090"/>
        <v>1669400.0000000002</v>
      </c>
      <c r="AP186" s="538">
        <f>+Assumptions!$N$13*$BC186*1000</f>
        <v>3400.0000000000005</v>
      </c>
      <c r="AQ186" s="607">
        <f>+AQ$316+3</f>
        <v>506</v>
      </c>
      <c r="AR186" s="607">
        <f t="shared" si="1091"/>
        <v>1720400.0000000002</v>
      </c>
      <c r="AS186" s="538">
        <f>+Assumptions!$N$13*$BC186*1000</f>
        <v>3400.0000000000005</v>
      </c>
      <c r="AT186" s="607">
        <f>+AT$316+3</f>
        <v>521</v>
      </c>
      <c r="AU186" s="607">
        <f t="shared" si="1092"/>
        <v>1771400.0000000002</v>
      </c>
      <c r="AV186" s="538">
        <f>+Assumptions!$N$13*$BC186*1000</f>
        <v>3400.0000000000005</v>
      </c>
      <c r="AW186" s="607">
        <f>+AW$316+3</f>
        <v>537</v>
      </c>
      <c r="AX186" s="607">
        <f t="shared" si="1093"/>
        <v>1825800.0000000002</v>
      </c>
      <c r="AY186" s="538">
        <f>+Assumptions!$N$13*$BC186*1000</f>
        <v>3400.0000000000005</v>
      </c>
      <c r="AZ186" s="607">
        <f>+AZ$316+3</f>
        <v>553</v>
      </c>
      <c r="BA186" s="607">
        <f t="shared" si="1094"/>
        <v>1880200.0000000002</v>
      </c>
      <c r="BC186" s="710">
        <v>2.1250000000000002E-2</v>
      </c>
      <c r="BD186" s="729">
        <v>0.2</v>
      </c>
      <c r="BJ186" s="529">
        <f t="shared" si="1049"/>
        <v>0</v>
      </c>
      <c r="BK186" s="529">
        <f t="shared" si="1050"/>
        <v>0</v>
      </c>
      <c r="BL186" s="529">
        <f t="shared" si="1051"/>
        <v>0</v>
      </c>
      <c r="BM186" s="529">
        <f t="shared" si="1052"/>
        <v>0</v>
      </c>
      <c r="BN186" s="529">
        <f t="shared" si="1053"/>
        <v>0</v>
      </c>
      <c r="BO186" s="529">
        <f t="shared" si="1054"/>
        <v>0</v>
      </c>
      <c r="BP186" s="529">
        <f t="shared" si="1055"/>
        <v>0</v>
      </c>
      <c r="BQ186" s="529">
        <f t="shared" si="1056"/>
        <v>0</v>
      </c>
      <c r="BR186" s="529">
        <f t="shared" si="1057"/>
        <v>0.74290000000000012</v>
      </c>
      <c r="BS186" s="529">
        <f t="shared" si="1058"/>
        <v>1.5300000000000002</v>
      </c>
      <c r="BT186" s="529">
        <f t="shared" si="1059"/>
        <v>1.5742000000000003</v>
      </c>
      <c r="BU186" s="529">
        <f t="shared" si="1060"/>
        <v>1.6218000000000001</v>
      </c>
      <c r="BV186" s="529">
        <f t="shared" si="1061"/>
        <v>1.6694000000000002</v>
      </c>
      <c r="BW186" s="529">
        <f t="shared" si="1062"/>
        <v>1.7204000000000002</v>
      </c>
      <c r="BX186" s="529">
        <f t="shared" si="1063"/>
        <v>1.7714000000000003</v>
      </c>
      <c r="BY186" s="529">
        <f t="shared" si="1064"/>
        <v>1.8258000000000003</v>
      </c>
      <c r="BZ186" s="529">
        <f t="shared" si="1065"/>
        <v>1.8802000000000003</v>
      </c>
      <c r="CB186" s="529">
        <f t="shared" si="1066"/>
        <v>0</v>
      </c>
      <c r="CC186" s="529">
        <f t="shared" si="1067"/>
        <v>0</v>
      </c>
      <c r="CD186" s="529">
        <f t="shared" si="1068"/>
        <v>0</v>
      </c>
      <c r="CE186" s="529">
        <f t="shared" si="1069"/>
        <v>0</v>
      </c>
      <c r="CF186" s="529">
        <f t="shared" si="1070"/>
        <v>0</v>
      </c>
      <c r="CG186" s="529">
        <f t="shared" si="1071"/>
        <v>0</v>
      </c>
      <c r="CH186" s="529">
        <f t="shared" si="1072"/>
        <v>0</v>
      </c>
      <c r="CI186" s="529">
        <f t="shared" si="1073"/>
        <v>0</v>
      </c>
      <c r="CJ186" s="529">
        <f t="shared" si="1074"/>
        <v>1700.0000000000002</v>
      </c>
      <c r="CK186" s="529">
        <f t="shared" si="1075"/>
        <v>3400.0000000000005</v>
      </c>
      <c r="CL186" s="529">
        <f t="shared" si="1076"/>
        <v>3400.0000000000005</v>
      </c>
      <c r="CM186" s="529">
        <f t="shared" si="1077"/>
        <v>3400.0000000000005</v>
      </c>
      <c r="CN186" s="529">
        <f t="shared" si="1078"/>
        <v>3400.0000000000005</v>
      </c>
      <c r="CO186" s="529">
        <f t="shared" si="1079"/>
        <v>3400.0000000000005</v>
      </c>
      <c r="CP186" s="529">
        <f t="shared" si="1083"/>
        <v>3400.0000000000005</v>
      </c>
      <c r="CQ186" s="529">
        <f t="shared" si="1084"/>
        <v>3400.0000000000005</v>
      </c>
      <c r="CR186" s="529">
        <f t="shared" si="1085"/>
        <v>3400.0000000000005</v>
      </c>
    </row>
    <row r="187" spans="1:96" x14ac:dyDescent="0.2">
      <c r="A187" s="763"/>
      <c r="B187" s="606" t="str">
        <f>+B308</f>
        <v>NPK 10-20-20</v>
      </c>
      <c r="C187" s="541"/>
      <c r="D187" s="607"/>
      <c r="E187" s="539"/>
      <c r="F187" s="538"/>
      <c r="G187" s="607"/>
      <c r="H187" s="539"/>
      <c r="I187" s="538"/>
      <c r="J187" s="607"/>
      <c r="K187" s="539"/>
      <c r="L187" s="538"/>
      <c r="M187" s="607"/>
      <c r="N187" s="539"/>
      <c r="O187" s="538"/>
      <c r="P187" s="607"/>
      <c r="Q187" s="539"/>
      <c r="R187" s="538"/>
      <c r="S187" s="607"/>
      <c r="T187" s="539"/>
      <c r="U187" s="538"/>
      <c r="V187" s="637"/>
      <c r="W187" s="539"/>
      <c r="X187" s="538"/>
      <c r="Y187" s="607"/>
      <c r="Z187" s="607"/>
      <c r="AA187" s="538">
        <f>+Assumptions!$I$13*$BC187*1000</f>
        <v>0</v>
      </c>
      <c r="AB187" s="607">
        <f>+AB$317+3</f>
        <v>353</v>
      </c>
      <c r="AC187" s="607">
        <f t="shared" si="1086"/>
        <v>0</v>
      </c>
      <c r="AD187" s="538">
        <f>+Assumptions!$J$13*$BC187*1000</f>
        <v>0</v>
      </c>
      <c r="AE187" s="607">
        <f>+AE$317+3</f>
        <v>364</v>
      </c>
      <c r="AF187" s="607">
        <f t="shared" si="1087"/>
        <v>0</v>
      </c>
      <c r="AG187" s="538">
        <f>+Assumptions!$K$13*$BC187*1000</f>
        <v>0</v>
      </c>
      <c r="AH187" s="607">
        <f>+AH$317+3</f>
        <v>375</v>
      </c>
      <c r="AI187" s="607">
        <f t="shared" si="1088"/>
        <v>0</v>
      </c>
      <c r="AJ187" s="538">
        <f>+Assumptions!$L$13*$BC187*1000</f>
        <v>0</v>
      </c>
      <c r="AK187" s="607">
        <f>+AK$317+3</f>
        <v>386</v>
      </c>
      <c r="AL187" s="607">
        <f t="shared" si="1089"/>
        <v>0</v>
      </c>
      <c r="AM187" s="538">
        <f>+Assumptions!$M$13*$BC187*1000</f>
        <v>0</v>
      </c>
      <c r="AN187" s="607">
        <f>+AN$317+3</f>
        <v>397</v>
      </c>
      <c r="AO187" s="607">
        <f t="shared" si="1090"/>
        <v>0</v>
      </c>
      <c r="AP187" s="538">
        <f>+Assumptions!$N$13*$BC187*1000</f>
        <v>0</v>
      </c>
      <c r="AQ187" s="607">
        <f>+AQ$317+3</f>
        <v>409</v>
      </c>
      <c r="AR187" s="607">
        <f t="shared" si="1091"/>
        <v>0</v>
      </c>
      <c r="AS187" s="538">
        <f>+Assumptions!$N$13*$BC187*1000</f>
        <v>0</v>
      </c>
      <c r="AT187" s="607">
        <f>+AT$317+3</f>
        <v>421</v>
      </c>
      <c r="AU187" s="607">
        <f t="shared" si="1092"/>
        <v>0</v>
      </c>
      <c r="AV187" s="538">
        <f>+Assumptions!$N$13*$BC187*1000</f>
        <v>0</v>
      </c>
      <c r="AW187" s="607">
        <f>+AW$317+3</f>
        <v>434</v>
      </c>
      <c r="AX187" s="607">
        <f t="shared" si="1093"/>
        <v>0</v>
      </c>
      <c r="AY187" s="538">
        <f>+Assumptions!$N$13*$BC187*1000</f>
        <v>0</v>
      </c>
      <c r="AZ187" s="607">
        <f>+AZ$317+3</f>
        <v>447</v>
      </c>
      <c r="BA187" s="607">
        <f t="shared" si="1094"/>
        <v>0</v>
      </c>
      <c r="BC187" s="710">
        <v>0</v>
      </c>
      <c r="BJ187" s="529">
        <f t="shared" si="1049"/>
        <v>0</v>
      </c>
      <c r="BK187" s="529">
        <f t="shared" si="1050"/>
        <v>0</v>
      </c>
      <c r="BL187" s="529">
        <f t="shared" si="1051"/>
        <v>0</v>
      </c>
      <c r="BM187" s="529">
        <f t="shared" si="1052"/>
        <v>0</v>
      </c>
      <c r="BN187" s="529">
        <f t="shared" si="1053"/>
        <v>0</v>
      </c>
      <c r="BO187" s="529">
        <f t="shared" si="1054"/>
        <v>0</v>
      </c>
      <c r="BP187" s="529">
        <f t="shared" si="1055"/>
        <v>0</v>
      </c>
      <c r="BQ187" s="529">
        <f t="shared" si="1056"/>
        <v>0</v>
      </c>
      <c r="BR187" s="529">
        <f t="shared" si="1057"/>
        <v>0</v>
      </c>
      <c r="BS187" s="529">
        <f t="shared" si="1058"/>
        <v>0</v>
      </c>
      <c r="BT187" s="529">
        <f t="shared" si="1059"/>
        <v>0</v>
      </c>
      <c r="BU187" s="529">
        <f t="shared" si="1060"/>
        <v>0</v>
      </c>
      <c r="BV187" s="529">
        <f t="shared" si="1061"/>
        <v>0</v>
      </c>
      <c r="BW187" s="529">
        <f t="shared" si="1062"/>
        <v>0</v>
      </c>
      <c r="BX187" s="529">
        <f t="shared" si="1063"/>
        <v>0</v>
      </c>
      <c r="BY187" s="529">
        <f t="shared" si="1064"/>
        <v>0</v>
      </c>
      <c r="BZ187" s="529">
        <f t="shared" si="1065"/>
        <v>0</v>
      </c>
      <c r="CB187" s="529">
        <f t="shared" si="1066"/>
        <v>0</v>
      </c>
      <c r="CC187" s="529">
        <f t="shared" si="1067"/>
        <v>0</v>
      </c>
      <c r="CD187" s="529">
        <f t="shared" si="1068"/>
        <v>0</v>
      </c>
      <c r="CE187" s="529">
        <f t="shared" si="1069"/>
        <v>0</v>
      </c>
      <c r="CF187" s="529">
        <f t="shared" si="1070"/>
        <v>0</v>
      </c>
      <c r="CG187" s="529">
        <f t="shared" si="1071"/>
        <v>0</v>
      </c>
      <c r="CH187" s="529">
        <f t="shared" si="1072"/>
        <v>0</v>
      </c>
      <c r="CI187" s="529">
        <f t="shared" si="1073"/>
        <v>0</v>
      </c>
      <c r="CJ187" s="529">
        <f t="shared" si="1074"/>
        <v>0</v>
      </c>
      <c r="CK187" s="529">
        <f t="shared" si="1075"/>
        <v>0</v>
      </c>
      <c r="CL187" s="529">
        <f t="shared" si="1076"/>
        <v>0</v>
      </c>
      <c r="CM187" s="529">
        <f t="shared" si="1077"/>
        <v>0</v>
      </c>
      <c r="CN187" s="529">
        <f t="shared" si="1078"/>
        <v>0</v>
      </c>
      <c r="CO187" s="529">
        <f t="shared" si="1079"/>
        <v>0</v>
      </c>
      <c r="CP187" s="529">
        <f t="shared" si="1083"/>
        <v>0</v>
      </c>
      <c r="CQ187" s="529">
        <f t="shared" si="1084"/>
        <v>0</v>
      </c>
      <c r="CR187" s="529">
        <f t="shared" si="1085"/>
        <v>0</v>
      </c>
    </row>
    <row r="188" spans="1:96" x14ac:dyDescent="0.2">
      <c r="A188" s="763"/>
      <c r="B188" s="606" t="str">
        <f t="shared" ref="B188:B189" si="1095">+B309</f>
        <v>NPK 13-13-21</v>
      </c>
      <c r="C188" s="541"/>
      <c r="D188" s="607"/>
      <c r="E188" s="539"/>
      <c r="F188" s="538"/>
      <c r="G188" s="607"/>
      <c r="H188" s="539"/>
      <c r="I188" s="538"/>
      <c r="J188" s="607"/>
      <c r="K188" s="539"/>
      <c r="L188" s="538"/>
      <c r="M188" s="607"/>
      <c r="N188" s="539"/>
      <c r="O188" s="538"/>
      <c r="P188" s="607"/>
      <c r="Q188" s="539"/>
      <c r="R188" s="538"/>
      <c r="S188" s="607"/>
      <c r="T188" s="539"/>
      <c r="U188" s="538"/>
      <c r="V188" s="637"/>
      <c r="W188" s="539"/>
      <c r="X188" s="538"/>
      <c r="Y188" s="607"/>
      <c r="Z188" s="607"/>
      <c r="AA188" s="538">
        <f>+Assumptions!$I$13*$BC188*1000</f>
        <v>0</v>
      </c>
      <c r="AB188" s="607">
        <f>+AB$318+3</f>
        <v>332</v>
      </c>
      <c r="AC188" s="607">
        <f t="shared" ref="AC188:AC189" si="1096">+AB188*AA188</f>
        <v>0</v>
      </c>
      <c r="AD188" s="538">
        <f>+Assumptions!$J$13*$BC188*1000</f>
        <v>0</v>
      </c>
      <c r="AE188" s="607">
        <f>+AE$318+3</f>
        <v>342</v>
      </c>
      <c r="AF188" s="607">
        <f t="shared" ref="AF188:AF189" si="1097">+AE188*AD188</f>
        <v>0</v>
      </c>
      <c r="AG188" s="538">
        <f>+Assumptions!$K$13*$BC188*1000</f>
        <v>0</v>
      </c>
      <c r="AH188" s="607">
        <f>+AH$318+3</f>
        <v>352</v>
      </c>
      <c r="AI188" s="607">
        <f t="shared" ref="AI188:AI189" si="1098">+AH188*AG188</f>
        <v>0</v>
      </c>
      <c r="AJ188" s="538">
        <f>+Assumptions!$L$13*$BC188*1000</f>
        <v>0</v>
      </c>
      <c r="AK188" s="607">
        <f>+AK$318+3</f>
        <v>362</v>
      </c>
      <c r="AL188" s="607">
        <f t="shared" ref="AL188:AL189" si="1099">+AK188*AJ188</f>
        <v>0</v>
      </c>
      <c r="AM188" s="538">
        <f>+Assumptions!$M$13*$BC188*1000</f>
        <v>0</v>
      </c>
      <c r="AN188" s="607">
        <f>+AN$318+3</f>
        <v>373</v>
      </c>
      <c r="AO188" s="607">
        <f t="shared" ref="AO188:AO189" si="1100">+AN188*AM188</f>
        <v>0</v>
      </c>
      <c r="AP188" s="538">
        <f>+Assumptions!$N$13*$BC188*1000</f>
        <v>0</v>
      </c>
      <c r="AQ188" s="607">
        <f>+AQ$318+3</f>
        <v>384</v>
      </c>
      <c r="AR188" s="607">
        <f t="shared" ref="AR188:AR189" si="1101">+AQ188*AP188</f>
        <v>0</v>
      </c>
      <c r="AS188" s="538">
        <f>+Assumptions!$N$13*$BC188*1000</f>
        <v>0</v>
      </c>
      <c r="AT188" s="607">
        <f>+AT$318+3</f>
        <v>395</v>
      </c>
      <c r="AU188" s="607">
        <f t="shared" si="1092"/>
        <v>0</v>
      </c>
      <c r="AV188" s="538">
        <f>+Assumptions!$N$13*$BC188*1000</f>
        <v>0</v>
      </c>
      <c r="AW188" s="607">
        <f>+AW$318+3</f>
        <v>407</v>
      </c>
      <c r="AX188" s="607">
        <f t="shared" si="1093"/>
        <v>0</v>
      </c>
      <c r="AY188" s="538">
        <f>+Assumptions!$N$13*$BC188*1000</f>
        <v>0</v>
      </c>
      <c r="AZ188" s="607">
        <f>+AZ$318+3</f>
        <v>419</v>
      </c>
      <c r="BA188" s="607">
        <f t="shared" si="1094"/>
        <v>0</v>
      </c>
      <c r="BC188" s="710">
        <v>0</v>
      </c>
      <c r="BJ188" s="529">
        <f t="shared" si="1049"/>
        <v>0</v>
      </c>
      <c r="BK188" s="529">
        <f t="shared" si="1050"/>
        <v>0</v>
      </c>
      <c r="BL188" s="529">
        <f t="shared" si="1051"/>
        <v>0</v>
      </c>
      <c r="BM188" s="529">
        <f t="shared" si="1052"/>
        <v>0</v>
      </c>
      <c r="BN188" s="529">
        <f t="shared" si="1053"/>
        <v>0</v>
      </c>
      <c r="BO188" s="529">
        <f t="shared" si="1054"/>
        <v>0</v>
      </c>
      <c r="BP188" s="529">
        <f t="shared" si="1055"/>
        <v>0</v>
      </c>
      <c r="BQ188" s="529">
        <f t="shared" si="1056"/>
        <v>0</v>
      </c>
      <c r="BR188" s="529">
        <f t="shared" si="1057"/>
        <v>0</v>
      </c>
      <c r="BS188" s="529">
        <f t="shared" si="1058"/>
        <v>0</v>
      </c>
      <c r="BT188" s="529">
        <f t="shared" si="1059"/>
        <v>0</v>
      </c>
      <c r="BU188" s="529">
        <f t="shared" si="1060"/>
        <v>0</v>
      </c>
      <c r="BV188" s="529">
        <f t="shared" si="1061"/>
        <v>0</v>
      </c>
      <c r="BW188" s="529">
        <f t="shared" si="1062"/>
        <v>0</v>
      </c>
      <c r="BX188" s="529">
        <f t="shared" si="1063"/>
        <v>0</v>
      </c>
      <c r="BY188" s="529">
        <f t="shared" si="1064"/>
        <v>0</v>
      </c>
      <c r="BZ188" s="529">
        <f t="shared" si="1065"/>
        <v>0</v>
      </c>
      <c r="CB188" s="529">
        <f t="shared" si="1066"/>
        <v>0</v>
      </c>
      <c r="CC188" s="529">
        <f t="shared" si="1067"/>
        <v>0</v>
      </c>
      <c r="CD188" s="529">
        <f t="shared" si="1068"/>
        <v>0</v>
      </c>
      <c r="CE188" s="529">
        <f t="shared" si="1069"/>
        <v>0</v>
      </c>
      <c r="CF188" s="529">
        <f t="shared" si="1070"/>
        <v>0</v>
      </c>
      <c r="CG188" s="529">
        <f t="shared" si="1071"/>
        <v>0</v>
      </c>
      <c r="CH188" s="529">
        <f t="shared" si="1072"/>
        <v>0</v>
      </c>
      <c r="CI188" s="529">
        <f t="shared" si="1073"/>
        <v>0</v>
      </c>
      <c r="CJ188" s="529">
        <f t="shared" si="1074"/>
        <v>0</v>
      </c>
      <c r="CK188" s="529">
        <f t="shared" si="1075"/>
        <v>0</v>
      </c>
      <c r="CL188" s="529">
        <f t="shared" si="1076"/>
        <v>0</v>
      </c>
      <c r="CM188" s="529">
        <f t="shared" si="1077"/>
        <v>0</v>
      </c>
      <c r="CN188" s="529">
        <f t="shared" si="1078"/>
        <v>0</v>
      </c>
      <c r="CO188" s="529">
        <f t="shared" si="1079"/>
        <v>0</v>
      </c>
      <c r="CP188" s="529">
        <f t="shared" si="1083"/>
        <v>0</v>
      </c>
      <c r="CQ188" s="529">
        <f t="shared" si="1084"/>
        <v>0</v>
      </c>
      <c r="CR188" s="529">
        <f t="shared" si="1085"/>
        <v>0</v>
      </c>
    </row>
    <row r="189" spans="1:96" x14ac:dyDescent="0.2">
      <c r="A189" s="763"/>
      <c r="B189" s="606" t="str">
        <f t="shared" si="1095"/>
        <v>NPK 00-00-00</v>
      </c>
      <c r="C189" s="541"/>
      <c r="D189" s="607"/>
      <c r="E189" s="539"/>
      <c r="F189" s="538"/>
      <c r="G189" s="607"/>
      <c r="H189" s="539"/>
      <c r="I189" s="538"/>
      <c r="J189" s="607"/>
      <c r="K189" s="539"/>
      <c r="L189" s="538"/>
      <c r="M189" s="607"/>
      <c r="N189" s="539"/>
      <c r="O189" s="538"/>
      <c r="P189" s="607"/>
      <c r="Q189" s="539"/>
      <c r="R189" s="538"/>
      <c r="S189" s="607"/>
      <c r="T189" s="539"/>
      <c r="U189" s="538"/>
      <c r="V189" s="637"/>
      <c r="W189" s="539"/>
      <c r="X189" s="538"/>
      <c r="Y189" s="607"/>
      <c r="Z189" s="607"/>
      <c r="AA189" s="538">
        <f>+Assumptions!$I$13*$BC189*1000</f>
        <v>0</v>
      </c>
      <c r="AB189" s="607">
        <f>+AB$319+3</f>
        <v>3</v>
      </c>
      <c r="AC189" s="607">
        <f t="shared" si="1096"/>
        <v>0</v>
      </c>
      <c r="AD189" s="538">
        <f>+Assumptions!$J$13*$BC189*1000</f>
        <v>0</v>
      </c>
      <c r="AE189" s="607">
        <f>+AE$319+3</f>
        <v>3</v>
      </c>
      <c r="AF189" s="607">
        <f t="shared" si="1097"/>
        <v>0</v>
      </c>
      <c r="AG189" s="538">
        <f>+Assumptions!$K$13*$BC189*1000</f>
        <v>0</v>
      </c>
      <c r="AH189" s="607">
        <f>+AH$319+3</f>
        <v>3</v>
      </c>
      <c r="AI189" s="607">
        <f t="shared" si="1098"/>
        <v>0</v>
      </c>
      <c r="AJ189" s="538">
        <f>+Assumptions!$L$13*$BC189*1000</f>
        <v>0</v>
      </c>
      <c r="AK189" s="607">
        <f>+AK$319+3</f>
        <v>3</v>
      </c>
      <c r="AL189" s="607">
        <f t="shared" si="1099"/>
        <v>0</v>
      </c>
      <c r="AM189" s="538">
        <f>+Assumptions!$M$13*$BC189*1000</f>
        <v>0</v>
      </c>
      <c r="AN189" s="607">
        <f>+AN$319+3</f>
        <v>3</v>
      </c>
      <c r="AO189" s="607">
        <f t="shared" si="1100"/>
        <v>0</v>
      </c>
      <c r="AP189" s="538">
        <f>+Assumptions!$N$13*$BC189*1000</f>
        <v>0</v>
      </c>
      <c r="AQ189" s="607">
        <f>+AQ$319+3</f>
        <v>3</v>
      </c>
      <c r="AR189" s="607">
        <f t="shared" si="1101"/>
        <v>0</v>
      </c>
      <c r="AS189" s="538">
        <f>+Assumptions!$N$13*$BC189*1000</f>
        <v>0</v>
      </c>
      <c r="AT189" s="607">
        <f>+AT$319+3</f>
        <v>3</v>
      </c>
      <c r="AU189" s="607">
        <f t="shared" si="1092"/>
        <v>0</v>
      </c>
      <c r="AV189" s="538">
        <f>+Assumptions!$N$13*$BC189*1000</f>
        <v>0</v>
      </c>
      <c r="AW189" s="607">
        <f>+AW$319+3</f>
        <v>3</v>
      </c>
      <c r="AX189" s="607">
        <f t="shared" si="1093"/>
        <v>0</v>
      </c>
      <c r="AY189" s="538">
        <f>+Assumptions!$N$13*$BC189*1000</f>
        <v>0</v>
      </c>
      <c r="AZ189" s="607">
        <f>+AZ$319+3</f>
        <v>3</v>
      </c>
      <c r="BA189" s="607">
        <f t="shared" si="1094"/>
        <v>0</v>
      </c>
      <c r="BC189" s="710">
        <v>0</v>
      </c>
      <c r="BJ189" s="529">
        <f t="shared" si="1049"/>
        <v>0</v>
      </c>
      <c r="BK189" s="529">
        <f t="shared" si="1050"/>
        <v>0</v>
      </c>
      <c r="BL189" s="529">
        <f t="shared" si="1051"/>
        <v>0</v>
      </c>
      <c r="BM189" s="529">
        <f t="shared" si="1052"/>
        <v>0</v>
      </c>
      <c r="BN189" s="529">
        <f t="shared" si="1053"/>
        <v>0</v>
      </c>
      <c r="BO189" s="529">
        <f t="shared" si="1054"/>
        <v>0</v>
      </c>
      <c r="BP189" s="529">
        <f t="shared" si="1055"/>
        <v>0</v>
      </c>
      <c r="BQ189" s="529">
        <f t="shared" si="1056"/>
        <v>0</v>
      </c>
      <c r="BR189" s="529">
        <f t="shared" si="1057"/>
        <v>0</v>
      </c>
      <c r="BS189" s="529">
        <f t="shared" si="1058"/>
        <v>0</v>
      </c>
      <c r="BT189" s="529">
        <f t="shared" si="1059"/>
        <v>0</v>
      </c>
      <c r="BU189" s="529">
        <f t="shared" si="1060"/>
        <v>0</v>
      </c>
      <c r="BV189" s="529">
        <f t="shared" si="1061"/>
        <v>0</v>
      </c>
      <c r="BW189" s="529">
        <f t="shared" si="1062"/>
        <v>0</v>
      </c>
      <c r="BX189" s="529">
        <f t="shared" si="1063"/>
        <v>0</v>
      </c>
      <c r="BY189" s="529">
        <f t="shared" si="1064"/>
        <v>0</v>
      </c>
      <c r="BZ189" s="529">
        <f t="shared" si="1065"/>
        <v>0</v>
      </c>
      <c r="CB189" s="529">
        <f t="shared" si="1066"/>
        <v>0</v>
      </c>
      <c r="CC189" s="529">
        <f t="shared" si="1067"/>
        <v>0</v>
      </c>
      <c r="CD189" s="529">
        <f t="shared" si="1068"/>
        <v>0</v>
      </c>
      <c r="CE189" s="529">
        <f t="shared" si="1069"/>
        <v>0</v>
      </c>
      <c r="CF189" s="529">
        <f t="shared" si="1070"/>
        <v>0</v>
      </c>
      <c r="CG189" s="529">
        <f t="shared" si="1071"/>
        <v>0</v>
      </c>
      <c r="CH189" s="529">
        <f t="shared" si="1072"/>
        <v>0</v>
      </c>
      <c r="CI189" s="529">
        <f t="shared" si="1073"/>
        <v>0</v>
      </c>
      <c r="CJ189" s="529">
        <f t="shared" si="1074"/>
        <v>0</v>
      </c>
      <c r="CK189" s="529">
        <f t="shared" si="1075"/>
        <v>0</v>
      </c>
      <c r="CL189" s="529">
        <f t="shared" si="1076"/>
        <v>0</v>
      </c>
      <c r="CM189" s="529">
        <f t="shared" si="1077"/>
        <v>0</v>
      </c>
      <c r="CN189" s="529">
        <f t="shared" si="1078"/>
        <v>0</v>
      </c>
      <c r="CO189" s="529">
        <f t="shared" si="1079"/>
        <v>0</v>
      </c>
      <c r="CP189" s="529">
        <f t="shared" si="1083"/>
        <v>0</v>
      </c>
      <c r="CQ189" s="529">
        <f t="shared" si="1084"/>
        <v>0</v>
      </c>
      <c r="CR189" s="529">
        <f t="shared" si="1085"/>
        <v>0</v>
      </c>
    </row>
    <row r="190" spans="1:96" x14ac:dyDescent="0.2">
      <c r="A190" s="765"/>
      <c r="B190" s="608"/>
      <c r="C190" s="569"/>
      <c r="D190" s="609"/>
      <c r="E190" s="544"/>
      <c r="F190" s="543"/>
      <c r="G190" s="609"/>
      <c r="H190" s="544"/>
      <c r="I190" s="543"/>
      <c r="J190" s="609"/>
      <c r="K190" s="544"/>
      <c r="L190" s="543"/>
      <c r="M190" s="609"/>
      <c r="N190" s="544"/>
      <c r="O190" s="543"/>
      <c r="P190" s="609"/>
      <c r="Q190" s="544"/>
      <c r="R190" s="543"/>
      <c r="S190" s="609"/>
      <c r="T190" s="544"/>
      <c r="U190" s="543"/>
      <c r="V190" s="638"/>
      <c r="W190" s="544"/>
      <c r="X190" s="543"/>
      <c r="Y190" s="609"/>
      <c r="Z190" s="609"/>
      <c r="AA190" s="543"/>
      <c r="AB190" s="609"/>
      <c r="AC190" s="609"/>
      <c r="AD190" s="543"/>
      <c r="AE190" s="609"/>
      <c r="AF190" s="609"/>
      <c r="AG190" s="543"/>
      <c r="AH190" s="609"/>
      <c r="AI190" s="609"/>
      <c r="AJ190" s="543"/>
      <c r="AK190" s="609"/>
      <c r="AL190" s="609"/>
      <c r="AM190" s="543"/>
      <c r="AN190" s="609"/>
      <c r="AO190" s="609"/>
      <c r="AP190" s="543"/>
      <c r="AQ190" s="609"/>
      <c r="AR190" s="609"/>
      <c r="AS190" s="543"/>
      <c r="AT190" s="609"/>
      <c r="AU190" s="609"/>
      <c r="AV190" s="543"/>
      <c r="AW190" s="609"/>
      <c r="AX190" s="609"/>
      <c r="AY190" s="543"/>
      <c r="AZ190" s="609"/>
      <c r="BA190" s="609"/>
      <c r="BC190" s="710" t="e">
        <v>#N/A</v>
      </c>
      <c r="BJ190" s="529">
        <f t="shared" si="1049"/>
        <v>0</v>
      </c>
      <c r="BK190" s="529">
        <f t="shared" si="1050"/>
        <v>0</v>
      </c>
      <c r="BL190" s="529">
        <f t="shared" si="1051"/>
        <v>0</v>
      </c>
      <c r="BM190" s="529">
        <f t="shared" si="1052"/>
        <v>0</v>
      </c>
      <c r="BN190" s="529">
        <f t="shared" si="1053"/>
        <v>0</v>
      </c>
      <c r="BO190" s="529">
        <f t="shared" si="1054"/>
        <v>0</v>
      </c>
      <c r="BP190" s="529">
        <f t="shared" si="1055"/>
        <v>0</v>
      </c>
      <c r="BQ190" s="529">
        <f t="shared" si="1056"/>
        <v>0</v>
      </c>
      <c r="BR190" s="529">
        <f t="shared" si="1057"/>
        <v>0</v>
      </c>
      <c r="BS190" s="529">
        <f t="shared" si="1058"/>
        <v>0</v>
      </c>
      <c r="BT190" s="529">
        <f t="shared" si="1059"/>
        <v>0</v>
      </c>
      <c r="BU190" s="529">
        <f t="shared" si="1060"/>
        <v>0</v>
      </c>
      <c r="BV190" s="529">
        <f t="shared" si="1061"/>
        <v>0</v>
      </c>
      <c r="BW190" s="529">
        <f t="shared" si="1062"/>
        <v>0</v>
      </c>
      <c r="BX190" s="529">
        <f t="shared" si="1063"/>
        <v>0</v>
      </c>
      <c r="BY190" s="529">
        <f t="shared" si="1064"/>
        <v>0</v>
      </c>
      <c r="BZ190" s="529">
        <f t="shared" si="1065"/>
        <v>0</v>
      </c>
      <c r="CB190" s="529">
        <f t="shared" si="1066"/>
        <v>0</v>
      </c>
      <c r="CC190" s="529">
        <f t="shared" si="1067"/>
        <v>0</v>
      </c>
      <c r="CD190" s="529">
        <f t="shared" si="1068"/>
        <v>0</v>
      </c>
      <c r="CE190" s="529">
        <f t="shared" si="1069"/>
        <v>0</v>
      </c>
      <c r="CF190" s="529">
        <f t="shared" si="1070"/>
        <v>0</v>
      </c>
      <c r="CG190" s="529">
        <f t="shared" si="1071"/>
        <v>0</v>
      </c>
      <c r="CH190" s="529">
        <f t="shared" si="1072"/>
        <v>0</v>
      </c>
      <c r="CI190" s="529">
        <f t="shared" si="1073"/>
        <v>0</v>
      </c>
      <c r="CJ190" s="529">
        <f t="shared" si="1074"/>
        <v>0</v>
      </c>
      <c r="CK190" s="529">
        <f t="shared" si="1075"/>
        <v>0</v>
      </c>
      <c r="CL190" s="529">
        <f t="shared" si="1076"/>
        <v>0</v>
      </c>
      <c r="CM190" s="529">
        <f t="shared" si="1077"/>
        <v>0</v>
      </c>
      <c r="CN190" s="529">
        <f t="shared" si="1078"/>
        <v>0</v>
      </c>
      <c r="CO190" s="529">
        <f t="shared" si="1079"/>
        <v>0</v>
      </c>
      <c r="CP190" s="529">
        <f t="shared" si="1083"/>
        <v>0</v>
      </c>
      <c r="CQ190" s="529">
        <f t="shared" si="1084"/>
        <v>0</v>
      </c>
      <c r="CR190" s="529">
        <f t="shared" si="1085"/>
        <v>0</v>
      </c>
    </row>
    <row r="191" spans="1:96" x14ac:dyDescent="0.2">
      <c r="A191" s="762" t="s">
        <v>637</v>
      </c>
      <c r="B191" s="610" t="str">
        <f>+B184</f>
        <v>NPK 15-15-15</v>
      </c>
      <c r="C191" s="605"/>
      <c r="D191" s="603"/>
      <c r="E191" s="604"/>
      <c r="F191" s="605"/>
      <c r="G191" s="603"/>
      <c r="H191" s="604"/>
      <c r="I191" s="605"/>
      <c r="J191" s="603"/>
      <c r="K191" s="604"/>
      <c r="L191" s="605"/>
      <c r="M191" s="603"/>
      <c r="N191" s="604"/>
      <c r="O191" s="605"/>
      <c r="P191" s="603"/>
      <c r="Q191" s="604"/>
      <c r="R191" s="605"/>
      <c r="S191" s="603"/>
      <c r="T191" s="604"/>
      <c r="U191" s="605"/>
      <c r="V191" s="636"/>
      <c r="W191" s="604"/>
      <c r="X191" s="605"/>
      <c r="Y191" s="603"/>
      <c r="Z191" s="603"/>
      <c r="AA191" s="605">
        <f>+Assumptions!$I$13*$BC191*1000</f>
        <v>0</v>
      </c>
      <c r="AB191" s="603">
        <f>+AB$314-5</f>
        <v>310</v>
      </c>
      <c r="AC191" s="603">
        <f t="shared" si="1086"/>
        <v>0</v>
      </c>
      <c r="AD191" s="605">
        <f>+Assumptions!$J$13*$BC191*1000</f>
        <v>0</v>
      </c>
      <c r="AE191" s="603">
        <f>+AE$314-5</f>
        <v>319</v>
      </c>
      <c r="AF191" s="603">
        <f t="shared" si="1087"/>
        <v>0</v>
      </c>
      <c r="AG191" s="605">
        <f>+Assumptions!$K$13*$BC191*1000</f>
        <v>0</v>
      </c>
      <c r="AH191" s="603">
        <f>+AH$314-5</f>
        <v>329</v>
      </c>
      <c r="AI191" s="603">
        <f t="shared" si="1088"/>
        <v>0</v>
      </c>
      <c r="AJ191" s="605">
        <f>+Assumptions!$L$13*$BC191*1000</f>
        <v>0</v>
      </c>
      <c r="AK191" s="603">
        <f>+AK$314-5</f>
        <v>339</v>
      </c>
      <c r="AL191" s="603">
        <f t="shared" si="1089"/>
        <v>0</v>
      </c>
      <c r="AM191" s="605">
        <f>+Assumptions!$M$13*$BC191*1000</f>
        <v>0</v>
      </c>
      <c r="AN191" s="603">
        <f>+AN$314-5</f>
        <v>349</v>
      </c>
      <c r="AO191" s="603">
        <f t="shared" si="1090"/>
        <v>0</v>
      </c>
      <c r="AP191" s="605">
        <f>+Assumptions!$N$13*$BC191*1000</f>
        <v>0</v>
      </c>
      <c r="AQ191" s="603">
        <f>+AQ$314-5</f>
        <v>360</v>
      </c>
      <c r="AR191" s="603">
        <f t="shared" si="1091"/>
        <v>0</v>
      </c>
      <c r="AS191" s="605">
        <f>+Assumptions!$N$13*$BC191*1000</f>
        <v>0</v>
      </c>
      <c r="AT191" s="603">
        <f>+AT$314-5</f>
        <v>371</v>
      </c>
      <c r="AU191" s="603">
        <f t="shared" ref="AU191:AU196" si="1102">+AT191*AS191</f>
        <v>0</v>
      </c>
      <c r="AV191" s="605">
        <f>+Assumptions!$N$13*$BC191*1000</f>
        <v>0</v>
      </c>
      <c r="AW191" s="603">
        <f>+AW$314-5</f>
        <v>382</v>
      </c>
      <c r="AX191" s="603">
        <f t="shared" ref="AX191:AX196" si="1103">+AW191*AV191</f>
        <v>0</v>
      </c>
      <c r="AY191" s="605">
        <f>+Assumptions!$N$13*$BC191*1000</f>
        <v>0</v>
      </c>
      <c r="AZ191" s="603">
        <f>+AZ$314-5</f>
        <v>394</v>
      </c>
      <c r="BA191" s="603">
        <f t="shared" ref="BA191:BA196" si="1104">+AZ191*AY191</f>
        <v>0</v>
      </c>
      <c r="BC191" s="710">
        <v>0</v>
      </c>
      <c r="BJ191" s="529">
        <f t="shared" si="1049"/>
        <v>0</v>
      </c>
      <c r="BK191" s="529">
        <f t="shared" si="1050"/>
        <v>0</v>
      </c>
      <c r="BL191" s="529">
        <f t="shared" si="1051"/>
        <v>0</v>
      </c>
      <c r="BM191" s="529">
        <f t="shared" si="1052"/>
        <v>0</v>
      </c>
      <c r="BN191" s="529">
        <f t="shared" si="1053"/>
        <v>0</v>
      </c>
      <c r="BO191" s="529">
        <f t="shared" si="1054"/>
        <v>0</v>
      </c>
      <c r="BP191" s="529">
        <f t="shared" si="1055"/>
        <v>0</v>
      </c>
      <c r="BQ191" s="529">
        <f t="shared" si="1056"/>
        <v>0</v>
      </c>
      <c r="BR191" s="529">
        <f t="shared" si="1057"/>
        <v>0</v>
      </c>
      <c r="BS191" s="529">
        <f t="shared" si="1058"/>
        <v>0</v>
      </c>
      <c r="BT191" s="529">
        <f t="shared" si="1059"/>
        <v>0</v>
      </c>
      <c r="BU191" s="529">
        <f t="shared" si="1060"/>
        <v>0</v>
      </c>
      <c r="BV191" s="529">
        <f t="shared" si="1061"/>
        <v>0</v>
      </c>
      <c r="BW191" s="529">
        <f t="shared" si="1062"/>
        <v>0</v>
      </c>
      <c r="BX191" s="529">
        <f t="shared" si="1063"/>
        <v>0</v>
      </c>
      <c r="BY191" s="529">
        <f t="shared" si="1064"/>
        <v>0</v>
      </c>
      <c r="BZ191" s="529">
        <f t="shared" si="1065"/>
        <v>0</v>
      </c>
      <c r="CB191" s="529">
        <f t="shared" si="1066"/>
        <v>0</v>
      </c>
      <c r="CC191" s="529">
        <f t="shared" si="1067"/>
        <v>0</v>
      </c>
      <c r="CD191" s="529">
        <f t="shared" si="1068"/>
        <v>0</v>
      </c>
      <c r="CE191" s="529">
        <f t="shared" si="1069"/>
        <v>0</v>
      </c>
      <c r="CF191" s="529">
        <f t="shared" si="1070"/>
        <v>0</v>
      </c>
      <c r="CG191" s="529">
        <f t="shared" si="1071"/>
        <v>0</v>
      </c>
      <c r="CH191" s="529">
        <f t="shared" si="1072"/>
        <v>0</v>
      </c>
      <c r="CI191" s="529">
        <f t="shared" si="1073"/>
        <v>0</v>
      </c>
      <c r="CJ191" s="529">
        <f t="shared" si="1074"/>
        <v>0</v>
      </c>
      <c r="CK191" s="529">
        <f t="shared" si="1075"/>
        <v>0</v>
      </c>
      <c r="CL191" s="529">
        <f t="shared" si="1076"/>
        <v>0</v>
      </c>
      <c r="CM191" s="529">
        <f t="shared" si="1077"/>
        <v>0</v>
      </c>
      <c r="CN191" s="529">
        <f t="shared" si="1078"/>
        <v>0</v>
      </c>
      <c r="CO191" s="529">
        <f t="shared" si="1079"/>
        <v>0</v>
      </c>
      <c r="CP191" s="529">
        <f t="shared" si="1083"/>
        <v>0</v>
      </c>
      <c r="CQ191" s="529">
        <f t="shared" si="1084"/>
        <v>0</v>
      </c>
      <c r="CR191" s="529">
        <f t="shared" si="1085"/>
        <v>0</v>
      </c>
    </row>
    <row r="192" spans="1:96" x14ac:dyDescent="0.2">
      <c r="A192" s="763"/>
      <c r="B192" s="537" t="str">
        <f>+B185</f>
        <v>NPK 16-16-16</v>
      </c>
      <c r="C192" s="538"/>
      <c r="D192" s="607"/>
      <c r="E192" s="539"/>
      <c r="F192" s="538"/>
      <c r="G192" s="607"/>
      <c r="H192" s="539"/>
      <c r="I192" s="538"/>
      <c r="J192" s="607"/>
      <c r="K192" s="539"/>
      <c r="L192" s="538"/>
      <c r="M192" s="607"/>
      <c r="N192" s="539"/>
      <c r="O192" s="538"/>
      <c r="P192" s="607"/>
      <c r="Q192" s="539"/>
      <c r="R192" s="538"/>
      <c r="S192" s="607"/>
      <c r="T192" s="539"/>
      <c r="U192" s="538"/>
      <c r="V192" s="637"/>
      <c r="W192" s="539"/>
      <c r="X192" s="538"/>
      <c r="Y192" s="607"/>
      <c r="Z192" s="607"/>
      <c r="AA192" s="538">
        <f>+Assumptions!$I$13*$BC192*1000</f>
        <v>8400</v>
      </c>
      <c r="AB192" s="607">
        <f>+AB$315-5</f>
        <v>332</v>
      </c>
      <c r="AC192" s="607">
        <f t="shared" si="1086"/>
        <v>2788800</v>
      </c>
      <c r="AD192" s="538">
        <f>+Assumptions!$J$13*$BC192*1000</f>
        <v>16800</v>
      </c>
      <c r="AE192" s="607">
        <f>+AE$315-5</f>
        <v>342</v>
      </c>
      <c r="AF192" s="607">
        <f t="shared" si="1087"/>
        <v>5745600</v>
      </c>
      <c r="AG192" s="538">
        <f>+Assumptions!$K$13*$BC192*1000</f>
        <v>16800</v>
      </c>
      <c r="AH192" s="607">
        <f>+AH$315-5</f>
        <v>352</v>
      </c>
      <c r="AI192" s="607">
        <f t="shared" si="1088"/>
        <v>5913600</v>
      </c>
      <c r="AJ192" s="538">
        <f>+Assumptions!$L$13*$BC192*1000</f>
        <v>16800</v>
      </c>
      <c r="AK192" s="607">
        <f>+AK$315-5</f>
        <v>363</v>
      </c>
      <c r="AL192" s="607">
        <f t="shared" si="1089"/>
        <v>6098400</v>
      </c>
      <c r="AM192" s="538">
        <f>+Assumptions!$M$13*$BC192*1000</f>
        <v>16800</v>
      </c>
      <c r="AN192" s="607">
        <f>+AN$315-5</f>
        <v>374</v>
      </c>
      <c r="AO192" s="607">
        <f t="shared" si="1090"/>
        <v>6283200</v>
      </c>
      <c r="AP192" s="538">
        <f>+Assumptions!$N$13*$BC192*1000</f>
        <v>16800</v>
      </c>
      <c r="AQ192" s="607">
        <f>+AQ$315-5</f>
        <v>385</v>
      </c>
      <c r="AR192" s="607">
        <f t="shared" si="1091"/>
        <v>6468000</v>
      </c>
      <c r="AS192" s="538">
        <f>+Assumptions!$N$13*$BC192*1000</f>
        <v>16800</v>
      </c>
      <c r="AT192" s="607">
        <f>+AT$315-5</f>
        <v>397</v>
      </c>
      <c r="AU192" s="607">
        <f t="shared" si="1102"/>
        <v>6669600</v>
      </c>
      <c r="AV192" s="538">
        <f>+Assumptions!$N$13*$BC192*1000</f>
        <v>16800</v>
      </c>
      <c r="AW192" s="607">
        <f>+AW$315-5</f>
        <v>409</v>
      </c>
      <c r="AX192" s="607">
        <f t="shared" si="1103"/>
        <v>6871200</v>
      </c>
      <c r="AY192" s="538">
        <f>+Assumptions!$N$13*$BC192*1000</f>
        <v>16800</v>
      </c>
      <c r="AZ192" s="607">
        <f>+AZ$315-5</f>
        <v>421</v>
      </c>
      <c r="BA192" s="607">
        <f t="shared" si="1104"/>
        <v>7072800</v>
      </c>
      <c r="BC192" s="710">
        <v>0.105</v>
      </c>
      <c r="BD192" s="729">
        <v>0.15</v>
      </c>
      <c r="BJ192" s="529">
        <f t="shared" si="1049"/>
        <v>0</v>
      </c>
      <c r="BK192" s="529">
        <f t="shared" si="1050"/>
        <v>0</v>
      </c>
      <c r="BL192" s="529">
        <f t="shared" si="1051"/>
        <v>0</v>
      </c>
      <c r="BM192" s="529">
        <f t="shared" si="1052"/>
        <v>0</v>
      </c>
      <c r="BN192" s="529">
        <f t="shared" si="1053"/>
        <v>0</v>
      </c>
      <c r="BO192" s="529">
        <f t="shared" si="1054"/>
        <v>0</v>
      </c>
      <c r="BP192" s="529">
        <f t="shared" si="1055"/>
        <v>0</v>
      </c>
      <c r="BQ192" s="529">
        <f t="shared" si="1056"/>
        <v>0</v>
      </c>
      <c r="BR192" s="529">
        <f t="shared" si="1057"/>
        <v>2.7888000000000002</v>
      </c>
      <c r="BS192" s="529">
        <f t="shared" si="1058"/>
        <v>5.7455999999999996</v>
      </c>
      <c r="BT192" s="529">
        <f t="shared" si="1059"/>
        <v>5.9135999999999997</v>
      </c>
      <c r="BU192" s="529">
        <f t="shared" si="1060"/>
        <v>6.0983999999999998</v>
      </c>
      <c r="BV192" s="529">
        <f t="shared" si="1061"/>
        <v>6.2831999999999999</v>
      </c>
      <c r="BW192" s="529">
        <f t="shared" si="1062"/>
        <v>6.468</v>
      </c>
      <c r="BX192" s="529">
        <f t="shared" si="1063"/>
        <v>6.6696</v>
      </c>
      <c r="BY192" s="529">
        <f t="shared" si="1064"/>
        <v>6.8712</v>
      </c>
      <c r="BZ192" s="529">
        <f t="shared" si="1065"/>
        <v>7.0728</v>
      </c>
      <c r="CB192" s="529">
        <f t="shared" si="1066"/>
        <v>0</v>
      </c>
      <c r="CC192" s="529">
        <f t="shared" si="1067"/>
        <v>0</v>
      </c>
      <c r="CD192" s="529">
        <f t="shared" si="1068"/>
        <v>0</v>
      </c>
      <c r="CE192" s="529">
        <f t="shared" si="1069"/>
        <v>0</v>
      </c>
      <c r="CF192" s="529">
        <f t="shared" si="1070"/>
        <v>0</v>
      </c>
      <c r="CG192" s="529">
        <f t="shared" si="1071"/>
        <v>0</v>
      </c>
      <c r="CH192" s="529">
        <f t="shared" si="1072"/>
        <v>0</v>
      </c>
      <c r="CI192" s="529">
        <f t="shared" si="1073"/>
        <v>0</v>
      </c>
      <c r="CJ192" s="529">
        <f t="shared" si="1074"/>
        <v>8400</v>
      </c>
      <c r="CK192" s="529">
        <f t="shared" si="1075"/>
        <v>16800</v>
      </c>
      <c r="CL192" s="529">
        <f t="shared" si="1076"/>
        <v>16800</v>
      </c>
      <c r="CM192" s="529">
        <f t="shared" si="1077"/>
        <v>16800</v>
      </c>
      <c r="CN192" s="529">
        <f t="shared" si="1078"/>
        <v>16800</v>
      </c>
      <c r="CO192" s="529">
        <f t="shared" si="1079"/>
        <v>16800</v>
      </c>
      <c r="CP192" s="529">
        <f t="shared" si="1083"/>
        <v>16800</v>
      </c>
      <c r="CQ192" s="529">
        <f t="shared" si="1084"/>
        <v>16800</v>
      </c>
      <c r="CR192" s="529">
        <f t="shared" si="1085"/>
        <v>16800</v>
      </c>
    </row>
    <row r="193" spans="1:96" x14ac:dyDescent="0.2">
      <c r="A193" s="764"/>
      <c r="B193" s="537" t="str">
        <f>+B186</f>
        <v>NPK 10-26-26</v>
      </c>
      <c r="C193" s="538"/>
      <c r="D193" s="607"/>
      <c r="E193" s="539"/>
      <c r="F193" s="538"/>
      <c r="G193" s="607"/>
      <c r="H193" s="539"/>
      <c r="I193" s="538"/>
      <c r="J193" s="607"/>
      <c r="K193" s="539"/>
      <c r="L193" s="538"/>
      <c r="M193" s="607"/>
      <c r="N193" s="539"/>
      <c r="O193" s="538"/>
      <c r="P193" s="607"/>
      <c r="Q193" s="539"/>
      <c r="R193" s="538"/>
      <c r="S193" s="607"/>
      <c r="T193" s="539"/>
      <c r="U193" s="538"/>
      <c r="V193" s="637"/>
      <c r="W193" s="539"/>
      <c r="X193" s="538"/>
      <c r="Y193" s="607"/>
      <c r="Z193" s="607"/>
      <c r="AA193" s="538">
        <f>+Assumptions!$I$13*$BC193*1000</f>
        <v>0</v>
      </c>
      <c r="AB193" s="607">
        <f>+AB$316-5</f>
        <v>429</v>
      </c>
      <c r="AC193" s="607">
        <f t="shared" si="1086"/>
        <v>0</v>
      </c>
      <c r="AD193" s="538">
        <f>+Assumptions!$J$13*$BC193*1000</f>
        <v>0</v>
      </c>
      <c r="AE193" s="607">
        <f>+AE$316-5</f>
        <v>442</v>
      </c>
      <c r="AF193" s="607">
        <f t="shared" si="1087"/>
        <v>0</v>
      </c>
      <c r="AG193" s="538">
        <f>+Assumptions!$K$13*$BC193*1000</f>
        <v>0</v>
      </c>
      <c r="AH193" s="607">
        <f>+AH$316-5</f>
        <v>455</v>
      </c>
      <c r="AI193" s="607">
        <f t="shared" si="1088"/>
        <v>0</v>
      </c>
      <c r="AJ193" s="538">
        <f>+Assumptions!$L$13*$BC193*1000</f>
        <v>0</v>
      </c>
      <c r="AK193" s="607">
        <f>+AK$316-5</f>
        <v>469</v>
      </c>
      <c r="AL193" s="607">
        <f t="shared" si="1089"/>
        <v>0</v>
      </c>
      <c r="AM193" s="538">
        <f>+Assumptions!$M$13*$BC193*1000</f>
        <v>0</v>
      </c>
      <c r="AN193" s="607">
        <f>+AN$316-5</f>
        <v>483</v>
      </c>
      <c r="AO193" s="607">
        <f t="shared" si="1090"/>
        <v>0</v>
      </c>
      <c r="AP193" s="538">
        <f>+Assumptions!$N$13*$BC193*1000</f>
        <v>0</v>
      </c>
      <c r="AQ193" s="607">
        <f>+AQ$316-5</f>
        <v>498</v>
      </c>
      <c r="AR193" s="607">
        <f t="shared" si="1091"/>
        <v>0</v>
      </c>
      <c r="AS193" s="538">
        <f>+Assumptions!$N$13*$BC193*1000</f>
        <v>0</v>
      </c>
      <c r="AT193" s="607">
        <f>+AT$316-5</f>
        <v>513</v>
      </c>
      <c r="AU193" s="607">
        <f t="shared" si="1102"/>
        <v>0</v>
      </c>
      <c r="AV193" s="538">
        <f>+Assumptions!$N$13*$BC193*1000</f>
        <v>0</v>
      </c>
      <c r="AW193" s="607">
        <f>+AW$316-5</f>
        <v>529</v>
      </c>
      <c r="AX193" s="607">
        <f t="shared" si="1103"/>
        <v>0</v>
      </c>
      <c r="AY193" s="538">
        <f>+Assumptions!$N$13*$BC193*1000</f>
        <v>0</v>
      </c>
      <c r="AZ193" s="607">
        <f>+AZ$316-5</f>
        <v>545</v>
      </c>
      <c r="BA193" s="607">
        <f t="shared" si="1104"/>
        <v>0</v>
      </c>
      <c r="BC193" s="710">
        <v>0</v>
      </c>
      <c r="BJ193" s="529">
        <f t="shared" si="1049"/>
        <v>0</v>
      </c>
      <c r="BK193" s="529">
        <f t="shared" si="1050"/>
        <v>0</v>
      </c>
      <c r="BL193" s="529">
        <f t="shared" si="1051"/>
        <v>0</v>
      </c>
      <c r="BM193" s="529">
        <f t="shared" si="1052"/>
        <v>0</v>
      </c>
      <c r="BN193" s="529">
        <f t="shared" si="1053"/>
        <v>0</v>
      </c>
      <c r="BO193" s="529">
        <f t="shared" si="1054"/>
        <v>0</v>
      </c>
      <c r="BP193" s="529">
        <f t="shared" si="1055"/>
        <v>0</v>
      </c>
      <c r="BQ193" s="529">
        <f t="shared" si="1056"/>
        <v>0</v>
      </c>
      <c r="BR193" s="529">
        <f t="shared" si="1057"/>
        <v>0</v>
      </c>
      <c r="BS193" s="529">
        <f t="shared" si="1058"/>
        <v>0</v>
      </c>
      <c r="BT193" s="529">
        <f t="shared" si="1059"/>
        <v>0</v>
      </c>
      <c r="BU193" s="529">
        <f t="shared" si="1060"/>
        <v>0</v>
      </c>
      <c r="BV193" s="529">
        <f t="shared" si="1061"/>
        <v>0</v>
      </c>
      <c r="BW193" s="529">
        <f t="shared" si="1062"/>
        <v>0</v>
      </c>
      <c r="BX193" s="529">
        <f t="shared" si="1063"/>
        <v>0</v>
      </c>
      <c r="BY193" s="529">
        <f t="shared" si="1064"/>
        <v>0</v>
      </c>
      <c r="BZ193" s="529">
        <f t="shared" si="1065"/>
        <v>0</v>
      </c>
      <c r="CB193" s="529">
        <f t="shared" si="1066"/>
        <v>0</v>
      </c>
      <c r="CC193" s="529">
        <f t="shared" si="1067"/>
        <v>0</v>
      </c>
      <c r="CD193" s="529">
        <f t="shared" si="1068"/>
        <v>0</v>
      </c>
      <c r="CE193" s="529">
        <f t="shared" si="1069"/>
        <v>0</v>
      </c>
      <c r="CF193" s="529">
        <f t="shared" si="1070"/>
        <v>0</v>
      </c>
      <c r="CG193" s="529">
        <f t="shared" si="1071"/>
        <v>0</v>
      </c>
      <c r="CH193" s="529">
        <f t="shared" si="1072"/>
        <v>0</v>
      </c>
      <c r="CI193" s="529">
        <f t="shared" si="1073"/>
        <v>0</v>
      </c>
      <c r="CJ193" s="529">
        <f t="shared" si="1074"/>
        <v>0</v>
      </c>
      <c r="CK193" s="529">
        <f t="shared" si="1075"/>
        <v>0</v>
      </c>
      <c r="CL193" s="529">
        <f t="shared" si="1076"/>
        <v>0</v>
      </c>
      <c r="CM193" s="529">
        <f t="shared" si="1077"/>
        <v>0</v>
      </c>
      <c r="CN193" s="529">
        <f t="shared" si="1078"/>
        <v>0</v>
      </c>
      <c r="CO193" s="529">
        <f t="shared" si="1079"/>
        <v>0</v>
      </c>
      <c r="CP193" s="529">
        <f t="shared" si="1083"/>
        <v>0</v>
      </c>
      <c r="CQ193" s="529">
        <f t="shared" si="1084"/>
        <v>0</v>
      </c>
      <c r="CR193" s="529">
        <f t="shared" si="1085"/>
        <v>0</v>
      </c>
    </row>
    <row r="194" spans="1:96" x14ac:dyDescent="0.2">
      <c r="A194" s="763"/>
      <c r="B194" s="537" t="str">
        <f>+B187</f>
        <v>NPK 10-20-20</v>
      </c>
      <c r="C194" s="538"/>
      <c r="D194" s="607"/>
      <c r="E194" s="539"/>
      <c r="F194" s="538"/>
      <c r="G194" s="607"/>
      <c r="H194" s="539"/>
      <c r="I194" s="538"/>
      <c r="J194" s="607"/>
      <c r="K194" s="539"/>
      <c r="L194" s="538"/>
      <c r="M194" s="607"/>
      <c r="N194" s="539"/>
      <c r="O194" s="538"/>
      <c r="P194" s="607"/>
      <c r="Q194" s="539"/>
      <c r="R194" s="538"/>
      <c r="S194" s="607"/>
      <c r="T194" s="539"/>
      <c r="U194" s="538"/>
      <c r="V194" s="637"/>
      <c r="W194" s="539"/>
      <c r="X194" s="538"/>
      <c r="Y194" s="607"/>
      <c r="Z194" s="607"/>
      <c r="AA194" s="538">
        <f>+Assumptions!$I$13*$BC194*1000</f>
        <v>0</v>
      </c>
      <c r="AB194" s="607">
        <f>+AB$317-5</f>
        <v>345</v>
      </c>
      <c r="AC194" s="607">
        <f t="shared" si="1086"/>
        <v>0</v>
      </c>
      <c r="AD194" s="538">
        <f>+Assumptions!$J$13*$BC194*1000</f>
        <v>0</v>
      </c>
      <c r="AE194" s="607">
        <f>+AE$317-5</f>
        <v>356</v>
      </c>
      <c r="AF194" s="607">
        <f t="shared" si="1087"/>
        <v>0</v>
      </c>
      <c r="AG194" s="538">
        <f>+Assumptions!$K$13*$BC194*1000</f>
        <v>0</v>
      </c>
      <c r="AH194" s="607">
        <f>+AH$317-5</f>
        <v>367</v>
      </c>
      <c r="AI194" s="607">
        <f t="shared" si="1088"/>
        <v>0</v>
      </c>
      <c r="AJ194" s="538">
        <f>+Assumptions!$L$13*$BC194*1000</f>
        <v>0</v>
      </c>
      <c r="AK194" s="607">
        <f>+AK$317-5</f>
        <v>378</v>
      </c>
      <c r="AL194" s="607">
        <f t="shared" si="1089"/>
        <v>0</v>
      </c>
      <c r="AM194" s="538">
        <f>+Assumptions!$M$13*$BC194*1000</f>
        <v>0</v>
      </c>
      <c r="AN194" s="607">
        <f>+AN$317-5</f>
        <v>389</v>
      </c>
      <c r="AO194" s="607">
        <f t="shared" si="1090"/>
        <v>0</v>
      </c>
      <c r="AP194" s="538">
        <f>+Assumptions!$N$13*$BC194*1000</f>
        <v>0</v>
      </c>
      <c r="AQ194" s="607">
        <f>+AQ$317-5</f>
        <v>401</v>
      </c>
      <c r="AR194" s="607">
        <f t="shared" si="1091"/>
        <v>0</v>
      </c>
      <c r="AS194" s="538">
        <f>+Assumptions!$N$13*$BC194*1000</f>
        <v>0</v>
      </c>
      <c r="AT194" s="607">
        <f>+AT$317-5</f>
        <v>413</v>
      </c>
      <c r="AU194" s="607">
        <f t="shared" si="1102"/>
        <v>0</v>
      </c>
      <c r="AV194" s="538">
        <f>+Assumptions!$N$13*$BC194*1000</f>
        <v>0</v>
      </c>
      <c r="AW194" s="607">
        <f>+AW$317-5</f>
        <v>426</v>
      </c>
      <c r="AX194" s="607">
        <f t="shared" si="1103"/>
        <v>0</v>
      </c>
      <c r="AY194" s="538">
        <f>+Assumptions!$N$13*$BC194*1000</f>
        <v>0</v>
      </c>
      <c r="AZ194" s="607">
        <f>+AZ$317-5</f>
        <v>439</v>
      </c>
      <c r="BA194" s="607">
        <f t="shared" si="1104"/>
        <v>0</v>
      </c>
      <c r="BC194" s="710">
        <v>0</v>
      </c>
      <c r="BJ194" s="529">
        <f t="shared" si="1049"/>
        <v>0</v>
      </c>
      <c r="BK194" s="529">
        <f t="shared" si="1050"/>
        <v>0</v>
      </c>
      <c r="BL194" s="529">
        <f t="shared" si="1051"/>
        <v>0</v>
      </c>
      <c r="BM194" s="529">
        <f t="shared" si="1052"/>
        <v>0</v>
      </c>
      <c r="BN194" s="529">
        <f t="shared" si="1053"/>
        <v>0</v>
      </c>
      <c r="BO194" s="529">
        <f t="shared" si="1054"/>
        <v>0</v>
      </c>
      <c r="BP194" s="529">
        <f t="shared" si="1055"/>
        <v>0</v>
      </c>
      <c r="BQ194" s="529">
        <f t="shared" si="1056"/>
        <v>0</v>
      </c>
      <c r="BR194" s="529">
        <f t="shared" si="1057"/>
        <v>0</v>
      </c>
      <c r="BS194" s="529">
        <f t="shared" si="1058"/>
        <v>0</v>
      </c>
      <c r="BT194" s="529">
        <f t="shared" si="1059"/>
        <v>0</v>
      </c>
      <c r="BU194" s="529">
        <f t="shared" si="1060"/>
        <v>0</v>
      </c>
      <c r="BV194" s="529">
        <f t="shared" si="1061"/>
        <v>0</v>
      </c>
      <c r="BW194" s="529">
        <f t="shared" si="1062"/>
        <v>0</v>
      </c>
      <c r="BX194" s="529">
        <f t="shared" si="1063"/>
        <v>0</v>
      </c>
      <c r="BY194" s="529">
        <f t="shared" si="1064"/>
        <v>0</v>
      </c>
      <c r="BZ194" s="529">
        <f t="shared" si="1065"/>
        <v>0</v>
      </c>
      <c r="CB194" s="529">
        <f t="shared" si="1066"/>
        <v>0</v>
      </c>
      <c r="CC194" s="529">
        <f t="shared" si="1067"/>
        <v>0</v>
      </c>
      <c r="CD194" s="529">
        <f t="shared" si="1068"/>
        <v>0</v>
      </c>
      <c r="CE194" s="529">
        <f t="shared" si="1069"/>
        <v>0</v>
      </c>
      <c r="CF194" s="529">
        <f t="shared" si="1070"/>
        <v>0</v>
      </c>
      <c r="CG194" s="529">
        <f t="shared" si="1071"/>
        <v>0</v>
      </c>
      <c r="CH194" s="529">
        <f t="shared" si="1072"/>
        <v>0</v>
      </c>
      <c r="CI194" s="529">
        <f t="shared" si="1073"/>
        <v>0</v>
      </c>
      <c r="CJ194" s="529">
        <f t="shared" si="1074"/>
        <v>0</v>
      </c>
      <c r="CK194" s="529">
        <f t="shared" si="1075"/>
        <v>0</v>
      </c>
      <c r="CL194" s="529">
        <f t="shared" si="1076"/>
        <v>0</v>
      </c>
      <c r="CM194" s="529">
        <f t="shared" si="1077"/>
        <v>0</v>
      </c>
      <c r="CN194" s="529">
        <f t="shared" si="1078"/>
        <v>0</v>
      </c>
      <c r="CO194" s="529">
        <f t="shared" si="1079"/>
        <v>0</v>
      </c>
      <c r="CP194" s="529">
        <f t="shared" si="1083"/>
        <v>0</v>
      </c>
      <c r="CQ194" s="529">
        <f t="shared" si="1084"/>
        <v>0</v>
      </c>
      <c r="CR194" s="529">
        <f t="shared" si="1085"/>
        <v>0</v>
      </c>
    </row>
    <row r="195" spans="1:96" x14ac:dyDescent="0.2">
      <c r="A195" s="763"/>
      <c r="B195" s="537" t="str">
        <f t="shared" ref="B195:B196" si="1105">+B188</f>
        <v>NPK 13-13-21</v>
      </c>
      <c r="C195" s="538"/>
      <c r="D195" s="607"/>
      <c r="E195" s="539"/>
      <c r="F195" s="538"/>
      <c r="G195" s="607"/>
      <c r="H195" s="539"/>
      <c r="I195" s="538"/>
      <c r="J195" s="607"/>
      <c r="K195" s="539"/>
      <c r="L195" s="538"/>
      <c r="M195" s="607"/>
      <c r="N195" s="539"/>
      <c r="O195" s="538"/>
      <c r="P195" s="607"/>
      <c r="Q195" s="539"/>
      <c r="R195" s="538"/>
      <c r="S195" s="607"/>
      <c r="T195" s="539"/>
      <c r="U195" s="538"/>
      <c r="V195" s="637"/>
      <c r="W195" s="539"/>
      <c r="X195" s="538"/>
      <c r="Y195" s="607"/>
      <c r="Z195" s="607"/>
      <c r="AA195" s="538">
        <f>+Assumptions!$I$13*$BC195*1000</f>
        <v>0</v>
      </c>
      <c r="AB195" s="607">
        <f>+AB$318-5</f>
        <v>324</v>
      </c>
      <c r="AC195" s="607">
        <f t="shared" ref="AC195:AC196" si="1106">+AB195*AA195</f>
        <v>0</v>
      </c>
      <c r="AD195" s="538">
        <f>+Assumptions!$J$13*$BC195*1000</f>
        <v>0</v>
      </c>
      <c r="AE195" s="607">
        <f>+AE$318-5</f>
        <v>334</v>
      </c>
      <c r="AF195" s="607">
        <f t="shared" ref="AF195:AF196" si="1107">+AE195*AD195</f>
        <v>0</v>
      </c>
      <c r="AG195" s="538">
        <f>+Assumptions!$K$13*$BC195*1000</f>
        <v>0</v>
      </c>
      <c r="AH195" s="607">
        <f>+AH$318-5</f>
        <v>344</v>
      </c>
      <c r="AI195" s="607">
        <f t="shared" ref="AI195:AI196" si="1108">+AH195*AG195</f>
        <v>0</v>
      </c>
      <c r="AJ195" s="538">
        <f>+Assumptions!$L$13*$BC195*1000</f>
        <v>0</v>
      </c>
      <c r="AK195" s="607">
        <f>+AK$318-5</f>
        <v>354</v>
      </c>
      <c r="AL195" s="607">
        <f t="shared" ref="AL195:AL196" si="1109">+AK195*AJ195</f>
        <v>0</v>
      </c>
      <c r="AM195" s="538">
        <f>+Assumptions!$M$13*$BC195*1000</f>
        <v>0</v>
      </c>
      <c r="AN195" s="607">
        <f>+AN$318-5</f>
        <v>365</v>
      </c>
      <c r="AO195" s="607">
        <f t="shared" ref="AO195:AO196" si="1110">+AN195*AM195</f>
        <v>0</v>
      </c>
      <c r="AP195" s="538">
        <f>+Assumptions!$N$13*$BC195*1000</f>
        <v>0</v>
      </c>
      <c r="AQ195" s="607">
        <f>+AQ$318-5</f>
        <v>376</v>
      </c>
      <c r="AR195" s="607">
        <f t="shared" ref="AR195:AR196" si="1111">+AQ195*AP195</f>
        <v>0</v>
      </c>
      <c r="AS195" s="538">
        <f>+Assumptions!$N$13*$BC195*1000</f>
        <v>0</v>
      </c>
      <c r="AT195" s="607">
        <f>+AT$318-5</f>
        <v>387</v>
      </c>
      <c r="AU195" s="607">
        <f t="shared" si="1102"/>
        <v>0</v>
      </c>
      <c r="AV195" s="538">
        <f>+Assumptions!$N$13*$BC195*1000</f>
        <v>0</v>
      </c>
      <c r="AW195" s="607">
        <f>+AW$318-5</f>
        <v>399</v>
      </c>
      <c r="AX195" s="607">
        <f t="shared" si="1103"/>
        <v>0</v>
      </c>
      <c r="AY195" s="538">
        <f>+Assumptions!$N$13*$BC195*1000</f>
        <v>0</v>
      </c>
      <c r="AZ195" s="607">
        <f>+AZ$318-5</f>
        <v>411</v>
      </c>
      <c r="BA195" s="607">
        <f t="shared" si="1104"/>
        <v>0</v>
      </c>
      <c r="BC195" s="710">
        <v>0</v>
      </c>
      <c r="BJ195" s="529">
        <f t="shared" si="1049"/>
        <v>0</v>
      </c>
      <c r="BK195" s="529">
        <f t="shared" si="1050"/>
        <v>0</v>
      </c>
      <c r="BL195" s="529">
        <f t="shared" si="1051"/>
        <v>0</v>
      </c>
      <c r="BM195" s="529">
        <f t="shared" si="1052"/>
        <v>0</v>
      </c>
      <c r="BN195" s="529">
        <f t="shared" si="1053"/>
        <v>0</v>
      </c>
      <c r="BO195" s="529">
        <f t="shared" si="1054"/>
        <v>0</v>
      </c>
      <c r="BP195" s="529">
        <f t="shared" si="1055"/>
        <v>0</v>
      </c>
      <c r="BQ195" s="529">
        <f t="shared" si="1056"/>
        <v>0</v>
      </c>
      <c r="BR195" s="529">
        <f t="shared" si="1057"/>
        <v>0</v>
      </c>
      <c r="BS195" s="529">
        <f t="shared" si="1058"/>
        <v>0</v>
      </c>
      <c r="BT195" s="529">
        <f t="shared" si="1059"/>
        <v>0</v>
      </c>
      <c r="BU195" s="529">
        <f t="shared" si="1060"/>
        <v>0</v>
      </c>
      <c r="BV195" s="529">
        <f t="shared" si="1061"/>
        <v>0</v>
      </c>
      <c r="BW195" s="529">
        <f t="shared" si="1062"/>
        <v>0</v>
      </c>
      <c r="BX195" s="529">
        <f t="shared" si="1063"/>
        <v>0</v>
      </c>
      <c r="BY195" s="529">
        <f t="shared" si="1064"/>
        <v>0</v>
      </c>
      <c r="BZ195" s="529">
        <f t="shared" si="1065"/>
        <v>0</v>
      </c>
      <c r="CB195" s="529">
        <f t="shared" si="1066"/>
        <v>0</v>
      </c>
      <c r="CC195" s="529">
        <f t="shared" si="1067"/>
        <v>0</v>
      </c>
      <c r="CD195" s="529">
        <f t="shared" si="1068"/>
        <v>0</v>
      </c>
      <c r="CE195" s="529">
        <f t="shared" si="1069"/>
        <v>0</v>
      </c>
      <c r="CF195" s="529">
        <f t="shared" si="1070"/>
        <v>0</v>
      </c>
      <c r="CG195" s="529">
        <f t="shared" si="1071"/>
        <v>0</v>
      </c>
      <c r="CH195" s="529">
        <f t="shared" si="1072"/>
        <v>0</v>
      </c>
      <c r="CI195" s="529">
        <f t="shared" si="1073"/>
        <v>0</v>
      </c>
      <c r="CJ195" s="529">
        <f t="shared" si="1074"/>
        <v>0</v>
      </c>
      <c r="CK195" s="529">
        <f t="shared" si="1075"/>
        <v>0</v>
      </c>
      <c r="CL195" s="529">
        <f t="shared" si="1076"/>
        <v>0</v>
      </c>
      <c r="CM195" s="529">
        <f t="shared" si="1077"/>
        <v>0</v>
      </c>
      <c r="CN195" s="529">
        <f t="shared" si="1078"/>
        <v>0</v>
      </c>
      <c r="CO195" s="529">
        <f t="shared" si="1079"/>
        <v>0</v>
      </c>
      <c r="CP195" s="529">
        <f t="shared" si="1083"/>
        <v>0</v>
      </c>
      <c r="CQ195" s="529">
        <f t="shared" si="1084"/>
        <v>0</v>
      </c>
      <c r="CR195" s="529">
        <f t="shared" si="1085"/>
        <v>0</v>
      </c>
    </row>
    <row r="196" spans="1:96" x14ac:dyDescent="0.2">
      <c r="A196" s="763"/>
      <c r="B196" s="537" t="str">
        <f t="shared" si="1105"/>
        <v>NPK 00-00-00</v>
      </c>
      <c r="C196" s="538"/>
      <c r="D196" s="607"/>
      <c r="E196" s="539"/>
      <c r="F196" s="538"/>
      <c r="G196" s="607"/>
      <c r="H196" s="539"/>
      <c r="I196" s="538"/>
      <c r="J196" s="607"/>
      <c r="K196" s="539"/>
      <c r="L196" s="538"/>
      <c r="M196" s="607"/>
      <c r="N196" s="539"/>
      <c r="O196" s="538"/>
      <c r="P196" s="607"/>
      <c r="Q196" s="539"/>
      <c r="R196" s="538"/>
      <c r="S196" s="607"/>
      <c r="T196" s="539"/>
      <c r="U196" s="538"/>
      <c r="V196" s="637"/>
      <c r="W196" s="539"/>
      <c r="X196" s="538"/>
      <c r="Y196" s="607"/>
      <c r="Z196" s="607"/>
      <c r="AA196" s="538">
        <f>+Assumptions!$I$13*$BC196*1000</f>
        <v>0</v>
      </c>
      <c r="AB196" s="607">
        <f>+AB$319-5</f>
        <v>-5</v>
      </c>
      <c r="AC196" s="607">
        <f t="shared" si="1106"/>
        <v>0</v>
      </c>
      <c r="AD196" s="538">
        <f>+Assumptions!$J$13*$BC196*1000</f>
        <v>0</v>
      </c>
      <c r="AE196" s="607">
        <f>+AE$319-5</f>
        <v>-5</v>
      </c>
      <c r="AF196" s="607">
        <f t="shared" si="1107"/>
        <v>0</v>
      </c>
      <c r="AG196" s="538">
        <f>+Assumptions!$K$13*$BC196*1000</f>
        <v>0</v>
      </c>
      <c r="AH196" s="607">
        <f>+AH$319-5</f>
        <v>-5</v>
      </c>
      <c r="AI196" s="607">
        <f t="shared" si="1108"/>
        <v>0</v>
      </c>
      <c r="AJ196" s="538">
        <f>+Assumptions!$L$13*$BC196*1000</f>
        <v>0</v>
      </c>
      <c r="AK196" s="607">
        <f>+AK$319-5</f>
        <v>-5</v>
      </c>
      <c r="AL196" s="607">
        <f t="shared" si="1109"/>
        <v>0</v>
      </c>
      <c r="AM196" s="538">
        <f>+Assumptions!$M$13*$BC196*1000</f>
        <v>0</v>
      </c>
      <c r="AN196" s="607">
        <f>+AN$319-5</f>
        <v>-5</v>
      </c>
      <c r="AO196" s="607">
        <f t="shared" si="1110"/>
        <v>0</v>
      </c>
      <c r="AP196" s="538">
        <f>+Assumptions!$N$13*$BC196*1000</f>
        <v>0</v>
      </c>
      <c r="AQ196" s="607">
        <f>+AQ$319-5</f>
        <v>-5</v>
      </c>
      <c r="AR196" s="607">
        <f t="shared" si="1111"/>
        <v>0</v>
      </c>
      <c r="AS196" s="538">
        <f>+Assumptions!$N$13*$BC196*1000</f>
        <v>0</v>
      </c>
      <c r="AT196" s="607">
        <f>+AT$319-5</f>
        <v>-5</v>
      </c>
      <c r="AU196" s="607">
        <f t="shared" si="1102"/>
        <v>0</v>
      </c>
      <c r="AV196" s="538">
        <f>+Assumptions!$N$13*$BC196*1000</f>
        <v>0</v>
      </c>
      <c r="AW196" s="607">
        <f>+AW$319-5</f>
        <v>-5</v>
      </c>
      <c r="AX196" s="607">
        <f t="shared" si="1103"/>
        <v>0</v>
      </c>
      <c r="AY196" s="538">
        <f>+Assumptions!$N$13*$BC196*1000</f>
        <v>0</v>
      </c>
      <c r="AZ196" s="607">
        <f>+AZ$319-5</f>
        <v>-5</v>
      </c>
      <c r="BA196" s="607">
        <f t="shared" si="1104"/>
        <v>0</v>
      </c>
      <c r="BC196" s="710">
        <v>0</v>
      </c>
      <c r="BJ196" s="529">
        <f t="shared" si="1049"/>
        <v>0</v>
      </c>
      <c r="BK196" s="529">
        <f t="shared" si="1050"/>
        <v>0</v>
      </c>
      <c r="BL196" s="529">
        <f t="shared" si="1051"/>
        <v>0</v>
      </c>
      <c r="BM196" s="529">
        <f t="shared" si="1052"/>
        <v>0</v>
      </c>
      <c r="BN196" s="529">
        <f t="shared" si="1053"/>
        <v>0</v>
      </c>
      <c r="BO196" s="529">
        <f t="shared" si="1054"/>
        <v>0</v>
      </c>
      <c r="BP196" s="529">
        <f t="shared" si="1055"/>
        <v>0</v>
      </c>
      <c r="BQ196" s="529">
        <f t="shared" si="1056"/>
        <v>0</v>
      </c>
      <c r="BR196" s="529">
        <f t="shared" si="1057"/>
        <v>0</v>
      </c>
      <c r="BS196" s="529">
        <f t="shared" si="1058"/>
        <v>0</v>
      </c>
      <c r="BT196" s="529">
        <f t="shared" si="1059"/>
        <v>0</v>
      </c>
      <c r="BU196" s="529">
        <f t="shared" si="1060"/>
        <v>0</v>
      </c>
      <c r="BV196" s="529">
        <f t="shared" si="1061"/>
        <v>0</v>
      </c>
      <c r="BW196" s="529">
        <f t="shared" si="1062"/>
        <v>0</v>
      </c>
      <c r="BX196" s="529">
        <f t="shared" si="1063"/>
        <v>0</v>
      </c>
      <c r="BY196" s="529">
        <f t="shared" si="1064"/>
        <v>0</v>
      </c>
      <c r="BZ196" s="529">
        <f t="shared" si="1065"/>
        <v>0</v>
      </c>
      <c r="CB196" s="529">
        <f t="shared" si="1066"/>
        <v>0</v>
      </c>
      <c r="CC196" s="529">
        <f t="shared" si="1067"/>
        <v>0</v>
      </c>
      <c r="CD196" s="529">
        <f t="shared" si="1068"/>
        <v>0</v>
      </c>
      <c r="CE196" s="529">
        <f t="shared" si="1069"/>
        <v>0</v>
      </c>
      <c r="CF196" s="529">
        <f t="shared" si="1070"/>
        <v>0</v>
      </c>
      <c r="CG196" s="529">
        <f t="shared" si="1071"/>
        <v>0</v>
      </c>
      <c r="CH196" s="529">
        <f t="shared" si="1072"/>
        <v>0</v>
      </c>
      <c r="CI196" s="529">
        <f t="shared" si="1073"/>
        <v>0</v>
      </c>
      <c r="CJ196" s="529">
        <f t="shared" si="1074"/>
        <v>0</v>
      </c>
      <c r="CK196" s="529">
        <f t="shared" si="1075"/>
        <v>0</v>
      </c>
      <c r="CL196" s="529">
        <f t="shared" si="1076"/>
        <v>0</v>
      </c>
      <c r="CM196" s="529">
        <f t="shared" si="1077"/>
        <v>0</v>
      </c>
      <c r="CN196" s="529">
        <f t="shared" si="1078"/>
        <v>0</v>
      </c>
      <c r="CO196" s="529">
        <f t="shared" si="1079"/>
        <v>0</v>
      </c>
      <c r="CP196" s="529">
        <f t="shared" si="1083"/>
        <v>0</v>
      </c>
      <c r="CQ196" s="529">
        <f t="shared" si="1084"/>
        <v>0</v>
      </c>
      <c r="CR196" s="529">
        <f t="shared" si="1085"/>
        <v>0</v>
      </c>
    </row>
    <row r="197" spans="1:96" x14ac:dyDescent="0.2">
      <c r="A197" s="765"/>
      <c r="B197" s="611"/>
      <c r="C197" s="543"/>
      <c r="D197" s="609"/>
      <c r="E197" s="544"/>
      <c r="F197" s="543"/>
      <c r="G197" s="609"/>
      <c r="H197" s="544"/>
      <c r="I197" s="543"/>
      <c r="J197" s="609"/>
      <c r="K197" s="544"/>
      <c r="L197" s="543"/>
      <c r="M197" s="609"/>
      <c r="N197" s="544"/>
      <c r="O197" s="543"/>
      <c r="P197" s="609"/>
      <c r="Q197" s="544"/>
      <c r="R197" s="543"/>
      <c r="S197" s="609"/>
      <c r="T197" s="544"/>
      <c r="U197" s="543"/>
      <c r="V197" s="638"/>
      <c r="W197" s="544"/>
      <c r="X197" s="543"/>
      <c r="Y197" s="609"/>
      <c r="Z197" s="609"/>
      <c r="AA197" s="543"/>
      <c r="AB197" s="609"/>
      <c r="AC197" s="609"/>
      <c r="AD197" s="543"/>
      <c r="AE197" s="609"/>
      <c r="AF197" s="609"/>
      <c r="AG197" s="543"/>
      <c r="AH197" s="609"/>
      <c r="AI197" s="609"/>
      <c r="AJ197" s="543"/>
      <c r="AK197" s="609"/>
      <c r="AL197" s="609"/>
      <c r="AM197" s="543"/>
      <c r="AN197" s="609"/>
      <c r="AO197" s="609"/>
      <c r="AP197" s="543"/>
      <c r="AQ197" s="609"/>
      <c r="AR197" s="609"/>
      <c r="AS197" s="543"/>
      <c r="AT197" s="609"/>
      <c r="AU197" s="609"/>
      <c r="AV197" s="543"/>
      <c r="AW197" s="609"/>
      <c r="AX197" s="609"/>
      <c r="AY197" s="543"/>
      <c r="AZ197" s="609"/>
      <c r="BA197" s="609"/>
      <c r="BC197" s="710" t="e">
        <v>#N/A</v>
      </c>
      <c r="BJ197" s="529">
        <f t="shared" si="1049"/>
        <v>0</v>
      </c>
      <c r="BK197" s="529">
        <f t="shared" si="1050"/>
        <v>0</v>
      </c>
      <c r="BL197" s="529">
        <f t="shared" si="1051"/>
        <v>0</v>
      </c>
      <c r="BM197" s="529">
        <f t="shared" si="1052"/>
        <v>0</v>
      </c>
      <c r="BN197" s="529">
        <f t="shared" si="1053"/>
        <v>0</v>
      </c>
      <c r="BO197" s="529">
        <f t="shared" si="1054"/>
        <v>0</v>
      </c>
      <c r="BP197" s="529">
        <f t="shared" si="1055"/>
        <v>0</v>
      </c>
      <c r="BQ197" s="529">
        <f t="shared" si="1056"/>
        <v>0</v>
      </c>
      <c r="BR197" s="529">
        <f t="shared" si="1057"/>
        <v>0</v>
      </c>
      <c r="BS197" s="529">
        <f t="shared" si="1058"/>
        <v>0</v>
      </c>
      <c r="BT197" s="529">
        <f t="shared" si="1059"/>
        <v>0</v>
      </c>
      <c r="BU197" s="529">
        <f t="shared" si="1060"/>
        <v>0</v>
      </c>
      <c r="BV197" s="529">
        <f t="shared" si="1061"/>
        <v>0</v>
      </c>
      <c r="BW197" s="529">
        <f t="shared" si="1062"/>
        <v>0</v>
      </c>
      <c r="BX197" s="529">
        <f t="shared" si="1063"/>
        <v>0</v>
      </c>
      <c r="BY197" s="529">
        <f t="shared" si="1064"/>
        <v>0</v>
      </c>
      <c r="BZ197" s="529">
        <f t="shared" si="1065"/>
        <v>0</v>
      </c>
      <c r="CB197" s="529">
        <f t="shared" si="1066"/>
        <v>0</v>
      </c>
      <c r="CC197" s="529">
        <f t="shared" si="1067"/>
        <v>0</v>
      </c>
      <c r="CD197" s="529">
        <f t="shared" si="1068"/>
        <v>0</v>
      </c>
      <c r="CE197" s="529">
        <f t="shared" si="1069"/>
        <v>0</v>
      </c>
      <c r="CF197" s="529">
        <f t="shared" si="1070"/>
        <v>0</v>
      </c>
      <c r="CG197" s="529">
        <f t="shared" si="1071"/>
        <v>0</v>
      </c>
      <c r="CH197" s="529">
        <f t="shared" si="1072"/>
        <v>0</v>
      </c>
      <c r="CI197" s="529">
        <f t="shared" si="1073"/>
        <v>0</v>
      </c>
      <c r="CJ197" s="529">
        <f t="shared" si="1074"/>
        <v>0</v>
      </c>
      <c r="CK197" s="529">
        <f t="shared" si="1075"/>
        <v>0</v>
      </c>
      <c r="CL197" s="529">
        <f t="shared" si="1076"/>
        <v>0</v>
      </c>
      <c r="CM197" s="529">
        <f t="shared" si="1077"/>
        <v>0</v>
      </c>
      <c r="CN197" s="529">
        <f t="shared" si="1078"/>
        <v>0</v>
      </c>
      <c r="CO197" s="529">
        <f t="shared" si="1079"/>
        <v>0</v>
      </c>
      <c r="CP197" s="529">
        <f t="shared" si="1083"/>
        <v>0</v>
      </c>
      <c r="CQ197" s="529">
        <f t="shared" si="1084"/>
        <v>0</v>
      </c>
      <c r="CR197" s="529">
        <f t="shared" si="1085"/>
        <v>0</v>
      </c>
    </row>
    <row r="198" spans="1:96" x14ac:dyDescent="0.2">
      <c r="A198" s="762" t="s">
        <v>733</v>
      </c>
      <c r="B198" s="610" t="str">
        <f>+B191</f>
        <v>NPK 15-15-15</v>
      </c>
      <c r="C198" s="605"/>
      <c r="D198" s="603"/>
      <c r="E198" s="604"/>
      <c r="F198" s="605"/>
      <c r="G198" s="603"/>
      <c r="H198" s="604"/>
      <c r="I198" s="605"/>
      <c r="J198" s="603"/>
      <c r="K198" s="604"/>
      <c r="L198" s="605"/>
      <c r="M198" s="603"/>
      <c r="N198" s="604"/>
      <c r="O198" s="605"/>
      <c r="P198" s="603"/>
      <c r="Q198" s="604"/>
      <c r="R198" s="605"/>
      <c r="S198" s="603"/>
      <c r="T198" s="604"/>
      <c r="U198" s="605"/>
      <c r="V198" s="636"/>
      <c r="W198" s="604"/>
      <c r="X198" s="605"/>
      <c r="Y198" s="603"/>
      <c r="Z198" s="603"/>
      <c r="AA198" s="605">
        <f>+Assumptions!$I$13*$BC198*1000</f>
        <v>0</v>
      </c>
      <c r="AB198" s="603">
        <f>+AB$314+8</f>
        <v>323</v>
      </c>
      <c r="AC198" s="603">
        <f t="shared" si="1086"/>
        <v>0</v>
      </c>
      <c r="AD198" s="605">
        <f>+Assumptions!$J$13*$BC198*1000</f>
        <v>0</v>
      </c>
      <c r="AE198" s="603">
        <f>+AE$314+8</f>
        <v>332</v>
      </c>
      <c r="AF198" s="603">
        <f t="shared" si="1087"/>
        <v>0</v>
      </c>
      <c r="AG198" s="605">
        <f>+Assumptions!$K$13*$BC198*1000</f>
        <v>0</v>
      </c>
      <c r="AH198" s="603">
        <f>+AH$314+8</f>
        <v>342</v>
      </c>
      <c r="AI198" s="603">
        <f t="shared" si="1088"/>
        <v>0</v>
      </c>
      <c r="AJ198" s="605">
        <f>+Assumptions!$L$13*$BC198*1000</f>
        <v>0</v>
      </c>
      <c r="AK198" s="603">
        <f>+AK$314+8</f>
        <v>352</v>
      </c>
      <c r="AL198" s="603">
        <f t="shared" si="1089"/>
        <v>0</v>
      </c>
      <c r="AM198" s="605">
        <f>+Assumptions!$M$13*$BC198*1000</f>
        <v>0</v>
      </c>
      <c r="AN198" s="603">
        <f>+AN$314+8</f>
        <v>362</v>
      </c>
      <c r="AO198" s="603">
        <f t="shared" si="1090"/>
        <v>0</v>
      </c>
      <c r="AP198" s="605">
        <f>+Assumptions!$N$13*$BC198*1000</f>
        <v>0</v>
      </c>
      <c r="AQ198" s="603">
        <f>+AQ$314+8</f>
        <v>373</v>
      </c>
      <c r="AR198" s="603">
        <f t="shared" si="1091"/>
        <v>0</v>
      </c>
      <c r="AS198" s="605">
        <f>+Assumptions!$N$13*$BC198*1000</f>
        <v>0</v>
      </c>
      <c r="AT198" s="603">
        <f>+AT$314+8</f>
        <v>384</v>
      </c>
      <c r="AU198" s="603">
        <f t="shared" ref="AU198:AU203" si="1112">+AT198*AS198</f>
        <v>0</v>
      </c>
      <c r="AV198" s="605">
        <f>+Assumptions!$N$13*$BC198*1000</f>
        <v>0</v>
      </c>
      <c r="AW198" s="603">
        <f>+AW$314+8</f>
        <v>395</v>
      </c>
      <c r="AX198" s="603">
        <f t="shared" ref="AX198:AX203" si="1113">+AW198*AV198</f>
        <v>0</v>
      </c>
      <c r="AY198" s="605">
        <f>+Assumptions!$N$13*$BC198*1000</f>
        <v>0</v>
      </c>
      <c r="AZ198" s="603">
        <f>+AZ$314+8</f>
        <v>407</v>
      </c>
      <c r="BA198" s="603">
        <f t="shared" ref="BA198:BA203" si="1114">+AZ198*AY198</f>
        <v>0</v>
      </c>
      <c r="BC198" s="710">
        <v>0</v>
      </c>
      <c r="BJ198" s="529">
        <f t="shared" si="1049"/>
        <v>0</v>
      </c>
      <c r="BK198" s="529">
        <f t="shared" si="1050"/>
        <v>0</v>
      </c>
      <c r="BL198" s="529">
        <f t="shared" si="1051"/>
        <v>0</v>
      </c>
      <c r="BM198" s="529">
        <f t="shared" si="1052"/>
        <v>0</v>
      </c>
      <c r="BN198" s="529">
        <f t="shared" si="1053"/>
        <v>0</v>
      </c>
      <c r="BO198" s="529">
        <f t="shared" si="1054"/>
        <v>0</v>
      </c>
      <c r="BP198" s="529">
        <f t="shared" si="1055"/>
        <v>0</v>
      </c>
      <c r="BQ198" s="529">
        <f t="shared" si="1056"/>
        <v>0</v>
      </c>
      <c r="BR198" s="529">
        <f t="shared" si="1057"/>
        <v>0</v>
      </c>
      <c r="BS198" s="529">
        <f t="shared" si="1058"/>
        <v>0</v>
      </c>
      <c r="BT198" s="529">
        <f t="shared" si="1059"/>
        <v>0</v>
      </c>
      <c r="BU198" s="529">
        <f t="shared" si="1060"/>
        <v>0</v>
      </c>
      <c r="BV198" s="529">
        <f t="shared" si="1061"/>
        <v>0</v>
      </c>
      <c r="BW198" s="529">
        <f t="shared" si="1062"/>
        <v>0</v>
      </c>
      <c r="BX198" s="529">
        <f t="shared" si="1063"/>
        <v>0</v>
      </c>
      <c r="BY198" s="529">
        <f t="shared" si="1064"/>
        <v>0</v>
      </c>
      <c r="BZ198" s="529">
        <f t="shared" si="1065"/>
        <v>0</v>
      </c>
      <c r="CB198" s="529">
        <f t="shared" si="1066"/>
        <v>0</v>
      </c>
      <c r="CC198" s="529">
        <f t="shared" si="1067"/>
        <v>0</v>
      </c>
      <c r="CD198" s="529">
        <f t="shared" si="1068"/>
        <v>0</v>
      </c>
      <c r="CE198" s="529">
        <f t="shared" si="1069"/>
        <v>0</v>
      </c>
      <c r="CF198" s="529">
        <f t="shared" si="1070"/>
        <v>0</v>
      </c>
      <c r="CG198" s="529">
        <f t="shared" si="1071"/>
        <v>0</v>
      </c>
      <c r="CH198" s="529">
        <f t="shared" si="1072"/>
        <v>0</v>
      </c>
      <c r="CI198" s="529">
        <f t="shared" si="1073"/>
        <v>0</v>
      </c>
      <c r="CJ198" s="529">
        <f t="shared" si="1074"/>
        <v>0</v>
      </c>
      <c r="CK198" s="529">
        <f t="shared" si="1075"/>
        <v>0</v>
      </c>
      <c r="CL198" s="529">
        <f t="shared" si="1076"/>
        <v>0</v>
      </c>
      <c r="CM198" s="529">
        <f t="shared" si="1077"/>
        <v>0</v>
      </c>
      <c r="CN198" s="529">
        <f t="shared" si="1078"/>
        <v>0</v>
      </c>
      <c r="CO198" s="529">
        <f t="shared" si="1079"/>
        <v>0</v>
      </c>
      <c r="CP198" s="529">
        <f t="shared" si="1083"/>
        <v>0</v>
      </c>
      <c r="CQ198" s="529">
        <f t="shared" si="1084"/>
        <v>0</v>
      </c>
      <c r="CR198" s="529">
        <f t="shared" si="1085"/>
        <v>0</v>
      </c>
    </row>
    <row r="199" spans="1:96" x14ac:dyDescent="0.2">
      <c r="A199" s="763"/>
      <c r="B199" s="537" t="str">
        <f>+B192</f>
        <v>NPK 16-16-16</v>
      </c>
      <c r="C199" s="538"/>
      <c r="D199" s="607"/>
      <c r="E199" s="539"/>
      <c r="F199" s="538"/>
      <c r="G199" s="607"/>
      <c r="H199" s="539"/>
      <c r="I199" s="538"/>
      <c r="J199" s="607"/>
      <c r="K199" s="539"/>
      <c r="L199" s="538"/>
      <c r="M199" s="607"/>
      <c r="N199" s="539"/>
      <c r="O199" s="538"/>
      <c r="P199" s="607"/>
      <c r="Q199" s="539"/>
      <c r="R199" s="538"/>
      <c r="S199" s="607"/>
      <c r="T199" s="539"/>
      <c r="U199" s="538"/>
      <c r="V199" s="637"/>
      <c r="W199" s="539"/>
      <c r="X199" s="538"/>
      <c r="Y199" s="607"/>
      <c r="Z199" s="607"/>
      <c r="AA199" s="538">
        <f>+Assumptions!$I$13*$BC199*1000</f>
        <v>14000</v>
      </c>
      <c r="AB199" s="607">
        <f>+AB$315+8</f>
        <v>345</v>
      </c>
      <c r="AC199" s="607">
        <f t="shared" si="1086"/>
        <v>4830000</v>
      </c>
      <c r="AD199" s="538">
        <f>+Assumptions!$J$13*$BC199*1000</f>
        <v>28000</v>
      </c>
      <c r="AE199" s="607">
        <f>+AE$315+8</f>
        <v>355</v>
      </c>
      <c r="AF199" s="607">
        <f t="shared" si="1087"/>
        <v>9940000</v>
      </c>
      <c r="AG199" s="538">
        <f>+Assumptions!$K$13*$BC199*1000</f>
        <v>28000</v>
      </c>
      <c r="AH199" s="607">
        <f>+AH$315+8</f>
        <v>365</v>
      </c>
      <c r="AI199" s="607">
        <f t="shared" si="1088"/>
        <v>10220000</v>
      </c>
      <c r="AJ199" s="538">
        <f>+Assumptions!$L$13*$BC199*1000</f>
        <v>28000</v>
      </c>
      <c r="AK199" s="607">
        <f>+AK$315+8</f>
        <v>376</v>
      </c>
      <c r="AL199" s="607">
        <f t="shared" si="1089"/>
        <v>10528000</v>
      </c>
      <c r="AM199" s="538">
        <f>+Assumptions!$M$13*$BC199*1000</f>
        <v>28000</v>
      </c>
      <c r="AN199" s="607">
        <f>+AN$315+8</f>
        <v>387</v>
      </c>
      <c r="AO199" s="607">
        <f t="shared" si="1090"/>
        <v>10836000</v>
      </c>
      <c r="AP199" s="538">
        <f>+Assumptions!$N$13*$BC199*1000</f>
        <v>28000</v>
      </c>
      <c r="AQ199" s="607">
        <f>+AQ$315+8</f>
        <v>398</v>
      </c>
      <c r="AR199" s="607">
        <f t="shared" si="1091"/>
        <v>11144000</v>
      </c>
      <c r="AS199" s="538">
        <f>+Assumptions!$N$13*$BC199*1000</f>
        <v>28000</v>
      </c>
      <c r="AT199" s="607">
        <f>+AT$315+8</f>
        <v>410</v>
      </c>
      <c r="AU199" s="607">
        <f t="shared" si="1112"/>
        <v>11480000</v>
      </c>
      <c r="AV199" s="538">
        <f>+Assumptions!$N$13*$BC199*1000</f>
        <v>28000</v>
      </c>
      <c r="AW199" s="607">
        <f>+AW$315+8</f>
        <v>422</v>
      </c>
      <c r="AX199" s="607">
        <f t="shared" si="1113"/>
        <v>11816000</v>
      </c>
      <c r="AY199" s="538">
        <f>+Assumptions!$N$13*$BC199*1000</f>
        <v>28000</v>
      </c>
      <c r="AZ199" s="607">
        <f>+AZ$315+8</f>
        <v>434</v>
      </c>
      <c r="BA199" s="607">
        <f t="shared" si="1114"/>
        <v>12152000</v>
      </c>
      <c r="BC199" s="710">
        <v>0.17499999999999999</v>
      </c>
      <c r="BD199" s="729">
        <v>0.25</v>
      </c>
      <c r="BJ199" s="529">
        <f t="shared" si="1049"/>
        <v>0</v>
      </c>
      <c r="BK199" s="529">
        <f t="shared" si="1050"/>
        <v>0</v>
      </c>
      <c r="BL199" s="529">
        <f t="shared" si="1051"/>
        <v>0</v>
      </c>
      <c r="BM199" s="529">
        <f t="shared" si="1052"/>
        <v>0</v>
      </c>
      <c r="BN199" s="529">
        <f t="shared" si="1053"/>
        <v>0</v>
      </c>
      <c r="BO199" s="529">
        <f t="shared" si="1054"/>
        <v>0</v>
      </c>
      <c r="BP199" s="529">
        <f t="shared" si="1055"/>
        <v>0</v>
      </c>
      <c r="BQ199" s="529">
        <f t="shared" si="1056"/>
        <v>0</v>
      </c>
      <c r="BR199" s="529">
        <f t="shared" si="1057"/>
        <v>4.83</v>
      </c>
      <c r="BS199" s="529">
        <f t="shared" si="1058"/>
        <v>9.94</v>
      </c>
      <c r="BT199" s="529">
        <f t="shared" si="1059"/>
        <v>10.220000000000001</v>
      </c>
      <c r="BU199" s="529">
        <f t="shared" si="1060"/>
        <v>10.528</v>
      </c>
      <c r="BV199" s="529">
        <f t="shared" si="1061"/>
        <v>10.836</v>
      </c>
      <c r="BW199" s="529">
        <f t="shared" si="1062"/>
        <v>11.144</v>
      </c>
      <c r="BX199" s="529">
        <f t="shared" si="1063"/>
        <v>11.48</v>
      </c>
      <c r="BY199" s="529">
        <f t="shared" si="1064"/>
        <v>11.816000000000001</v>
      </c>
      <c r="BZ199" s="529">
        <f t="shared" si="1065"/>
        <v>12.151999999999999</v>
      </c>
      <c r="CB199" s="529">
        <f t="shared" si="1066"/>
        <v>0</v>
      </c>
      <c r="CC199" s="529">
        <f t="shared" si="1067"/>
        <v>0</v>
      </c>
      <c r="CD199" s="529">
        <f t="shared" si="1068"/>
        <v>0</v>
      </c>
      <c r="CE199" s="529">
        <f t="shared" si="1069"/>
        <v>0</v>
      </c>
      <c r="CF199" s="529">
        <f t="shared" si="1070"/>
        <v>0</v>
      </c>
      <c r="CG199" s="529">
        <f t="shared" si="1071"/>
        <v>0</v>
      </c>
      <c r="CH199" s="529">
        <f t="shared" si="1072"/>
        <v>0</v>
      </c>
      <c r="CI199" s="529">
        <f t="shared" si="1073"/>
        <v>0</v>
      </c>
      <c r="CJ199" s="529">
        <f t="shared" si="1074"/>
        <v>14000</v>
      </c>
      <c r="CK199" s="529">
        <f t="shared" si="1075"/>
        <v>28000</v>
      </c>
      <c r="CL199" s="529">
        <f t="shared" si="1076"/>
        <v>28000</v>
      </c>
      <c r="CM199" s="529">
        <f t="shared" si="1077"/>
        <v>28000</v>
      </c>
      <c r="CN199" s="529">
        <f t="shared" si="1078"/>
        <v>28000</v>
      </c>
      <c r="CO199" s="529">
        <f t="shared" si="1079"/>
        <v>28000</v>
      </c>
      <c r="CP199" s="529">
        <f t="shared" si="1083"/>
        <v>28000</v>
      </c>
      <c r="CQ199" s="529">
        <f t="shared" si="1084"/>
        <v>28000</v>
      </c>
      <c r="CR199" s="529">
        <f t="shared" si="1085"/>
        <v>28000</v>
      </c>
    </row>
    <row r="200" spans="1:96" x14ac:dyDescent="0.2">
      <c r="A200" s="764"/>
      <c r="B200" s="537" t="str">
        <f>+B193</f>
        <v>NPK 10-26-26</v>
      </c>
      <c r="C200" s="538"/>
      <c r="D200" s="607"/>
      <c r="E200" s="539"/>
      <c r="F200" s="538"/>
      <c r="G200" s="607"/>
      <c r="H200" s="539"/>
      <c r="I200" s="538"/>
      <c r="J200" s="607"/>
      <c r="K200" s="539"/>
      <c r="L200" s="538"/>
      <c r="M200" s="607"/>
      <c r="N200" s="539"/>
      <c r="O200" s="538"/>
      <c r="P200" s="607"/>
      <c r="Q200" s="539"/>
      <c r="R200" s="538"/>
      <c r="S200" s="607"/>
      <c r="T200" s="539"/>
      <c r="U200" s="538"/>
      <c r="V200" s="637"/>
      <c r="W200" s="539"/>
      <c r="X200" s="538"/>
      <c r="Y200" s="607"/>
      <c r="Z200" s="607"/>
      <c r="AA200" s="538">
        <f>+Assumptions!$I$13*$BC200*1000</f>
        <v>425.00000000000006</v>
      </c>
      <c r="AB200" s="607">
        <f>+AB$316+8</f>
        <v>442</v>
      </c>
      <c r="AC200" s="607">
        <f t="shared" si="1086"/>
        <v>187850.00000000003</v>
      </c>
      <c r="AD200" s="538">
        <f>+Assumptions!$J$13*$BC200*1000</f>
        <v>850.00000000000011</v>
      </c>
      <c r="AE200" s="607">
        <f>+AE$316+8</f>
        <v>455</v>
      </c>
      <c r="AF200" s="607">
        <f t="shared" si="1087"/>
        <v>386750.00000000006</v>
      </c>
      <c r="AG200" s="538">
        <f>+Assumptions!$K$13*$BC200*1000</f>
        <v>850.00000000000011</v>
      </c>
      <c r="AH200" s="607">
        <f>+AH$316+8</f>
        <v>468</v>
      </c>
      <c r="AI200" s="607">
        <f t="shared" si="1088"/>
        <v>397800.00000000006</v>
      </c>
      <c r="AJ200" s="538">
        <f>+Assumptions!$L$13*$BC200*1000</f>
        <v>850.00000000000011</v>
      </c>
      <c r="AK200" s="607">
        <f>+AK$316+8</f>
        <v>482</v>
      </c>
      <c r="AL200" s="607">
        <f t="shared" si="1089"/>
        <v>409700.00000000006</v>
      </c>
      <c r="AM200" s="538">
        <f>+Assumptions!$M$13*$BC200*1000</f>
        <v>850.00000000000011</v>
      </c>
      <c r="AN200" s="607">
        <f>+AN$316+8</f>
        <v>496</v>
      </c>
      <c r="AO200" s="607">
        <f t="shared" si="1090"/>
        <v>421600.00000000006</v>
      </c>
      <c r="AP200" s="538">
        <f>+Assumptions!$N$13*$BC200*1000</f>
        <v>850.00000000000011</v>
      </c>
      <c r="AQ200" s="607">
        <f>+AQ$316+8</f>
        <v>511</v>
      </c>
      <c r="AR200" s="607">
        <f t="shared" si="1091"/>
        <v>434350.00000000006</v>
      </c>
      <c r="AS200" s="538">
        <f>+Assumptions!$N$13*$BC200*1000</f>
        <v>850.00000000000011</v>
      </c>
      <c r="AT200" s="607">
        <f>+AT$316+8</f>
        <v>526</v>
      </c>
      <c r="AU200" s="607">
        <f t="shared" si="1112"/>
        <v>447100.00000000006</v>
      </c>
      <c r="AV200" s="538">
        <f>+Assumptions!$N$13*$BC200*1000</f>
        <v>850.00000000000011</v>
      </c>
      <c r="AW200" s="607">
        <f>+AW$316+8</f>
        <v>542</v>
      </c>
      <c r="AX200" s="607">
        <f t="shared" si="1113"/>
        <v>460700.00000000006</v>
      </c>
      <c r="AY200" s="538">
        <f>+Assumptions!$N$13*$BC200*1000</f>
        <v>850.00000000000011</v>
      </c>
      <c r="AZ200" s="607">
        <f>+AZ$316+8</f>
        <v>558</v>
      </c>
      <c r="BA200" s="607">
        <f t="shared" si="1114"/>
        <v>474300.00000000006</v>
      </c>
      <c r="BC200" s="710">
        <v>5.3125000000000004E-3</v>
      </c>
      <c r="BD200" s="729">
        <v>0.05</v>
      </c>
      <c r="BJ200" s="529">
        <f t="shared" si="1049"/>
        <v>0</v>
      </c>
      <c r="BK200" s="529">
        <f t="shared" si="1050"/>
        <v>0</v>
      </c>
      <c r="BL200" s="529">
        <f t="shared" si="1051"/>
        <v>0</v>
      </c>
      <c r="BM200" s="529">
        <f t="shared" si="1052"/>
        <v>0</v>
      </c>
      <c r="BN200" s="529">
        <f t="shared" si="1053"/>
        <v>0</v>
      </c>
      <c r="BO200" s="529">
        <f t="shared" si="1054"/>
        <v>0</v>
      </c>
      <c r="BP200" s="529">
        <f t="shared" si="1055"/>
        <v>0</v>
      </c>
      <c r="BQ200" s="529">
        <f t="shared" si="1056"/>
        <v>0</v>
      </c>
      <c r="BR200" s="529">
        <f t="shared" si="1057"/>
        <v>0.18785000000000002</v>
      </c>
      <c r="BS200" s="529">
        <f t="shared" si="1058"/>
        <v>0.38675000000000004</v>
      </c>
      <c r="BT200" s="529">
        <f t="shared" si="1059"/>
        <v>0.39780000000000004</v>
      </c>
      <c r="BU200" s="529">
        <f t="shared" si="1060"/>
        <v>0.40970000000000006</v>
      </c>
      <c r="BV200" s="529">
        <f t="shared" si="1061"/>
        <v>0.42160000000000009</v>
      </c>
      <c r="BW200" s="529">
        <f t="shared" si="1062"/>
        <v>0.43435000000000007</v>
      </c>
      <c r="BX200" s="529">
        <f t="shared" si="1063"/>
        <v>0.44710000000000005</v>
      </c>
      <c r="BY200" s="529">
        <f t="shared" si="1064"/>
        <v>0.46070000000000005</v>
      </c>
      <c r="BZ200" s="529">
        <f t="shared" si="1065"/>
        <v>0.47430000000000005</v>
      </c>
      <c r="CB200" s="529">
        <f t="shared" si="1066"/>
        <v>0</v>
      </c>
      <c r="CC200" s="529">
        <f t="shared" si="1067"/>
        <v>0</v>
      </c>
      <c r="CD200" s="529">
        <f t="shared" si="1068"/>
        <v>0</v>
      </c>
      <c r="CE200" s="529">
        <f t="shared" si="1069"/>
        <v>0</v>
      </c>
      <c r="CF200" s="529">
        <f t="shared" si="1070"/>
        <v>0</v>
      </c>
      <c r="CG200" s="529">
        <f t="shared" si="1071"/>
        <v>0</v>
      </c>
      <c r="CH200" s="529">
        <f t="shared" si="1072"/>
        <v>0</v>
      </c>
      <c r="CI200" s="529">
        <f t="shared" si="1073"/>
        <v>0</v>
      </c>
      <c r="CJ200" s="529">
        <f t="shared" si="1074"/>
        <v>425.00000000000006</v>
      </c>
      <c r="CK200" s="529">
        <f t="shared" si="1075"/>
        <v>850.00000000000011</v>
      </c>
      <c r="CL200" s="529">
        <f t="shared" si="1076"/>
        <v>850.00000000000011</v>
      </c>
      <c r="CM200" s="529">
        <f t="shared" si="1077"/>
        <v>850.00000000000011</v>
      </c>
      <c r="CN200" s="529">
        <f t="shared" si="1078"/>
        <v>850.00000000000011</v>
      </c>
      <c r="CO200" s="529">
        <f t="shared" si="1079"/>
        <v>850.00000000000011</v>
      </c>
      <c r="CP200" s="529">
        <f t="shared" si="1083"/>
        <v>850.00000000000011</v>
      </c>
      <c r="CQ200" s="529">
        <f t="shared" si="1084"/>
        <v>850.00000000000011</v>
      </c>
      <c r="CR200" s="529">
        <f t="shared" si="1085"/>
        <v>850.00000000000011</v>
      </c>
    </row>
    <row r="201" spans="1:96" x14ac:dyDescent="0.2">
      <c r="A201" s="763"/>
      <c r="B201" s="537" t="str">
        <f>+B194</f>
        <v>NPK 10-20-20</v>
      </c>
      <c r="C201" s="538"/>
      <c r="D201" s="607"/>
      <c r="E201" s="539"/>
      <c r="F201" s="538"/>
      <c r="G201" s="607"/>
      <c r="H201" s="539"/>
      <c r="I201" s="538"/>
      <c r="J201" s="607"/>
      <c r="K201" s="539"/>
      <c r="L201" s="538"/>
      <c r="M201" s="607"/>
      <c r="N201" s="539"/>
      <c r="O201" s="538"/>
      <c r="P201" s="607"/>
      <c r="Q201" s="539"/>
      <c r="R201" s="538"/>
      <c r="S201" s="607"/>
      <c r="T201" s="539"/>
      <c r="U201" s="538"/>
      <c r="V201" s="637"/>
      <c r="W201" s="539"/>
      <c r="X201" s="538"/>
      <c r="Y201" s="607"/>
      <c r="Z201" s="607"/>
      <c r="AA201" s="538">
        <f>+Assumptions!$I$13*$BC201*1000</f>
        <v>0</v>
      </c>
      <c r="AB201" s="607">
        <f>+AB$317+8</f>
        <v>358</v>
      </c>
      <c r="AC201" s="607">
        <f t="shared" si="1086"/>
        <v>0</v>
      </c>
      <c r="AD201" s="538">
        <f>+Assumptions!$J$13*$BC201*1000</f>
        <v>0</v>
      </c>
      <c r="AE201" s="607">
        <f>+AE$317+8</f>
        <v>369</v>
      </c>
      <c r="AF201" s="607">
        <f t="shared" si="1087"/>
        <v>0</v>
      </c>
      <c r="AG201" s="538">
        <f>+Assumptions!$K$13*$BC201*1000</f>
        <v>0</v>
      </c>
      <c r="AH201" s="607">
        <f>+AH$317+8</f>
        <v>380</v>
      </c>
      <c r="AI201" s="607">
        <f t="shared" si="1088"/>
        <v>0</v>
      </c>
      <c r="AJ201" s="538">
        <f>+Assumptions!$L$13*$BC201*1000</f>
        <v>0</v>
      </c>
      <c r="AK201" s="607">
        <f>+AK$317+8</f>
        <v>391</v>
      </c>
      <c r="AL201" s="607">
        <f t="shared" si="1089"/>
        <v>0</v>
      </c>
      <c r="AM201" s="538">
        <f>+Assumptions!$M$13*$BC201*1000</f>
        <v>0</v>
      </c>
      <c r="AN201" s="607">
        <f>+AN$317+8</f>
        <v>402</v>
      </c>
      <c r="AO201" s="607">
        <f t="shared" si="1090"/>
        <v>0</v>
      </c>
      <c r="AP201" s="538">
        <f>+Assumptions!$N$13*$BC201*1000</f>
        <v>0</v>
      </c>
      <c r="AQ201" s="607">
        <f>+AQ$317+8</f>
        <v>414</v>
      </c>
      <c r="AR201" s="607">
        <f t="shared" si="1091"/>
        <v>0</v>
      </c>
      <c r="AS201" s="538">
        <f>+Assumptions!$N$13*$BC201*1000</f>
        <v>0</v>
      </c>
      <c r="AT201" s="607">
        <f>+AT$317+8</f>
        <v>426</v>
      </c>
      <c r="AU201" s="607">
        <f t="shared" si="1112"/>
        <v>0</v>
      </c>
      <c r="AV201" s="538">
        <f>+Assumptions!$N$13*$BC201*1000</f>
        <v>0</v>
      </c>
      <c r="AW201" s="607">
        <f>+AW$317+8</f>
        <v>439</v>
      </c>
      <c r="AX201" s="607">
        <f t="shared" si="1113"/>
        <v>0</v>
      </c>
      <c r="AY201" s="538">
        <f>+Assumptions!$N$13*$BC201*1000</f>
        <v>0</v>
      </c>
      <c r="AZ201" s="607">
        <f>+AZ$317+8</f>
        <v>452</v>
      </c>
      <c r="BA201" s="607">
        <f t="shared" si="1114"/>
        <v>0</v>
      </c>
      <c r="BC201" s="710">
        <v>0</v>
      </c>
      <c r="BJ201" s="529">
        <f t="shared" si="1049"/>
        <v>0</v>
      </c>
      <c r="BK201" s="529">
        <f t="shared" si="1050"/>
        <v>0</v>
      </c>
      <c r="BL201" s="529">
        <f t="shared" si="1051"/>
        <v>0</v>
      </c>
      <c r="BM201" s="529">
        <f t="shared" si="1052"/>
        <v>0</v>
      </c>
      <c r="BN201" s="529">
        <f t="shared" si="1053"/>
        <v>0</v>
      </c>
      <c r="BO201" s="529">
        <f t="shared" si="1054"/>
        <v>0</v>
      </c>
      <c r="BP201" s="529">
        <f t="shared" si="1055"/>
        <v>0</v>
      </c>
      <c r="BQ201" s="529">
        <f t="shared" si="1056"/>
        <v>0</v>
      </c>
      <c r="BR201" s="529">
        <f t="shared" si="1057"/>
        <v>0</v>
      </c>
      <c r="BS201" s="529">
        <f t="shared" si="1058"/>
        <v>0</v>
      </c>
      <c r="BT201" s="529">
        <f t="shared" si="1059"/>
        <v>0</v>
      </c>
      <c r="BU201" s="529">
        <f t="shared" si="1060"/>
        <v>0</v>
      </c>
      <c r="BV201" s="529">
        <f t="shared" si="1061"/>
        <v>0</v>
      </c>
      <c r="BW201" s="529">
        <f t="shared" si="1062"/>
        <v>0</v>
      </c>
      <c r="BX201" s="529">
        <f t="shared" si="1063"/>
        <v>0</v>
      </c>
      <c r="BY201" s="529">
        <f t="shared" si="1064"/>
        <v>0</v>
      </c>
      <c r="BZ201" s="529">
        <f t="shared" si="1065"/>
        <v>0</v>
      </c>
      <c r="CB201" s="529">
        <f t="shared" si="1066"/>
        <v>0</v>
      </c>
      <c r="CC201" s="529">
        <f t="shared" si="1067"/>
        <v>0</v>
      </c>
      <c r="CD201" s="529">
        <f t="shared" si="1068"/>
        <v>0</v>
      </c>
      <c r="CE201" s="529">
        <f t="shared" si="1069"/>
        <v>0</v>
      </c>
      <c r="CF201" s="529">
        <f t="shared" si="1070"/>
        <v>0</v>
      </c>
      <c r="CG201" s="529">
        <f t="shared" si="1071"/>
        <v>0</v>
      </c>
      <c r="CH201" s="529">
        <f t="shared" si="1072"/>
        <v>0</v>
      </c>
      <c r="CI201" s="529">
        <f t="shared" si="1073"/>
        <v>0</v>
      </c>
      <c r="CJ201" s="529">
        <f t="shared" si="1074"/>
        <v>0</v>
      </c>
      <c r="CK201" s="529">
        <f t="shared" si="1075"/>
        <v>0</v>
      </c>
      <c r="CL201" s="529">
        <f t="shared" si="1076"/>
        <v>0</v>
      </c>
      <c r="CM201" s="529">
        <f t="shared" si="1077"/>
        <v>0</v>
      </c>
      <c r="CN201" s="529">
        <f t="shared" si="1078"/>
        <v>0</v>
      </c>
      <c r="CO201" s="529">
        <f t="shared" si="1079"/>
        <v>0</v>
      </c>
      <c r="CP201" s="529">
        <f t="shared" si="1083"/>
        <v>0</v>
      </c>
      <c r="CQ201" s="529">
        <f t="shared" si="1084"/>
        <v>0</v>
      </c>
      <c r="CR201" s="529">
        <f t="shared" si="1085"/>
        <v>0</v>
      </c>
    </row>
    <row r="202" spans="1:96" x14ac:dyDescent="0.2">
      <c r="A202" s="763"/>
      <c r="B202" s="537" t="str">
        <f t="shared" ref="B202:B203" si="1115">+B195</f>
        <v>NPK 13-13-21</v>
      </c>
      <c r="C202" s="538"/>
      <c r="D202" s="607"/>
      <c r="E202" s="539"/>
      <c r="F202" s="538"/>
      <c r="G202" s="607"/>
      <c r="H202" s="539"/>
      <c r="I202" s="538"/>
      <c r="J202" s="607"/>
      <c r="K202" s="539"/>
      <c r="L202" s="538"/>
      <c r="M202" s="607"/>
      <c r="N202" s="539"/>
      <c r="O202" s="538"/>
      <c r="P202" s="607"/>
      <c r="Q202" s="539"/>
      <c r="R202" s="538"/>
      <c r="S202" s="607"/>
      <c r="T202" s="539"/>
      <c r="U202" s="538"/>
      <c r="V202" s="637"/>
      <c r="W202" s="539"/>
      <c r="X202" s="538"/>
      <c r="Y202" s="607"/>
      <c r="Z202" s="607"/>
      <c r="AA202" s="538">
        <f>+Assumptions!$I$13*$BC202*1000</f>
        <v>1500</v>
      </c>
      <c r="AB202" s="607">
        <f>+AB$318+8</f>
        <v>337</v>
      </c>
      <c r="AC202" s="607">
        <f t="shared" ref="AC202:AC203" si="1116">+AB202*AA202</f>
        <v>505500</v>
      </c>
      <c r="AD202" s="538">
        <f>+Assumptions!$J$13*$BC202*1000</f>
        <v>3000</v>
      </c>
      <c r="AE202" s="607">
        <f>+AE$318+8</f>
        <v>347</v>
      </c>
      <c r="AF202" s="607">
        <f t="shared" ref="AF202:AF203" si="1117">+AE202*AD202</f>
        <v>1041000</v>
      </c>
      <c r="AG202" s="538">
        <f>+Assumptions!$K$13*$BC202*1000</f>
        <v>3000</v>
      </c>
      <c r="AH202" s="607">
        <f>+AH$318+8</f>
        <v>357</v>
      </c>
      <c r="AI202" s="607">
        <f t="shared" ref="AI202:AI203" si="1118">+AH202*AG202</f>
        <v>1071000</v>
      </c>
      <c r="AJ202" s="538">
        <f>+Assumptions!$L$13*$BC202*1000</f>
        <v>3000</v>
      </c>
      <c r="AK202" s="607">
        <f>+AK$318+8</f>
        <v>367</v>
      </c>
      <c r="AL202" s="607">
        <f t="shared" ref="AL202:AL203" si="1119">+AK202*AJ202</f>
        <v>1101000</v>
      </c>
      <c r="AM202" s="538">
        <f>+Assumptions!$M$13*$BC202*1000</f>
        <v>3000</v>
      </c>
      <c r="AN202" s="607">
        <f>+AN$318+8</f>
        <v>378</v>
      </c>
      <c r="AO202" s="607">
        <f t="shared" ref="AO202:AO203" si="1120">+AN202*AM202</f>
        <v>1134000</v>
      </c>
      <c r="AP202" s="538">
        <f>+Assumptions!$N$13*$BC202*1000</f>
        <v>3000</v>
      </c>
      <c r="AQ202" s="607">
        <f>+AQ$318+8</f>
        <v>389</v>
      </c>
      <c r="AR202" s="607">
        <f t="shared" ref="AR202:AR203" si="1121">+AQ202*AP202</f>
        <v>1167000</v>
      </c>
      <c r="AS202" s="538">
        <f>+Assumptions!$N$13*$BC202*1000</f>
        <v>3000</v>
      </c>
      <c r="AT202" s="607">
        <f>+AT$318+8</f>
        <v>400</v>
      </c>
      <c r="AU202" s="607">
        <f t="shared" si="1112"/>
        <v>1200000</v>
      </c>
      <c r="AV202" s="538">
        <f>+Assumptions!$N$13*$BC202*1000</f>
        <v>3000</v>
      </c>
      <c r="AW202" s="607">
        <f>+AW$318+8</f>
        <v>412</v>
      </c>
      <c r="AX202" s="607">
        <f t="shared" si="1113"/>
        <v>1236000</v>
      </c>
      <c r="AY202" s="538">
        <f>+Assumptions!$N$13*$BC202*1000</f>
        <v>3000</v>
      </c>
      <c r="AZ202" s="607">
        <f>+AZ$318+8</f>
        <v>424</v>
      </c>
      <c r="BA202" s="607">
        <f t="shared" si="1114"/>
        <v>1272000</v>
      </c>
      <c r="BC202" s="710">
        <v>1.8749999999999999E-2</v>
      </c>
      <c r="BD202" s="729">
        <v>0.5</v>
      </c>
      <c r="BJ202" s="529">
        <f t="shared" si="1049"/>
        <v>0</v>
      </c>
      <c r="BK202" s="529">
        <f t="shared" si="1050"/>
        <v>0</v>
      </c>
      <c r="BL202" s="529">
        <f t="shared" si="1051"/>
        <v>0</v>
      </c>
      <c r="BM202" s="529">
        <f t="shared" si="1052"/>
        <v>0</v>
      </c>
      <c r="BN202" s="529">
        <f t="shared" si="1053"/>
        <v>0</v>
      </c>
      <c r="BO202" s="529">
        <f t="shared" si="1054"/>
        <v>0</v>
      </c>
      <c r="BP202" s="529">
        <f t="shared" si="1055"/>
        <v>0</v>
      </c>
      <c r="BQ202" s="529">
        <f t="shared" si="1056"/>
        <v>0</v>
      </c>
      <c r="BR202" s="529">
        <f t="shared" si="1057"/>
        <v>0.50549999999999995</v>
      </c>
      <c r="BS202" s="529">
        <f t="shared" si="1058"/>
        <v>1.0409999999999999</v>
      </c>
      <c r="BT202" s="529">
        <f t="shared" si="1059"/>
        <v>1.071</v>
      </c>
      <c r="BU202" s="529">
        <f t="shared" si="1060"/>
        <v>1.101</v>
      </c>
      <c r="BV202" s="529">
        <f t="shared" si="1061"/>
        <v>1.1339999999999999</v>
      </c>
      <c r="BW202" s="529">
        <f t="shared" si="1062"/>
        <v>1.167</v>
      </c>
      <c r="BX202" s="529">
        <f t="shared" si="1063"/>
        <v>1.2</v>
      </c>
      <c r="BY202" s="529">
        <f t="shared" si="1064"/>
        <v>1.236</v>
      </c>
      <c r="BZ202" s="529">
        <f t="shared" si="1065"/>
        <v>1.272</v>
      </c>
      <c r="CB202" s="529">
        <f t="shared" si="1066"/>
        <v>0</v>
      </c>
      <c r="CC202" s="529">
        <f t="shared" si="1067"/>
        <v>0</v>
      </c>
      <c r="CD202" s="529">
        <f t="shared" si="1068"/>
        <v>0</v>
      </c>
      <c r="CE202" s="529">
        <f t="shared" si="1069"/>
        <v>0</v>
      </c>
      <c r="CF202" s="529">
        <f t="shared" si="1070"/>
        <v>0</v>
      </c>
      <c r="CG202" s="529">
        <f t="shared" si="1071"/>
        <v>0</v>
      </c>
      <c r="CH202" s="529">
        <f t="shared" si="1072"/>
        <v>0</v>
      </c>
      <c r="CI202" s="529">
        <f t="shared" si="1073"/>
        <v>0</v>
      </c>
      <c r="CJ202" s="529">
        <f t="shared" si="1074"/>
        <v>1500</v>
      </c>
      <c r="CK202" s="529">
        <f t="shared" si="1075"/>
        <v>3000</v>
      </c>
      <c r="CL202" s="529">
        <f t="shared" si="1076"/>
        <v>3000</v>
      </c>
      <c r="CM202" s="529">
        <f t="shared" si="1077"/>
        <v>3000</v>
      </c>
      <c r="CN202" s="529">
        <f t="shared" si="1078"/>
        <v>3000</v>
      </c>
      <c r="CO202" s="529">
        <f t="shared" si="1079"/>
        <v>3000</v>
      </c>
      <c r="CP202" s="529">
        <f t="shared" si="1083"/>
        <v>3000</v>
      </c>
      <c r="CQ202" s="529">
        <f t="shared" si="1084"/>
        <v>3000</v>
      </c>
      <c r="CR202" s="529">
        <f t="shared" si="1085"/>
        <v>3000</v>
      </c>
    </row>
    <row r="203" spans="1:96" x14ac:dyDescent="0.2">
      <c r="A203" s="763"/>
      <c r="B203" s="537" t="str">
        <f t="shared" si="1115"/>
        <v>NPK 00-00-00</v>
      </c>
      <c r="C203" s="538"/>
      <c r="D203" s="607"/>
      <c r="E203" s="539"/>
      <c r="F203" s="538"/>
      <c r="G203" s="607"/>
      <c r="H203" s="539"/>
      <c r="I203" s="538"/>
      <c r="J203" s="607"/>
      <c r="K203" s="539"/>
      <c r="L203" s="538"/>
      <c r="M203" s="607"/>
      <c r="N203" s="539"/>
      <c r="O203" s="538"/>
      <c r="P203" s="607"/>
      <c r="Q203" s="539"/>
      <c r="R203" s="538"/>
      <c r="S203" s="607"/>
      <c r="T203" s="539"/>
      <c r="U203" s="538"/>
      <c r="V203" s="637"/>
      <c r="W203" s="539"/>
      <c r="X203" s="538"/>
      <c r="Y203" s="607"/>
      <c r="Z203" s="607"/>
      <c r="AA203" s="538">
        <f>+Assumptions!$I$13*$BC203*1000</f>
        <v>0</v>
      </c>
      <c r="AB203" s="607">
        <f>+AB$319+8</f>
        <v>8</v>
      </c>
      <c r="AC203" s="607">
        <f t="shared" si="1116"/>
        <v>0</v>
      </c>
      <c r="AD203" s="538">
        <f>+Assumptions!$J$13*$BC203*1000</f>
        <v>0</v>
      </c>
      <c r="AE203" s="607">
        <f>+AE$319+8</f>
        <v>8</v>
      </c>
      <c r="AF203" s="607">
        <f t="shared" si="1117"/>
        <v>0</v>
      </c>
      <c r="AG203" s="538">
        <f>+Assumptions!$K$13*$BC203*1000</f>
        <v>0</v>
      </c>
      <c r="AH203" s="607">
        <f>+AH$319+8</f>
        <v>8</v>
      </c>
      <c r="AI203" s="607">
        <f t="shared" si="1118"/>
        <v>0</v>
      </c>
      <c r="AJ203" s="538">
        <f>+Assumptions!$L$13*$BC203*1000</f>
        <v>0</v>
      </c>
      <c r="AK203" s="607">
        <f>+AK$319+8</f>
        <v>8</v>
      </c>
      <c r="AL203" s="607">
        <f t="shared" si="1119"/>
        <v>0</v>
      </c>
      <c r="AM203" s="538">
        <f>+Assumptions!$M$13*$BC203*1000</f>
        <v>0</v>
      </c>
      <c r="AN203" s="607">
        <f>+AN$319+8</f>
        <v>8</v>
      </c>
      <c r="AO203" s="607">
        <f t="shared" si="1120"/>
        <v>0</v>
      </c>
      <c r="AP203" s="538">
        <f>+Assumptions!$N$13*$BC203*1000</f>
        <v>0</v>
      </c>
      <c r="AQ203" s="607">
        <f>+AQ$319+8</f>
        <v>8</v>
      </c>
      <c r="AR203" s="607">
        <f t="shared" si="1121"/>
        <v>0</v>
      </c>
      <c r="AS203" s="538">
        <f>+Assumptions!$N$13*$BC203*1000</f>
        <v>0</v>
      </c>
      <c r="AT203" s="607">
        <f>+AT$319+8</f>
        <v>8</v>
      </c>
      <c r="AU203" s="607">
        <f t="shared" si="1112"/>
        <v>0</v>
      </c>
      <c r="AV203" s="538">
        <f>+Assumptions!$N$13*$BC203*1000</f>
        <v>0</v>
      </c>
      <c r="AW203" s="607">
        <f>+AW$319+8</f>
        <v>8</v>
      </c>
      <c r="AX203" s="607">
        <f t="shared" si="1113"/>
        <v>0</v>
      </c>
      <c r="AY203" s="538">
        <f>+Assumptions!$N$13*$BC203*1000</f>
        <v>0</v>
      </c>
      <c r="AZ203" s="607">
        <f>+AZ$319+8</f>
        <v>8</v>
      </c>
      <c r="BA203" s="607">
        <f t="shared" si="1114"/>
        <v>0</v>
      </c>
      <c r="BC203" s="710">
        <v>0</v>
      </c>
      <c r="BJ203" s="529">
        <f t="shared" si="1049"/>
        <v>0</v>
      </c>
      <c r="BK203" s="529">
        <f t="shared" si="1050"/>
        <v>0</v>
      </c>
      <c r="BL203" s="529">
        <f t="shared" si="1051"/>
        <v>0</v>
      </c>
      <c r="BM203" s="529">
        <f t="shared" si="1052"/>
        <v>0</v>
      </c>
      <c r="BN203" s="529">
        <f t="shared" si="1053"/>
        <v>0</v>
      </c>
      <c r="BO203" s="529">
        <f t="shared" si="1054"/>
        <v>0</v>
      </c>
      <c r="BP203" s="529">
        <f t="shared" si="1055"/>
        <v>0</v>
      </c>
      <c r="BQ203" s="529">
        <f t="shared" si="1056"/>
        <v>0</v>
      </c>
      <c r="BR203" s="529">
        <f t="shared" si="1057"/>
        <v>0</v>
      </c>
      <c r="BS203" s="529">
        <f t="shared" si="1058"/>
        <v>0</v>
      </c>
      <c r="BT203" s="529">
        <f t="shared" si="1059"/>
        <v>0</v>
      </c>
      <c r="BU203" s="529">
        <f t="shared" si="1060"/>
        <v>0</v>
      </c>
      <c r="BV203" s="529">
        <f t="shared" si="1061"/>
        <v>0</v>
      </c>
      <c r="BW203" s="529">
        <f t="shared" si="1062"/>
        <v>0</v>
      </c>
      <c r="BX203" s="529">
        <f t="shared" si="1063"/>
        <v>0</v>
      </c>
      <c r="BY203" s="529">
        <f t="shared" si="1064"/>
        <v>0</v>
      </c>
      <c r="BZ203" s="529">
        <f t="shared" si="1065"/>
        <v>0</v>
      </c>
      <c r="CB203" s="529">
        <f t="shared" si="1066"/>
        <v>0</v>
      </c>
      <c r="CC203" s="529">
        <f t="shared" si="1067"/>
        <v>0</v>
      </c>
      <c r="CD203" s="529">
        <f t="shared" si="1068"/>
        <v>0</v>
      </c>
      <c r="CE203" s="529">
        <f t="shared" si="1069"/>
        <v>0</v>
      </c>
      <c r="CF203" s="529">
        <f t="shared" si="1070"/>
        <v>0</v>
      </c>
      <c r="CG203" s="529">
        <f t="shared" si="1071"/>
        <v>0</v>
      </c>
      <c r="CH203" s="529">
        <f t="shared" si="1072"/>
        <v>0</v>
      </c>
      <c r="CI203" s="529">
        <f t="shared" si="1073"/>
        <v>0</v>
      </c>
      <c r="CJ203" s="529">
        <f t="shared" si="1074"/>
        <v>0</v>
      </c>
      <c r="CK203" s="529">
        <f t="shared" si="1075"/>
        <v>0</v>
      </c>
      <c r="CL203" s="529">
        <f t="shared" si="1076"/>
        <v>0</v>
      </c>
      <c r="CM203" s="529">
        <f t="shared" si="1077"/>
        <v>0</v>
      </c>
      <c r="CN203" s="529">
        <f t="shared" si="1078"/>
        <v>0</v>
      </c>
      <c r="CO203" s="529">
        <f t="shared" si="1079"/>
        <v>0</v>
      </c>
      <c r="CP203" s="529">
        <f t="shared" si="1083"/>
        <v>0</v>
      </c>
      <c r="CQ203" s="529">
        <f t="shared" si="1084"/>
        <v>0</v>
      </c>
      <c r="CR203" s="529">
        <f t="shared" si="1085"/>
        <v>0</v>
      </c>
    </row>
    <row r="204" spans="1:96" x14ac:dyDescent="0.2">
      <c r="A204" s="765"/>
      <c r="B204" s="611"/>
      <c r="C204" s="543"/>
      <c r="D204" s="609"/>
      <c r="E204" s="544"/>
      <c r="F204" s="543"/>
      <c r="G204" s="609"/>
      <c r="H204" s="544"/>
      <c r="I204" s="543"/>
      <c r="J204" s="609"/>
      <c r="K204" s="544"/>
      <c r="L204" s="543"/>
      <c r="M204" s="609"/>
      <c r="N204" s="544"/>
      <c r="O204" s="543"/>
      <c r="P204" s="609"/>
      <c r="Q204" s="544"/>
      <c r="R204" s="543"/>
      <c r="S204" s="609"/>
      <c r="T204" s="544"/>
      <c r="U204" s="543"/>
      <c r="V204" s="638"/>
      <c r="W204" s="544"/>
      <c r="X204" s="543"/>
      <c r="Y204" s="609"/>
      <c r="Z204" s="609"/>
      <c r="AA204" s="543"/>
      <c r="AB204" s="609"/>
      <c r="AC204" s="609"/>
      <c r="AD204" s="543"/>
      <c r="AE204" s="609"/>
      <c r="AF204" s="609"/>
      <c r="AG204" s="543"/>
      <c r="AH204" s="609"/>
      <c r="AI204" s="609"/>
      <c r="AJ204" s="543"/>
      <c r="AK204" s="609"/>
      <c r="AL204" s="609"/>
      <c r="AM204" s="543"/>
      <c r="AN204" s="609"/>
      <c r="AO204" s="609"/>
      <c r="AP204" s="543"/>
      <c r="AQ204" s="609"/>
      <c r="AR204" s="609"/>
      <c r="AS204" s="543"/>
      <c r="AT204" s="609"/>
      <c r="AU204" s="609"/>
      <c r="AV204" s="543"/>
      <c r="AW204" s="609"/>
      <c r="AX204" s="609"/>
      <c r="AY204" s="543"/>
      <c r="AZ204" s="609"/>
      <c r="BA204" s="609"/>
      <c r="BC204" s="710" t="e">
        <v>#N/A</v>
      </c>
      <c r="BJ204" s="529">
        <f t="shared" si="1049"/>
        <v>0</v>
      </c>
      <c r="BK204" s="529">
        <f t="shared" si="1050"/>
        <v>0</v>
      </c>
      <c r="BL204" s="529">
        <f t="shared" si="1051"/>
        <v>0</v>
      </c>
      <c r="BM204" s="529">
        <f t="shared" si="1052"/>
        <v>0</v>
      </c>
      <c r="BN204" s="529">
        <f t="shared" si="1053"/>
        <v>0</v>
      </c>
      <c r="BO204" s="529">
        <f t="shared" si="1054"/>
        <v>0</v>
      </c>
      <c r="BP204" s="529">
        <f t="shared" si="1055"/>
        <v>0</v>
      </c>
      <c r="BQ204" s="529">
        <f t="shared" si="1056"/>
        <v>0</v>
      </c>
      <c r="BR204" s="529">
        <f t="shared" si="1057"/>
        <v>0</v>
      </c>
      <c r="BS204" s="529">
        <f t="shared" si="1058"/>
        <v>0</v>
      </c>
      <c r="BT204" s="529">
        <f t="shared" si="1059"/>
        <v>0</v>
      </c>
      <c r="BU204" s="529">
        <f t="shared" si="1060"/>
        <v>0</v>
      </c>
      <c r="BV204" s="529">
        <f t="shared" si="1061"/>
        <v>0</v>
      </c>
      <c r="BW204" s="529">
        <f t="shared" si="1062"/>
        <v>0</v>
      </c>
      <c r="BX204" s="529">
        <f t="shared" si="1063"/>
        <v>0</v>
      </c>
      <c r="BY204" s="529">
        <f t="shared" si="1064"/>
        <v>0</v>
      </c>
      <c r="BZ204" s="529">
        <f t="shared" si="1065"/>
        <v>0</v>
      </c>
      <c r="CB204" s="529">
        <f t="shared" si="1066"/>
        <v>0</v>
      </c>
      <c r="CC204" s="529">
        <f t="shared" si="1067"/>
        <v>0</v>
      </c>
      <c r="CD204" s="529">
        <f t="shared" si="1068"/>
        <v>0</v>
      </c>
      <c r="CE204" s="529">
        <f t="shared" si="1069"/>
        <v>0</v>
      </c>
      <c r="CF204" s="529">
        <f t="shared" si="1070"/>
        <v>0</v>
      </c>
      <c r="CG204" s="529">
        <f t="shared" si="1071"/>
        <v>0</v>
      </c>
      <c r="CH204" s="529">
        <f t="shared" si="1072"/>
        <v>0</v>
      </c>
      <c r="CI204" s="529">
        <f t="shared" si="1073"/>
        <v>0</v>
      </c>
      <c r="CJ204" s="529">
        <f t="shared" si="1074"/>
        <v>0</v>
      </c>
      <c r="CK204" s="529">
        <f t="shared" si="1075"/>
        <v>0</v>
      </c>
      <c r="CL204" s="529">
        <f t="shared" si="1076"/>
        <v>0</v>
      </c>
      <c r="CM204" s="529">
        <f t="shared" si="1077"/>
        <v>0</v>
      </c>
      <c r="CN204" s="529">
        <f t="shared" si="1078"/>
        <v>0</v>
      </c>
      <c r="CO204" s="529">
        <f t="shared" si="1079"/>
        <v>0</v>
      </c>
      <c r="CP204" s="529">
        <f t="shared" si="1083"/>
        <v>0</v>
      </c>
      <c r="CQ204" s="529">
        <f t="shared" si="1084"/>
        <v>0</v>
      </c>
      <c r="CR204" s="529">
        <f t="shared" si="1085"/>
        <v>0</v>
      </c>
    </row>
    <row r="205" spans="1:96" x14ac:dyDescent="0.2">
      <c r="A205" s="762" t="s">
        <v>734</v>
      </c>
      <c r="B205" s="610" t="str">
        <f>+B198</f>
        <v>NPK 15-15-15</v>
      </c>
      <c r="C205" s="605"/>
      <c r="D205" s="603"/>
      <c r="E205" s="604"/>
      <c r="F205" s="605"/>
      <c r="G205" s="603"/>
      <c r="H205" s="604"/>
      <c r="I205" s="605"/>
      <c r="J205" s="603"/>
      <c r="K205" s="604"/>
      <c r="L205" s="605"/>
      <c r="M205" s="603"/>
      <c r="N205" s="604"/>
      <c r="O205" s="605"/>
      <c r="P205" s="603"/>
      <c r="Q205" s="604"/>
      <c r="R205" s="605"/>
      <c r="S205" s="603"/>
      <c r="T205" s="604"/>
      <c r="U205" s="605"/>
      <c r="V205" s="636"/>
      <c r="W205" s="604"/>
      <c r="X205" s="605"/>
      <c r="Y205" s="603"/>
      <c r="Z205" s="603"/>
      <c r="AA205" s="605">
        <f>+Assumptions!$I$13*$BC205*1000</f>
        <v>0</v>
      </c>
      <c r="AB205" s="603">
        <f>+AB$314+8</f>
        <v>323</v>
      </c>
      <c r="AC205" s="603">
        <f t="shared" si="1086"/>
        <v>0</v>
      </c>
      <c r="AD205" s="605">
        <f>+Assumptions!$J$13*$BC205*1000</f>
        <v>0</v>
      </c>
      <c r="AE205" s="603">
        <f>+AE$314+8</f>
        <v>332</v>
      </c>
      <c r="AF205" s="603">
        <f t="shared" si="1087"/>
        <v>0</v>
      </c>
      <c r="AG205" s="605">
        <f>+Assumptions!$K$13*$BC205*1000</f>
        <v>0</v>
      </c>
      <c r="AH205" s="603">
        <f>+AH$314+8</f>
        <v>342</v>
      </c>
      <c r="AI205" s="603">
        <f t="shared" si="1088"/>
        <v>0</v>
      </c>
      <c r="AJ205" s="605">
        <f>+Assumptions!$L$13*$BC205*1000</f>
        <v>0</v>
      </c>
      <c r="AK205" s="603">
        <f>+AK$314+8</f>
        <v>352</v>
      </c>
      <c r="AL205" s="603">
        <f t="shared" si="1089"/>
        <v>0</v>
      </c>
      <c r="AM205" s="605">
        <f>+Assumptions!$M$13*$BC205*1000</f>
        <v>0</v>
      </c>
      <c r="AN205" s="603">
        <f>+AN$314+8</f>
        <v>362</v>
      </c>
      <c r="AO205" s="603">
        <f t="shared" si="1090"/>
        <v>0</v>
      </c>
      <c r="AP205" s="605">
        <f>+Assumptions!$N$13*$BC205*1000</f>
        <v>0</v>
      </c>
      <c r="AQ205" s="603">
        <f>+AQ$314+8</f>
        <v>373</v>
      </c>
      <c r="AR205" s="603">
        <f t="shared" si="1091"/>
        <v>0</v>
      </c>
      <c r="AS205" s="605">
        <f>+Assumptions!$N$13*$BC205*1000</f>
        <v>0</v>
      </c>
      <c r="AT205" s="603">
        <f>+AT$314+8</f>
        <v>384</v>
      </c>
      <c r="AU205" s="603">
        <f t="shared" ref="AU205:AU210" si="1122">+AT205*AS205</f>
        <v>0</v>
      </c>
      <c r="AV205" s="605">
        <f>+Assumptions!$N$13*$BC205*1000</f>
        <v>0</v>
      </c>
      <c r="AW205" s="603">
        <f>+AW$314+8</f>
        <v>395</v>
      </c>
      <c r="AX205" s="603">
        <f t="shared" ref="AX205:AX210" si="1123">+AW205*AV205</f>
        <v>0</v>
      </c>
      <c r="AY205" s="605">
        <f>+Assumptions!$N$13*$BC205*1000</f>
        <v>0</v>
      </c>
      <c r="AZ205" s="603">
        <f>+AZ$314+8</f>
        <v>407</v>
      </c>
      <c r="BA205" s="603">
        <f t="shared" ref="BA205:BA210" si="1124">+AZ205*AY205</f>
        <v>0</v>
      </c>
      <c r="BC205" s="710">
        <v>0</v>
      </c>
      <c r="BJ205" s="529">
        <f t="shared" si="1049"/>
        <v>0</v>
      </c>
      <c r="BK205" s="529">
        <f t="shared" si="1050"/>
        <v>0</v>
      </c>
      <c r="BL205" s="529">
        <f t="shared" si="1051"/>
        <v>0</v>
      </c>
      <c r="BM205" s="529">
        <f t="shared" si="1052"/>
        <v>0</v>
      </c>
      <c r="BN205" s="529">
        <f t="shared" si="1053"/>
        <v>0</v>
      </c>
      <c r="BO205" s="529">
        <f t="shared" si="1054"/>
        <v>0</v>
      </c>
      <c r="BP205" s="529">
        <f t="shared" si="1055"/>
        <v>0</v>
      </c>
      <c r="BQ205" s="529">
        <f t="shared" si="1056"/>
        <v>0</v>
      </c>
      <c r="BR205" s="529">
        <f t="shared" si="1057"/>
        <v>0</v>
      </c>
      <c r="BS205" s="529">
        <f t="shared" si="1058"/>
        <v>0</v>
      </c>
      <c r="BT205" s="529">
        <f t="shared" si="1059"/>
        <v>0</v>
      </c>
      <c r="BU205" s="529">
        <f t="shared" si="1060"/>
        <v>0</v>
      </c>
      <c r="BV205" s="529">
        <f t="shared" si="1061"/>
        <v>0</v>
      </c>
      <c r="BW205" s="529">
        <f t="shared" si="1062"/>
        <v>0</v>
      </c>
      <c r="BX205" s="529">
        <f t="shared" si="1063"/>
        <v>0</v>
      </c>
      <c r="BY205" s="529">
        <f t="shared" si="1064"/>
        <v>0</v>
      </c>
      <c r="BZ205" s="529">
        <f t="shared" si="1065"/>
        <v>0</v>
      </c>
      <c r="CB205" s="529">
        <f t="shared" si="1066"/>
        <v>0</v>
      </c>
      <c r="CC205" s="529">
        <f t="shared" si="1067"/>
        <v>0</v>
      </c>
      <c r="CD205" s="529">
        <f t="shared" si="1068"/>
        <v>0</v>
      </c>
      <c r="CE205" s="529">
        <f t="shared" si="1069"/>
        <v>0</v>
      </c>
      <c r="CF205" s="529">
        <f t="shared" si="1070"/>
        <v>0</v>
      </c>
      <c r="CG205" s="529">
        <f t="shared" si="1071"/>
        <v>0</v>
      </c>
      <c r="CH205" s="529">
        <f t="shared" si="1072"/>
        <v>0</v>
      </c>
      <c r="CI205" s="529">
        <f t="shared" si="1073"/>
        <v>0</v>
      </c>
      <c r="CJ205" s="529">
        <f t="shared" si="1074"/>
        <v>0</v>
      </c>
      <c r="CK205" s="529">
        <f t="shared" si="1075"/>
        <v>0</v>
      </c>
      <c r="CL205" s="529">
        <f t="shared" si="1076"/>
        <v>0</v>
      </c>
      <c r="CM205" s="529">
        <f t="shared" si="1077"/>
        <v>0</v>
      </c>
      <c r="CN205" s="529">
        <f t="shared" si="1078"/>
        <v>0</v>
      </c>
      <c r="CO205" s="529">
        <f t="shared" si="1079"/>
        <v>0</v>
      </c>
      <c r="CP205" s="529">
        <f t="shared" si="1083"/>
        <v>0</v>
      </c>
      <c r="CQ205" s="529">
        <f t="shared" si="1084"/>
        <v>0</v>
      </c>
      <c r="CR205" s="529">
        <f t="shared" si="1085"/>
        <v>0</v>
      </c>
    </row>
    <row r="206" spans="1:96" x14ac:dyDescent="0.2">
      <c r="A206" s="763"/>
      <c r="B206" s="537" t="str">
        <f>+B199</f>
        <v>NPK 16-16-16</v>
      </c>
      <c r="C206" s="538"/>
      <c r="D206" s="607"/>
      <c r="E206" s="539"/>
      <c r="F206" s="538"/>
      <c r="G206" s="607"/>
      <c r="H206" s="539"/>
      <c r="I206" s="538"/>
      <c r="J206" s="607"/>
      <c r="K206" s="539"/>
      <c r="L206" s="538"/>
      <c r="M206" s="607"/>
      <c r="N206" s="539"/>
      <c r="O206" s="538"/>
      <c r="P206" s="607"/>
      <c r="Q206" s="539"/>
      <c r="R206" s="538"/>
      <c r="S206" s="607"/>
      <c r="T206" s="539"/>
      <c r="U206" s="538"/>
      <c r="V206" s="637"/>
      <c r="W206" s="539"/>
      <c r="X206" s="538"/>
      <c r="Y206" s="607"/>
      <c r="Z206" s="607"/>
      <c r="AA206" s="538">
        <f>+Assumptions!$I$13*$BC206*1000</f>
        <v>1119.9999999999998</v>
      </c>
      <c r="AB206" s="607">
        <f>+AB$315+8</f>
        <v>345</v>
      </c>
      <c r="AC206" s="607">
        <f t="shared" si="1086"/>
        <v>386399.99999999994</v>
      </c>
      <c r="AD206" s="538">
        <f>+Assumptions!$J$13*$BC206*1000</f>
        <v>2239.9999999999995</v>
      </c>
      <c r="AE206" s="607">
        <f>+AE$315+8</f>
        <v>355</v>
      </c>
      <c r="AF206" s="607">
        <f t="shared" si="1087"/>
        <v>795199.99999999988</v>
      </c>
      <c r="AG206" s="538">
        <f>+Assumptions!$K$13*$BC206*1000</f>
        <v>2239.9999999999995</v>
      </c>
      <c r="AH206" s="607">
        <f>+AH$315+8</f>
        <v>365</v>
      </c>
      <c r="AI206" s="607">
        <f t="shared" si="1088"/>
        <v>817599.99999999988</v>
      </c>
      <c r="AJ206" s="538">
        <f>+Assumptions!$L$13*$BC206*1000</f>
        <v>2239.9999999999995</v>
      </c>
      <c r="AK206" s="607">
        <f>+AK$315+8</f>
        <v>376</v>
      </c>
      <c r="AL206" s="607">
        <f t="shared" si="1089"/>
        <v>842239.99999999988</v>
      </c>
      <c r="AM206" s="538">
        <f>+Assumptions!$M$13*$BC206*1000</f>
        <v>2239.9999999999995</v>
      </c>
      <c r="AN206" s="607">
        <f>+AN$315+8</f>
        <v>387</v>
      </c>
      <c r="AO206" s="607">
        <f t="shared" si="1090"/>
        <v>866879.99999999977</v>
      </c>
      <c r="AP206" s="538">
        <f>+Assumptions!$N$13*$BC206*1000</f>
        <v>2239.9999999999995</v>
      </c>
      <c r="AQ206" s="607">
        <f>+AQ$315+8</f>
        <v>398</v>
      </c>
      <c r="AR206" s="607">
        <f t="shared" si="1091"/>
        <v>891519.99999999977</v>
      </c>
      <c r="AS206" s="538">
        <f>+Assumptions!$N$13*$BC206*1000</f>
        <v>2239.9999999999995</v>
      </c>
      <c r="AT206" s="607">
        <f>+AT$315+8</f>
        <v>410</v>
      </c>
      <c r="AU206" s="607">
        <f t="shared" si="1122"/>
        <v>918399.99999999977</v>
      </c>
      <c r="AV206" s="538">
        <f>+Assumptions!$N$13*$BC206*1000</f>
        <v>2239.9999999999995</v>
      </c>
      <c r="AW206" s="607">
        <f>+AW$315+8</f>
        <v>422</v>
      </c>
      <c r="AX206" s="607">
        <f t="shared" si="1123"/>
        <v>945279.99999999977</v>
      </c>
      <c r="AY206" s="538">
        <f>+Assumptions!$N$13*$BC206*1000</f>
        <v>2239.9999999999995</v>
      </c>
      <c r="AZ206" s="607">
        <f>+AZ$315+8</f>
        <v>434</v>
      </c>
      <c r="BA206" s="607">
        <f t="shared" si="1124"/>
        <v>972159.99999999977</v>
      </c>
      <c r="BC206" s="710">
        <v>1.3999999999999999E-2</v>
      </c>
      <c r="BD206" s="729">
        <v>0.02</v>
      </c>
      <c r="BJ206" s="529">
        <f t="shared" si="1049"/>
        <v>0</v>
      </c>
      <c r="BK206" s="529">
        <f t="shared" si="1050"/>
        <v>0</v>
      </c>
      <c r="BL206" s="529">
        <f t="shared" si="1051"/>
        <v>0</v>
      </c>
      <c r="BM206" s="529">
        <f t="shared" si="1052"/>
        <v>0</v>
      </c>
      <c r="BN206" s="529">
        <f t="shared" si="1053"/>
        <v>0</v>
      </c>
      <c r="BO206" s="529">
        <f t="shared" si="1054"/>
        <v>0</v>
      </c>
      <c r="BP206" s="529">
        <f t="shared" si="1055"/>
        <v>0</v>
      </c>
      <c r="BQ206" s="529">
        <f t="shared" si="1056"/>
        <v>0</v>
      </c>
      <c r="BR206" s="529">
        <f t="shared" si="1057"/>
        <v>0.38639999999999997</v>
      </c>
      <c r="BS206" s="529">
        <f t="shared" si="1058"/>
        <v>0.79519999999999991</v>
      </c>
      <c r="BT206" s="529">
        <f t="shared" si="1059"/>
        <v>0.81759999999999988</v>
      </c>
      <c r="BU206" s="529">
        <f t="shared" si="1060"/>
        <v>0.84223999999999988</v>
      </c>
      <c r="BV206" s="529">
        <f t="shared" si="1061"/>
        <v>0.86687999999999976</v>
      </c>
      <c r="BW206" s="529">
        <f t="shared" si="1062"/>
        <v>0.89151999999999976</v>
      </c>
      <c r="BX206" s="529">
        <f t="shared" si="1063"/>
        <v>0.91839999999999977</v>
      </c>
      <c r="BY206" s="529">
        <f t="shared" si="1064"/>
        <v>0.94527999999999979</v>
      </c>
      <c r="BZ206" s="529">
        <f t="shared" si="1065"/>
        <v>0.9721599999999998</v>
      </c>
      <c r="CB206" s="529">
        <f t="shared" si="1066"/>
        <v>0</v>
      </c>
      <c r="CC206" s="529">
        <f t="shared" si="1067"/>
        <v>0</v>
      </c>
      <c r="CD206" s="529">
        <f t="shared" si="1068"/>
        <v>0</v>
      </c>
      <c r="CE206" s="529">
        <f t="shared" si="1069"/>
        <v>0</v>
      </c>
      <c r="CF206" s="529">
        <f t="shared" si="1070"/>
        <v>0</v>
      </c>
      <c r="CG206" s="529">
        <f t="shared" si="1071"/>
        <v>0</v>
      </c>
      <c r="CH206" s="529">
        <f t="shared" si="1072"/>
        <v>0</v>
      </c>
      <c r="CI206" s="529">
        <f t="shared" si="1073"/>
        <v>0</v>
      </c>
      <c r="CJ206" s="529">
        <f t="shared" si="1074"/>
        <v>1119.9999999999998</v>
      </c>
      <c r="CK206" s="529">
        <f t="shared" si="1075"/>
        <v>2239.9999999999995</v>
      </c>
      <c r="CL206" s="529">
        <f t="shared" si="1076"/>
        <v>2239.9999999999995</v>
      </c>
      <c r="CM206" s="529">
        <f t="shared" si="1077"/>
        <v>2239.9999999999995</v>
      </c>
      <c r="CN206" s="529">
        <f t="shared" si="1078"/>
        <v>2239.9999999999995</v>
      </c>
      <c r="CO206" s="529">
        <f t="shared" si="1079"/>
        <v>2239.9999999999995</v>
      </c>
      <c r="CP206" s="529">
        <f t="shared" si="1083"/>
        <v>2239.9999999999995</v>
      </c>
      <c r="CQ206" s="529">
        <f t="shared" si="1084"/>
        <v>2239.9999999999995</v>
      </c>
      <c r="CR206" s="529">
        <f t="shared" si="1085"/>
        <v>2239.9999999999995</v>
      </c>
    </row>
    <row r="207" spans="1:96" x14ac:dyDescent="0.2">
      <c r="A207" s="764"/>
      <c r="B207" s="537" t="str">
        <f>+B200</f>
        <v>NPK 10-26-26</v>
      </c>
      <c r="C207" s="538"/>
      <c r="D207" s="607"/>
      <c r="E207" s="539"/>
      <c r="F207" s="538"/>
      <c r="G207" s="607"/>
      <c r="H207" s="539"/>
      <c r="I207" s="538"/>
      <c r="J207" s="607"/>
      <c r="K207" s="539"/>
      <c r="L207" s="538"/>
      <c r="M207" s="607"/>
      <c r="N207" s="539"/>
      <c r="O207" s="538"/>
      <c r="P207" s="607"/>
      <c r="Q207" s="539"/>
      <c r="R207" s="538"/>
      <c r="S207" s="607"/>
      <c r="T207" s="539"/>
      <c r="U207" s="538"/>
      <c r="V207" s="637"/>
      <c r="W207" s="539"/>
      <c r="X207" s="538"/>
      <c r="Y207" s="607"/>
      <c r="Z207" s="607"/>
      <c r="AA207" s="538">
        <f>+Assumptions!$I$13*$BC207*1000</f>
        <v>0</v>
      </c>
      <c r="AB207" s="607">
        <f>+AB$316+8</f>
        <v>442</v>
      </c>
      <c r="AC207" s="607">
        <f t="shared" si="1086"/>
        <v>0</v>
      </c>
      <c r="AD207" s="538">
        <f>+Assumptions!$J$13*$BC207*1000</f>
        <v>0</v>
      </c>
      <c r="AE207" s="607">
        <f>+AE$316+8</f>
        <v>455</v>
      </c>
      <c r="AF207" s="607">
        <f t="shared" si="1087"/>
        <v>0</v>
      </c>
      <c r="AG207" s="538">
        <f>+Assumptions!$K$13*$BC207*1000</f>
        <v>0</v>
      </c>
      <c r="AH207" s="607">
        <f>+AH$316+8</f>
        <v>468</v>
      </c>
      <c r="AI207" s="607">
        <f t="shared" si="1088"/>
        <v>0</v>
      </c>
      <c r="AJ207" s="538">
        <f>+Assumptions!$L$13*$BC207*1000</f>
        <v>0</v>
      </c>
      <c r="AK207" s="607">
        <f>+AK$316+8</f>
        <v>482</v>
      </c>
      <c r="AL207" s="607">
        <f t="shared" si="1089"/>
        <v>0</v>
      </c>
      <c r="AM207" s="538">
        <f>+Assumptions!$M$13*$BC207*1000</f>
        <v>0</v>
      </c>
      <c r="AN207" s="607">
        <f>+AN$316+8</f>
        <v>496</v>
      </c>
      <c r="AO207" s="607">
        <f t="shared" si="1090"/>
        <v>0</v>
      </c>
      <c r="AP207" s="538">
        <f>+Assumptions!$N$13*$BC207*1000</f>
        <v>0</v>
      </c>
      <c r="AQ207" s="607">
        <f>+AQ$316+8</f>
        <v>511</v>
      </c>
      <c r="AR207" s="607">
        <f t="shared" si="1091"/>
        <v>0</v>
      </c>
      <c r="AS207" s="538">
        <f>+Assumptions!$N$13*$BC207*1000</f>
        <v>0</v>
      </c>
      <c r="AT207" s="607">
        <f>+AT$316+8</f>
        <v>526</v>
      </c>
      <c r="AU207" s="607">
        <f t="shared" si="1122"/>
        <v>0</v>
      </c>
      <c r="AV207" s="538">
        <f>+Assumptions!$N$13*$BC207*1000</f>
        <v>0</v>
      </c>
      <c r="AW207" s="607">
        <f>+AW$316+8</f>
        <v>542</v>
      </c>
      <c r="AX207" s="607">
        <f t="shared" si="1123"/>
        <v>0</v>
      </c>
      <c r="AY207" s="538">
        <f>+Assumptions!$N$13*$BC207*1000</f>
        <v>0</v>
      </c>
      <c r="AZ207" s="607">
        <f>+AZ$316+8</f>
        <v>558</v>
      </c>
      <c r="BA207" s="607">
        <f t="shared" si="1124"/>
        <v>0</v>
      </c>
      <c r="BC207" s="710">
        <v>0</v>
      </c>
      <c r="BJ207" s="529">
        <f t="shared" si="1049"/>
        <v>0</v>
      </c>
      <c r="BK207" s="529">
        <f t="shared" si="1050"/>
        <v>0</v>
      </c>
      <c r="BL207" s="529">
        <f t="shared" si="1051"/>
        <v>0</v>
      </c>
      <c r="BM207" s="529">
        <f t="shared" si="1052"/>
        <v>0</v>
      </c>
      <c r="BN207" s="529">
        <f t="shared" si="1053"/>
        <v>0</v>
      </c>
      <c r="BO207" s="529">
        <f t="shared" si="1054"/>
        <v>0</v>
      </c>
      <c r="BP207" s="529">
        <f t="shared" si="1055"/>
        <v>0</v>
      </c>
      <c r="BQ207" s="529">
        <f t="shared" si="1056"/>
        <v>0</v>
      </c>
      <c r="BR207" s="529">
        <f t="shared" si="1057"/>
        <v>0</v>
      </c>
      <c r="BS207" s="529">
        <f t="shared" si="1058"/>
        <v>0</v>
      </c>
      <c r="BT207" s="529">
        <f t="shared" si="1059"/>
        <v>0</v>
      </c>
      <c r="BU207" s="529">
        <f t="shared" si="1060"/>
        <v>0</v>
      </c>
      <c r="BV207" s="529">
        <f t="shared" si="1061"/>
        <v>0</v>
      </c>
      <c r="BW207" s="529">
        <f t="shared" si="1062"/>
        <v>0</v>
      </c>
      <c r="BX207" s="529">
        <f t="shared" si="1063"/>
        <v>0</v>
      </c>
      <c r="BY207" s="529">
        <f t="shared" si="1064"/>
        <v>0</v>
      </c>
      <c r="BZ207" s="529">
        <f t="shared" si="1065"/>
        <v>0</v>
      </c>
      <c r="CB207" s="529">
        <f t="shared" si="1066"/>
        <v>0</v>
      </c>
      <c r="CC207" s="529">
        <f t="shared" si="1067"/>
        <v>0</v>
      </c>
      <c r="CD207" s="529">
        <f t="shared" si="1068"/>
        <v>0</v>
      </c>
      <c r="CE207" s="529">
        <f t="shared" si="1069"/>
        <v>0</v>
      </c>
      <c r="CF207" s="529">
        <f t="shared" si="1070"/>
        <v>0</v>
      </c>
      <c r="CG207" s="529">
        <f t="shared" si="1071"/>
        <v>0</v>
      </c>
      <c r="CH207" s="529">
        <f t="shared" si="1072"/>
        <v>0</v>
      </c>
      <c r="CI207" s="529">
        <f t="shared" si="1073"/>
        <v>0</v>
      </c>
      <c r="CJ207" s="529">
        <f t="shared" si="1074"/>
        <v>0</v>
      </c>
      <c r="CK207" s="529">
        <f t="shared" si="1075"/>
        <v>0</v>
      </c>
      <c r="CL207" s="529">
        <f t="shared" si="1076"/>
        <v>0</v>
      </c>
      <c r="CM207" s="529">
        <f t="shared" si="1077"/>
        <v>0</v>
      </c>
      <c r="CN207" s="529">
        <f t="shared" si="1078"/>
        <v>0</v>
      </c>
      <c r="CO207" s="529">
        <f t="shared" si="1079"/>
        <v>0</v>
      </c>
      <c r="CP207" s="529">
        <f t="shared" si="1083"/>
        <v>0</v>
      </c>
      <c r="CQ207" s="529">
        <f t="shared" si="1084"/>
        <v>0</v>
      </c>
      <c r="CR207" s="529">
        <f t="shared" si="1085"/>
        <v>0</v>
      </c>
    </row>
    <row r="208" spans="1:96" x14ac:dyDescent="0.2">
      <c r="A208" s="763"/>
      <c r="B208" s="537" t="str">
        <f>+B201</f>
        <v>NPK 10-20-20</v>
      </c>
      <c r="C208" s="538"/>
      <c r="D208" s="607"/>
      <c r="E208" s="539"/>
      <c r="F208" s="538"/>
      <c r="G208" s="607"/>
      <c r="H208" s="539"/>
      <c r="I208" s="538"/>
      <c r="J208" s="607"/>
      <c r="K208" s="539"/>
      <c r="L208" s="538"/>
      <c r="M208" s="607"/>
      <c r="N208" s="539"/>
      <c r="O208" s="538"/>
      <c r="P208" s="607"/>
      <c r="Q208" s="539"/>
      <c r="R208" s="538"/>
      <c r="S208" s="607"/>
      <c r="T208" s="539"/>
      <c r="U208" s="538"/>
      <c r="V208" s="637"/>
      <c r="W208" s="539"/>
      <c r="X208" s="538"/>
      <c r="Y208" s="607"/>
      <c r="Z208" s="607"/>
      <c r="AA208" s="538">
        <f>+Assumptions!$I$13*$BC208*1000</f>
        <v>0</v>
      </c>
      <c r="AB208" s="607">
        <f>+AB$317+8</f>
        <v>358</v>
      </c>
      <c r="AC208" s="607">
        <f t="shared" si="1086"/>
        <v>0</v>
      </c>
      <c r="AD208" s="538">
        <f>+Assumptions!$J$13*$BC208*1000</f>
        <v>0</v>
      </c>
      <c r="AE208" s="607">
        <f>+AE$317+8</f>
        <v>369</v>
      </c>
      <c r="AF208" s="607">
        <f t="shared" si="1087"/>
        <v>0</v>
      </c>
      <c r="AG208" s="538">
        <f>+Assumptions!$K$13*$BC208*1000</f>
        <v>0</v>
      </c>
      <c r="AH208" s="607">
        <f>+AH$317+8</f>
        <v>380</v>
      </c>
      <c r="AI208" s="607">
        <f t="shared" si="1088"/>
        <v>0</v>
      </c>
      <c r="AJ208" s="538">
        <f>+Assumptions!$L$13*$BC208*1000</f>
        <v>0</v>
      </c>
      <c r="AK208" s="607">
        <f>+AK$317+8</f>
        <v>391</v>
      </c>
      <c r="AL208" s="607">
        <f t="shared" si="1089"/>
        <v>0</v>
      </c>
      <c r="AM208" s="538">
        <f>+Assumptions!$M$13*$BC208*1000</f>
        <v>0</v>
      </c>
      <c r="AN208" s="607">
        <f>+AN$317+8</f>
        <v>402</v>
      </c>
      <c r="AO208" s="607">
        <f t="shared" si="1090"/>
        <v>0</v>
      </c>
      <c r="AP208" s="538">
        <f>+Assumptions!$N$13*$BC208*1000</f>
        <v>0</v>
      </c>
      <c r="AQ208" s="607">
        <f>+AQ$317+8</f>
        <v>414</v>
      </c>
      <c r="AR208" s="607">
        <f t="shared" si="1091"/>
        <v>0</v>
      </c>
      <c r="AS208" s="538">
        <f>+Assumptions!$N$13*$BC208*1000</f>
        <v>0</v>
      </c>
      <c r="AT208" s="607">
        <f>+AT$317+8</f>
        <v>426</v>
      </c>
      <c r="AU208" s="607">
        <f t="shared" si="1122"/>
        <v>0</v>
      </c>
      <c r="AV208" s="538">
        <f>+Assumptions!$N$13*$BC208*1000</f>
        <v>0</v>
      </c>
      <c r="AW208" s="607">
        <f>+AW$317+8</f>
        <v>439</v>
      </c>
      <c r="AX208" s="607">
        <f t="shared" si="1123"/>
        <v>0</v>
      </c>
      <c r="AY208" s="538">
        <f>+Assumptions!$N$13*$BC208*1000</f>
        <v>0</v>
      </c>
      <c r="AZ208" s="607">
        <f>+AZ$317+8</f>
        <v>452</v>
      </c>
      <c r="BA208" s="607">
        <f t="shared" si="1124"/>
        <v>0</v>
      </c>
      <c r="BC208" s="710">
        <v>0</v>
      </c>
      <c r="BJ208" s="529">
        <f t="shared" si="1049"/>
        <v>0</v>
      </c>
      <c r="BK208" s="529">
        <f t="shared" si="1050"/>
        <v>0</v>
      </c>
      <c r="BL208" s="529">
        <f t="shared" si="1051"/>
        <v>0</v>
      </c>
      <c r="BM208" s="529">
        <f t="shared" si="1052"/>
        <v>0</v>
      </c>
      <c r="BN208" s="529">
        <f t="shared" si="1053"/>
        <v>0</v>
      </c>
      <c r="BO208" s="529">
        <f t="shared" si="1054"/>
        <v>0</v>
      </c>
      <c r="BP208" s="529">
        <f t="shared" si="1055"/>
        <v>0</v>
      </c>
      <c r="BQ208" s="529">
        <f t="shared" si="1056"/>
        <v>0</v>
      </c>
      <c r="BR208" s="529">
        <f t="shared" si="1057"/>
        <v>0</v>
      </c>
      <c r="BS208" s="529">
        <f t="shared" si="1058"/>
        <v>0</v>
      </c>
      <c r="BT208" s="529">
        <f t="shared" si="1059"/>
        <v>0</v>
      </c>
      <c r="BU208" s="529">
        <f t="shared" si="1060"/>
        <v>0</v>
      </c>
      <c r="BV208" s="529">
        <f t="shared" si="1061"/>
        <v>0</v>
      </c>
      <c r="BW208" s="529">
        <f t="shared" si="1062"/>
        <v>0</v>
      </c>
      <c r="BX208" s="529">
        <f t="shared" si="1063"/>
        <v>0</v>
      </c>
      <c r="BY208" s="529">
        <f t="shared" si="1064"/>
        <v>0</v>
      </c>
      <c r="BZ208" s="529">
        <f t="shared" si="1065"/>
        <v>0</v>
      </c>
      <c r="CB208" s="529">
        <f t="shared" si="1066"/>
        <v>0</v>
      </c>
      <c r="CC208" s="529">
        <f t="shared" si="1067"/>
        <v>0</v>
      </c>
      <c r="CD208" s="529">
        <f t="shared" si="1068"/>
        <v>0</v>
      </c>
      <c r="CE208" s="529">
        <f t="shared" si="1069"/>
        <v>0</v>
      </c>
      <c r="CF208" s="529">
        <f t="shared" si="1070"/>
        <v>0</v>
      </c>
      <c r="CG208" s="529">
        <f t="shared" si="1071"/>
        <v>0</v>
      </c>
      <c r="CH208" s="529">
        <f t="shared" si="1072"/>
        <v>0</v>
      </c>
      <c r="CI208" s="529">
        <f t="shared" si="1073"/>
        <v>0</v>
      </c>
      <c r="CJ208" s="529">
        <f t="shared" si="1074"/>
        <v>0</v>
      </c>
      <c r="CK208" s="529">
        <f t="shared" si="1075"/>
        <v>0</v>
      </c>
      <c r="CL208" s="529">
        <f t="shared" si="1076"/>
        <v>0</v>
      </c>
      <c r="CM208" s="529">
        <f t="shared" si="1077"/>
        <v>0</v>
      </c>
      <c r="CN208" s="529">
        <f t="shared" si="1078"/>
        <v>0</v>
      </c>
      <c r="CO208" s="529">
        <f t="shared" si="1079"/>
        <v>0</v>
      </c>
      <c r="CP208" s="529">
        <f t="shared" si="1083"/>
        <v>0</v>
      </c>
      <c r="CQ208" s="529">
        <f t="shared" si="1084"/>
        <v>0</v>
      </c>
      <c r="CR208" s="529">
        <f t="shared" si="1085"/>
        <v>0</v>
      </c>
    </row>
    <row r="209" spans="1:96" x14ac:dyDescent="0.2">
      <c r="A209" s="763"/>
      <c r="B209" s="537" t="str">
        <f t="shared" ref="B209:B210" si="1125">+B202</f>
        <v>NPK 13-13-21</v>
      </c>
      <c r="C209" s="538"/>
      <c r="D209" s="607"/>
      <c r="E209" s="539"/>
      <c r="F209" s="538"/>
      <c r="G209" s="607"/>
      <c r="H209" s="539"/>
      <c r="I209" s="538"/>
      <c r="J209" s="607"/>
      <c r="K209" s="539"/>
      <c r="L209" s="538"/>
      <c r="M209" s="607"/>
      <c r="N209" s="539"/>
      <c r="O209" s="538"/>
      <c r="P209" s="607"/>
      <c r="Q209" s="539"/>
      <c r="R209" s="538"/>
      <c r="S209" s="607"/>
      <c r="T209" s="539"/>
      <c r="U209" s="538"/>
      <c r="V209" s="637"/>
      <c r="W209" s="539"/>
      <c r="X209" s="538"/>
      <c r="Y209" s="607"/>
      <c r="Z209" s="607"/>
      <c r="AA209" s="538">
        <f>+Assumptions!$I$13*$BC209*1000</f>
        <v>0</v>
      </c>
      <c r="AB209" s="607">
        <f>+AB$318+8</f>
        <v>337</v>
      </c>
      <c r="AC209" s="607">
        <f t="shared" ref="AC209:AC210" si="1126">+AB209*AA209</f>
        <v>0</v>
      </c>
      <c r="AD209" s="538">
        <f>+Assumptions!$J$13*$BC209*1000</f>
        <v>0</v>
      </c>
      <c r="AE209" s="607">
        <f>+AE$318+8</f>
        <v>347</v>
      </c>
      <c r="AF209" s="607">
        <f t="shared" ref="AF209:AF210" si="1127">+AE209*AD209</f>
        <v>0</v>
      </c>
      <c r="AG209" s="538">
        <f>+Assumptions!$K$13*$BC209*1000</f>
        <v>0</v>
      </c>
      <c r="AH209" s="607">
        <f>+AH$318+8</f>
        <v>357</v>
      </c>
      <c r="AI209" s="607">
        <f t="shared" ref="AI209:AI210" si="1128">+AH209*AG209</f>
        <v>0</v>
      </c>
      <c r="AJ209" s="538">
        <f>+Assumptions!$L$13*$BC209*1000</f>
        <v>0</v>
      </c>
      <c r="AK209" s="607">
        <f>+AK$318+8</f>
        <v>367</v>
      </c>
      <c r="AL209" s="607">
        <f t="shared" ref="AL209:AL210" si="1129">+AK209*AJ209</f>
        <v>0</v>
      </c>
      <c r="AM209" s="538">
        <f>+Assumptions!$M$13*$BC209*1000</f>
        <v>0</v>
      </c>
      <c r="AN209" s="607">
        <f>+AN$318+8</f>
        <v>378</v>
      </c>
      <c r="AO209" s="607">
        <f t="shared" ref="AO209:AO210" si="1130">+AN209*AM209</f>
        <v>0</v>
      </c>
      <c r="AP209" s="538">
        <f>+Assumptions!$N$13*$BC209*1000</f>
        <v>0</v>
      </c>
      <c r="AQ209" s="607">
        <f>+AQ$318+8</f>
        <v>389</v>
      </c>
      <c r="AR209" s="607">
        <f t="shared" ref="AR209:AR210" si="1131">+AQ209*AP209</f>
        <v>0</v>
      </c>
      <c r="AS209" s="538">
        <f>+Assumptions!$N$13*$BC209*1000</f>
        <v>0</v>
      </c>
      <c r="AT209" s="607">
        <f>+AT$318+8</f>
        <v>400</v>
      </c>
      <c r="AU209" s="607">
        <f t="shared" si="1122"/>
        <v>0</v>
      </c>
      <c r="AV209" s="538">
        <f>+Assumptions!$N$13*$BC209*1000</f>
        <v>0</v>
      </c>
      <c r="AW209" s="607">
        <f>+AW$318+8</f>
        <v>412</v>
      </c>
      <c r="AX209" s="607">
        <f t="shared" si="1123"/>
        <v>0</v>
      </c>
      <c r="AY209" s="538">
        <f>+Assumptions!$N$13*$BC209*1000</f>
        <v>0</v>
      </c>
      <c r="AZ209" s="607">
        <f>+AZ$318+8</f>
        <v>424</v>
      </c>
      <c r="BA209" s="607">
        <f t="shared" si="1124"/>
        <v>0</v>
      </c>
      <c r="BC209" s="710">
        <v>0</v>
      </c>
      <c r="BJ209" s="529">
        <f t="shared" si="1049"/>
        <v>0</v>
      </c>
      <c r="BK209" s="529">
        <f t="shared" si="1050"/>
        <v>0</v>
      </c>
      <c r="BL209" s="529">
        <f t="shared" si="1051"/>
        <v>0</v>
      </c>
      <c r="BM209" s="529">
        <f t="shared" si="1052"/>
        <v>0</v>
      </c>
      <c r="BN209" s="529">
        <f t="shared" si="1053"/>
        <v>0</v>
      </c>
      <c r="BO209" s="529">
        <f t="shared" si="1054"/>
        <v>0</v>
      </c>
      <c r="BP209" s="529">
        <f t="shared" si="1055"/>
        <v>0</v>
      </c>
      <c r="BQ209" s="529">
        <f t="shared" si="1056"/>
        <v>0</v>
      </c>
      <c r="BR209" s="529">
        <f t="shared" si="1057"/>
        <v>0</v>
      </c>
      <c r="BS209" s="529">
        <f t="shared" si="1058"/>
        <v>0</v>
      </c>
      <c r="BT209" s="529">
        <f t="shared" si="1059"/>
        <v>0</v>
      </c>
      <c r="BU209" s="529">
        <f t="shared" si="1060"/>
        <v>0</v>
      </c>
      <c r="BV209" s="529">
        <f t="shared" si="1061"/>
        <v>0</v>
      </c>
      <c r="BW209" s="529">
        <f t="shared" si="1062"/>
        <v>0</v>
      </c>
      <c r="BX209" s="529">
        <f t="shared" si="1063"/>
        <v>0</v>
      </c>
      <c r="BY209" s="529">
        <f t="shared" si="1064"/>
        <v>0</v>
      </c>
      <c r="BZ209" s="529">
        <f t="shared" si="1065"/>
        <v>0</v>
      </c>
      <c r="CB209" s="529">
        <f t="shared" si="1066"/>
        <v>0</v>
      </c>
      <c r="CC209" s="529">
        <f t="shared" si="1067"/>
        <v>0</v>
      </c>
      <c r="CD209" s="529">
        <f t="shared" si="1068"/>
        <v>0</v>
      </c>
      <c r="CE209" s="529">
        <f t="shared" si="1069"/>
        <v>0</v>
      </c>
      <c r="CF209" s="529">
        <f t="shared" si="1070"/>
        <v>0</v>
      </c>
      <c r="CG209" s="529">
        <f t="shared" si="1071"/>
        <v>0</v>
      </c>
      <c r="CH209" s="529">
        <f t="shared" si="1072"/>
        <v>0</v>
      </c>
      <c r="CI209" s="529">
        <f t="shared" si="1073"/>
        <v>0</v>
      </c>
      <c r="CJ209" s="529">
        <f t="shared" si="1074"/>
        <v>0</v>
      </c>
      <c r="CK209" s="529">
        <f t="shared" si="1075"/>
        <v>0</v>
      </c>
      <c r="CL209" s="529">
        <f t="shared" si="1076"/>
        <v>0</v>
      </c>
      <c r="CM209" s="529">
        <f t="shared" si="1077"/>
        <v>0</v>
      </c>
      <c r="CN209" s="529">
        <f t="shared" si="1078"/>
        <v>0</v>
      </c>
      <c r="CO209" s="529">
        <f t="shared" si="1079"/>
        <v>0</v>
      </c>
      <c r="CP209" s="529">
        <f t="shared" si="1083"/>
        <v>0</v>
      </c>
      <c r="CQ209" s="529">
        <f t="shared" si="1084"/>
        <v>0</v>
      </c>
      <c r="CR209" s="529">
        <f t="shared" si="1085"/>
        <v>0</v>
      </c>
    </row>
    <row r="210" spans="1:96" x14ac:dyDescent="0.2">
      <c r="A210" s="763"/>
      <c r="B210" s="537" t="str">
        <f t="shared" si="1125"/>
        <v>NPK 00-00-00</v>
      </c>
      <c r="C210" s="538"/>
      <c r="D210" s="607"/>
      <c r="E210" s="539"/>
      <c r="F210" s="538"/>
      <c r="G210" s="607"/>
      <c r="H210" s="539"/>
      <c r="I210" s="538"/>
      <c r="J210" s="607"/>
      <c r="K210" s="539"/>
      <c r="L210" s="538"/>
      <c r="M210" s="607"/>
      <c r="N210" s="539"/>
      <c r="O210" s="538"/>
      <c r="P210" s="607"/>
      <c r="Q210" s="539"/>
      <c r="R210" s="538"/>
      <c r="S210" s="607"/>
      <c r="T210" s="539"/>
      <c r="U210" s="538"/>
      <c r="V210" s="637"/>
      <c r="W210" s="539"/>
      <c r="X210" s="538"/>
      <c r="Y210" s="607"/>
      <c r="Z210" s="607"/>
      <c r="AA210" s="538">
        <f>+Assumptions!$I$13*$BC210*1000</f>
        <v>0</v>
      </c>
      <c r="AB210" s="607">
        <f>+AB$319+8</f>
        <v>8</v>
      </c>
      <c r="AC210" s="607">
        <f t="shared" si="1126"/>
        <v>0</v>
      </c>
      <c r="AD210" s="538">
        <f>+Assumptions!$J$13*$BC210*1000</f>
        <v>0</v>
      </c>
      <c r="AE210" s="607">
        <f>+AE$319+8</f>
        <v>8</v>
      </c>
      <c r="AF210" s="607">
        <f t="shared" si="1127"/>
        <v>0</v>
      </c>
      <c r="AG210" s="538">
        <f>+Assumptions!$K$13*$BC210*1000</f>
        <v>0</v>
      </c>
      <c r="AH210" s="607">
        <f>+AH$319+8</f>
        <v>8</v>
      </c>
      <c r="AI210" s="607">
        <f t="shared" si="1128"/>
        <v>0</v>
      </c>
      <c r="AJ210" s="538">
        <f>+Assumptions!$L$13*$BC210*1000</f>
        <v>0</v>
      </c>
      <c r="AK210" s="607">
        <f>+AK$319+8</f>
        <v>8</v>
      </c>
      <c r="AL210" s="607">
        <f t="shared" si="1129"/>
        <v>0</v>
      </c>
      <c r="AM210" s="538">
        <f>+Assumptions!$M$13*$BC210*1000</f>
        <v>0</v>
      </c>
      <c r="AN210" s="607">
        <f>+AN$319+8</f>
        <v>8</v>
      </c>
      <c r="AO210" s="607">
        <f t="shared" si="1130"/>
        <v>0</v>
      </c>
      <c r="AP210" s="538">
        <f>+Assumptions!$N$13*$BC210*1000</f>
        <v>0</v>
      </c>
      <c r="AQ210" s="607">
        <f>+AQ$319+8</f>
        <v>8</v>
      </c>
      <c r="AR210" s="607">
        <f t="shared" si="1131"/>
        <v>0</v>
      </c>
      <c r="AS210" s="538">
        <f>+Assumptions!$N$13*$BC210*1000</f>
        <v>0</v>
      </c>
      <c r="AT210" s="607">
        <f>+AT$319+8</f>
        <v>8</v>
      </c>
      <c r="AU210" s="607">
        <f t="shared" si="1122"/>
        <v>0</v>
      </c>
      <c r="AV210" s="538">
        <f>+Assumptions!$N$13*$BC210*1000</f>
        <v>0</v>
      </c>
      <c r="AW210" s="607">
        <f>+AW$319+8</f>
        <v>8</v>
      </c>
      <c r="AX210" s="607">
        <f t="shared" si="1123"/>
        <v>0</v>
      </c>
      <c r="AY210" s="538">
        <f>+Assumptions!$N$13*$BC210*1000</f>
        <v>0</v>
      </c>
      <c r="AZ210" s="607">
        <f>+AZ$319+8</f>
        <v>8</v>
      </c>
      <c r="BA210" s="607">
        <f t="shared" si="1124"/>
        <v>0</v>
      </c>
      <c r="BC210" s="710">
        <v>0</v>
      </c>
      <c r="BJ210" s="529">
        <f t="shared" si="1049"/>
        <v>0</v>
      </c>
      <c r="BK210" s="529">
        <f t="shared" si="1050"/>
        <v>0</v>
      </c>
      <c r="BL210" s="529">
        <f t="shared" si="1051"/>
        <v>0</v>
      </c>
      <c r="BM210" s="529">
        <f t="shared" si="1052"/>
        <v>0</v>
      </c>
      <c r="BN210" s="529">
        <f t="shared" si="1053"/>
        <v>0</v>
      </c>
      <c r="BO210" s="529">
        <f t="shared" si="1054"/>
        <v>0</v>
      </c>
      <c r="BP210" s="529">
        <f t="shared" si="1055"/>
        <v>0</v>
      </c>
      <c r="BQ210" s="529">
        <f t="shared" si="1056"/>
        <v>0</v>
      </c>
      <c r="BR210" s="529">
        <f t="shared" si="1057"/>
        <v>0</v>
      </c>
      <c r="BS210" s="529">
        <f t="shared" si="1058"/>
        <v>0</v>
      </c>
      <c r="BT210" s="529">
        <f t="shared" si="1059"/>
        <v>0</v>
      </c>
      <c r="BU210" s="529">
        <f t="shared" si="1060"/>
        <v>0</v>
      </c>
      <c r="BV210" s="529">
        <f t="shared" si="1061"/>
        <v>0</v>
      </c>
      <c r="BW210" s="529">
        <f t="shared" si="1062"/>
        <v>0</v>
      </c>
      <c r="BX210" s="529">
        <f t="shared" si="1063"/>
        <v>0</v>
      </c>
      <c r="BY210" s="529">
        <f t="shared" si="1064"/>
        <v>0</v>
      </c>
      <c r="BZ210" s="529">
        <f t="shared" si="1065"/>
        <v>0</v>
      </c>
      <c r="CB210" s="529">
        <f t="shared" si="1066"/>
        <v>0</v>
      </c>
      <c r="CC210" s="529">
        <f t="shared" si="1067"/>
        <v>0</v>
      </c>
      <c r="CD210" s="529">
        <f t="shared" si="1068"/>
        <v>0</v>
      </c>
      <c r="CE210" s="529">
        <f t="shared" si="1069"/>
        <v>0</v>
      </c>
      <c r="CF210" s="529">
        <f t="shared" si="1070"/>
        <v>0</v>
      </c>
      <c r="CG210" s="529">
        <f t="shared" si="1071"/>
        <v>0</v>
      </c>
      <c r="CH210" s="529">
        <f t="shared" si="1072"/>
        <v>0</v>
      </c>
      <c r="CI210" s="529">
        <f t="shared" si="1073"/>
        <v>0</v>
      </c>
      <c r="CJ210" s="529">
        <f t="shared" si="1074"/>
        <v>0</v>
      </c>
      <c r="CK210" s="529">
        <f t="shared" si="1075"/>
        <v>0</v>
      </c>
      <c r="CL210" s="529">
        <f t="shared" si="1076"/>
        <v>0</v>
      </c>
      <c r="CM210" s="529">
        <f t="shared" si="1077"/>
        <v>0</v>
      </c>
      <c r="CN210" s="529">
        <f t="shared" si="1078"/>
        <v>0</v>
      </c>
      <c r="CO210" s="529">
        <f t="shared" si="1079"/>
        <v>0</v>
      </c>
      <c r="CP210" s="529">
        <f t="shared" si="1083"/>
        <v>0</v>
      </c>
      <c r="CQ210" s="529">
        <f t="shared" si="1084"/>
        <v>0</v>
      </c>
      <c r="CR210" s="529">
        <f t="shared" si="1085"/>
        <v>0</v>
      </c>
    </row>
    <row r="211" spans="1:96" x14ac:dyDescent="0.2">
      <c r="A211" s="765"/>
      <c r="B211" s="611"/>
      <c r="C211" s="543"/>
      <c r="D211" s="609"/>
      <c r="E211" s="544"/>
      <c r="F211" s="543"/>
      <c r="G211" s="609"/>
      <c r="H211" s="544"/>
      <c r="I211" s="543"/>
      <c r="J211" s="609"/>
      <c r="K211" s="544"/>
      <c r="L211" s="543"/>
      <c r="M211" s="609"/>
      <c r="N211" s="544"/>
      <c r="O211" s="543"/>
      <c r="P211" s="609"/>
      <c r="Q211" s="544"/>
      <c r="R211" s="543"/>
      <c r="S211" s="609"/>
      <c r="T211" s="544"/>
      <c r="U211" s="543"/>
      <c r="V211" s="638"/>
      <c r="W211" s="544"/>
      <c r="X211" s="543"/>
      <c r="Y211" s="609"/>
      <c r="Z211" s="609"/>
      <c r="AA211" s="543"/>
      <c r="AB211" s="609"/>
      <c r="AC211" s="609"/>
      <c r="AD211" s="543"/>
      <c r="AE211" s="609"/>
      <c r="AF211" s="609"/>
      <c r="AG211" s="543"/>
      <c r="AH211" s="609"/>
      <c r="AI211" s="609"/>
      <c r="AJ211" s="543"/>
      <c r="AK211" s="609"/>
      <c r="AL211" s="609"/>
      <c r="AM211" s="543"/>
      <c r="AN211" s="609"/>
      <c r="AO211" s="609"/>
      <c r="AP211" s="543"/>
      <c r="AQ211" s="609"/>
      <c r="AR211" s="609"/>
      <c r="AS211" s="543"/>
      <c r="AT211" s="609"/>
      <c r="AU211" s="609"/>
      <c r="AV211" s="543"/>
      <c r="AW211" s="609"/>
      <c r="AX211" s="609"/>
      <c r="AY211" s="543"/>
      <c r="AZ211" s="609"/>
      <c r="BA211" s="609"/>
      <c r="BC211" s="710" t="e">
        <v>#N/A</v>
      </c>
      <c r="BJ211" s="529">
        <f t="shared" si="1049"/>
        <v>0</v>
      </c>
      <c r="BK211" s="529">
        <f t="shared" si="1050"/>
        <v>0</v>
      </c>
      <c r="BL211" s="529">
        <f t="shared" si="1051"/>
        <v>0</v>
      </c>
      <c r="BM211" s="529">
        <f t="shared" si="1052"/>
        <v>0</v>
      </c>
      <c r="BN211" s="529">
        <f t="shared" si="1053"/>
        <v>0</v>
      </c>
      <c r="BO211" s="529">
        <f t="shared" si="1054"/>
        <v>0</v>
      </c>
      <c r="BP211" s="529">
        <f t="shared" si="1055"/>
        <v>0</v>
      </c>
      <c r="BQ211" s="529">
        <f t="shared" si="1056"/>
        <v>0</v>
      </c>
      <c r="BR211" s="529">
        <f t="shared" si="1057"/>
        <v>0</v>
      </c>
      <c r="BS211" s="529">
        <f t="shared" si="1058"/>
        <v>0</v>
      </c>
      <c r="BT211" s="529">
        <f t="shared" si="1059"/>
        <v>0</v>
      </c>
      <c r="BU211" s="529">
        <f t="shared" si="1060"/>
        <v>0</v>
      </c>
      <c r="BV211" s="529">
        <f t="shared" si="1061"/>
        <v>0</v>
      </c>
      <c r="BW211" s="529">
        <f t="shared" si="1062"/>
        <v>0</v>
      </c>
      <c r="BX211" s="529">
        <f t="shared" si="1063"/>
        <v>0</v>
      </c>
      <c r="BY211" s="529">
        <f t="shared" si="1064"/>
        <v>0</v>
      </c>
      <c r="BZ211" s="529">
        <f t="shared" si="1065"/>
        <v>0</v>
      </c>
      <c r="CB211" s="529">
        <f t="shared" si="1066"/>
        <v>0</v>
      </c>
      <c r="CC211" s="529">
        <f t="shared" si="1067"/>
        <v>0</v>
      </c>
      <c r="CD211" s="529">
        <f t="shared" si="1068"/>
        <v>0</v>
      </c>
      <c r="CE211" s="529">
        <f t="shared" si="1069"/>
        <v>0</v>
      </c>
      <c r="CF211" s="529">
        <f t="shared" si="1070"/>
        <v>0</v>
      </c>
      <c r="CG211" s="529">
        <f t="shared" si="1071"/>
        <v>0</v>
      </c>
      <c r="CH211" s="529">
        <f t="shared" si="1072"/>
        <v>0</v>
      </c>
      <c r="CI211" s="529">
        <f t="shared" si="1073"/>
        <v>0</v>
      </c>
      <c r="CJ211" s="529">
        <f t="shared" si="1074"/>
        <v>0</v>
      </c>
      <c r="CK211" s="529">
        <f t="shared" si="1075"/>
        <v>0</v>
      </c>
      <c r="CL211" s="529">
        <f t="shared" si="1076"/>
        <v>0</v>
      </c>
      <c r="CM211" s="529">
        <f t="shared" si="1077"/>
        <v>0</v>
      </c>
      <c r="CN211" s="529">
        <f t="shared" si="1078"/>
        <v>0</v>
      </c>
      <c r="CO211" s="529">
        <f t="shared" si="1079"/>
        <v>0</v>
      </c>
      <c r="CP211" s="529">
        <f t="shared" si="1083"/>
        <v>0</v>
      </c>
      <c r="CQ211" s="529">
        <f t="shared" si="1084"/>
        <v>0</v>
      </c>
      <c r="CR211" s="529">
        <f t="shared" si="1085"/>
        <v>0</v>
      </c>
    </row>
    <row r="212" spans="1:96" x14ac:dyDescent="0.2">
      <c r="A212" s="762" t="s">
        <v>735</v>
      </c>
      <c r="B212" s="610" t="str">
        <f>+B205</f>
        <v>NPK 15-15-15</v>
      </c>
      <c r="C212" s="605"/>
      <c r="D212" s="603"/>
      <c r="E212" s="604"/>
      <c r="F212" s="605"/>
      <c r="G212" s="603"/>
      <c r="H212" s="604"/>
      <c r="I212" s="605"/>
      <c r="J212" s="603"/>
      <c r="K212" s="604"/>
      <c r="L212" s="605"/>
      <c r="M212" s="603"/>
      <c r="N212" s="604"/>
      <c r="O212" s="605"/>
      <c r="P212" s="603"/>
      <c r="Q212" s="604"/>
      <c r="R212" s="605"/>
      <c r="S212" s="603"/>
      <c r="T212" s="604"/>
      <c r="U212" s="605"/>
      <c r="V212" s="636"/>
      <c r="W212" s="604"/>
      <c r="X212" s="605"/>
      <c r="Y212" s="603"/>
      <c r="Z212" s="603"/>
      <c r="AA212" s="605">
        <f>+Assumptions!$I$13*$BC212*1000</f>
        <v>0</v>
      </c>
      <c r="AB212" s="603">
        <f>+AB$314+11</f>
        <v>326</v>
      </c>
      <c r="AC212" s="603">
        <f t="shared" ref="AC212:AC217" si="1132">+AB212*AA212</f>
        <v>0</v>
      </c>
      <c r="AD212" s="605">
        <f>+Assumptions!$J$13*$BC212*1000</f>
        <v>0</v>
      </c>
      <c r="AE212" s="603">
        <f>+AE$314+11</f>
        <v>335</v>
      </c>
      <c r="AF212" s="603">
        <f t="shared" ref="AF212:AF217" si="1133">+AE212*AD212</f>
        <v>0</v>
      </c>
      <c r="AG212" s="605">
        <f>+Assumptions!$K$13*$BC212*1000</f>
        <v>0</v>
      </c>
      <c r="AH212" s="603">
        <f>+AH$314+11</f>
        <v>345</v>
      </c>
      <c r="AI212" s="603">
        <f t="shared" ref="AI212:AI217" si="1134">+AH212*AG212</f>
        <v>0</v>
      </c>
      <c r="AJ212" s="605">
        <f>+Assumptions!$L$13*$BC212*1000</f>
        <v>0</v>
      </c>
      <c r="AK212" s="603">
        <f>+AK$314+11</f>
        <v>355</v>
      </c>
      <c r="AL212" s="603">
        <f t="shared" ref="AL212:AL217" si="1135">+AK212*AJ212</f>
        <v>0</v>
      </c>
      <c r="AM212" s="605">
        <f>+Assumptions!$M$13*$BC212*1000</f>
        <v>0</v>
      </c>
      <c r="AN212" s="603">
        <f>+AN$314+11</f>
        <v>365</v>
      </c>
      <c r="AO212" s="603">
        <f t="shared" ref="AO212:AO217" si="1136">+AN212*AM212</f>
        <v>0</v>
      </c>
      <c r="AP212" s="605">
        <f>+Assumptions!$N$13*$BC212*1000</f>
        <v>0</v>
      </c>
      <c r="AQ212" s="603">
        <f>+AQ$314+11</f>
        <v>376</v>
      </c>
      <c r="AR212" s="603">
        <f t="shared" ref="AR212:AR217" si="1137">+AQ212*AP212</f>
        <v>0</v>
      </c>
      <c r="AS212" s="605">
        <f>+Assumptions!$N$13*$BC212*1000</f>
        <v>0</v>
      </c>
      <c r="AT212" s="603">
        <f>+AT$314+11</f>
        <v>387</v>
      </c>
      <c r="AU212" s="603">
        <f t="shared" ref="AU212:AU217" si="1138">+AT212*AS212</f>
        <v>0</v>
      </c>
      <c r="AV212" s="605">
        <f>+Assumptions!$N$13*$BC212*1000</f>
        <v>0</v>
      </c>
      <c r="AW212" s="603">
        <f>+AW$314+11</f>
        <v>398</v>
      </c>
      <c r="AX212" s="603">
        <f t="shared" ref="AX212:AX217" si="1139">+AW212*AV212</f>
        <v>0</v>
      </c>
      <c r="AY212" s="605">
        <f>+Assumptions!$N$13*$BC212*1000</f>
        <v>0</v>
      </c>
      <c r="AZ212" s="603">
        <f>+AZ$314+11</f>
        <v>410</v>
      </c>
      <c r="BA212" s="603">
        <f t="shared" ref="BA212:BA217" si="1140">+AZ212*AY212</f>
        <v>0</v>
      </c>
      <c r="BC212" s="710">
        <v>0</v>
      </c>
      <c r="BJ212" s="529">
        <f t="shared" si="1049"/>
        <v>0</v>
      </c>
      <c r="BK212" s="529">
        <f t="shared" si="1050"/>
        <v>0</v>
      </c>
      <c r="BL212" s="529">
        <f t="shared" si="1051"/>
        <v>0</v>
      </c>
      <c r="BM212" s="529">
        <f t="shared" si="1052"/>
        <v>0</v>
      </c>
      <c r="BN212" s="529">
        <f t="shared" si="1053"/>
        <v>0</v>
      </c>
      <c r="BO212" s="529">
        <f t="shared" si="1054"/>
        <v>0</v>
      </c>
      <c r="BP212" s="529">
        <f t="shared" si="1055"/>
        <v>0</v>
      </c>
      <c r="BQ212" s="529">
        <f t="shared" si="1056"/>
        <v>0</v>
      </c>
      <c r="BR212" s="529">
        <f t="shared" si="1057"/>
        <v>0</v>
      </c>
      <c r="BS212" s="529">
        <f t="shared" si="1058"/>
        <v>0</v>
      </c>
      <c r="BT212" s="529">
        <f t="shared" si="1059"/>
        <v>0</v>
      </c>
      <c r="BU212" s="529">
        <f t="shared" si="1060"/>
        <v>0</v>
      </c>
      <c r="BV212" s="529">
        <f t="shared" si="1061"/>
        <v>0</v>
      </c>
      <c r="BW212" s="529">
        <f t="shared" si="1062"/>
        <v>0</v>
      </c>
      <c r="BX212" s="529">
        <f t="shared" si="1063"/>
        <v>0</v>
      </c>
      <c r="BY212" s="529">
        <f t="shared" si="1064"/>
        <v>0</v>
      </c>
      <c r="BZ212" s="529">
        <f t="shared" si="1065"/>
        <v>0</v>
      </c>
      <c r="CB212" s="529">
        <f t="shared" si="1066"/>
        <v>0</v>
      </c>
      <c r="CC212" s="529">
        <f t="shared" si="1067"/>
        <v>0</v>
      </c>
      <c r="CD212" s="529">
        <f t="shared" si="1068"/>
        <v>0</v>
      </c>
      <c r="CE212" s="529">
        <f t="shared" si="1069"/>
        <v>0</v>
      </c>
      <c r="CF212" s="529">
        <f t="shared" si="1070"/>
        <v>0</v>
      </c>
      <c r="CG212" s="529">
        <f t="shared" si="1071"/>
        <v>0</v>
      </c>
      <c r="CH212" s="529">
        <f t="shared" si="1072"/>
        <v>0</v>
      </c>
      <c r="CI212" s="529">
        <f t="shared" si="1073"/>
        <v>0</v>
      </c>
      <c r="CJ212" s="529">
        <f t="shared" si="1074"/>
        <v>0</v>
      </c>
      <c r="CK212" s="529">
        <f t="shared" si="1075"/>
        <v>0</v>
      </c>
      <c r="CL212" s="529">
        <f t="shared" si="1076"/>
        <v>0</v>
      </c>
      <c r="CM212" s="529">
        <f t="shared" si="1077"/>
        <v>0</v>
      </c>
      <c r="CN212" s="529">
        <f t="shared" si="1078"/>
        <v>0</v>
      </c>
      <c r="CO212" s="529">
        <f t="shared" si="1079"/>
        <v>0</v>
      </c>
      <c r="CP212" s="529">
        <f t="shared" si="1083"/>
        <v>0</v>
      </c>
      <c r="CQ212" s="529">
        <f t="shared" si="1084"/>
        <v>0</v>
      </c>
      <c r="CR212" s="529">
        <f t="shared" si="1085"/>
        <v>0</v>
      </c>
    </row>
    <row r="213" spans="1:96" x14ac:dyDescent="0.2">
      <c r="A213" s="763"/>
      <c r="B213" s="537" t="str">
        <f>+B206</f>
        <v>NPK 16-16-16</v>
      </c>
      <c r="C213" s="538"/>
      <c r="D213" s="607"/>
      <c r="E213" s="539"/>
      <c r="F213" s="538"/>
      <c r="G213" s="607"/>
      <c r="H213" s="539"/>
      <c r="I213" s="538"/>
      <c r="J213" s="607"/>
      <c r="K213" s="539"/>
      <c r="L213" s="538"/>
      <c r="M213" s="607"/>
      <c r="N213" s="539"/>
      <c r="O213" s="538"/>
      <c r="P213" s="607"/>
      <c r="Q213" s="539"/>
      <c r="R213" s="538"/>
      <c r="S213" s="607"/>
      <c r="T213" s="539"/>
      <c r="U213" s="538"/>
      <c r="V213" s="637"/>
      <c r="W213" s="539"/>
      <c r="X213" s="538"/>
      <c r="Y213" s="607"/>
      <c r="Z213" s="607"/>
      <c r="AA213" s="538">
        <f>+Assumptions!$I$13*$BC213*1000</f>
        <v>2800</v>
      </c>
      <c r="AB213" s="607">
        <f>+AB$315+11</f>
        <v>348</v>
      </c>
      <c r="AC213" s="607">
        <f t="shared" si="1132"/>
        <v>974400</v>
      </c>
      <c r="AD213" s="538">
        <f>+Assumptions!$J$13*$BC213*1000</f>
        <v>5600</v>
      </c>
      <c r="AE213" s="607">
        <f>+AE$315+11</f>
        <v>358</v>
      </c>
      <c r="AF213" s="607">
        <f t="shared" si="1133"/>
        <v>2004800</v>
      </c>
      <c r="AG213" s="538">
        <f>+Assumptions!$K$13*$BC213*1000</f>
        <v>5600</v>
      </c>
      <c r="AH213" s="607">
        <f>+AH$315+11</f>
        <v>368</v>
      </c>
      <c r="AI213" s="607">
        <f t="shared" si="1134"/>
        <v>2060800</v>
      </c>
      <c r="AJ213" s="538">
        <f>+Assumptions!$L$13*$BC213*1000</f>
        <v>5600</v>
      </c>
      <c r="AK213" s="607">
        <f>+AK$315+11</f>
        <v>379</v>
      </c>
      <c r="AL213" s="607">
        <f t="shared" si="1135"/>
        <v>2122400</v>
      </c>
      <c r="AM213" s="538">
        <f>+Assumptions!$M$13*$BC213*1000</f>
        <v>5600</v>
      </c>
      <c r="AN213" s="607">
        <f>+AN$315+11</f>
        <v>390</v>
      </c>
      <c r="AO213" s="607">
        <f t="shared" si="1136"/>
        <v>2184000</v>
      </c>
      <c r="AP213" s="538">
        <f>+Assumptions!$N$13*$BC213*1000</f>
        <v>5600</v>
      </c>
      <c r="AQ213" s="607">
        <f>+AQ$315+11</f>
        <v>401</v>
      </c>
      <c r="AR213" s="607">
        <f t="shared" si="1137"/>
        <v>2245600</v>
      </c>
      <c r="AS213" s="538">
        <f>+Assumptions!$N$13*$BC213*1000</f>
        <v>5600</v>
      </c>
      <c r="AT213" s="607">
        <f>+AT$315+11</f>
        <v>413</v>
      </c>
      <c r="AU213" s="607">
        <f t="shared" si="1138"/>
        <v>2312800</v>
      </c>
      <c r="AV213" s="538">
        <f>+Assumptions!$N$13*$BC213*1000</f>
        <v>5600</v>
      </c>
      <c r="AW213" s="607">
        <f>+AW$315+11</f>
        <v>425</v>
      </c>
      <c r="AX213" s="607">
        <f t="shared" si="1139"/>
        <v>2380000</v>
      </c>
      <c r="AY213" s="538">
        <f>+Assumptions!$N$13*$BC213*1000</f>
        <v>5600</v>
      </c>
      <c r="AZ213" s="607">
        <f>+AZ$315+11</f>
        <v>437</v>
      </c>
      <c r="BA213" s="607">
        <f t="shared" si="1140"/>
        <v>2447200</v>
      </c>
      <c r="BC213" s="710">
        <v>3.4999999999999996E-2</v>
      </c>
      <c r="BD213" s="729">
        <v>0.05</v>
      </c>
      <c r="BJ213" s="529">
        <f t="shared" si="1049"/>
        <v>0</v>
      </c>
      <c r="BK213" s="529">
        <f t="shared" si="1050"/>
        <v>0</v>
      </c>
      <c r="BL213" s="529">
        <f t="shared" si="1051"/>
        <v>0</v>
      </c>
      <c r="BM213" s="529">
        <f t="shared" si="1052"/>
        <v>0</v>
      </c>
      <c r="BN213" s="529">
        <f t="shared" si="1053"/>
        <v>0</v>
      </c>
      <c r="BO213" s="529">
        <f t="shared" si="1054"/>
        <v>0</v>
      </c>
      <c r="BP213" s="529">
        <f t="shared" si="1055"/>
        <v>0</v>
      </c>
      <c r="BQ213" s="529">
        <f t="shared" si="1056"/>
        <v>0</v>
      </c>
      <c r="BR213" s="529">
        <f t="shared" si="1057"/>
        <v>0.97440000000000004</v>
      </c>
      <c r="BS213" s="529">
        <f t="shared" si="1058"/>
        <v>2.0047999999999999</v>
      </c>
      <c r="BT213" s="529">
        <f t="shared" si="1059"/>
        <v>2.0608</v>
      </c>
      <c r="BU213" s="529">
        <f t="shared" si="1060"/>
        <v>2.1223999999999998</v>
      </c>
      <c r="BV213" s="529">
        <f t="shared" si="1061"/>
        <v>2.1840000000000002</v>
      </c>
      <c r="BW213" s="529">
        <f t="shared" si="1062"/>
        <v>2.2456</v>
      </c>
      <c r="BX213" s="529">
        <f t="shared" si="1063"/>
        <v>2.3128000000000002</v>
      </c>
      <c r="BY213" s="529">
        <f t="shared" si="1064"/>
        <v>2.38</v>
      </c>
      <c r="BZ213" s="529">
        <f t="shared" si="1065"/>
        <v>2.4472</v>
      </c>
      <c r="CB213" s="529">
        <f t="shared" si="1066"/>
        <v>0</v>
      </c>
      <c r="CC213" s="529">
        <f t="shared" si="1067"/>
        <v>0</v>
      </c>
      <c r="CD213" s="529">
        <f t="shared" si="1068"/>
        <v>0</v>
      </c>
      <c r="CE213" s="529">
        <f t="shared" si="1069"/>
        <v>0</v>
      </c>
      <c r="CF213" s="529">
        <f t="shared" si="1070"/>
        <v>0</v>
      </c>
      <c r="CG213" s="529">
        <f t="shared" si="1071"/>
        <v>0</v>
      </c>
      <c r="CH213" s="529">
        <f t="shared" si="1072"/>
        <v>0</v>
      </c>
      <c r="CI213" s="529">
        <f t="shared" si="1073"/>
        <v>0</v>
      </c>
      <c r="CJ213" s="529">
        <f t="shared" si="1074"/>
        <v>2800</v>
      </c>
      <c r="CK213" s="529">
        <f t="shared" si="1075"/>
        <v>5600</v>
      </c>
      <c r="CL213" s="529">
        <f t="shared" si="1076"/>
        <v>5600</v>
      </c>
      <c r="CM213" s="529">
        <f t="shared" si="1077"/>
        <v>5600</v>
      </c>
      <c r="CN213" s="529">
        <f t="shared" si="1078"/>
        <v>5600</v>
      </c>
      <c r="CO213" s="529">
        <f t="shared" si="1079"/>
        <v>5600</v>
      </c>
      <c r="CP213" s="529">
        <f t="shared" si="1083"/>
        <v>5600</v>
      </c>
      <c r="CQ213" s="529">
        <f t="shared" si="1084"/>
        <v>5600</v>
      </c>
      <c r="CR213" s="529">
        <f t="shared" si="1085"/>
        <v>5600</v>
      </c>
    </row>
    <row r="214" spans="1:96" x14ac:dyDescent="0.2">
      <c r="A214" s="764"/>
      <c r="B214" s="537" t="str">
        <f>+B207</f>
        <v>NPK 10-26-26</v>
      </c>
      <c r="C214" s="538"/>
      <c r="D214" s="607"/>
      <c r="E214" s="539"/>
      <c r="F214" s="538"/>
      <c r="G214" s="607"/>
      <c r="H214" s="539"/>
      <c r="I214" s="538"/>
      <c r="J214" s="607"/>
      <c r="K214" s="539"/>
      <c r="L214" s="538"/>
      <c r="M214" s="607"/>
      <c r="N214" s="539"/>
      <c r="O214" s="538"/>
      <c r="P214" s="607"/>
      <c r="Q214" s="539"/>
      <c r="R214" s="538"/>
      <c r="S214" s="607"/>
      <c r="T214" s="539"/>
      <c r="U214" s="538"/>
      <c r="V214" s="637"/>
      <c r="W214" s="539"/>
      <c r="X214" s="538"/>
      <c r="Y214" s="607"/>
      <c r="Z214" s="607"/>
      <c r="AA214" s="538">
        <f>+Assumptions!$I$13*$BC214*1000</f>
        <v>0</v>
      </c>
      <c r="AB214" s="607">
        <f>+AB$316+11</f>
        <v>445</v>
      </c>
      <c r="AC214" s="607">
        <f t="shared" si="1132"/>
        <v>0</v>
      </c>
      <c r="AD214" s="538">
        <f>+Assumptions!$J$13*$BC214*1000</f>
        <v>0</v>
      </c>
      <c r="AE214" s="607">
        <f>+AE$316+11</f>
        <v>458</v>
      </c>
      <c r="AF214" s="607">
        <f t="shared" si="1133"/>
        <v>0</v>
      </c>
      <c r="AG214" s="538">
        <f>+Assumptions!$K$13*$BC214*1000</f>
        <v>0</v>
      </c>
      <c r="AH214" s="607">
        <f>+AH$316+11</f>
        <v>471</v>
      </c>
      <c r="AI214" s="607">
        <f t="shared" si="1134"/>
        <v>0</v>
      </c>
      <c r="AJ214" s="538">
        <f>+Assumptions!$L$13*$BC214*1000</f>
        <v>0</v>
      </c>
      <c r="AK214" s="607">
        <f>+AK$316+11</f>
        <v>485</v>
      </c>
      <c r="AL214" s="607">
        <f t="shared" si="1135"/>
        <v>0</v>
      </c>
      <c r="AM214" s="538">
        <f>+Assumptions!$M$13*$BC214*1000</f>
        <v>0</v>
      </c>
      <c r="AN214" s="607">
        <f>+AN$316+11</f>
        <v>499</v>
      </c>
      <c r="AO214" s="607">
        <f t="shared" si="1136"/>
        <v>0</v>
      </c>
      <c r="AP214" s="538">
        <f>+Assumptions!$N$13*$BC214*1000</f>
        <v>0</v>
      </c>
      <c r="AQ214" s="607">
        <f>+AQ$316+11</f>
        <v>514</v>
      </c>
      <c r="AR214" s="607">
        <f t="shared" si="1137"/>
        <v>0</v>
      </c>
      <c r="AS214" s="538">
        <f>+Assumptions!$N$13*$BC214*1000</f>
        <v>0</v>
      </c>
      <c r="AT214" s="607">
        <f>+AT$316+11</f>
        <v>529</v>
      </c>
      <c r="AU214" s="607">
        <f t="shared" si="1138"/>
        <v>0</v>
      </c>
      <c r="AV214" s="538">
        <f>+Assumptions!$N$13*$BC214*1000</f>
        <v>0</v>
      </c>
      <c r="AW214" s="607">
        <f>+AW$316+11</f>
        <v>545</v>
      </c>
      <c r="AX214" s="607">
        <f t="shared" si="1139"/>
        <v>0</v>
      </c>
      <c r="AY214" s="538">
        <f>+Assumptions!$N$13*$BC214*1000</f>
        <v>0</v>
      </c>
      <c r="AZ214" s="607">
        <f>+AZ$316+11</f>
        <v>561</v>
      </c>
      <c r="BA214" s="607">
        <f t="shared" si="1140"/>
        <v>0</v>
      </c>
      <c r="BC214" s="710">
        <v>0</v>
      </c>
      <c r="BJ214" s="529">
        <f t="shared" si="1049"/>
        <v>0</v>
      </c>
      <c r="BK214" s="529">
        <f t="shared" si="1050"/>
        <v>0</v>
      </c>
      <c r="BL214" s="529">
        <f t="shared" si="1051"/>
        <v>0</v>
      </c>
      <c r="BM214" s="529">
        <f t="shared" si="1052"/>
        <v>0</v>
      </c>
      <c r="BN214" s="529">
        <f t="shared" si="1053"/>
        <v>0</v>
      </c>
      <c r="BO214" s="529">
        <f t="shared" si="1054"/>
        <v>0</v>
      </c>
      <c r="BP214" s="529">
        <f t="shared" si="1055"/>
        <v>0</v>
      </c>
      <c r="BQ214" s="529">
        <f t="shared" si="1056"/>
        <v>0</v>
      </c>
      <c r="BR214" s="529">
        <f t="shared" si="1057"/>
        <v>0</v>
      </c>
      <c r="BS214" s="529">
        <f t="shared" si="1058"/>
        <v>0</v>
      </c>
      <c r="BT214" s="529">
        <f t="shared" si="1059"/>
        <v>0</v>
      </c>
      <c r="BU214" s="529">
        <f t="shared" si="1060"/>
        <v>0</v>
      </c>
      <c r="BV214" s="529">
        <f t="shared" si="1061"/>
        <v>0</v>
      </c>
      <c r="BW214" s="529">
        <f t="shared" si="1062"/>
        <v>0</v>
      </c>
      <c r="BX214" s="529">
        <f t="shared" si="1063"/>
        <v>0</v>
      </c>
      <c r="BY214" s="529">
        <f t="shared" si="1064"/>
        <v>0</v>
      </c>
      <c r="BZ214" s="529">
        <f t="shared" si="1065"/>
        <v>0</v>
      </c>
      <c r="CB214" s="529">
        <f t="shared" si="1066"/>
        <v>0</v>
      </c>
      <c r="CC214" s="529">
        <f t="shared" si="1067"/>
        <v>0</v>
      </c>
      <c r="CD214" s="529">
        <f t="shared" si="1068"/>
        <v>0</v>
      </c>
      <c r="CE214" s="529">
        <f t="shared" si="1069"/>
        <v>0</v>
      </c>
      <c r="CF214" s="529">
        <f t="shared" si="1070"/>
        <v>0</v>
      </c>
      <c r="CG214" s="529">
        <f t="shared" si="1071"/>
        <v>0</v>
      </c>
      <c r="CH214" s="529">
        <f t="shared" si="1072"/>
        <v>0</v>
      </c>
      <c r="CI214" s="529">
        <f t="shared" si="1073"/>
        <v>0</v>
      </c>
      <c r="CJ214" s="529">
        <f t="shared" si="1074"/>
        <v>0</v>
      </c>
      <c r="CK214" s="529">
        <f t="shared" si="1075"/>
        <v>0</v>
      </c>
      <c r="CL214" s="529">
        <f t="shared" si="1076"/>
        <v>0</v>
      </c>
      <c r="CM214" s="529">
        <f t="shared" si="1077"/>
        <v>0</v>
      </c>
      <c r="CN214" s="529">
        <f t="shared" si="1078"/>
        <v>0</v>
      </c>
      <c r="CO214" s="529">
        <f t="shared" si="1079"/>
        <v>0</v>
      </c>
      <c r="CP214" s="529">
        <f t="shared" si="1083"/>
        <v>0</v>
      </c>
      <c r="CQ214" s="529">
        <f t="shared" si="1084"/>
        <v>0</v>
      </c>
      <c r="CR214" s="529">
        <f t="shared" si="1085"/>
        <v>0</v>
      </c>
    </row>
    <row r="215" spans="1:96" x14ac:dyDescent="0.2">
      <c r="A215" s="763"/>
      <c r="B215" s="537" t="str">
        <f>+B208</f>
        <v>NPK 10-20-20</v>
      </c>
      <c r="C215" s="538"/>
      <c r="D215" s="607"/>
      <c r="E215" s="539"/>
      <c r="F215" s="538"/>
      <c r="G215" s="607"/>
      <c r="H215" s="539"/>
      <c r="I215" s="538"/>
      <c r="J215" s="607"/>
      <c r="K215" s="539"/>
      <c r="L215" s="538"/>
      <c r="M215" s="607"/>
      <c r="N215" s="539"/>
      <c r="O215" s="538"/>
      <c r="P215" s="607"/>
      <c r="Q215" s="539"/>
      <c r="R215" s="538"/>
      <c r="S215" s="607"/>
      <c r="T215" s="539"/>
      <c r="U215" s="538"/>
      <c r="V215" s="637"/>
      <c r="W215" s="539"/>
      <c r="X215" s="538"/>
      <c r="Y215" s="607"/>
      <c r="Z215" s="607"/>
      <c r="AA215" s="538">
        <f>+Assumptions!$I$13*$BC215*1000</f>
        <v>0</v>
      </c>
      <c r="AB215" s="607">
        <f>+AB$317+11</f>
        <v>361</v>
      </c>
      <c r="AC215" s="607">
        <f t="shared" si="1132"/>
        <v>0</v>
      </c>
      <c r="AD215" s="538">
        <f>+Assumptions!$J$13*$BC215*1000</f>
        <v>0</v>
      </c>
      <c r="AE215" s="607">
        <f>+AE$317+11</f>
        <v>372</v>
      </c>
      <c r="AF215" s="607">
        <f t="shared" si="1133"/>
        <v>0</v>
      </c>
      <c r="AG215" s="538">
        <f>+Assumptions!$K$13*$BC215*1000</f>
        <v>0</v>
      </c>
      <c r="AH215" s="607">
        <f>+AH$317+11</f>
        <v>383</v>
      </c>
      <c r="AI215" s="607">
        <f t="shared" si="1134"/>
        <v>0</v>
      </c>
      <c r="AJ215" s="538">
        <f>+Assumptions!$L$13*$BC215*1000</f>
        <v>0</v>
      </c>
      <c r="AK215" s="607">
        <f>+AK$317+11</f>
        <v>394</v>
      </c>
      <c r="AL215" s="607">
        <f t="shared" si="1135"/>
        <v>0</v>
      </c>
      <c r="AM215" s="538">
        <f>+Assumptions!$M$13*$BC215*1000</f>
        <v>0</v>
      </c>
      <c r="AN215" s="607">
        <f>+AN$317+11</f>
        <v>405</v>
      </c>
      <c r="AO215" s="607">
        <f t="shared" si="1136"/>
        <v>0</v>
      </c>
      <c r="AP215" s="538">
        <f>+Assumptions!$N$13*$BC215*1000</f>
        <v>0</v>
      </c>
      <c r="AQ215" s="607">
        <f>+AQ$317+11</f>
        <v>417</v>
      </c>
      <c r="AR215" s="607">
        <f t="shared" si="1137"/>
        <v>0</v>
      </c>
      <c r="AS215" s="538">
        <f>+Assumptions!$N$13*$BC215*1000</f>
        <v>0</v>
      </c>
      <c r="AT215" s="607">
        <f>+AT$317+11</f>
        <v>429</v>
      </c>
      <c r="AU215" s="607">
        <f t="shared" si="1138"/>
        <v>0</v>
      </c>
      <c r="AV215" s="538">
        <f>+Assumptions!$N$13*$BC215*1000</f>
        <v>0</v>
      </c>
      <c r="AW215" s="607">
        <f>+AW$317+11</f>
        <v>442</v>
      </c>
      <c r="AX215" s="607">
        <f t="shared" si="1139"/>
        <v>0</v>
      </c>
      <c r="AY215" s="538">
        <f>+Assumptions!$N$13*$BC215*1000</f>
        <v>0</v>
      </c>
      <c r="AZ215" s="607">
        <f>+AZ$317+11</f>
        <v>455</v>
      </c>
      <c r="BA215" s="607">
        <f t="shared" si="1140"/>
        <v>0</v>
      </c>
      <c r="BC215" s="710">
        <v>0</v>
      </c>
      <c r="BJ215" s="529">
        <f t="shared" ref="BJ215:BJ246" si="1141">E215</f>
        <v>0</v>
      </c>
      <c r="BK215" s="529">
        <f t="shared" ref="BK215:BK246" si="1142">H215</f>
        <v>0</v>
      </c>
      <c r="BL215" s="529">
        <f t="shared" ref="BL215:BL246" si="1143">K215</f>
        <v>0</v>
      </c>
      <c r="BM215" s="529">
        <f t="shared" ref="BM215:BM246" si="1144">N215</f>
        <v>0</v>
      </c>
      <c r="BN215" s="529">
        <f t="shared" ref="BN215:BN246" si="1145">Q215</f>
        <v>0</v>
      </c>
      <c r="BO215" s="529">
        <f t="shared" ref="BO215:BO246" si="1146">T215</f>
        <v>0</v>
      </c>
      <c r="BP215" s="529">
        <f t="shared" ref="BP215:BP246" si="1147">W215</f>
        <v>0</v>
      </c>
      <c r="BQ215" s="529">
        <f t="shared" ref="BQ215:BQ246" si="1148">Z215</f>
        <v>0</v>
      </c>
      <c r="BR215" s="529">
        <f t="shared" ref="BR215:BR246" si="1149">AC215/1000000</f>
        <v>0</v>
      </c>
      <c r="BS215" s="529">
        <f t="shared" ref="BS215:BS246" si="1150">AF215/1000000</f>
        <v>0</v>
      </c>
      <c r="BT215" s="529">
        <f t="shared" ref="BT215:BT246" si="1151">AI215/1000000</f>
        <v>0</v>
      </c>
      <c r="BU215" s="529">
        <f t="shared" ref="BU215:BU246" si="1152">AL215/1000000</f>
        <v>0</v>
      </c>
      <c r="BV215" s="529">
        <f t="shared" ref="BV215:BV246" si="1153">AO215/1000000</f>
        <v>0</v>
      </c>
      <c r="BW215" s="529">
        <f t="shared" ref="BW215:BW246" si="1154">AR215/1000000</f>
        <v>0</v>
      </c>
      <c r="BX215" s="529">
        <f t="shared" ref="BX215:BX246" si="1155">AU215/1000000</f>
        <v>0</v>
      </c>
      <c r="BY215" s="529">
        <f t="shared" ref="BY215:BY246" si="1156">AX215/1000000</f>
        <v>0</v>
      </c>
      <c r="BZ215" s="529">
        <f t="shared" ref="BZ215:BZ246" si="1157">BA215/1000000</f>
        <v>0</v>
      </c>
      <c r="CB215" s="529">
        <f t="shared" ref="CB215:CB246" si="1158">C215</f>
        <v>0</v>
      </c>
      <c r="CC215" s="529">
        <f t="shared" ref="CC215:CC246" si="1159">F215</f>
        <v>0</v>
      </c>
      <c r="CD215" s="529">
        <f t="shared" ref="CD215:CD246" si="1160">I215</f>
        <v>0</v>
      </c>
      <c r="CE215" s="529">
        <f t="shared" ref="CE215:CE246" si="1161">L215</f>
        <v>0</v>
      </c>
      <c r="CF215" s="529">
        <f t="shared" ref="CF215:CF246" si="1162">O215</f>
        <v>0</v>
      </c>
      <c r="CG215" s="529">
        <f t="shared" ref="CG215:CG246" si="1163">R215</f>
        <v>0</v>
      </c>
      <c r="CH215" s="529">
        <f t="shared" ref="CH215:CH246" si="1164">U215</f>
        <v>0</v>
      </c>
      <c r="CI215" s="529">
        <f t="shared" ref="CI215:CI246" si="1165">X215</f>
        <v>0</v>
      </c>
      <c r="CJ215" s="529">
        <f t="shared" ref="CJ215:CJ246" si="1166">AA215</f>
        <v>0</v>
      </c>
      <c r="CK215" s="529">
        <f t="shared" ref="CK215:CK246" si="1167">AD215</f>
        <v>0</v>
      </c>
      <c r="CL215" s="529">
        <f t="shared" ref="CL215:CL246" si="1168">AG215</f>
        <v>0</v>
      </c>
      <c r="CM215" s="529">
        <f t="shared" ref="CM215:CM246" si="1169">AJ215</f>
        <v>0</v>
      </c>
      <c r="CN215" s="529">
        <f t="shared" ref="CN215:CN246" si="1170">AM215</f>
        <v>0</v>
      </c>
      <c r="CO215" s="529">
        <f t="shared" ref="CO215:CO246" si="1171">AP215</f>
        <v>0</v>
      </c>
      <c r="CP215" s="529">
        <f t="shared" si="1083"/>
        <v>0</v>
      </c>
      <c r="CQ215" s="529">
        <f t="shared" si="1084"/>
        <v>0</v>
      </c>
      <c r="CR215" s="529">
        <f t="shared" si="1085"/>
        <v>0</v>
      </c>
    </row>
    <row r="216" spans="1:96" x14ac:dyDescent="0.2">
      <c r="A216" s="763"/>
      <c r="B216" s="537" t="str">
        <f t="shared" ref="B216:B217" si="1172">+B209</f>
        <v>NPK 13-13-21</v>
      </c>
      <c r="C216" s="538"/>
      <c r="D216" s="607"/>
      <c r="E216" s="539"/>
      <c r="F216" s="538"/>
      <c r="G216" s="607"/>
      <c r="H216" s="539"/>
      <c r="I216" s="538"/>
      <c r="J216" s="607"/>
      <c r="K216" s="539"/>
      <c r="L216" s="538"/>
      <c r="M216" s="607"/>
      <c r="N216" s="539"/>
      <c r="O216" s="538"/>
      <c r="P216" s="607"/>
      <c r="Q216" s="539"/>
      <c r="R216" s="538"/>
      <c r="S216" s="607"/>
      <c r="T216" s="539"/>
      <c r="U216" s="538"/>
      <c r="V216" s="637"/>
      <c r="W216" s="539"/>
      <c r="X216" s="538"/>
      <c r="Y216" s="607"/>
      <c r="Z216" s="607"/>
      <c r="AA216" s="538">
        <f>+Assumptions!$I$13*$BC216*1000</f>
        <v>0</v>
      </c>
      <c r="AB216" s="607">
        <f>+AB$318+11</f>
        <v>340</v>
      </c>
      <c r="AC216" s="607">
        <f t="shared" si="1132"/>
        <v>0</v>
      </c>
      <c r="AD216" s="538">
        <f>+Assumptions!$J$13*$BC216*1000</f>
        <v>0</v>
      </c>
      <c r="AE216" s="607">
        <f>+AE$318+11</f>
        <v>350</v>
      </c>
      <c r="AF216" s="607">
        <f t="shared" si="1133"/>
        <v>0</v>
      </c>
      <c r="AG216" s="538">
        <f>+Assumptions!$K$13*$BC216*1000</f>
        <v>0</v>
      </c>
      <c r="AH216" s="607">
        <f>+AH$318+11</f>
        <v>360</v>
      </c>
      <c r="AI216" s="607">
        <f t="shared" si="1134"/>
        <v>0</v>
      </c>
      <c r="AJ216" s="538">
        <f>+Assumptions!$L$13*$BC216*1000</f>
        <v>0</v>
      </c>
      <c r="AK216" s="607">
        <f>+AK$318+11</f>
        <v>370</v>
      </c>
      <c r="AL216" s="607">
        <f t="shared" si="1135"/>
        <v>0</v>
      </c>
      <c r="AM216" s="538">
        <f>+Assumptions!$M$13*$BC216*1000</f>
        <v>0</v>
      </c>
      <c r="AN216" s="607">
        <f>+AN$318+11</f>
        <v>381</v>
      </c>
      <c r="AO216" s="607">
        <f t="shared" si="1136"/>
        <v>0</v>
      </c>
      <c r="AP216" s="538">
        <f>+Assumptions!$N$13*$BC216*1000</f>
        <v>0</v>
      </c>
      <c r="AQ216" s="607">
        <f>+AQ$318+11</f>
        <v>392</v>
      </c>
      <c r="AR216" s="607">
        <f t="shared" si="1137"/>
        <v>0</v>
      </c>
      <c r="AS216" s="538">
        <f>+Assumptions!$N$13*$BC216*1000</f>
        <v>0</v>
      </c>
      <c r="AT216" s="607">
        <f>+AT$318+11</f>
        <v>403</v>
      </c>
      <c r="AU216" s="607">
        <f t="shared" si="1138"/>
        <v>0</v>
      </c>
      <c r="AV216" s="538">
        <f>+Assumptions!$N$13*$BC216*1000</f>
        <v>0</v>
      </c>
      <c r="AW216" s="607">
        <f>+AW$318+11</f>
        <v>415</v>
      </c>
      <c r="AX216" s="607">
        <f t="shared" si="1139"/>
        <v>0</v>
      </c>
      <c r="AY216" s="538">
        <f>+Assumptions!$N$13*$BC216*1000</f>
        <v>0</v>
      </c>
      <c r="AZ216" s="607">
        <f>+AZ$318+11</f>
        <v>427</v>
      </c>
      <c r="BA216" s="607">
        <f t="shared" si="1140"/>
        <v>0</v>
      </c>
      <c r="BC216" s="710">
        <v>0</v>
      </c>
      <c r="BJ216" s="529">
        <f t="shared" si="1141"/>
        <v>0</v>
      </c>
      <c r="BK216" s="529">
        <f t="shared" si="1142"/>
        <v>0</v>
      </c>
      <c r="BL216" s="529">
        <f t="shared" si="1143"/>
        <v>0</v>
      </c>
      <c r="BM216" s="529">
        <f t="shared" si="1144"/>
        <v>0</v>
      </c>
      <c r="BN216" s="529">
        <f t="shared" si="1145"/>
        <v>0</v>
      </c>
      <c r="BO216" s="529">
        <f t="shared" si="1146"/>
        <v>0</v>
      </c>
      <c r="BP216" s="529">
        <f t="shared" si="1147"/>
        <v>0</v>
      </c>
      <c r="BQ216" s="529">
        <f t="shared" si="1148"/>
        <v>0</v>
      </c>
      <c r="BR216" s="529">
        <f t="shared" si="1149"/>
        <v>0</v>
      </c>
      <c r="BS216" s="529">
        <f t="shared" si="1150"/>
        <v>0</v>
      </c>
      <c r="BT216" s="529">
        <f t="shared" si="1151"/>
        <v>0</v>
      </c>
      <c r="BU216" s="529">
        <f t="shared" si="1152"/>
        <v>0</v>
      </c>
      <c r="BV216" s="529">
        <f t="shared" si="1153"/>
        <v>0</v>
      </c>
      <c r="BW216" s="529">
        <f t="shared" si="1154"/>
        <v>0</v>
      </c>
      <c r="BX216" s="529">
        <f t="shared" si="1155"/>
        <v>0</v>
      </c>
      <c r="BY216" s="529">
        <f t="shared" si="1156"/>
        <v>0</v>
      </c>
      <c r="BZ216" s="529">
        <f t="shared" si="1157"/>
        <v>0</v>
      </c>
      <c r="CB216" s="529">
        <f t="shared" si="1158"/>
        <v>0</v>
      </c>
      <c r="CC216" s="529">
        <f t="shared" si="1159"/>
        <v>0</v>
      </c>
      <c r="CD216" s="529">
        <f t="shared" si="1160"/>
        <v>0</v>
      </c>
      <c r="CE216" s="529">
        <f t="shared" si="1161"/>
        <v>0</v>
      </c>
      <c r="CF216" s="529">
        <f t="shared" si="1162"/>
        <v>0</v>
      </c>
      <c r="CG216" s="529">
        <f t="shared" si="1163"/>
        <v>0</v>
      </c>
      <c r="CH216" s="529">
        <f t="shared" si="1164"/>
        <v>0</v>
      </c>
      <c r="CI216" s="529">
        <f t="shared" si="1165"/>
        <v>0</v>
      </c>
      <c r="CJ216" s="529">
        <f t="shared" si="1166"/>
        <v>0</v>
      </c>
      <c r="CK216" s="529">
        <f t="shared" si="1167"/>
        <v>0</v>
      </c>
      <c r="CL216" s="529">
        <f t="shared" si="1168"/>
        <v>0</v>
      </c>
      <c r="CM216" s="529">
        <f t="shared" si="1169"/>
        <v>0</v>
      </c>
      <c r="CN216" s="529">
        <f t="shared" si="1170"/>
        <v>0</v>
      </c>
      <c r="CO216" s="529">
        <f t="shared" si="1171"/>
        <v>0</v>
      </c>
      <c r="CP216" s="529">
        <f t="shared" si="1083"/>
        <v>0</v>
      </c>
      <c r="CQ216" s="529">
        <f t="shared" si="1084"/>
        <v>0</v>
      </c>
      <c r="CR216" s="529">
        <f t="shared" si="1085"/>
        <v>0</v>
      </c>
    </row>
    <row r="217" spans="1:96" x14ac:dyDescent="0.2">
      <c r="A217" s="763"/>
      <c r="B217" s="537" t="str">
        <f t="shared" si="1172"/>
        <v>NPK 00-00-00</v>
      </c>
      <c r="C217" s="538"/>
      <c r="D217" s="607"/>
      <c r="E217" s="539"/>
      <c r="F217" s="538"/>
      <c r="G217" s="607"/>
      <c r="H217" s="539"/>
      <c r="I217" s="538"/>
      <c r="J217" s="607"/>
      <c r="K217" s="539"/>
      <c r="L217" s="538"/>
      <c r="M217" s="607"/>
      <c r="N217" s="539"/>
      <c r="O217" s="538"/>
      <c r="P217" s="607"/>
      <c r="Q217" s="539"/>
      <c r="R217" s="538"/>
      <c r="S217" s="607"/>
      <c r="T217" s="539"/>
      <c r="U217" s="538"/>
      <c r="V217" s="637"/>
      <c r="W217" s="539"/>
      <c r="X217" s="538"/>
      <c r="Y217" s="607"/>
      <c r="Z217" s="607"/>
      <c r="AA217" s="538">
        <f>+Assumptions!$I$13*$BC217*1000</f>
        <v>0</v>
      </c>
      <c r="AB217" s="607">
        <f>+AB$319+11</f>
        <v>11</v>
      </c>
      <c r="AC217" s="607">
        <f t="shared" si="1132"/>
        <v>0</v>
      </c>
      <c r="AD217" s="538">
        <f>+Assumptions!$J$13*$BC217*1000</f>
        <v>0</v>
      </c>
      <c r="AE217" s="607">
        <f>+AE$319+11</f>
        <v>11</v>
      </c>
      <c r="AF217" s="607">
        <f t="shared" si="1133"/>
        <v>0</v>
      </c>
      <c r="AG217" s="538">
        <f>+Assumptions!$K$13*$BC217*1000</f>
        <v>0</v>
      </c>
      <c r="AH217" s="607">
        <f>+AH$319+11</f>
        <v>11</v>
      </c>
      <c r="AI217" s="607">
        <f t="shared" si="1134"/>
        <v>0</v>
      </c>
      <c r="AJ217" s="538">
        <f>+Assumptions!$L$13*$BC217*1000</f>
        <v>0</v>
      </c>
      <c r="AK217" s="607">
        <f>+AK$319+11</f>
        <v>11</v>
      </c>
      <c r="AL217" s="607">
        <f t="shared" si="1135"/>
        <v>0</v>
      </c>
      <c r="AM217" s="538">
        <f>+Assumptions!$M$13*$BC217*1000</f>
        <v>0</v>
      </c>
      <c r="AN217" s="607">
        <f>+AN$319+11</f>
        <v>11</v>
      </c>
      <c r="AO217" s="607">
        <f t="shared" si="1136"/>
        <v>0</v>
      </c>
      <c r="AP217" s="538">
        <f>+Assumptions!$N$13*$BC217*1000</f>
        <v>0</v>
      </c>
      <c r="AQ217" s="607">
        <f>+AQ$319+11</f>
        <v>11</v>
      </c>
      <c r="AR217" s="607">
        <f t="shared" si="1137"/>
        <v>0</v>
      </c>
      <c r="AS217" s="538">
        <f>+Assumptions!$N$13*$BC217*1000</f>
        <v>0</v>
      </c>
      <c r="AT217" s="607">
        <f>+AT$319+11</f>
        <v>11</v>
      </c>
      <c r="AU217" s="607">
        <f t="shared" si="1138"/>
        <v>0</v>
      </c>
      <c r="AV217" s="538">
        <f>+Assumptions!$N$13*$BC217*1000</f>
        <v>0</v>
      </c>
      <c r="AW217" s="607">
        <f>+AW$319+11</f>
        <v>11</v>
      </c>
      <c r="AX217" s="607">
        <f t="shared" si="1139"/>
        <v>0</v>
      </c>
      <c r="AY217" s="538">
        <f>+Assumptions!$N$13*$BC217*1000</f>
        <v>0</v>
      </c>
      <c r="AZ217" s="607">
        <f>+AZ$319+11</f>
        <v>11</v>
      </c>
      <c r="BA217" s="607">
        <f t="shared" si="1140"/>
        <v>0</v>
      </c>
      <c r="BC217" s="710">
        <v>0</v>
      </c>
      <c r="BJ217" s="529">
        <f t="shared" si="1141"/>
        <v>0</v>
      </c>
      <c r="BK217" s="529">
        <f t="shared" si="1142"/>
        <v>0</v>
      </c>
      <c r="BL217" s="529">
        <f t="shared" si="1143"/>
        <v>0</v>
      </c>
      <c r="BM217" s="529">
        <f t="shared" si="1144"/>
        <v>0</v>
      </c>
      <c r="BN217" s="529">
        <f t="shared" si="1145"/>
        <v>0</v>
      </c>
      <c r="BO217" s="529">
        <f t="shared" si="1146"/>
        <v>0</v>
      </c>
      <c r="BP217" s="529">
        <f t="shared" si="1147"/>
        <v>0</v>
      </c>
      <c r="BQ217" s="529">
        <f t="shared" si="1148"/>
        <v>0</v>
      </c>
      <c r="BR217" s="529">
        <f t="shared" si="1149"/>
        <v>0</v>
      </c>
      <c r="BS217" s="529">
        <f t="shared" si="1150"/>
        <v>0</v>
      </c>
      <c r="BT217" s="529">
        <f t="shared" si="1151"/>
        <v>0</v>
      </c>
      <c r="BU217" s="529">
        <f t="shared" si="1152"/>
        <v>0</v>
      </c>
      <c r="BV217" s="529">
        <f t="shared" si="1153"/>
        <v>0</v>
      </c>
      <c r="BW217" s="529">
        <f t="shared" si="1154"/>
        <v>0</v>
      </c>
      <c r="BX217" s="529">
        <f t="shared" si="1155"/>
        <v>0</v>
      </c>
      <c r="BY217" s="529">
        <f t="shared" si="1156"/>
        <v>0</v>
      </c>
      <c r="BZ217" s="529">
        <f t="shared" si="1157"/>
        <v>0</v>
      </c>
      <c r="CB217" s="529">
        <f t="shared" si="1158"/>
        <v>0</v>
      </c>
      <c r="CC217" s="529">
        <f t="shared" si="1159"/>
        <v>0</v>
      </c>
      <c r="CD217" s="529">
        <f t="shared" si="1160"/>
        <v>0</v>
      </c>
      <c r="CE217" s="529">
        <f t="shared" si="1161"/>
        <v>0</v>
      </c>
      <c r="CF217" s="529">
        <f t="shared" si="1162"/>
        <v>0</v>
      </c>
      <c r="CG217" s="529">
        <f t="shared" si="1163"/>
        <v>0</v>
      </c>
      <c r="CH217" s="529">
        <f t="shared" si="1164"/>
        <v>0</v>
      </c>
      <c r="CI217" s="529">
        <f t="shared" si="1165"/>
        <v>0</v>
      </c>
      <c r="CJ217" s="529">
        <f t="shared" si="1166"/>
        <v>0</v>
      </c>
      <c r="CK217" s="529">
        <f t="shared" si="1167"/>
        <v>0</v>
      </c>
      <c r="CL217" s="529">
        <f t="shared" si="1168"/>
        <v>0</v>
      </c>
      <c r="CM217" s="529">
        <f t="shared" si="1169"/>
        <v>0</v>
      </c>
      <c r="CN217" s="529">
        <f t="shared" si="1170"/>
        <v>0</v>
      </c>
      <c r="CO217" s="529">
        <f t="shared" si="1171"/>
        <v>0</v>
      </c>
      <c r="CP217" s="529">
        <f t="shared" si="1083"/>
        <v>0</v>
      </c>
      <c r="CQ217" s="529">
        <f t="shared" si="1084"/>
        <v>0</v>
      </c>
      <c r="CR217" s="529">
        <f t="shared" si="1085"/>
        <v>0</v>
      </c>
    </row>
    <row r="218" spans="1:96" x14ac:dyDescent="0.2">
      <c r="A218" s="765"/>
      <c r="B218" s="611"/>
      <c r="C218" s="543"/>
      <c r="D218" s="609"/>
      <c r="E218" s="544"/>
      <c r="F218" s="543"/>
      <c r="G218" s="609"/>
      <c r="H218" s="544"/>
      <c r="I218" s="543"/>
      <c r="J218" s="609"/>
      <c r="K218" s="544"/>
      <c r="L218" s="543"/>
      <c r="M218" s="609"/>
      <c r="N218" s="544"/>
      <c r="O218" s="543"/>
      <c r="P218" s="609"/>
      <c r="Q218" s="544"/>
      <c r="R218" s="543"/>
      <c r="S218" s="609"/>
      <c r="T218" s="544"/>
      <c r="U218" s="543"/>
      <c r="V218" s="638"/>
      <c r="W218" s="544"/>
      <c r="X218" s="543"/>
      <c r="Y218" s="609"/>
      <c r="Z218" s="609"/>
      <c r="AA218" s="543"/>
      <c r="AB218" s="609"/>
      <c r="AC218" s="609"/>
      <c r="AD218" s="543"/>
      <c r="AE218" s="609"/>
      <c r="AF218" s="609"/>
      <c r="AG218" s="543"/>
      <c r="AH218" s="609"/>
      <c r="AI218" s="609"/>
      <c r="AJ218" s="543"/>
      <c r="AK218" s="609"/>
      <c r="AL218" s="609"/>
      <c r="AM218" s="543"/>
      <c r="AN218" s="609"/>
      <c r="AO218" s="609"/>
      <c r="AP218" s="543"/>
      <c r="AQ218" s="609"/>
      <c r="AR218" s="609"/>
      <c r="AS218" s="543"/>
      <c r="AT218" s="609"/>
      <c r="AU218" s="609"/>
      <c r="AV218" s="543"/>
      <c r="AW218" s="609"/>
      <c r="AX218" s="609"/>
      <c r="AY218" s="543"/>
      <c r="AZ218" s="609"/>
      <c r="BA218" s="609"/>
      <c r="BC218" s="710" t="e">
        <v>#N/A</v>
      </c>
      <c r="BJ218" s="529">
        <f t="shared" si="1141"/>
        <v>0</v>
      </c>
      <c r="BK218" s="529">
        <f t="shared" si="1142"/>
        <v>0</v>
      </c>
      <c r="BL218" s="529">
        <f t="shared" si="1143"/>
        <v>0</v>
      </c>
      <c r="BM218" s="529">
        <f t="shared" si="1144"/>
        <v>0</v>
      </c>
      <c r="BN218" s="529">
        <f t="shared" si="1145"/>
        <v>0</v>
      </c>
      <c r="BO218" s="529">
        <f t="shared" si="1146"/>
        <v>0</v>
      </c>
      <c r="BP218" s="529">
        <f t="shared" si="1147"/>
        <v>0</v>
      </c>
      <c r="BQ218" s="529">
        <f t="shared" si="1148"/>
        <v>0</v>
      </c>
      <c r="BR218" s="529">
        <f t="shared" si="1149"/>
        <v>0</v>
      </c>
      <c r="BS218" s="529">
        <f t="shared" si="1150"/>
        <v>0</v>
      </c>
      <c r="BT218" s="529">
        <f t="shared" si="1151"/>
        <v>0</v>
      </c>
      <c r="BU218" s="529">
        <f t="shared" si="1152"/>
        <v>0</v>
      </c>
      <c r="BV218" s="529">
        <f t="shared" si="1153"/>
        <v>0</v>
      </c>
      <c r="BW218" s="529">
        <f t="shared" si="1154"/>
        <v>0</v>
      </c>
      <c r="BX218" s="529">
        <f t="shared" si="1155"/>
        <v>0</v>
      </c>
      <c r="BY218" s="529">
        <f t="shared" si="1156"/>
        <v>0</v>
      </c>
      <c r="BZ218" s="529">
        <f t="shared" si="1157"/>
        <v>0</v>
      </c>
      <c r="CB218" s="529">
        <f t="shared" si="1158"/>
        <v>0</v>
      </c>
      <c r="CC218" s="529">
        <f t="shared" si="1159"/>
        <v>0</v>
      </c>
      <c r="CD218" s="529">
        <f t="shared" si="1160"/>
        <v>0</v>
      </c>
      <c r="CE218" s="529">
        <f t="shared" si="1161"/>
        <v>0</v>
      </c>
      <c r="CF218" s="529">
        <f t="shared" si="1162"/>
        <v>0</v>
      </c>
      <c r="CG218" s="529">
        <f t="shared" si="1163"/>
        <v>0</v>
      </c>
      <c r="CH218" s="529">
        <f t="shared" si="1164"/>
        <v>0</v>
      </c>
      <c r="CI218" s="529">
        <f t="shared" si="1165"/>
        <v>0</v>
      </c>
      <c r="CJ218" s="529">
        <f t="shared" si="1166"/>
        <v>0</v>
      </c>
      <c r="CK218" s="529">
        <f t="shared" si="1167"/>
        <v>0</v>
      </c>
      <c r="CL218" s="529">
        <f t="shared" si="1168"/>
        <v>0</v>
      </c>
      <c r="CM218" s="529">
        <f t="shared" si="1169"/>
        <v>0</v>
      </c>
      <c r="CN218" s="529">
        <f t="shared" si="1170"/>
        <v>0</v>
      </c>
      <c r="CO218" s="529">
        <f t="shared" si="1171"/>
        <v>0</v>
      </c>
      <c r="CP218" s="529">
        <f t="shared" si="1083"/>
        <v>0</v>
      </c>
      <c r="CQ218" s="529">
        <f t="shared" si="1084"/>
        <v>0</v>
      </c>
      <c r="CR218" s="529">
        <f t="shared" si="1085"/>
        <v>0</v>
      </c>
    </row>
    <row r="219" spans="1:96" x14ac:dyDescent="0.2">
      <c r="A219" s="766" t="s">
        <v>737</v>
      </c>
      <c r="B219" s="610" t="str">
        <f>+B212</f>
        <v>NPK 15-15-15</v>
      </c>
      <c r="C219" s="605"/>
      <c r="D219" s="603"/>
      <c r="E219" s="604"/>
      <c r="F219" s="605"/>
      <c r="G219" s="603"/>
      <c r="H219" s="604"/>
      <c r="I219" s="605"/>
      <c r="J219" s="603"/>
      <c r="K219" s="604"/>
      <c r="L219" s="605"/>
      <c r="M219" s="603"/>
      <c r="N219" s="604"/>
      <c r="O219" s="605"/>
      <c r="P219" s="603"/>
      <c r="Q219" s="604"/>
      <c r="R219" s="605"/>
      <c r="S219" s="603"/>
      <c r="T219" s="604"/>
      <c r="U219" s="605"/>
      <c r="V219" s="636"/>
      <c r="W219" s="604"/>
      <c r="X219" s="605"/>
      <c r="Y219" s="603"/>
      <c r="Z219" s="603"/>
      <c r="AA219" s="605">
        <f>+Assumptions!$I$13*$BC219*1000</f>
        <v>0</v>
      </c>
      <c r="AB219" s="603">
        <f>+AB$314+12</f>
        <v>327</v>
      </c>
      <c r="AC219" s="603">
        <f t="shared" ref="AC219:AC224" si="1173">+AB219*AA219</f>
        <v>0</v>
      </c>
      <c r="AD219" s="605">
        <f>+Assumptions!$J$13*$BC219*1000</f>
        <v>0</v>
      </c>
      <c r="AE219" s="603">
        <f>+AE$314+12</f>
        <v>336</v>
      </c>
      <c r="AF219" s="603">
        <f t="shared" ref="AF219:AF224" si="1174">+AE219*AD219</f>
        <v>0</v>
      </c>
      <c r="AG219" s="605">
        <f>+Assumptions!$K$13*$BC219*1000</f>
        <v>0</v>
      </c>
      <c r="AH219" s="603">
        <f>+AH$314+12</f>
        <v>346</v>
      </c>
      <c r="AI219" s="603">
        <f t="shared" ref="AI219:AI224" si="1175">+AH219*AG219</f>
        <v>0</v>
      </c>
      <c r="AJ219" s="605">
        <f>+Assumptions!$L$13*$BC219*1000</f>
        <v>0</v>
      </c>
      <c r="AK219" s="603">
        <f>+AK$314+12</f>
        <v>356</v>
      </c>
      <c r="AL219" s="603">
        <f t="shared" ref="AL219:AL224" si="1176">+AK219*AJ219</f>
        <v>0</v>
      </c>
      <c r="AM219" s="605">
        <f>+Assumptions!$M$13*$BC219*1000</f>
        <v>0</v>
      </c>
      <c r="AN219" s="603">
        <f>+AN$314+12</f>
        <v>366</v>
      </c>
      <c r="AO219" s="603">
        <f t="shared" ref="AO219:AO224" si="1177">+AN219*AM219</f>
        <v>0</v>
      </c>
      <c r="AP219" s="605">
        <f>+Assumptions!$N$13*$BC219*1000</f>
        <v>0</v>
      </c>
      <c r="AQ219" s="603">
        <f>+AQ$314+12</f>
        <v>377</v>
      </c>
      <c r="AR219" s="603">
        <f t="shared" ref="AR219:AR224" si="1178">+AQ219*AP219</f>
        <v>0</v>
      </c>
      <c r="AS219" s="605">
        <f>+Assumptions!$N$13*$BC219*1000</f>
        <v>0</v>
      </c>
      <c r="AT219" s="603">
        <f>+AT$314+12</f>
        <v>388</v>
      </c>
      <c r="AU219" s="603">
        <f t="shared" ref="AU219:AU224" si="1179">+AT219*AS219</f>
        <v>0</v>
      </c>
      <c r="AV219" s="605">
        <f>+Assumptions!$N$13*$BC219*1000</f>
        <v>0</v>
      </c>
      <c r="AW219" s="603">
        <f>+AW$314+12</f>
        <v>399</v>
      </c>
      <c r="AX219" s="603">
        <f t="shared" ref="AX219:AX224" si="1180">+AW219*AV219</f>
        <v>0</v>
      </c>
      <c r="AY219" s="605">
        <f>+Assumptions!$N$13*$BC219*1000</f>
        <v>0</v>
      </c>
      <c r="AZ219" s="603">
        <f>+AZ$314+12</f>
        <v>411</v>
      </c>
      <c r="BA219" s="603">
        <f t="shared" ref="BA219:BA224" si="1181">+AZ219*AY219</f>
        <v>0</v>
      </c>
      <c r="BC219" s="710">
        <v>0</v>
      </c>
      <c r="BJ219" s="529">
        <f t="shared" si="1141"/>
        <v>0</v>
      </c>
      <c r="BK219" s="529">
        <f t="shared" si="1142"/>
        <v>0</v>
      </c>
      <c r="BL219" s="529">
        <f t="shared" si="1143"/>
        <v>0</v>
      </c>
      <c r="BM219" s="529">
        <f t="shared" si="1144"/>
        <v>0</v>
      </c>
      <c r="BN219" s="529">
        <f t="shared" si="1145"/>
        <v>0</v>
      </c>
      <c r="BO219" s="529">
        <f t="shared" si="1146"/>
        <v>0</v>
      </c>
      <c r="BP219" s="529">
        <f t="shared" si="1147"/>
        <v>0</v>
      </c>
      <c r="BQ219" s="529">
        <f t="shared" si="1148"/>
        <v>0</v>
      </c>
      <c r="BR219" s="529">
        <f t="shared" si="1149"/>
        <v>0</v>
      </c>
      <c r="BS219" s="529">
        <f t="shared" si="1150"/>
        <v>0</v>
      </c>
      <c r="BT219" s="529">
        <f t="shared" si="1151"/>
        <v>0</v>
      </c>
      <c r="BU219" s="529">
        <f t="shared" si="1152"/>
        <v>0</v>
      </c>
      <c r="BV219" s="529">
        <f t="shared" si="1153"/>
        <v>0</v>
      </c>
      <c r="BW219" s="529">
        <f t="shared" si="1154"/>
        <v>0</v>
      </c>
      <c r="BX219" s="529">
        <f t="shared" si="1155"/>
        <v>0</v>
      </c>
      <c r="BY219" s="529">
        <f t="shared" si="1156"/>
        <v>0</v>
      </c>
      <c r="BZ219" s="529">
        <f t="shared" si="1157"/>
        <v>0</v>
      </c>
      <c r="CB219" s="529">
        <f t="shared" si="1158"/>
        <v>0</v>
      </c>
      <c r="CC219" s="529">
        <f t="shared" si="1159"/>
        <v>0</v>
      </c>
      <c r="CD219" s="529">
        <f t="shared" si="1160"/>
        <v>0</v>
      </c>
      <c r="CE219" s="529">
        <f t="shared" si="1161"/>
        <v>0</v>
      </c>
      <c r="CF219" s="529">
        <f t="shared" si="1162"/>
        <v>0</v>
      </c>
      <c r="CG219" s="529">
        <f t="shared" si="1163"/>
        <v>0</v>
      </c>
      <c r="CH219" s="529">
        <f t="shared" si="1164"/>
        <v>0</v>
      </c>
      <c r="CI219" s="529">
        <f t="shared" si="1165"/>
        <v>0</v>
      </c>
      <c r="CJ219" s="529">
        <f t="shared" si="1166"/>
        <v>0</v>
      </c>
      <c r="CK219" s="529">
        <f t="shared" si="1167"/>
        <v>0</v>
      </c>
      <c r="CL219" s="529">
        <f t="shared" si="1168"/>
        <v>0</v>
      </c>
      <c r="CM219" s="529">
        <f t="shared" si="1169"/>
        <v>0</v>
      </c>
      <c r="CN219" s="529">
        <f t="shared" si="1170"/>
        <v>0</v>
      </c>
      <c r="CO219" s="529">
        <f t="shared" si="1171"/>
        <v>0</v>
      </c>
      <c r="CP219" s="529">
        <f t="shared" si="1083"/>
        <v>0</v>
      </c>
      <c r="CQ219" s="529">
        <f t="shared" si="1084"/>
        <v>0</v>
      </c>
      <c r="CR219" s="529">
        <f t="shared" si="1085"/>
        <v>0</v>
      </c>
    </row>
    <row r="220" spans="1:96" x14ac:dyDescent="0.2">
      <c r="A220" s="767"/>
      <c r="B220" s="537" t="str">
        <f>+B213</f>
        <v>NPK 16-16-16</v>
      </c>
      <c r="C220" s="538"/>
      <c r="D220" s="607"/>
      <c r="E220" s="539"/>
      <c r="F220" s="538"/>
      <c r="G220" s="607"/>
      <c r="H220" s="539"/>
      <c r="I220" s="538"/>
      <c r="J220" s="607"/>
      <c r="K220" s="539"/>
      <c r="L220" s="538"/>
      <c r="M220" s="607"/>
      <c r="N220" s="539"/>
      <c r="O220" s="538"/>
      <c r="P220" s="607"/>
      <c r="Q220" s="539"/>
      <c r="R220" s="538"/>
      <c r="S220" s="607"/>
      <c r="T220" s="539"/>
      <c r="U220" s="538"/>
      <c r="V220" s="637"/>
      <c r="W220" s="539"/>
      <c r="X220" s="538"/>
      <c r="Y220" s="607"/>
      <c r="Z220" s="607"/>
      <c r="AA220" s="538">
        <f>+Assumptions!$I$13*$BC220*1000</f>
        <v>0</v>
      </c>
      <c r="AB220" s="607">
        <f>+AB$315+12</f>
        <v>349</v>
      </c>
      <c r="AC220" s="607">
        <f t="shared" si="1173"/>
        <v>0</v>
      </c>
      <c r="AD220" s="538">
        <f>+Assumptions!$J$13*$BC220*1000</f>
        <v>0</v>
      </c>
      <c r="AE220" s="607">
        <f>+AE$315+12</f>
        <v>359</v>
      </c>
      <c r="AF220" s="607">
        <f t="shared" si="1174"/>
        <v>0</v>
      </c>
      <c r="AG220" s="538">
        <f>+Assumptions!$K$13*$BC220*1000</f>
        <v>0</v>
      </c>
      <c r="AH220" s="607">
        <f>+AH$315+12</f>
        <v>369</v>
      </c>
      <c r="AI220" s="607">
        <f t="shared" si="1175"/>
        <v>0</v>
      </c>
      <c r="AJ220" s="538">
        <f>+Assumptions!$L$13*$BC220*1000</f>
        <v>0</v>
      </c>
      <c r="AK220" s="607">
        <f>+AK$315+12</f>
        <v>380</v>
      </c>
      <c r="AL220" s="607">
        <f t="shared" si="1176"/>
        <v>0</v>
      </c>
      <c r="AM220" s="538">
        <f>+Assumptions!$M$13*$BC220*1000</f>
        <v>0</v>
      </c>
      <c r="AN220" s="607">
        <f>+AN$315+12</f>
        <v>391</v>
      </c>
      <c r="AO220" s="607">
        <f t="shared" si="1177"/>
        <v>0</v>
      </c>
      <c r="AP220" s="538">
        <f>+Assumptions!$N$13*$BC220*1000</f>
        <v>0</v>
      </c>
      <c r="AQ220" s="607">
        <f>+AQ$315+12</f>
        <v>402</v>
      </c>
      <c r="AR220" s="607">
        <f t="shared" si="1178"/>
        <v>0</v>
      </c>
      <c r="AS220" s="538">
        <f>+Assumptions!$N$13*$BC220*1000</f>
        <v>0</v>
      </c>
      <c r="AT220" s="607">
        <f>+AT$315+12</f>
        <v>414</v>
      </c>
      <c r="AU220" s="607">
        <f t="shared" si="1179"/>
        <v>0</v>
      </c>
      <c r="AV220" s="538">
        <f>+Assumptions!$N$13*$BC220*1000</f>
        <v>0</v>
      </c>
      <c r="AW220" s="607">
        <f>+AW$315+12</f>
        <v>426</v>
      </c>
      <c r="AX220" s="607">
        <f t="shared" si="1180"/>
        <v>0</v>
      </c>
      <c r="AY220" s="538">
        <f>+Assumptions!$N$13*$BC220*1000</f>
        <v>0</v>
      </c>
      <c r="AZ220" s="607">
        <f>+AZ$315+12</f>
        <v>438</v>
      </c>
      <c r="BA220" s="607">
        <f t="shared" si="1181"/>
        <v>0</v>
      </c>
      <c r="BC220" s="710">
        <v>0</v>
      </c>
      <c r="BJ220" s="529">
        <f t="shared" si="1141"/>
        <v>0</v>
      </c>
      <c r="BK220" s="529">
        <f t="shared" si="1142"/>
        <v>0</v>
      </c>
      <c r="BL220" s="529">
        <f t="shared" si="1143"/>
        <v>0</v>
      </c>
      <c r="BM220" s="529">
        <f t="shared" si="1144"/>
        <v>0</v>
      </c>
      <c r="BN220" s="529">
        <f t="shared" si="1145"/>
        <v>0</v>
      </c>
      <c r="BO220" s="529">
        <f t="shared" si="1146"/>
        <v>0</v>
      </c>
      <c r="BP220" s="529">
        <f t="shared" si="1147"/>
        <v>0</v>
      </c>
      <c r="BQ220" s="529">
        <f t="shared" si="1148"/>
        <v>0</v>
      </c>
      <c r="BR220" s="529">
        <f t="shared" si="1149"/>
        <v>0</v>
      </c>
      <c r="BS220" s="529">
        <f t="shared" si="1150"/>
        <v>0</v>
      </c>
      <c r="BT220" s="529">
        <f t="shared" si="1151"/>
        <v>0</v>
      </c>
      <c r="BU220" s="529">
        <f t="shared" si="1152"/>
        <v>0</v>
      </c>
      <c r="BV220" s="529">
        <f t="shared" si="1153"/>
        <v>0</v>
      </c>
      <c r="BW220" s="529">
        <f t="shared" si="1154"/>
        <v>0</v>
      </c>
      <c r="BX220" s="529">
        <f t="shared" si="1155"/>
        <v>0</v>
      </c>
      <c r="BY220" s="529">
        <f t="shared" si="1156"/>
        <v>0</v>
      </c>
      <c r="BZ220" s="529">
        <f t="shared" si="1157"/>
        <v>0</v>
      </c>
      <c r="CB220" s="529">
        <f t="shared" si="1158"/>
        <v>0</v>
      </c>
      <c r="CC220" s="529">
        <f t="shared" si="1159"/>
        <v>0</v>
      </c>
      <c r="CD220" s="529">
        <f t="shared" si="1160"/>
        <v>0</v>
      </c>
      <c r="CE220" s="529">
        <f t="shared" si="1161"/>
        <v>0</v>
      </c>
      <c r="CF220" s="529">
        <f t="shared" si="1162"/>
        <v>0</v>
      </c>
      <c r="CG220" s="529">
        <f t="shared" si="1163"/>
        <v>0</v>
      </c>
      <c r="CH220" s="529">
        <f t="shared" si="1164"/>
        <v>0</v>
      </c>
      <c r="CI220" s="529">
        <f t="shared" si="1165"/>
        <v>0</v>
      </c>
      <c r="CJ220" s="529">
        <f t="shared" si="1166"/>
        <v>0</v>
      </c>
      <c r="CK220" s="529">
        <f t="shared" si="1167"/>
        <v>0</v>
      </c>
      <c r="CL220" s="529">
        <f t="shared" si="1168"/>
        <v>0</v>
      </c>
      <c r="CM220" s="529">
        <f t="shared" si="1169"/>
        <v>0</v>
      </c>
      <c r="CN220" s="529">
        <f t="shared" si="1170"/>
        <v>0</v>
      </c>
      <c r="CO220" s="529">
        <f t="shared" si="1171"/>
        <v>0</v>
      </c>
      <c r="CP220" s="529">
        <f t="shared" si="1083"/>
        <v>0</v>
      </c>
      <c r="CQ220" s="529">
        <f t="shared" si="1084"/>
        <v>0</v>
      </c>
      <c r="CR220" s="529">
        <f t="shared" si="1085"/>
        <v>0</v>
      </c>
    </row>
    <row r="221" spans="1:96" x14ac:dyDescent="0.2">
      <c r="A221" s="768"/>
      <c r="B221" s="537" t="str">
        <f>+B214</f>
        <v>NPK 10-26-26</v>
      </c>
      <c r="C221" s="538"/>
      <c r="D221" s="607"/>
      <c r="E221" s="539"/>
      <c r="F221" s="538"/>
      <c r="G221" s="607"/>
      <c r="H221" s="539"/>
      <c r="I221" s="538"/>
      <c r="J221" s="607"/>
      <c r="K221" s="539"/>
      <c r="L221" s="538"/>
      <c r="M221" s="607"/>
      <c r="N221" s="539"/>
      <c r="O221" s="538"/>
      <c r="P221" s="607"/>
      <c r="Q221" s="539"/>
      <c r="R221" s="538"/>
      <c r="S221" s="607"/>
      <c r="T221" s="539"/>
      <c r="U221" s="538"/>
      <c r="V221" s="637"/>
      <c r="W221" s="539"/>
      <c r="X221" s="538"/>
      <c r="Y221" s="607"/>
      <c r="Z221" s="607"/>
      <c r="AA221" s="538">
        <f>+Assumptions!$I$13*$BC221*1000</f>
        <v>0</v>
      </c>
      <c r="AB221" s="607">
        <f>+AB$316+12</f>
        <v>446</v>
      </c>
      <c r="AC221" s="607">
        <f t="shared" si="1173"/>
        <v>0</v>
      </c>
      <c r="AD221" s="538">
        <f>+Assumptions!$J$13*$BC221*1000</f>
        <v>0</v>
      </c>
      <c r="AE221" s="607">
        <f>+AE$316+12</f>
        <v>459</v>
      </c>
      <c r="AF221" s="607">
        <f t="shared" si="1174"/>
        <v>0</v>
      </c>
      <c r="AG221" s="538">
        <f>+Assumptions!$K$13*$BC221*1000</f>
        <v>0</v>
      </c>
      <c r="AH221" s="607">
        <f>+AH$316+12</f>
        <v>472</v>
      </c>
      <c r="AI221" s="607">
        <f t="shared" si="1175"/>
        <v>0</v>
      </c>
      <c r="AJ221" s="538">
        <f>+Assumptions!$L$13*$BC221*1000</f>
        <v>0</v>
      </c>
      <c r="AK221" s="607">
        <f>+AK$316+12</f>
        <v>486</v>
      </c>
      <c r="AL221" s="607">
        <f t="shared" si="1176"/>
        <v>0</v>
      </c>
      <c r="AM221" s="538">
        <f>+Assumptions!$M$13*$BC221*1000</f>
        <v>0</v>
      </c>
      <c r="AN221" s="607">
        <f>+AN$316+12</f>
        <v>500</v>
      </c>
      <c r="AO221" s="607">
        <f t="shared" si="1177"/>
        <v>0</v>
      </c>
      <c r="AP221" s="538">
        <f>+Assumptions!$N$13*$BC221*1000</f>
        <v>0</v>
      </c>
      <c r="AQ221" s="607">
        <f>+AQ$316+12</f>
        <v>515</v>
      </c>
      <c r="AR221" s="607">
        <f t="shared" si="1178"/>
        <v>0</v>
      </c>
      <c r="AS221" s="538">
        <f>+Assumptions!$N$13*$BC221*1000</f>
        <v>0</v>
      </c>
      <c r="AT221" s="607">
        <f>+AT$316+12</f>
        <v>530</v>
      </c>
      <c r="AU221" s="607">
        <f t="shared" si="1179"/>
        <v>0</v>
      </c>
      <c r="AV221" s="538">
        <f>+Assumptions!$N$13*$BC221*1000</f>
        <v>0</v>
      </c>
      <c r="AW221" s="607">
        <f>+AW$316+12</f>
        <v>546</v>
      </c>
      <c r="AX221" s="607">
        <f t="shared" si="1180"/>
        <v>0</v>
      </c>
      <c r="AY221" s="538">
        <f>+Assumptions!$N$13*$BC221*1000</f>
        <v>0</v>
      </c>
      <c r="AZ221" s="607">
        <f>+AZ$316+12</f>
        <v>562</v>
      </c>
      <c r="BA221" s="607">
        <f t="shared" si="1181"/>
        <v>0</v>
      </c>
      <c r="BC221" s="710">
        <v>0</v>
      </c>
      <c r="BJ221" s="529">
        <f t="shared" si="1141"/>
        <v>0</v>
      </c>
      <c r="BK221" s="529">
        <f t="shared" si="1142"/>
        <v>0</v>
      </c>
      <c r="BL221" s="529">
        <f t="shared" si="1143"/>
        <v>0</v>
      </c>
      <c r="BM221" s="529">
        <f t="shared" si="1144"/>
        <v>0</v>
      </c>
      <c r="BN221" s="529">
        <f t="shared" si="1145"/>
        <v>0</v>
      </c>
      <c r="BO221" s="529">
        <f t="shared" si="1146"/>
        <v>0</v>
      </c>
      <c r="BP221" s="529">
        <f t="shared" si="1147"/>
        <v>0</v>
      </c>
      <c r="BQ221" s="529">
        <f t="shared" si="1148"/>
        <v>0</v>
      </c>
      <c r="BR221" s="529">
        <f t="shared" si="1149"/>
        <v>0</v>
      </c>
      <c r="BS221" s="529">
        <f t="shared" si="1150"/>
        <v>0</v>
      </c>
      <c r="BT221" s="529">
        <f t="shared" si="1151"/>
        <v>0</v>
      </c>
      <c r="BU221" s="529">
        <f t="shared" si="1152"/>
        <v>0</v>
      </c>
      <c r="BV221" s="529">
        <f t="shared" si="1153"/>
        <v>0</v>
      </c>
      <c r="BW221" s="529">
        <f t="shared" si="1154"/>
        <v>0</v>
      </c>
      <c r="BX221" s="529">
        <f t="shared" si="1155"/>
        <v>0</v>
      </c>
      <c r="BY221" s="529">
        <f t="shared" si="1156"/>
        <v>0</v>
      </c>
      <c r="BZ221" s="529">
        <f t="shared" si="1157"/>
        <v>0</v>
      </c>
      <c r="CB221" s="529">
        <f t="shared" si="1158"/>
        <v>0</v>
      </c>
      <c r="CC221" s="529">
        <f t="shared" si="1159"/>
        <v>0</v>
      </c>
      <c r="CD221" s="529">
        <f t="shared" si="1160"/>
        <v>0</v>
      </c>
      <c r="CE221" s="529">
        <f t="shared" si="1161"/>
        <v>0</v>
      </c>
      <c r="CF221" s="529">
        <f t="shared" si="1162"/>
        <v>0</v>
      </c>
      <c r="CG221" s="529">
        <f t="shared" si="1163"/>
        <v>0</v>
      </c>
      <c r="CH221" s="529">
        <f t="shared" si="1164"/>
        <v>0</v>
      </c>
      <c r="CI221" s="529">
        <f t="shared" si="1165"/>
        <v>0</v>
      </c>
      <c r="CJ221" s="529">
        <f t="shared" si="1166"/>
        <v>0</v>
      </c>
      <c r="CK221" s="529">
        <f t="shared" si="1167"/>
        <v>0</v>
      </c>
      <c r="CL221" s="529">
        <f t="shared" si="1168"/>
        <v>0</v>
      </c>
      <c r="CM221" s="529">
        <f t="shared" si="1169"/>
        <v>0</v>
      </c>
      <c r="CN221" s="529">
        <f t="shared" si="1170"/>
        <v>0</v>
      </c>
      <c r="CO221" s="529">
        <f t="shared" si="1171"/>
        <v>0</v>
      </c>
      <c r="CP221" s="529">
        <f t="shared" si="1083"/>
        <v>0</v>
      </c>
      <c r="CQ221" s="529">
        <f t="shared" si="1084"/>
        <v>0</v>
      </c>
      <c r="CR221" s="529">
        <f t="shared" si="1085"/>
        <v>0</v>
      </c>
    </row>
    <row r="222" spans="1:96" x14ac:dyDescent="0.2">
      <c r="A222" s="767"/>
      <c r="B222" s="537" t="str">
        <f>+B215</f>
        <v>NPK 10-20-20</v>
      </c>
      <c r="C222" s="538"/>
      <c r="D222" s="607"/>
      <c r="E222" s="539"/>
      <c r="F222" s="538"/>
      <c r="G222" s="607"/>
      <c r="H222" s="539"/>
      <c r="I222" s="538"/>
      <c r="J222" s="607"/>
      <c r="K222" s="539"/>
      <c r="L222" s="538"/>
      <c r="M222" s="607"/>
      <c r="N222" s="539"/>
      <c r="O222" s="538"/>
      <c r="P222" s="607"/>
      <c r="Q222" s="539"/>
      <c r="R222" s="538"/>
      <c r="S222" s="607"/>
      <c r="T222" s="539"/>
      <c r="U222" s="538"/>
      <c r="V222" s="637"/>
      <c r="W222" s="539"/>
      <c r="X222" s="538"/>
      <c r="Y222" s="607"/>
      <c r="Z222" s="607"/>
      <c r="AA222" s="538">
        <f>+Assumptions!$I$13*$BC222*1000</f>
        <v>0</v>
      </c>
      <c r="AB222" s="607">
        <f>+AB$317+12</f>
        <v>362</v>
      </c>
      <c r="AC222" s="607">
        <f t="shared" si="1173"/>
        <v>0</v>
      </c>
      <c r="AD222" s="538">
        <f>+Assumptions!$J$13*$BC222*1000</f>
        <v>0</v>
      </c>
      <c r="AE222" s="607">
        <f>+AE$317+12</f>
        <v>373</v>
      </c>
      <c r="AF222" s="607">
        <f t="shared" si="1174"/>
        <v>0</v>
      </c>
      <c r="AG222" s="538">
        <f>+Assumptions!$K$13*$BC222*1000</f>
        <v>0</v>
      </c>
      <c r="AH222" s="607">
        <f>+AH$317+12</f>
        <v>384</v>
      </c>
      <c r="AI222" s="607">
        <f t="shared" si="1175"/>
        <v>0</v>
      </c>
      <c r="AJ222" s="538">
        <f>+Assumptions!$L$13*$BC222*1000</f>
        <v>0</v>
      </c>
      <c r="AK222" s="607">
        <f>+AK$317+12</f>
        <v>395</v>
      </c>
      <c r="AL222" s="607">
        <f t="shared" si="1176"/>
        <v>0</v>
      </c>
      <c r="AM222" s="538">
        <f>+Assumptions!$M$13*$BC222*1000</f>
        <v>0</v>
      </c>
      <c r="AN222" s="607">
        <f>+AN$317+12</f>
        <v>406</v>
      </c>
      <c r="AO222" s="607">
        <f t="shared" si="1177"/>
        <v>0</v>
      </c>
      <c r="AP222" s="538">
        <f>+Assumptions!$N$13*$BC222*1000</f>
        <v>0</v>
      </c>
      <c r="AQ222" s="607">
        <f>+AQ$317+12</f>
        <v>418</v>
      </c>
      <c r="AR222" s="607">
        <f t="shared" si="1178"/>
        <v>0</v>
      </c>
      <c r="AS222" s="538">
        <f>+Assumptions!$N$13*$BC222*1000</f>
        <v>0</v>
      </c>
      <c r="AT222" s="607">
        <f>+AT$317+12</f>
        <v>430</v>
      </c>
      <c r="AU222" s="607">
        <f t="shared" si="1179"/>
        <v>0</v>
      </c>
      <c r="AV222" s="538">
        <f>+Assumptions!$N$13*$BC222*1000</f>
        <v>0</v>
      </c>
      <c r="AW222" s="607">
        <f>+AW$317+12</f>
        <v>443</v>
      </c>
      <c r="AX222" s="607">
        <f t="shared" si="1180"/>
        <v>0</v>
      </c>
      <c r="AY222" s="538">
        <f>+Assumptions!$N$13*$BC222*1000</f>
        <v>0</v>
      </c>
      <c r="AZ222" s="607">
        <f>+AZ$317+12</f>
        <v>456</v>
      </c>
      <c r="BA222" s="607">
        <f t="shared" si="1181"/>
        <v>0</v>
      </c>
      <c r="BC222" s="710">
        <v>0</v>
      </c>
      <c r="BJ222" s="529">
        <f t="shared" si="1141"/>
        <v>0</v>
      </c>
      <c r="BK222" s="529">
        <f t="shared" si="1142"/>
        <v>0</v>
      </c>
      <c r="BL222" s="529">
        <f t="shared" si="1143"/>
        <v>0</v>
      </c>
      <c r="BM222" s="529">
        <f t="shared" si="1144"/>
        <v>0</v>
      </c>
      <c r="BN222" s="529">
        <f t="shared" si="1145"/>
        <v>0</v>
      </c>
      <c r="BO222" s="529">
        <f t="shared" si="1146"/>
        <v>0</v>
      </c>
      <c r="BP222" s="529">
        <f t="shared" si="1147"/>
        <v>0</v>
      </c>
      <c r="BQ222" s="529">
        <f t="shared" si="1148"/>
        <v>0</v>
      </c>
      <c r="BR222" s="529">
        <f t="shared" si="1149"/>
        <v>0</v>
      </c>
      <c r="BS222" s="529">
        <f t="shared" si="1150"/>
        <v>0</v>
      </c>
      <c r="BT222" s="529">
        <f t="shared" si="1151"/>
        <v>0</v>
      </c>
      <c r="BU222" s="529">
        <f t="shared" si="1152"/>
        <v>0</v>
      </c>
      <c r="BV222" s="529">
        <f t="shared" si="1153"/>
        <v>0</v>
      </c>
      <c r="BW222" s="529">
        <f t="shared" si="1154"/>
        <v>0</v>
      </c>
      <c r="BX222" s="529">
        <f t="shared" si="1155"/>
        <v>0</v>
      </c>
      <c r="BY222" s="529">
        <f t="shared" si="1156"/>
        <v>0</v>
      </c>
      <c r="BZ222" s="529">
        <f t="shared" si="1157"/>
        <v>0</v>
      </c>
      <c r="CB222" s="529">
        <f t="shared" si="1158"/>
        <v>0</v>
      </c>
      <c r="CC222" s="529">
        <f t="shared" si="1159"/>
        <v>0</v>
      </c>
      <c r="CD222" s="529">
        <f t="shared" si="1160"/>
        <v>0</v>
      </c>
      <c r="CE222" s="529">
        <f t="shared" si="1161"/>
        <v>0</v>
      </c>
      <c r="CF222" s="529">
        <f t="shared" si="1162"/>
        <v>0</v>
      </c>
      <c r="CG222" s="529">
        <f t="shared" si="1163"/>
        <v>0</v>
      </c>
      <c r="CH222" s="529">
        <f t="shared" si="1164"/>
        <v>0</v>
      </c>
      <c r="CI222" s="529">
        <f t="shared" si="1165"/>
        <v>0</v>
      </c>
      <c r="CJ222" s="529">
        <f t="shared" si="1166"/>
        <v>0</v>
      </c>
      <c r="CK222" s="529">
        <f t="shared" si="1167"/>
        <v>0</v>
      </c>
      <c r="CL222" s="529">
        <f t="shared" si="1168"/>
        <v>0</v>
      </c>
      <c r="CM222" s="529">
        <f t="shared" si="1169"/>
        <v>0</v>
      </c>
      <c r="CN222" s="529">
        <f t="shared" si="1170"/>
        <v>0</v>
      </c>
      <c r="CO222" s="529">
        <f t="shared" si="1171"/>
        <v>0</v>
      </c>
      <c r="CP222" s="529">
        <f t="shared" si="1083"/>
        <v>0</v>
      </c>
      <c r="CQ222" s="529">
        <f t="shared" si="1084"/>
        <v>0</v>
      </c>
      <c r="CR222" s="529">
        <f t="shared" si="1085"/>
        <v>0</v>
      </c>
    </row>
    <row r="223" spans="1:96" x14ac:dyDescent="0.2">
      <c r="A223" s="767"/>
      <c r="B223" s="537" t="str">
        <f t="shared" ref="B223:B224" si="1182">+B216</f>
        <v>NPK 13-13-21</v>
      </c>
      <c r="C223" s="538"/>
      <c r="D223" s="607"/>
      <c r="E223" s="539"/>
      <c r="F223" s="538"/>
      <c r="G223" s="607"/>
      <c r="H223" s="539"/>
      <c r="I223" s="538"/>
      <c r="J223" s="607"/>
      <c r="K223" s="539"/>
      <c r="L223" s="538"/>
      <c r="M223" s="607"/>
      <c r="N223" s="539"/>
      <c r="O223" s="538"/>
      <c r="P223" s="607"/>
      <c r="Q223" s="539"/>
      <c r="R223" s="538"/>
      <c r="S223" s="607"/>
      <c r="T223" s="539"/>
      <c r="U223" s="538"/>
      <c r="V223" s="637"/>
      <c r="W223" s="539"/>
      <c r="X223" s="538"/>
      <c r="Y223" s="607"/>
      <c r="Z223" s="607"/>
      <c r="AA223" s="538">
        <f>+Assumptions!$I$13*$BC223*1000</f>
        <v>0</v>
      </c>
      <c r="AB223" s="607">
        <f>+AB$318+12</f>
        <v>341</v>
      </c>
      <c r="AC223" s="607">
        <f t="shared" si="1173"/>
        <v>0</v>
      </c>
      <c r="AD223" s="538">
        <f>+Assumptions!$J$13*$BC223*1000</f>
        <v>0</v>
      </c>
      <c r="AE223" s="607">
        <f>+AE$318+12</f>
        <v>351</v>
      </c>
      <c r="AF223" s="607">
        <f t="shared" si="1174"/>
        <v>0</v>
      </c>
      <c r="AG223" s="538">
        <f>+Assumptions!$K$13*$BC223*1000</f>
        <v>0</v>
      </c>
      <c r="AH223" s="607">
        <f>+AH$318+12</f>
        <v>361</v>
      </c>
      <c r="AI223" s="607">
        <f t="shared" si="1175"/>
        <v>0</v>
      </c>
      <c r="AJ223" s="538">
        <f>+Assumptions!$L$13*$BC223*1000</f>
        <v>0</v>
      </c>
      <c r="AK223" s="607">
        <f>+AK$318+12</f>
        <v>371</v>
      </c>
      <c r="AL223" s="607">
        <f t="shared" si="1176"/>
        <v>0</v>
      </c>
      <c r="AM223" s="538">
        <f>+Assumptions!$M$13*$BC223*1000</f>
        <v>0</v>
      </c>
      <c r="AN223" s="607">
        <f>+AN$318+12</f>
        <v>382</v>
      </c>
      <c r="AO223" s="607">
        <f t="shared" si="1177"/>
        <v>0</v>
      </c>
      <c r="AP223" s="538">
        <f>+Assumptions!$N$13*$BC223*1000</f>
        <v>0</v>
      </c>
      <c r="AQ223" s="607">
        <f>+AQ$318+12</f>
        <v>393</v>
      </c>
      <c r="AR223" s="607">
        <f t="shared" si="1178"/>
        <v>0</v>
      </c>
      <c r="AS223" s="538">
        <f>+Assumptions!$N$13*$BC223*1000</f>
        <v>0</v>
      </c>
      <c r="AT223" s="607">
        <f>+AT$318+12</f>
        <v>404</v>
      </c>
      <c r="AU223" s="607">
        <f t="shared" si="1179"/>
        <v>0</v>
      </c>
      <c r="AV223" s="538">
        <f>+Assumptions!$N$13*$BC223*1000</f>
        <v>0</v>
      </c>
      <c r="AW223" s="607">
        <f>+AW$318+12</f>
        <v>416</v>
      </c>
      <c r="AX223" s="607">
        <f t="shared" si="1180"/>
        <v>0</v>
      </c>
      <c r="AY223" s="538">
        <f>+Assumptions!$N$13*$BC223*1000</f>
        <v>0</v>
      </c>
      <c r="AZ223" s="607">
        <f>+AZ$318+12</f>
        <v>428</v>
      </c>
      <c r="BA223" s="607">
        <f t="shared" si="1181"/>
        <v>0</v>
      </c>
      <c r="BC223" s="710">
        <v>0</v>
      </c>
      <c r="BJ223" s="529">
        <f t="shared" si="1141"/>
        <v>0</v>
      </c>
      <c r="BK223" s="529">
        <f t="shared" si="1142"/>
        <v>0</v>
      </c>
      <c r="BL223" s="529">
        <f t="shared" si="1143"/>
        <v>0</v>
      </c>
      <c r="BM223" s="529">
        <f t="shared" si="1144"/>
        <v>0</v>
      </c>
      <c r="BN223" s="529">
        <f t="shared" si="1145"/>
        <v>0</v>
      </c>
      <c r="BO223" s="529">
        <f t="shared" si="1146"/>
        <v>0</v>
      </c>
      <c r="BP223" s="529">
        <f t="shared" si="1147"/>
        <v>0</v>
      </c>
      <c r="BQ223" s="529">
        <f t="shared" si="1148"/>
        <v>0</v>
      </c>
      <c r="BR223" s="529">
        <f t="shared" si="1149"/>
        <v>0</v>
      </c>
      <c r="BS223" s="529">
        <f t="shared" si="1150"/>
        <v>0</v>
      </c>
      <c r="BT223" s="529">
        <f t="shared" si="1151"/>
        <v>0</v>
      </c>
      <c r="BU223" s="529">
        <f t="shared" si="1152"/>
        <v>0</v>
      </c>
      <c r="BV223" s="529">
        <f t="shared" si="1153"/>
        <v>0</v>
      </c>
      <c r="BW223" s="529">
        <f t="shared" si="1154"/>
        <v>0</v>
      </c>
      <c r="BX223" s="529">
        <f t="shared" si="1155"/>
        <v>0</v>
      </c>
      <c r="BY223" s="529">
        <f t="shared" si="1156"/>
        <v>0</v>
      </c>
      <c r="BZ223" s="529">
        <f t="shared" si="1157"/>
        <v>0</v>
      </c>
      <c r="CB223" s="529">
        <f t="shared" si="1158"/>
        <v>0</v>
      </c>
      <c r="CC223" s="529">
        <f t="shared" si="1159"/>
        <v>0</v>
      </c>
      <c r="CD223" s="529">
        <f t="shared" si="1160"/>
        <v>0</v>
      </c>
      <c r="CE223" s="529">
        <f t="shared" si="1161"/>
        <v>0</v>
      </c>
      <c r="CF223" s="529">
        <f t="shared" si="1162"/>
        <v>0</v>
      </c>
      <c r="CG223" s="529">
        <f t="shared" si="1163"/>
        <v>0</v>
      </c>
      <c r="CH223" s="529">
        <f t="shared" si="1164"/>
        <v>0</v>
      </c>
      <c r="CI223" s="529">
        <f t="shared" si="1165"/>
        <v>0</v>
      </c>
      <c r="CJ223" s="529">
        <f t="shared" si="1166"/>
        <v>0</v>
      </c>
      <c r="CK223" s="529">
        <f t="shared" si="1167"/>
        <v>0</v>
      </c>
      <c r="CL223" s="529">
        <f t="shared" si="1168"/>
        <v>0</v>
      </c>
      <c r="CM223" s="529">
        <f t="shared" si="1169"/>
        <v>0</v>
      </c>
      <c r="CN223" s="529">
        <f t="shared" si="1170"/>
        <v>0</v>
      </c>
      <c r="CO223" s="529">
        <f t="shared" si="1171"/>
        <v>0</v>
      </c>
      <c r="CP223" s="529">
        <f t="shared" si="1083"/>
        <v>0</v>
      </c>
      <c r="CQ223" s="529">
        <f t="shared" si="1084"/>
        <v>0</v>
      </c>
      <c r="CR223" s="529">
        <f t="shared" si="1085"/>
        <v>0</v>
      </c>
    </row>
    <row r="224" spans="1:96" x14ac:dyDescent="0.2">
      <c r="A224" s="767"/>
      <c r="B224" s="537" t="str">
        <f t="shared" si="1182"/>
        <v>NPK 00-00-00</v>
      </c>
      <c r="C224" s="538"/>
      <c r="D224" s="607"/>
      <c r="E224" s="539"/>
      <c r="F224" s="538"/>
      <c r="G224" s="607"/>
      <c r="H224" s="539"/>
      <c r="I224" s="538"/>
      <c r="J224" s="607"/>
      <c r="K224" s="539"/>
      <c r="L224" s="538"/>
      <c r="M224" s="607"/>
      <c r="N224" s="539"/>
      <c r="O224" s="538"/>
      <c r="P224" s="607"/>
      <c r="Q224" s="539"/>
      <c r="R224" s="538"/>
      <c r="S224" s="607"/>
      <c r="T224" s="539"/>
      <c r="U224" s="538"/>
      <c r="V224" s="637"/>
      <c r="W224" s="539"/>
      <c r="X224" s="538"/>
      <c r="Y224" s="607"/>
      <c r="Z224" s="607"/>
      <c r="AA224" s="538">
        <f>+Assumptions!$I$13*$BC224*1000</f>
        <v>0</v>
      </c>
      <c r="AB224" s="607">
        <f>+AB$319+12</f>
        <v>12</v>
      </c>
      <c r="AC224" s="607">
        <f t="shared" si="1173"/>
        <v>0</v>
      </c>
      <c r="AD224" s="538">
        <f>+Assumptions!$J$13*$BC224*1000</f>
        <v>0</v>
      </c>
      <c r="AE224" s="607">
        <f>+AE$319+12</f>
        <v>12</v>
      </c>
      <c r="AF224" s="607">
        <f t="shared" si="1174"/>
        <v>0</v>
      </c>
      <c r="AG224" s="538">
        <f>+Assumptions!$K$13*$BC224*1000</f>
        <v>0</v>
      </c>
      <c r="AH224" s="607">
        <f>+AH$319+12</f>
        <v>12</v>
      </c>
      <c r="AI224" s="607">
        <f t="shared" si="1175"/>
        <v>0</v>
      </c>
      <c r="AJ224" s="538">
        <f>+Assumptions!$L$13*$BC224*1000</f>
        <v>0</v>
      </c>
      <c r="AK224" s="607">
        <f>+AK$319+12</f>
        <v>12</v>
      </c>
      <c r="AL224" s="607">
        <f t="shared" si="1176"/>
        <v>0</v>
      </c>
      <c r="AM224" s="538">
        <f>+Assumptions!$M$13*$BC224*1000</f>
        <v>0</v>
      </c>
      <c r="AN224" s="607">
        <f>+AN$319+12</f>
        <v>12</v>
      </c>
      <c r="AO224" s="607">
        <f t="shared" si="1177"/>
        <v>0</v>
      </c>
      <c r="AP224" s="538">
        <f>+Assumptions!$N$13*$BC224*1000</f>
        <v>0</v>
      </c>
      <c r="AQ224" s="607">
        <f>+AQ$319+12</f>
        <v>12</v>
      </c>
      <c r="AR224" s="607">
        <f t="shared" si="1178"/>
        <v>0</v>
      </c>
      <c r="AS224" s="538">
        <f>+Assumptions!$N$13*$BC224*1000</f>
        <v>0</v>
      </c>
      <c r="AT224" s="607">
        <f>+AT$319+12</f>
        <v>12</v>
      </c>
      <c r="AU224" s="607">
        <f t="shared" si="1179"/>
        <v>0</v>
      </c>
      <c r="AV224" s="538">
        <f>+Assumptions!$N$13*$BC224*1000</f>
        <v>0</v>
      </c>
      <c r="AW224" s="607">
        <f>+AW$319+12</f>
        <v>12</v>
      </c>
      <c r="AX224" s="607">
        <f t="shared" si="1180"/>
        <v>0</v>
      </c>
      <c r="AY224" s="538">
        <f>+Assumptions!$N$13*$BC224*1000</f>
        <v>0</v>
      </c>
      <c r="AZ224" s="607">
        <f>+AZ$319+12</f>
        <v>12</v>
      </c>
      <c r="BA224" s="607">
        <f t="shared" si="1181"/>
        <v>0</v>
      </c>
      <c r="BC224" s="710">
        <v>0</v>
      </c>
      <c r="BJ224" s="529">
        <f t="shared" si="1141"/>
        <v>0</v>
      </c>
      <c r="BK224" s="529">
        <f t="shared" si="1142"/>
        <v>0</v>
      </c>
      <c r="BL224" s="529">
        <f t="shared" si="1143"/>
        <v>0</v>
      </c>
      <c r="BM224" s="529">
        <f t="shared" si="1144"/>
        <v>0</v>
      </c>
      <c r="BN224" s="529">
        <f t="shared" si="1145"/>
        <v>0</v>
      </c>
      <c r="BO224" s="529">
        <f t="shared" si="1146"/>
        <v>0</v>
      </c>
      <c r="BP224" s="529">
        <f t="shared" si="1147"/>
        <v>0</v>
      </c>
      <c r="BQ224" s="529">
        <f t="shared" si="1148"/>
        <v>0</v>
      </c>
      <c r="BR224" s="529">
        <f t="shared" si="1149"/>
        <v>0</v>
      </c>
      <c r="BS224" s="529">
        <f t="shared" si="1150"/>
        <v>0</v>
      </c>
      <c r="BT224" s="529">
        <f t="shared" si="1151"/>
        <v>0</v>
      </c>
      <c r="BU224" s="529">
        <f t="shared" si="1152"/>
        <v>0</v>
      </c>
      <c r="BV224" s="529">
        <f t="shared" si="1153"/>
        <v>0</v>
      </c>
      <c r="BW224" s="529">
        <f t="shared" si="1154"/>
        <v>0</v>
      </c>
      <c r="BX224" s="529">
        <f t="shared" si="1155"/>
        <v>0</v>
      </c>
      <c r="BY224" s="529">
        <f t="shared" si="1156"/>
        <v>0</v>
      </c>
      <c r="BZ224" s="529">
        <f t="shared" si="1157"/>
        <v>0</v>
      </c>
      <c r="CB224" s="529">
        <f t="shared" si="1158"/>
        <v>0</v>
      </c>
      <c r="CC224" s="529">
        <f t="shared" si="1159"/>
        <v>0</v>
      </c>
      <c r="CD224" s="529">
        <f t="shared" si="1160"/>
        <v>0</v>
      </c>
      <c r="CE224" s="529">
        <f t="shared" si="1161"/>
        <v>0</v>
      </c>
      <c r="CF224" s="529">
        <f t="shared" si="1162"/>
        <v>0</v>
      </c>
      <c r="CG224" s="529">
        <f t="shared" si="1163"/>
        <v>0</v>
      </c>
      <c r="CH224" s="529">
        <f t="shared" si="1164"/>
        <v>0</v>
      </c>
      <c r="CI224" s="529">
        <f t="shared" si="1165"/>
        <v>0</v>
      </c>
      <c r="CJ224" s="529">
        <f t="shared" si="1166"/>
        <v>0</v>
      </c>
      <c r="CK224" s="529">
        <f t="shared" si="1167"/>
        <v>0</v>
      </c>
      <c r="CL224" s="529">
        <f t="shared" si="1168"/>
        <v>0</v>
      </c>
      <c r="CM224" s="529">
        <f t="shared" si="1169"/>
        <v>0</v>
      </c>
      <c r="CN224" s="529">
        <f t="shared" si="1170"/>
        <v>0</v>
      </c>
      <c r="CO224" s="529">
        <f t="shared" si="1171"/>
        <v>0</v>
      </c>
      <c r="CP224" s="529">
        <f t="shared" si="1083"/>
        <v>0</v>
      </c>
      <c r="CQ224" s="529">
        <f t="shared" si="1084"/>
        <v>0</v>
      </c>
      <c r="CR224" s="529">
        <f t="shared" si="1085"/>
        <v>0</v>
      </c>
    </row>
    <row r="225" spans="1:96" x14ac:dyDescent="0.2">
      <c r="A225" s="769"/>
      <c r="B225" s="611"/>
      <c r="C225" s="543"/>
      <c r="D225" s="609"/>
      <c r="E225" s="544"/>
      <c r="F225" s="543"/>
      <c r="G225" s="609"/>
      <c r="H225" s="544"/>
      <c r="I225" s="543"/>
      <c r="J225" s="609"/>
      <c r="K225" s="544"/>
      <c r="L225" s="543"/>
      <c r="M225" s="609"/>
      <c r="N225" s="544"/>
      <c r="O225" s="543"/>
      <c r="P225" s="609"/>
      <c r="Q225" s="544"/>
      <c r="R225" s="543"/>
      <c r="S225" s="609"/>
      <c r="T225" s="544"/>
      <c r="U225" s="543"/>
      <c r="V225" s="638"/>
      <c r="W225" s="544"/>
      <c r="X225" s="543"/>
      <c r="Y225" s="609"/>
      <c r="Z225" s="609"/>
      <c r="AA225" s="543"/>
      <c r="AB225" s="609"/>
      <c r="AC225" s="609"/>
      <c r="AD225" s="543"/>
      <c r="AE225" s="609"/>
      <c r="AF225" s="609"/>
      <c r="AG225" s="543"/>
      <c r="AH225" s="609"/>
      <c r="AI225" s="609"/>
      <c r="AJ225" s="543"/>
      <c r="AK225" s="609"/>
      <c r="AL225" s="609"/>
      <c r="AM225" s="543"/>
      <c r="AN225" s="609"/>
      <c r="AO225" s="609"/>
      <c r="AP225" s="543"/>
      <c r="AQ225" s="609"/>
      <c r="AR225" s="609"/>
      <c r="AS225" s="543"/>
      <c r="AT225" s="609"/>
      <c r="AU225" s="609"/>
      <c r="AV225" s="543"/>
      <c r="AW225" s="609"/>
      <c r="AX225" s="609"/>
      <c r="AY225" s="543"/>
      <c r="AZ225" s="609"/>
      <c r="BA225" s="609"/>
      <c r="BC225" s="710" t="e">
        <v>#N/A</v>
      </c>
      <c r="BJ225" s="529">
        <f t="shared" si="1141"/>
        <v>0</v>
      </c>
      <c r="BK225" s="529">
        <f t="shared" si="1142"/>
        <v>0</v>
      </c>
      <c r="BL225" s="529">
        <f t="shared" si="1143"/>
        <v>0</v>
      </c>
      <c r="BM225" s="529">
        <f t="shared" si="1144"/>
        <v>0</v>
      </c>
      <c r="BN225" s="529">
        <f t="shared" si="1145"/>
        <v>0</v>
      </c>
      <c r="BO225" s="529">
        <f t="shared" si="1146"/>
        <v>0</v>
      </c>
      <c r="BP225" s="529">
        <f t="shared" si="1147"/>
        <v>0</v>
      </c>
      <c r="BQ225" s="529">
        <f t="shared" si="1148"/>
        <v>0</v>
      </c>
      <c r="BR225" s="529">
        <f t="shared" si="1149"/>
        <v>0</v>
      </c>
      <c r="BS225" s="529">
        <f t="shared" si="1150"/>
        <v>0</v>
      </c>
      <c r="BT225" s="529">
        <f t="shared" si="1151"/>
        <v>0</v>
      </c>
      <c r="BU225" s="529">
        <f t="shared" si="1152"/>
        <v>0</v>
      </c>
      <c r="BV225" s="529">
        <f t="shared" si="1153"/>
        <v>0</v>
      </c>
      <c r="BW225" s="529">
        <f t="shared" si="1154"/>
        <v>0</v>
      </c>
      <c r="BX225" s="529">
        <f t="shared" si="1155"/>
        <v>0</v>
      </c>
      <c r="BY225" s="529">
        <f t="shared" si="1156"/>
        <v>0</v>
      </c>
      <c r="BZ225" s="529">
        <f t="shared" si="1157"/>
        <v>0</v>
      </c>
      <c r="CB225" s="529">
        <f t="shared" si="1158"/>
        <v>0</v>
      </c>
      <c r="CC225" s="529">
        <f t="shared" si="1159"/>
        <v>0</v>
      </c>
      <c r="CD225" s="529">
        <f t="shared" si="1160"/>
        <v>0</v>
      </c>
      <c r="CE225" s="529">
        <f t="shared" si="1161"/>
        <v>0</v>
      </c>
      <c r="CF225" s="529">
        <f t="shared" si="1162"/>
        <v>0</v>
      </c>
      <c r="CG225" s="529">
        <f t="shared" si="1163"/>
        <v>0</v>
      </c>
      <c r="CH225" s="529">
        <f t="shared" si="1164"/>
        <v>0</v>
      </c>
      <c r="CI225" s="529">
        <f t="shared" si="1165"/>
        <v>0</v>
      </c>
      <c r="CJ225" s="529">
        <f t="shared" si="1166"/>
        <v>0</v>
      </c>
      <c r="CK225" s="529">
        <f t="shared" si="1167"/>
        <v>0</v>
      </c>
      <c r="CL225" s="529">
        <f t="shared" si="1168"/>
        <v>0</v>
      </c>
      <c r="CM225" s="529">
        <f t="shared" si="1169"/>
        <v>0</v>
      </c>
      <c r="CN225" s="529">
        <f t="shared" si="1170"/>
        <v>0</v>
      </c>
      <c r="CO225" s="529">
        <f t="shared" si="1171"/>
        <v>0</v>
      </c>
      <c r="CP225" s="529">
        <f t="shared" si="1083"/>
        <v>0</v>
      </c>
      <c r="CQ225" s="529">
        <f t="shared" si="1084"/>
        <v>0</v>
      </c>
      <c r="CR225" s="529">
        <f t="shared" si="1085"/>
        <v>0</v>
      </c>
    </row>
    <row r="226" spans="1:96" x14ac:dyDescent="0.2">
      <c r="A226" s="762" t="s">
        <v>647</v>
      </c>
      <c r="B226" s="610" t="str">
        <f>+B219</f>
        <v>NPK 15-15-15</v>
      </c>
      <c r="C226" s="605"/>
      <c r="D226" s="603"/>
      <c r="E226" s="604"/>
      <c r="F226" s="605"/>
      <c r="G226" s="603"/>
      <c r="H226" s="604"/>
      <c r="I226" s="605"/>
      <c r="J226" s="603"/>
      <c r="K226" s="604"/>
      <c r="L226" s="605"/>
      <c r="M226" s="603"/>
      <c r="N226" s="604"/>
      <c r="O226" s="605"/>
      <c r="P226" s="603"/>
      <c r="Q226" s="604"/>
      <c r="R226" s="605"/>
      <c r="S226" s="603"/>
      <c r="T226" s="604"/>
      <c r="U226" s="605"/>
      <c r="V226" s="636"/>
      <c r="W226" s="604"/>
      <c r="X226" s="605"/>
      <c r="Y226" s="603"/>
      <c r="Z226" s="603"/>
      <c r="AA226" s="605">
        <f>+Assumptions!$I$13*$BC226*1000</f>
        <v>0</v>
      </c>
      <c r="AB226" s="603">
        <f>+AB$314</f>
        <v>315</v>
      </c>
      <c r="AC226" s="603">
        <f t="shared" ref="AC226:AC231" si="1183">+AB226*AA226</f>
        <v>0</v>
      </c>
      <c r="AD226" s="605">
        <f>+Assumptions!$J$13*$BC226*1000</f>
        <v>0</v>
      </c>
      <c r="AE226" s="603">
        <f>+AE$314</f>
        <v>324</v>
      </c>
      <c r="AF226" s="603">
        <f t="shared" ref="AF226:AF231" si="1184">+AE226*AD226</f>
        <v>0</v>
      </c>
      <c r="AG226" s="605">
        <f>+Assumptions!$K$13*$BC226*1000</f>
        <v>0</v>
      </c>
      <c r="AH226" s="603">
        <f>+AH$314</f>
        <v>334</v>
      </c>
      <c r="AI226" s="603">
        <f t="shared" ref="AI226:AI231" si="1185">+AH226*AG226</f>
        <v>0</v>
      </c>
      <c r="AJ226" s="605">
        <f>+Assumptions!$L$13*$BC226*1000</f>
        <v>0</v>
      </c>
      <c r="AK226" s="603">
        <f>+AK$314</f>
        <v>344</v>
      </c>
      <c r="AL226" s="603">
        <f t="shared" ref="AL226:AL231" si="1186">+AK226*AJ226</f>
        <v>0</v>
      </c>
      <c r="AM226" s="605">
        <f>+Assumptions!$M$13*$BC226*1000</f>
        <v>0</v>
      </c>
      <c r="AN226" s="603">
        <f>+AN$314</f>
        <v>354</v>
      </c>
      <c r="AO226" s="603">
        <f t="shared" ref="AO226:AO231" si="1187">+AN226*AM226</f>
        <v>0</v>
      </c>
      <c r="AP226" s="605">
        <f>+Assumptions!$N$13*$BC226*1000</f>
        <v>0</v>
      </c>
      <c r="AQ226" s="603">
        <f>+AQ$314</f>
        <v>365</v>
      </c>
      <c r="AR226" s="603">
        <f t="shared" ref="AR226:AR231" si="1188">+AQ226*AP226</f>
        <v>0</v>
      </c>
      <c r="AS226" s="605">
        <f>+Assumptions!$N$13*$BC226*1000</f>
        <v>0</v>
      </c>
      <c r="AT226" s="603">
        <f>+AT$314</f>
        <v>376</v>
      </c>
      <c r="AU226" s="603">
        <f t="shared" ref="AU226:AU231" si="1189">+AT226*AS226</f>
        <v>0</v>
      </c>
      <c r="AV226" s="605">
        <f>+Assumptions!$N$13*$BC226*1000</f>
        <v>0</v>
      </c>
      <c r="AW226" s="603">
        <f>+AW$314</f>
        <v>387</v>
      </c>
      <c r="AX226" s="603">
        <f t="shared" ref="AX226:AX231" si="1190">+AW226*AV226</f>
        <v>0</v>
      </c>
      <c r="AY226" s="605">
        <f>+Assumptions!$N$13*$BC226*1000</f>
        <v>0</v>
      </c>
      <c r="AZ226" s="603">
        <f>+AZ$314</f>
        <v>399</v>
      </c>
      <c r="BA226" s="603">
        <f t="shared" ref="BA226:BA231" si="1191">+AZ226*AY226</f>
        <v>0</v>
      </c>
      <c r="BC226" s="710">
        <v>0</v>
      </c>
      <c r="BJ226" s="529">
        <f t="shared" si="1141"/>
        <v>0</v>
      </c>
      <c r="BK226" s="529">
        <f t="shared" si="1142"/>
        <v>0</v>
      </c>
      <c r="BL226" s="529">
        <f t="shared" si="1143"/>
        <v>0</v>
      </c>
      <c r="BM226" s="529">
        <f t="shared" si="1144"/>
        <v>0</v>
      </c>
      <c r="BN226" s="529">
        <f t="shared" si="1145"/>
        <v>0</v>
      </c>
      <c r="BO226" s="529">
        <f t="shared" si="1146"/>
        <v>0</v>
      </c>
      <c r="BP226" s="529">
        <f t="shared" si="1147"/>
        <v>0</v>
      </c>
      <c r="BQ226" s="529">
        <f t="shared" si="1148"/>
        <v>0</v>
      </c>
      <c r="BR226" s="529">
        <f t="shared" si="1149"/>
        <v>0</v>
      </c>
      <c r="BS226" s="529">
        <f t="shared" si="1150"/>
        <v>0</v>
      </c>
      <c r="BT226" s="529">
        <f t="shared" si="1151"/>
        <v>0</v>
      </c>
      <c r="BU226" s="529">
        <f t="shared" si="1152"/>
        <v>0</v>
      </c>
      <c r="BV226" s="529">
        <f t="shared" si="1153"/>
        <v>0</v>
      </c>
      <c r="BW226" s="529">
        <f t="shared" si="1154"/>
        <v>0</v>
      </c>
      <c r="BX226" s="529">
        <f t="shared" si="1155"/>
        <v>0</v>
      </c>
      <c r="BY226" s="529">
        <f t="shared" si="1156"/>
        <v>0</v>
      </c>
      <c r="BZ226" s="529">
        <f t="shared" si="1157"/>
        <v>0</v>
      </c>
      <c r="CB226" s="529">
        <f t="shared" si="1158"/>
        <v>0</v>
      </c>
      <c r="CC226" s="529">
        <f t="shared" si="1159"/>
        <v>0</v>
      </c>
      <c r="CD226" s="529">
        <f t="shared" si="1160"/>
        <v>0</v>
      </c>
      <c r="CE226" s="529">
        <f t="shared" si="1161"/>
        <v>0</v>
      </c>
      <c r="CF226" s="529">
        <f t="shared" si="1162"/>
        <v>0</v>
      </c>
      <c r="CG226" s="529">
        <f t="shared" si="1163"/>
        <v>0</v>
      </c>
      <c r="CH226" s="529">
        <f t="shared" si="1164"/>
        <v>0</v>
      </c>
      <c r="CI226" s="529">
        <f t="shared" si="1165"/>
        <v>0</v>
      </c>
      <c r="CJ226" s="529">
        <f t="shared" si="1166"/>
        <v>0</v>
      </c>
      <c r="CK226" s="529">
        <f t="shared" si="1167"/>
        <v>0</v>
      </c>
      <c r="CL226" s="529">
        <f t="shared" si="1168"/>
        <v>0</v>
      </c>
      <c r="CM226" s="529">
        <f t="shared" si="1169"/>
        <v>0</v>
      </c>
      <c r="CN226" s="529">
        <f t="shared" si="1170"/>
        <v>0</v>
      </c>
      <c r="CO226" s="529">
        <f t="shared" si="1171"/>
        <v>0</v>
      </c>
      <c r="CP226" s="529">
        <f t="shared" si="1083"/>
        <v>0</v>
      </c>
      <c r="CQ226" s="529">
        <f t="shared" si="1084"/>
        <v>0</v>
      </c>
      <c r="CR226" s="529">
        <f t="shared" si="1085"/>
        <v>0</v>
      </c>
    </row>
    <row r="227" spans="1:96" x14ac:dyDescent="0.2">
      <c r="A227" s="763"/>
      <c r="B227" s="537" t="str">
        <f>+B220</f>
        <v>NPK 16-16-16</v>
      </c>
      <c r="C227" s="538"/>
      <c r="D227" s="607"/>
      <c r="E227" s="539"/>
      <c r="F227" s="538"/>
      <c r="G227" s="607"/>
      <c r="H227" s="539"/>
      <c r="I227" s="538"/>
      <c r="J227" s="607"/>
      <c r="K227" s="539"/>
      <c r="L227" s="538"/>
      <c r="M227" s="607"/>
      <c r="N227" s="539"/>
      <c r="O227" s="538"/>
      <c r="P227" s="607"/>
      <c r="Q227" s="539"/>
      <c r="R227" s="538"/>
      <c r="S227" s="607"/>
      <c r="T227" s="539"/>
      <c r="U227" s="538"/>
      <c r="V227" s="637"/>
      <c r="W227" s="539"/>
      <c r="X227" s="538"/>
      <c r="Y227" s="607"/>
      <c r="Z227" s="607"/>
      <c r="AA227" s="538">
        <f>+Assumptions!$I$13*$BC227*1000</f>
        <v>8400</v>
      </c>
      <c r="AB227" s="607">
        <f>+AB$315*1.04</f>
        <v>350.48</v>
      </c>
      <c r="AC227" s="607">
        <f t="shared" si="1183"/>
        <v>2944032</v>
      </c>
      <c r="AD227" s="538">
        <f>+Assumptions!$J$13*$BC227*1000</f>
        <v>16800</v>
      </c>
      <c r="AE227" s="607">
        <f>+AE$315*1.04</f>
        <v>360.88</v>
      </c>
      <c r="AF227" s="607">
        <f t="shared" si="1184"/>
        <v>6062784</v>
      </c>
      <c r="AG227" s="538">
        <f>+Assumptions!$K$13*$BC227*1000</f>
        <v>16800</v>
      </c>
      <c r="AH227" s="607">
        <f>+AH$315*1.04</f>
        <v>371.28000000000003</v>
      </c>
      <c r="AI227" s="607">
        <f t="shared" si="1185"/>
        <v>6237504.0000000009</v>
      </c>
      <c r="AJ227" s="538">
        <f>+Assumptions!$L$13*$BC227*1000</f>
        <v>16800</v>
      </c>
      <c r="AK227" s="607">
        <f>+AK$315*1.04</f>
        <v>382.72</v>
      </c>
      <c r="AL227" s="607">
        <f t="shared" si="1186"/>
        <v>6429696</v>
      </c>
      <c r="AM227" s="538">
        <f>+Assumptions!$M$13*$BC227*1000</f>
        <v>16800</v>
      </c>
      <c r="AN227" s="607">
        <f>+AN$315*1.04</f>
        <v>394.16</v>
      </c>
      <c r="AO227" s="607">
        <f t="shared" si="1187"/>
        <v>6621888</v>
      </c>
      <c r="AP227" s="538">
        <f>+Assumptions!$N$13*$BC227*1000</f>
        <v>16800</v>
      </c>
      <c r="AQ227" s="607">
        <f>+AQ$315*1.04</f>
        <v>405.6</v>
      </c>
      <c r="AR227" s="607">
        <f t="shared" si="1188"/>
        <v>6814080</v>
      </c>
      <c r="AS227" s="538">
        <f>+Assumptions!$N$13*$BC227*1000</f>
        <v>16800</v>
      </c>
      <c r="AT227" s="607">
        <f>+AT$315*1.04</f>
        <v>418.08000000000004</v>
      </c>
      <c r="AU227" s="607">
        <f t="shared" si="1189"/>
        <v>7023744.0000000009</v>
      </c>
      <c r="AV227" s="538">
        <f>+Assumptions!$N$13*$BC227*1000</f>
        <v>16800</v>
      </c>
      <c r="AW227" s="607">
        <f>+AW$315*1.04</f>
        <v>430.56</v>
      </c>
      <c r="AX227" s="607">
        <f t="shared" si="1190"/>
        <v>7233408</v>
      </c>
      <c r="AY227" s="538">
        <f>+Assumptions!$N$13*$BC227*1000</f>
        <v>16800</v>
      </c>
      <c r="AZ227" s="607">
        <f>+AZ$315*1.04</f>
        <v>443.04</v>
      </c>
      <c r="BA227" s="607">
        <f t="shared" si="1191"/>
        <v>7443072</v>
      </c>
      <c r="BC227" s="710">
        <v>0.105</v>
      </c>
      <c r="BD227" s="729">
        <v>0.15</v>
      </c>
      <c r="BJ227" s="529">
        <f t="shared" si="1141"/>
        <v>0</v>
      </c>
      <c r="BK227" s="529">
        <f t="shared" si="1142"/>
        <v>0</v>
      </c>
      <c r="BL227" s="529">
        <f t="shared" si="1143"/>
        <v>0</v>
      </c>
      <c r="BM227" s="529">
        <f t="shared" si="1144"/>
        <v>0</v>
      </c>
      <c r="BN227" s="529">
        <f t="shared" si="1145"/>
        <v>0</v>
      </c>
      <c r="BO227" s="529">
        <f t="shared" si="1146"/>
        <v>0</v>
      </c>
      <c r="BP227" s="529">
        <f t="shared" si="1147"/>
        <v>0</v>
      </c>
      <c r="BQ227" s="529">
        <f t="shared" si="1148"/>
        <v>0</v>
      </c>
      <c r="BR227" s="529">
        <f t="shared" si="1149"/>
        <v>2.944032</v>
      </c>
      <c r="BS227" s="529">
        <f t="shared" si="1150"/>
        <v>6.0627839999999997</v>
      </c>
      <c r="BT227" s="529">
        <f t="shared" si="1151"/>
        <v>6.2375040000000013</v>
      </c>
      <c r="BU227" s="529">
        <f t="shared" si="1152"/>
        <v>6.4296959999999999</v>
      </c>
      <c r="BV227" s="529">
        <f t="shared" si="1153"/>
        <v>6.6218880000000002</v>
      </c>
      <c r="BW227" s="529">
        <f t="shared" si="1154"/>
        <v>6.8140799999999997</v>
      </c>
      <c r="BX227" s="529">
        <f t="shared" si="1155"/>
        <v>7.0237440000000007</v>
      </c>
      <c r="BY227" s="529">
        <f t="shared" si="1156"/>
        <v>7.2334079999999998</v>
      </c>
      <c r="BZ227" s="529">
        <f t="shared" si="1157"/>
        <v>7.4430719999999999</v>
      </c>
      <c r="CB227" s="529">
        <f t="shared" si="1158"/>
        <v>0</v>
      </c>
      <c r="CC227" s="529">
        <f t="shared" si="1159"/>
        <v>0</v>
      </c>
      <c r="CD227" s="529">
        <f t="shared" si="1160"/>
        <v>0</v>
      </c>
      <c r="CE227" s="529">
        <f t="shared" si="1161"/>
        <v>0</v>
      </c>
      <c r="CF227" s="529">
        <f t="shared" si="1162"/>
        <v>0</v>
      </c>
      <c r="CG227" s="529">
        <f t="shared" si="1163"/>
        <v>0</v>
      </c>
      <c r="CH227" s="529">
        <f t="shared" si="1164"/>
        <v>0</v>
      </c>
      <c r="CI227" s="529">
        <f t="shared" si="1165"/>
        <v>0</v>
      </c>
      <c r="CJ227" s="529">
        <f t="shared" si="1166"/>
        <v>8400</v>
      </c>
      <c r="CK227" s="529">
        <f t="shared" si="1167"/>
        <v>16800</v>
      </c>
      <c r="CL227" s="529">
        <f t="shared" si="1168"/>
        <v>16800</v>
      </c>
      <c r="CM227" s="529">
        <f t="shared" si="1169"/>
        <v>16800</v>
      </c>
      <c r="CN227" s="529">
        <f t="shared" si="1170"/>
        <v>16800</v>
      </c>
      <c r="CO227" s="529">
        <f t="shared" si="1171"/>
        <v>16800</v>
      </c>
      <c r="CP227" s="529">
        <f t="shared" si="1083"/>
        <v>16800</v>
      </c>
      <c r="CQ227" s="529">
        <f t="shared" si="1084"/>
        <v>16800</v>
      </c>
      <c r="CR227" s="529">
        <f t="shared" si="1085"/>
        <v>16800</v>
      </c>
    </row>
    <row r="228" spans="1:96" x14ac:dyDescent="0.2">
      <c r="A228" s="764"/>
      <c r="B228" s="537" t="str">
        <f>+B221</f>
        <v>NPK 10-26-26</v>
      </c>
      <c r="C228" s="538"/>
      <c r="D228" s="607"/>
      <c r="E228" s="539"/>
      <c r="F228" s="538"/>
      <c r="G228" s="607"/>
      <c r="H228" s="539"/>
      <c r="I228" s="538"/>
      <c r="J228" s="607"/>
      <c r="K228" s="539"/>
      <c r="L228" s="538"/>
      <c r="M228" s="607"/>
      <c r="N228" s="539"/>
      <c r="O228" s="538"/>
      <c r="P228" s="607"/>
      <c r="Q228" s="539"/>
      <c r="R228" s="538"/>
      <c r="S228" s="607"/>
      <c r="T228" s="539"/>
      <c r="U228" s="538"/>
      <c r="V228" s="637"/>
      <c r="W228" s="539"/>
      <c r="X228" s="538"/>
      <c r="Y228" s="607"/>
      <c r="Z228" s="607"/>
      <c r="AA228" s="538">
        <f>+Assumptions!$I$13*$BC228*1000</f>
        <v>5100</v>
      </c>
      <c r="AB228" s="607">
        <f>+AB$316*1.04</f>
        <v>451.36</v>
      </c>
      <c r="AC228" s="607">
        <f t="shared" si="1183"/>
        <v>2301936</v>
      </c>
      <c r="AD228" s="538">
        <f>+Assumptions!$J$13*$BC228*1000</f>
        <v>10200</v>
      </c>
      <c r="AE228" s="607">
        <f>+AE$316*1.04</f>
        <v>464.88</v>
      </c>
      <c r="AF228" s="607">
        <f t="shared" si="1184"/>
        <v>4741776</v>
      </c>
      <c r="AG228" s="538">
        <f>+Assumptions!$K$13*$BC228*1000</f>
        <v>10200</v>
      </c>
      <c r="AH228" s="607">
        <f>+AH$316*1.04</f>
        <v>478.40000000000003</v>
      </c>
      <c r="AI228" s="607">
        <f t="shared" si="1185"/>
        <v>4879680</v>
      </c>
      <c r="AJ228" s="538">
        <f>+Assumptions!$L$13*$BC228*1000</f>
        <v>10200</v>
      </c>
      <c r="AK228" s="607">
        <f>+AK$316*1.04</f>
        <v>492.96000000000004</v>
      </c>
      <c r="AL228" s="607">
        <f t="shared" si="1186"/>
        <v>5028192</v>
      </c>
      <c r="AM228" s="538">
        <f>+Assumptions!$M$13*$BC228*1000</f>
        <v>10200</v>
      </c>
      <c r="AN228" s="607">
        <f>+AN$316*1.04</f>
        <v>507.52000000000004</v>
      </c>
      <c r="AO228" s="607">
        <f t="shared" si="1187"/>
        <v>5176704</v>
      </c>
      <c r="AP228" s="538">
        <f>+Assumptions!$N$13*$BC228*1000</f>
        <v>10200</v>
      </c>
      <c r="AQ228" s="607">
        <f>+AQ$316*1.04</f>
        <v>523.12</v>
      </c>
      <c r="AR228" s="607">
        <f t="shared" si="1188"/>
        <v>5335824</v>
      </c>
      <c r="AS228" s="538">
        <f>+Assumptions!$N$13*$BC228*1000</f>
        <v>10200</v>
      </c>
      <c r="AT228" s="607">
        <f>+AT$316*1.04</f>
        <v>538.72</v>
      </c>
      <c r="AU228" s="607">
        <f t="shared" si="1189"/>
        <v>5494944</v>
      </c>
      <c r="AV228" s="538">
        <f>+Assumptions!$N$13*$BC228*1000</f>
        <v>10200</v>
      </c>
      <c r="AW228" s="607">
        <f>+AW$316*1.04</f>
        <v>555.36</v>
      </c>
      <c r="AX228" s="607">
        <f t="shared" si="1190"/>
        <v>5664672</v>
      </c>
      <c r="AY228" s="538">
        <f>+Assumptions!$N$13*$BC228*1000</f>
        <v>10200</v>
      </c>
      <c r="AZ228" s="607">
        <f>+AZ$316*1.04</f>
        <v>572</v>
      </c>
      <c r="BA228" s="607">
        <f t="shared" si="1191"/>
        <v>5834400</v>
      </c>
      <c r="BC228" s="710">
        <v>6.3750000000000001E-2</v>
      </c>
      <c r="BD228" s="729">
        <v>0.6</v>
      </c>
      <c r="BJ228" s="529">
        <f t="shared" si="1141"/>
        <v>0</v>
      </c>
      <c r="BK228" s="529">
        <f t="shared" si="1142"/>
        <v>0</v>
      </c>
      <c r="BL228" s="529">
        <f t="shared" si="1143"/>
        <v>0</v>
      </c>
      <c r="BM228" s="529">
        <f t="shared" si="1144"/>
        <v>0</v>
      </c>
      <c r="BN228" s="529">
        <f t="shared" si="1145"/>
        <v>0</v>
      </c>
      <c r="BO228" s="529">
        <f t="shared" si="1146"/>
        <v>0</v>
      </c>
      <c r="BP228" s="529">
        <f t="shared" si="1147"/>
        <v>0</v>
      </c>
      <c r="BQ228" s="529">
        <f t="shared" si="1148"/>
        <v>0</v>
      </c>
      <c r="BR228" s="529">
        <f t="shared" si="1149"/>
        <v>2.301936</v>
      </c>
      <c r="BS228" s="529">
        <f t="shared" si="1150"/>
        <v>4.7417759999999998</v>
      </c>
      <c r="BT228" s="529">
        <f t="shared" si="1151"/>
        <v>4.8796799999999996</v>
      </c>
      <c r="BU228" s="529">
        <f t="shared" si="1152"/>
        <v>5.0281919999999998</v>
      </c>
      <c r="BV228" s="529">
        <f t="shared" si="1153"/>
        <v>5.176704</v>
      </c>
      <c r="BW228" s="529">
        <f t="shared" si="1154"/>
        <v>5.3358239999999997</v>
      </c>
      <c r="BX228" s="529">
        <f t="shared" si="1155"/>
        <v>5.4949440000000003</v>
      </c>
      <c r="BY228" s="529">
        <f t="shared" si="1156"/>
        <v>5.6646720000000004</v>
      </c>
      <c r="BZ228" s="529">
        <f t="shared" si="1157"/>
        <v>5.8343999999999996</v>
      </c>
      <c r="CB228" s="529">
        <f t="shared" si="1158"/>
        <v>0</v>
      </c>
      <c r="CC228" s="529">
        <f t="shared" si="1159"/>
        <v>0</v>
      </c>
      <c r="CD228" s="529">
        <f t="shared" si="1160"/>
        <v>0</v>
      </c>
      <c r="CE228" s="529">
        <f t="shared" si="1161"/>
        <v>0</v>
      </c>
      <c r="CF228" s="529">
        <f t="shared" si="1162"/>
        <v>0</v>
      </c>
      <c r="CG228" s="529">
        <f t="shared" si="1163"/>
        <v>0</v>
      </c>
      <c r="CH228" s="529">
        <f t="shared" si="1164"/>
        <v>0</v>
      </c>
      <c r="CI228" s="529">
        <f t="shared" si="1165"/>
        <v>0</v>
      </c>
      <c r="CJ228" s="529">
        <f t="shared" si="1166"/>
        <v>5100</v>
      </c>
      <c r="CK228" s="529">
        <f t="shared" si="1167"/>
        <v>10200</v>
      </c>
      <c r="CL228" s="529">
        <f t="shared" si="1168"/>
        <v>10200</v>
      </c>
      <c r="CM228" s="529">
        <f t="shared" si="1169"/>
        <v>10200</v>
      </c>
      <c r="CN228" s="529">
        <f t="shared" si="1170"/>
        <v>10200</v>
      </c>
      <c r="CO228" s="529">
        <f t="shared" si="1171"/>
        <v>10200</v>
      </c>
      <c r="CP228" s="529">
        <f t="shared" si="1083"/>
        <v>10200</v>
      </c>
      <c r="CQ228" s="529">
        <f t="shared" si="1084"/>
        <v>10200</v>
      </c>
      <c r="CR228" s="529">
        <f t="shared" si="1085"/>
        <v>10200</v>
      </c>
    </row>
    <row r="229" spans="1:96" x14ac:dyDescent="0.2">
      <c r="A229" s="763"/>
      <c r="B229" s="537" t="str">
        <f>+B222</f>
        <v>NPK 10-20-20</v>
      </c>
      <c r="C229" s="538"/>
      <c r="D229" s="607"/>
      <c r="E229" s="539"/>
      <c r="F229" s="538"/>
      <c r="G229" s="607"/>
      <c r="H229" s="539"/>
      <c r="I229" s="538"/>
      <c r="J229" s="607"/>
      <c r="K229" s="539"/>
      <c r="L229" s="538"/>
      <c r="M229" s="607"/>
      <c r="N229" s="539"/>
      <c r="O229" s="538"/>
      <c r="P229" s="607"/>
      <c r="Q229" s="539"/>
      <c r="R229" s="538"/>
      <c r="S229" s="607"/>
      <c r="T229" s="539"/>
      <c r="U229" s="538"/>
      <c r="V229" s="637"/>
      <c r="W229" s="539"/>
      <c r="X229" s="538"/>
      <c r="Y229" s="607"/>
      <c r="Z229" s="607"/>
      <c r="AA229" s="538">
        <f>+Assumptions!$I$13*$BC229*1000</f>
        <v>0</v>
      </c>
      <c r="AB229" s="607">
        <f>+AB$317</f>
        <v>350</v>
      </c>
      <c r="AC229" s="607">
        <f t="shared" si="1183"/>
        <v>0</v>
      </c>
      <c r="AD229" s="538">
        <f>+Assumptions!$J$13*$BC229*1000</f>
        <v>0</v>
      </c>
      <c r="AE229" s="607">
        <f>+AE$317</f>
        <v>361</v>
      </c>
      <c r="AF229" s="607">
        <f t="shared" si="1184"/>
        <v>0</v>
      </c>
      <c r="AG229" s="538">
        <f>+Assumptions!$K$13*$BC229*1000</f>
        <v>0</v>
      </c>
      <c r="AH229" s="607">
        <f>+AH$317</f>
        <v>372</v>
      </c>
      <c r="AI229" s="607">
        <f t="shared" si="1185"/>
        <v>0</v>
      </c>
      <c r="AJ229" s="538">
        <f>+Assumptions!$L$13*$BC229*1000</f>
        <v>0</v>
      </c>
      <c r="AK229" s="607">
        <f>+AK$317</f>
        <v>383</v>
      </c>
      <c r="AL229" s="607">
        <f t="shared" si="1186"/>
        <v>0</v>
      </c>
      <c r="AM229" s="538">
        <f>+Assumptions!$M$13*$BC229*1000</f>
        <v>0</v>
      </c>
      <c r="AN229" s="607">
        <f>+AN$317</f>
        <v>394</v>
      </c>
      <c r="AO229" s="607">
        <f t="shared" si="1187"/>
        <v>0</v>
      </c>
      <c r="AP229" s="538">
        <f>+Assumptions!$N$13*$BC229*1000</f>
        <v>0</v>
      </c>
      <c r="AQ229" s="607">
        <f>+AQ$317</f>
        <v>406</v>
      </c>
      <c r="AR229" s="607">
        <f t="shared" si="1188"/>
        <v>0</v>
      </c>
      <c r="AS229" s="538">
        <f>+Assumptions!$N$13*$BC229*1000</f>
        <v>0</v>
      </c>
      <c r="AT229" s="607">
        <f>+AT$317</f>
        <v>418</v>
      </c>
      <c r="AU229" s="607">
        <f t="shared" si="1189"/>
        <v>0</v>
      </c>
      <c r="AV229" s="538">
        <f>+Assumptions!$N$13*$BC229*1000</f>
        <v>0</v>
      </c>
      <c r="AW229" s="607">
        <f>+AW$317</f>
        <v>431</v>
      </c>
      <c r="AX229" s="607">
        <f t="shared" si="1190"/>
        <v>0</v>
      </c>
      <c r="AY229" s="538">
        <f>+Assumptions!$N$13*$BC229*1000</f>
        <v>0</v>
      </c>
      <c r="AZ229" s="607">
        <f>+AZ$317</f>
        <v>444</v>
      </c>
      <c r="BA229" s="607">
        <f t="shared" si="1191"/>
        <v>0</v>
      </c>
      <c r="BC229" s="710">
        <v>0</v>
      </c>
      <c r="BJ229" s="529">
        <f t="shared" si="1141"/>
        <v>0</v>
      </c>
      <c r="BK229" s="529">
        <f t="shared" si="1142"/>
        <v>0</v>
      </c>
      <c r="BL229" s="529">
        <f t="shared" si="1143"/>
        <v>0</v>
      </c>
      <c r="BM229" s="529">
        <f t="shared" si="1144"/>
        <v>0</v>
      </c>
      <c r="BN229" s="529">
        <f t="shared" si="1145"/>
        <v>0</v>
      </c>
      <c r="BO229" s="529">
        <f t="shared" si="1146"/>
        <v>0</v>
      </c>
      <c r="BP229" s="529">
        <f t="shared" si="1147"/>
        <v>0</v>
      </c>
      <c r="BQ229" s="529">
        <f t="shared" si="1148"/>
        <v>0</v>
      </c>
      <c r="BR229" s="529">
        <f t="shared" si="1149"/>
        <v>0</v>
      </c>
      <c r="BS229" s="529">
        <f t="shared" si="1150"/>
        <v>0</v>
      </c>
      <c r="BT229" s="529">
        <f t="shared" si="1151"/>
        <v>0</v>
      </c>
      <c r="BU229" s="529">
        <f t="shared" si="1152"/>
        <v>0</v>
      </c>
      <c r="BV229" s="529">
        <f t="shared" si="1153"/>
        <v>0</v>
      </c>
      <c r="BW229" s="529">
        <f t="shared" si="1154"/>
        <v>0</v>
      </c>
      <c r="BX229" s="529">
        <f t="shared" si="1155"/>
        <v>0</v>
      </c>
      <c r="BY229" s="529">
        <f t="shared" si="1156"/>
        <v>0</v>
      </c>
      <c r="BZ229" s="529">
        <f t="shared" si="1157"/>
        <v>0</v>
      </c>
      <c r="CB229" s="529">
        <f t="shared" si="1158"/>
        <v>0</v>
      </c>
      <c r="CC229" s="529">
        <f t="shared" si="1159"/>
        <v>0</v>
      </c>
      <c r="CD229" s="529">
        <f t="shared" si="1160"/>
        <v>0</v>
      </c>
      <c r="CE229" s="529">
        <f t="shared" si="1161"/>
        <v>0</v>
      </c>
      <c r="CF229" s="529">
        <f t="shared" si="1162"/>
        <v>0</v>
      </c>
      <c r="CG229" s="529">
        <f t="shared" si="1163"/>
        <v>0</v>
      </c>
      <c r="CH229" s="529">
        <f t="shared" si="1164"/>
        <v>0</v>
      </c>
      <c r="CI229" s="529">
        <f t="shared" si="1165"/>
        <v>0</v>
      </c>
      <c r="CJ229" s="529">
        <f t="shared" si="1166"/>
        <v>0</v>
      </c>
      <c r="CK229" s="529">
        <f t="shared" si="1167"/>
        <v>0</v>
      </c>
      <c r="CL229" s="529">
        <f t="shared" si="1168"/>
        <v>0</v>
      </c>
      <c r="CM229" s="529">
        <f t="shared" si="1169"/>
        <v>0</v>
      </c>
      <c r="CN229" s="529">
        <f t="shared" si="1170"/>
        <v>0</v>
      </c>
      <c r="CO229" s="529">
        <f t="shared" si="1171"/>
        <v>0</v>
      </c>
      <c r="CP229" s="529">
        <f t="shared" si="1083"/>
        <v>0</v>
      </c>
      <c r="CQ229" s="529">
        <f t="shared" si="1084"/>
        <v>0</v>
      </c>
      <c r="CR229" s="529">
        <f t="shared" si="1085"/>
        <v>0</v>
      </c>
    </row>
    <row r="230" spans="1:96" x14ac:dyDescent="0.2">
      <c r="A230" s="763"/>
      <c r="B230" s="537" t="str">
        <f t="shared" ref="B230:B231" si="1192">+B223</f>
        <v>NPK 13-13-21</v>
      </c>
      <c r="C230" s="538"/>
      <c r="D230" s="607"/>
      <c r="E230" s="539"/>
      <c r="F230" s="538"/>
      <c r="G230" s="607"/>
      <c r="H230" s="539"/>
      <c r="I230" s="538"/>
      <c r="J230" s="607"/>
      <c r="K230" s="539"/>
      <c r="L230" s="538"/>
      <c r="M230" s="607"/>
      <c r="N230" s="539"/>
      <c r="O230" s="538"/>
      <c r="P230" s="607"/>
      <c r="Q230" s="539"/>
      <c r="R230" s="538"/>
      <c r="S230" s="607"/>
      <c r="T230" s="539"/>
      <c r="U230" s="538"/>
      <c r="V230" s="637"/>
      <c r="W230" s="539"/>
      <c r="X230" s="538"/>
      <c r="Y230" s="607"/>
      <c r="Z230" s="607"/>
      <c r="AA230" s="538">
        <f>+Assumptions!$I$13*$BC230*1000</f>
        <v>0</v>
      </c>
      <c r="AB230" s="607">
        <f>+AB$318</f>
        <v>329</v>
      </c>
      <c r="AC230" s="607">
        <f t="shared" si="1183"/>
        <v>0</v>
      </c>
      <c r="AD230" s="538">
        <f>+Assumptions!$J$13*$BC230*1000</f>
        <v>0</v>
      </c>
      <c r="AE230" s="607">
        <f>+AE$318</f>
        <v>339</v>
      </c>
      <c r="AF230" s="607">
        <f t="shared" si="1184"/>
        <v>0</v>
      </c>
      <c r="AG230" s="538">
        <f>+Assumptions!$K$13*$BC230*1000</f>
        <v>0</v>
      </c>
      <c r="AH230" s="607">
        <f>+AH$318</f>
        <v>349</v>
      </c>
      <c r="AI230" s="607">
        <f t="shared" si="1185"/>
        <v>0</v>
      </c>
      <c r="AJ230" s="538">
        <f>+Assumptions!$L$13*$BC230*1000</f>
        <v>0</v>
      </c>
      <c r="AK230" s="607">
        <f>+AK$318</f>
        <v>359</v>
      </c>
      <c r="AL230" s="607">
        <f t="shared" si="1186"/>
        <v>0</v>
      </c>
      <c r="AM230" s="538">
        <f>+Assumptions!$M$13*$BC230*1000</f>
        <v>0</v>
      </c>
      <c r="AN230" s="607">
        <f>+AN$318</f>
        <v>370</v>
      </c>
      <c r="AO230" s="607">
        <f t="shared" si="1187"/>
        <v>0</v>
      </c>
      <c r="AP230" s="538">
        <f>+Assumptions!$N$13*$BC230*1000</f>
        <v>0</v>
      </c>
      <c r="AQ230" s="607">
        <f>+AQ$318</f>
        <v>381</v>
      </c>
      <c r="AR230" s="607">
        <f t="shared" si="1188"/>
        <v>0</v>
      </c>
      <c r="AS230" s="538">
        <f>+Assumptions!$N$13*$BC230*1000</f>
        <v>0</v>
      </c>
      <c r="AT230" s="607">
        <f>+AT$318</f>
        <v>392</v>
      </c>
      <c r="AU230" s="607">
        <f t="shared" si="1189"/>
        <v>0</v>
      </c>
      <c r="AV230" s="538">
        <f>+Assumptions!$N$13*$BC230*1000</f>
        <v>0</v>
      </c>
      <c r="AW230" s="607">
        <f>+AW$318</f>
        <v>404</v>
      </c>
      <c r="AX230" s="607">
        <f t="shared" si="1190"/>
        <v>0</v>
      </c>
      <c r="AY230" s="538">
        <f>+Assumptions!$N$13*$BC230*1000</f>
        <v>0</v>
      </c>
      <c r="AZ230" s="607">
        <f>+AZ$318</f>
        <v>416</v>
      </c>
      <c r="BA230" s="607">
        <f t="shared" si="1191"/>
        <v>0</v>
      </c>
      <c r="BC230" s="710">
        <v>0</v>
      </c>
      <c r="BJ230" s="529">
        <f t="shared" si="1141"/>
        <v>0</v>
      </c>
      <c r="BK230" s="529">
        <f t="shared" si="1142"/>
        <v>0</v>
      </c>
      <c r="BL230" s="529">
        <f t="shared" si="1143"/>
        <v>0</v>
      </c>
      <c r="BM230" s="529">
        <f t="shared" si="1144"/>
        <v>0</v>
      </c>
      <c r="BN230" s="529">
        <f t="shared" si="1145"/>
        <v>0</v>
      </c>
      <c r="BO230" s="529">
        <f t="shared" si="1146"/>
        <v>0</v>
      </c>
      <c r="BP230" s="529">
        <f t="shared" si="1147"/>
        <v>0</v>
      </c>
      <c r="BQ230" s="529">
        <f t="shared" si="1148"/>
        <v>0</v>
      </c>
      <c r="BR230" s="529">
        <f t="shared" si="1149"/>
        <v>0</v>
      </c>
      <c r="BS230" s="529">
        <f t="shared" si="1150"/>
        <v>0</v>
      </c>
      <c r="BT230" s="529">
        <f t="shared" si="1151"/>
        <v>0</v>
      </c>
      <c r="BU230" s="529">
        <f t="shared" si="1152"/>
        <v>0</v>
      </c>
      <c r="BV230" s="529">
        <f t="shared" si="1153"/>
        <v>0</v>
      </c>
      <c r="BW230" s="529">
        <f t="shared" si="1154"/>
        <v>0</v>
      </c>
      <c r="BX230" s="529">
        <f t="shared" si="1155"/>
        <v>0</v>
      </c>
      <c r="BY230" s="529">
        <f t="shared" si="1156"/>
        <v>0</v>
      </c>
      <c r="BZ230" s="529">
        <f t="shared" si="1157"/>
        <v>0</v>
      </c>
      <c r="CB230" s="529">
        <f t="shared" si="1158"/>
        <v>0</v>
      </c>
      <c r="CC230" s="529">
        <f t="shared" si="1159"/>
        <v>0</v>
      </c>
      <c r="CD230" s="529">
        <f t="shared" si="1160"/>
        <v>0</v>
      </c>
      <c r="CE230" s="529">
        <f t="shared" si="1161"/>
        <v>0</v>
      </c>
      <c r="CF230" s="529">
        <f t="shared" si="1162"/>
        <v>0</v>
      </c>
      <c r="CG230" s="529">
        <f t="shared" si="1163"/>
        <v>0</v>
      </c>
      <c r="CH230" s="529">
        <f t="shared" si="1164"/>
        <v>0</v>
      </c>
      <c r="CI230" s="529">
        <f t="shared" si="1165"/>
        <v>0</v>
      </c>
      <c r="CJ230" s="529">
        <f t="shared" si="1166"/>
        <v>0</v>
      </c>
      <c r="CK230" s="529">
        <f t="shared" si="1167"/>
        <v>0</v>
      </c>
      <c r="CL230" s="529">
        <f t="shared" si="1168"/>
        <v>0</v>
      </c>
      <c r="CM230" s="529">
        <f t="shared" si="1169"/>
        <v>0</v>
      </c>
      <c r="CN230" s="529">
        <f t="shared" si="1170"/>
        <v>0</v>
      </c>
      <c r="CO230" s="529">
        <f t="shared" si="1171"/>
        <v>0</v>
      </c>
      <c r="CP230" s="529">
        <f t="shared" si="1083"/>
        <v>0</v>
      </c>
      <c r="CQ230" s="529">
        <f t="shared" si="1084"/>
        <v>0</v>
      </c>
      <c r="CR230" s="529">
        <f t="shared" si="1085"/>
        <v>0</v>
      </c>
    </row>
    <row r="231" spans="1:96" x14ac:dyDescent="0.2">
      <c r="A231" s="763"/>
      <c r="B231" s="537" t="str">
        <f t="shared" si="1192"/>
        <v>NPK 00-00-00</v>
      </c>
      <c r="C231" s="538"/>
      <c r="D231" s="607"/>
      <c r="E231" s="539"/>
      <c r="F231" s="538"/>
      <c r="G231" s="607"/>
      <c r="H231" s="539"/>
      <c r="I231" s="538"/>
      <c r="J231" s="607"/>
      <c r="K231" s="539"/>
      <c r="L231" s="538"/>
      <c r="M231" s="607"/>
      <c r="N231" s="539"/>
      <c r="O231" s="538"/>
      <c r="P231" s="607"/>
      <c r="Q231" s="539"/>
      <c r="R231" s="538"/>
      <c r="S231" s="607"/>
      <c r="T231" s="539"/>
      <c r="U231" s="538"/>
      <c r="V231" s="637"/>
      <c r="W231" s="539"/>
      <c r="X231" s="538"/>
      <c r="Y231" s="607"/>
      <c r="Z231" s="607"/>
      <c r="AA231" s="538">
        <f>+Assumptions!$I$13*$BC231*1000</f>
        <v>0</v>
      </c>
      <c r="AB231" s="607">
        <f>+AB$319</f>
        <v>0</v>
      </c>
      <c r="AC231" s="607">
        <f t="shared" si="1183"/>
        <v>0</v>
      </c>
      <c r="AD231" s="538">
        <f>+Assumptions!$J$13*$BC231*1000</f>
        <v>0</v>
      </c>
      <c r="AE231" s="607">
        <f>+AE$319</f>
        <v>0</v>
      </c>
      <c r="AF231" s="607">
        <f t="shared" si="1184"/>
        <v>0</v>
      </c>
      <c r="AG231" s="538">
        <f>+Assumptions!$K$13*$BC231*1000</f>
        <v>0</v>
      </c>
      <c r="AH231" s="607">
        <f>+AH$319</f>
        <v>0</v>
      </c>
      <c r="AI231" s="607">
        <f t="shared" si="1185"/>
        <v>0</v>
      </c>
      <c r="AJ231" s="538">
        <f>+Assumptions!$L$13*$BC231*1000</f>
        <v>0</v>
      </c>
      <c r="AK231" s="607">
        <f>+AK$319</f>
        <v>0</v>
      </c>
      <c r="AL231" s="607">
        <f t="shared" si="1186"/>
        <v>0</v>
      </c>
      <c r="AM231" s="538">
        <f>+Assumptions!$M$13*$BC231*1000</f>
        <v>0</v>
      </c>
      <c r="AN231" s="607">
        <f>+AN$319</f>
        <v>0</v>
      </c>
      <c r="AO231" s="607">
        <f t="shared" si="1187"/>
        <v>0</v>
      </c>
      <c r="AP231" s="538">
        <f>+Assumptions!$N$13*$BC231*1000</f>
        <v>0</v>
      </c>
      <c r="AQ231" s="607">
        <f>+AQ$319</f>
        <v>0</v>
      </c>
      <c r="AR231" s="607">
        <f t="shared" si="1188"/>
        <v>0</v>
      </c>
      <c r="AS231" s="538">
        <f>+Assumptions!$N$13*$BC231*1000</f>
        <v>0</v>
      </c>
      <c r="AT231" s="607">
        <f>+AT$319</f>
        <v>0</v>
      </c>
      <c r="AU231" s="607">
        <f t="shared" si="1189"/>
        <v>0</v>
      </c>
      <c r="AV231" s="538">
        <f>+Assumptions!$N$13*$BC231*1000</f>
        <v>0</v>
      </c>
      <c r="AW231" s="607">
        <f>+AW$319</f>
        <v>0</v>
      </c>
      <c r="AX231" s="607">
        <f t="shared" si="1190"/>
        <v>0</v>
      </c>
      <c r="AY231" s="538">
        <f>+Assumptions!$N$13*$BC231*1000</f>
        <v>0</v>
      </c>
      <c r="AZ231" s="607">
        <f>+AZ$319</f>
        <v>0</v>
      </c>
      <c r="BA231" s="607">
        <f t="shared" si="1191"/>
        <v>0</v>
      </c>
      <c r="BC231" s="710">
        <v>0</v>
      </c>
      <c r="BJ231" s="529">
        <f t="shared" si="1141"/>
        <v>0</v>
      </c>
      <c r="BK231" s="529">
        <f t="shared" si="1142"/>
        <v>0</v>
      </c>
      <c r="BL231" s="529">
        <f t="shared" si="1143"/>
        <v>0</v>
      </c>
      <c r="BM231" s="529">
        <f t="shared" si="1144"/>
        <v>0</v>
      </c>
      <c r="BN231" s="529">
        <f t="shared" si="1145"/>
        <v>0</v>
      </c>
      <c r="BO231" s="529">
        <f t="shared" si="1146"/>
        <v>0</v>
      </c>
      <c r="BP231" s="529">
        <f t="shared" si="1147"/>
        <v>0</v>
      </c>
      <c r="BQ231" s="529">
        <f t="shared" si="1148"/>
        <v>0</v>
      </c>
      <c r="BR231" s="529">
        <f t="shared" si="1149"/>
        <v>0</v>
      </c>
      <c r="BS231" s="529">
        <f t="shared" si="1150"/>
        <v>0</v>
      </c>
      <c r="BT231" s="529">
        <f t="shared" si="1151"/>
        <v>0</v>
      </c>
      <c r="BU231" s="529">
        <f t="shared" si="1152"/>
        <v>0</v>
      </c>
      <c r="BV231" s="529">
        <f t="shared" si="1153"/>
        <v>0</v>
      </c>
      <c r="BW231" s="529">
        <f t="shared" si="1154"/>
        <v>0</v>
      </c>
      <c r="BX231" s="529">
        <f t="shared" si="1155"/>
        <v>0</v>
      </c>
      <c r="BY231" s="529">
        <f t="shared" si="1156"/>
        <v>0</v>
      </c>
      <c r="BZ231" s="529">
        <f t="shared" si="1157"/>
        <v>0</v>
      </c>
      <c r="CB231" s="529">
        <f t="shared" si="1158"/>
        <v>0</v>
      </c>
      <c r="CC231" s="529">
        <f t="shared" si="1159"/>
        <v>0</v>
      </c>
      <c r="CD231" s="529">
        <f t="shared" si="1160"/>
        <v>0</v>
      </c>
      <c r="CE231" s="529">
        <f t="shared" si="1161"/>
        <v>0</v>
      </c>
      <c r="CF231" s="529">
        <f t="shared" si="1162"/>
        <v>0</v>
      </c>
      <c r="CG231" s="529">
        <f t="shared" si="1163"/>
        <v>0</v>
      </c>
      <c r="CH231" s="529">
        <f t="shared" si="1164"/>
        <v>0</v>
      </c>
      <c r="CI231" s="529">
        <f t="shared" si="1165"/>
        <v>0</v>
      </c>
      <c r="CJ231" s="529">
        <f t="shared" si="1166"/>
        <v>0</v>
      </c>
      <c r="CK231" s="529">
        <f t="shared" si="1167"/>
        <v>0</v>
      </c>
      <c r="CL231" s="529">
        <f t="shared" si="1168"/>
        <v>0</v>
      </c>
      <c r="CM231" s="529">
        <f t="shared" si="1169"/>
        <v>0</v>
      </c>
      <c r="CN231" s="529">
        <f t="shared" si="1170"/>
        <v>0</v>
      </c>
      <c r="CO231" s="529">
        <f t="shared" si="1171"/>
        <v>0</v>
      </c>
      <c r="CP231" s="529">
        <f t="shared" si="1083"/>
        <v>0</v>
      </c>
      <c r="CQ231" s="529">
        <f t="shared" si="1084"/>
        <v>0</v>
      </c>
      <c r="CR231" s="529">
        <f t="shared" si="1085"/>
        <v>0</v>
      </c>
    </row>
    <row r="232" spans="1:96" x14ac:dyDescent="0.2">
      <c r="A232" s="765"/>
      <c r="B232" s="611"/>
      <c r="C232" s="543"/>
      <c r="D232" s="609"/>
      <c r="E232" s="544"/>
      <c r="F232" s="543"/>
      <c r="G232" s="609"/>
      <c r="H232" s="544"/>
      <c r="I232" s="543"/>
      <c r="J232" s="609"/>
      <c r="K232" s="544"/>
      <c r="L232" s="543"/>
      <c r="M232" s="609"/>
      <c r="N232" s="544"/>
      <c r="O232" s="543"/>
      <c r="P232" s="609"/>
      <c r="Q232" s="544"/>
      <c r="R232" s="543"/>
      <c r="S232" s="609"/>
      <c r="T232" s="544"/>
      <c r="U232" s="543"/>
      <c r="V232" s="638"/>
      <c r="W232" s="544"/>
      <c r="X232" s="543"/>
      <c r="Y232" s="609"/>
      <c r="Z232" s="609"/>
      <c r="AA232" s="543"/>
      <c r="AB232" s="609"/>
      <c r="AC232" s="609"/>
      <c r="AD232" s="543"/>
      <c r="AE232" s="609"/>
      <c r="AF232" s="609"/>
      <c r="AG232" s="543"/>
      <c r="AH232" s="609"/>
      <c r="AI232" s="609"/>
      <c r="AJ232" s="543"/>
      <c r="AK232" s="609"/>
      <c r="AL232" s="609"/>
      <c r="AM232" s="543"/>
      <c r="AN232" s="609"/>
      <c r="AO232" s="609"/>
      <c r="AP232" s="543"/>
      <c r="AQ232" s="609"/>
      <c r="AR232" s="609"/>
      <c r="AS232" s="543"/>
      <c r="AT232" s="609"/>
      <c r="AU232" s="609"/>
      <c r="AV232" s="543"/>
      <c r="AW232" s="609"/>
      <c r="AX232" s="609"/>
      <c r="AY232" s="543"/>
      <c r="AZ232" s="609"/>
      <c r="BA232" s="609"/>
      <c r="BC232" s="710" t="e">
        <v>#N/A</v>
      </c>
      <c r="BJ232" s="529">
        <f t="shared" si="1141"/>
        <v>0</v>
      </c>
      <c r="BK232" s="529">
        <f t="shared" si="1142"/>
        <v>0</v>
      </c>
      <c r="BL232" s="529">
        <f t="shared" si="1143"/>
        <v>0</v>
      </c>
      <c r="BM232" s="529">
        <f t="shared" si="1144"/>
        <v>0</v>
      </c>
      <c r="BN232" s="529">
        <f t="shared" si="1145"/>
        <v>0</v>
      </c>
      <c r="BO232" s="529">
        <f t="shared" si="1146"/>
        <v>0</v>
      </c>
      <c r="BP232" s="529">
        <f t="shared" si="1147"/>
        <v>0</v>
      </c>
      <c r="BQ232" s="529">
        <f t="shared" si="1148"/>
        <v>0</v>
      </c>
      <c r="BR232" s="529">
        <f t="shared" si="1149"/>
        <v>0</v>
      </c>
      <c r="BS232" s="529">
        <f t="shared" si="1150"/>
        <v>0</v>
      </c>
      <c r="BT232" s="529">
        <f t="shared" si="1151"/>
        <v>0</v>
      </c>
      <c r="BU232" s="529">
        <f t="shared" si="1152"/>
        <v>0</v>
      </c>
      <c r="BV232" s="529">
        <f t="shared" si="1153"/>
        <v>0</v>
      </c>
      <c r="BW232" s="529">
        <f t="shared" si="1154"/>
        <v>0</v>
      </c>
      <c r="BX232" s="529">
        <f t="shared" si="1155"/>
        <v>0</v>
      </c>
      <c r="BY232" s="529">
        <f t="shared" si="1156"/>
        <v>0</v>
      </c>
      <c r="BZ232" s="529">
        <f t="shared" si="1157"/>
        <v>0</v>
      </c>
      <c r="CB232" s="529">
        <f t="shared" si="1158"/>
        <v>0</v>
      </c>
      <c r="CC232" s="529">
        <f t="shared" si="1159"/>
        <v>0</v>
      </c>
      <c r="CD232" s="529">
        <f t="shared" si="1160"/>
        <v>0</v>
      </c>
      <c r="CE232" s="529">
        <f t="shared" si="1161"/>
        <v>0</v>
      </c>
      <c r="CF232" s="529">
        <f t="shared" si="1162"/>
        <v>0</v>
      </c>
      <c r="CG232" s="529">
        <f t="shared" si="1163"/>
        <v>0</v>
      </c>
      <c r="CH232" s="529">
        <f t="shared" si="1164"/>
        <v>0</v>
      </c>
      <c r="CI232" s="529">
        <f t="shared" si="1165"/>
        <v>0</v>
      </c>
      <c r="CJ232" s="529">
        <f t="shared" si="1166"/>
        <v>0</v>
      </c>
      <c r="CK232" s="529">
        <f t="shared" si="1167"/>
        <v>0</v>
      </c>
      <c r="CL232" s="529">
        <f t="shared" si="1168"/>
        <v>0</v>
      </c>
      <c r="CM232" s="529">
        <f t="shared" si="1169"/>
        <v>0</v>
      </c>
      <c r="CN232" s="529">
        <f t="shared" si="1170"/>
        <v>0</v>
      </c>
      <c r="CO232" s="529">
        <f t="shared" si="1171"/>
        <v>0</v>
      </c>
      <c r="CP232" s="529">
        <f t="shared" si="1083"/>
        <v>0</v>
      </c>
      <c r="CQ232" s="529">
        <f t="shared" si="1084"/>
        <v>0</v>
      </c>
      <c r="CR232" s="529">
        <f t="shared" si="1085"/>
        <v>0</v>
      </c>
    </row>
    <row r="233" spans="1:96" x14ac:dyDescent="0.2">
      <c r="A233" s="762" t="s">
        <v>648</v>
      </c>
      <c r="B233" s="610" t="str">
        <f>+B226</f>
        <v>NPK 15-15-15</v>
      </c>
      <c r="C233" s="605"/>
      <c r="D233" s="603"/>
      <c r="E233" s="604"/>
      <c r="F233" s="605"/>
      <c r="G233" s="603"/>
      <c r="H233" s="604"/>
      <c r="I233" s="605"/>
      <c r="J233" s="603"/>
      <c r="K233" s="604"/>
      <c r="L233" s="605"/>
      <c r="M233" s="603"/>
      <c r="N233" s="604"/>
      <c r="O233" s="605"/>
      <c r="P233" s="603"/>
      <c r="Q233" s="604"/>
      <c r="R233" s="605"/>
      <c r="S233" s="603"/>
      <c r="T233" s="604"/>
      <c r="U233" s="605"/>
      <c r="V233" s="636"/>
      <c r="W233" s="604"/>
      <c r="X233" s="605"/>
      <c r="Y233" s="603"/>
      <c r="Z233" s="603"/>
      <c r="AA233" s="605">
        <f>+Assumptions!$I$13*$BC233*1000</f>
        <v>1000</v>
      </c>
      <c r="AB233" s="603">
        <f>+AB$314*1.08</f>
        <v>340.20000000000005</v>
      </c>
      <c r="AC233" s="603">
        <f t="shared" ref="AC233:AC238" si="1193">+AB233*AA233</f>
        <v>340200.00000000006</v>
      </c>
      <c r="AD233" s="605">
        <f>+Assumptions!$J$13*$BC233*1000</f>
        <v>2000</v>
      </c>
      <c r="AE233" s="603">
        <f>+AE$314*1.08</f>
        <v>349.92</v>
      </c>
      <c r="AF233" s="603">
        <f t="shared" ref="AF233:AF238" si="1194">+AE233*AD233</f>
        <v>699840</v>
      </c>
      <c r="AG233" s="605">
        <f>+Assumptions!$K$13*$BC233*1000</f>
        <v>2000</v>
      </c>
      <c r="AH233" s="603">
        <f>+AH$314*1.08</f>
        <v>360.72</v>
      </c>
      <c r="AI233" s="603">
        <f t="shared" ref="AI233:AI238" si="1195">+AH233*AG233</f>
        <v>721440</v>
      </c>
      <c r="AJ233" s="605">
        <f>+Assumptions!$L$13*$BC233*1000</f>
        <v>2000</v>
      </c>
      <c r="AK233" s="603">
        <f>+AK$314*1.08</f>
        <v>371.52000000000004</v>
      </c>
      <c r="AL233" s="603">
        <f t="shared" ref="AL233:AL238" si="1196">+AK233*AJ233</f>
        <v>743040.00000000012</v>
      </c>
      <c r="AM233" s="605">
        <f>+Assumptions!$M$13*$BC233*1000</f>
        <v>2000</v>
      </c>
      <c r="AN233" s="603">
        <f>+AN$314*1.08</f>
        <v>382.32000000000005</v>
      </c>
      <c r="AO233" s="603">
        <f t="shared" ref="AO233:AO238" si="1197">+AN233*AM233</f>
        <v>764640.00000000012</v>
      </c>
      <c r="AP233" s="605">
        <f>+Assumptions!$N$13*$BC233*1000</f>
        <v>2000</v>
      </c>
      <c r="AQ233" s="603">
        <f>+AQ$314*1.08</f>
        <v>394.20000000000005</v>
      </c>
      <c r="AR233" s="603">
        <f t="shared" ref="AR233:AR238" si="1198">+AQ233*AP233</f>
        <v>788400.00000000012</v>
      </c>
      <c r="AS233" s="605">
        <f>+Assumptions!$N$13*$BC233*1000</f>
        <v>2000</v>
      </c>
      <c r="AT233" s="603">
        <f>+AT$314*1.08</f>
        <v>406.08000000000004</v>
      </c>
      <c r="AU233" s="603">
        <f t="shared" ref="AU233:AU238" si="1199">+AT233*AS233</f>
        <v>812160.00000000012</v>
      </c>
      <c r="AV233" s="605">
        <f>+Assumptions!$N$13*$BC233*1000</f>
        <v>2000</v>
      </c>
      <c r="AW233" s="603">
        <f>+AW$314*1.08</f>
        <v>417.96000000000004</v>
      </c>
      <c r="AX233" s="603">
        <f t="shared" ref="AX233:AX238" si="1200">+AW233*AV233</f>
        <v>835920.00000000012</v>
      </c>
      <c r="AY233" s="605">
        <f>+Assumptions!$N$13*$BC233*1000</f>
        <v>2000</v>
      </c>
      <c r="AZ233" s="603">
        <f>+AZ$314*1.08</f>
        <v>430.92</v>
      </c>
      <c r="BA233" s="603">
        <f t="shared" ref="BA233:BA238" si="1201">+AZ233*AY233</f>
        <v>861840</v>
      </c>
      <c r="BC233" s="710">
        <v>1.2500000000000001E-2</v>
      </c>
      <c r="BD233" s="729">
        <v>0.125</v>
      </c>
      <c r="BJ233" s="529">
        <f t="shared" si="1141"/>
        <v>0</v>
      </c>
      <c r="BK233" s="529">
        <f t="shared" si="1142"/>
        <v>0</v>
      </c>
      <c r="BL233" s="529">
        <f t="shared" si="1143"/>
        <v>0</v>
      </c>
      <c r="BM233" s="529">
        <f t="shared" si="1144"/>
        <v>0</v>
      </c>
      <c r="BN233" s="529">
        <f t="shared" si="1145"/>
        <v>0</v>
      </c>
      <c r="BO233" s="529">
        <f t="shared" si="1146"/>
        <v>0</v>
      </c>
      <c r="BP233" s="529">
        <f t="shared" si="1147"/>
        <v>0</v>
      </c>
      <c r="BQ233" s="529">
        <f t="shared" si="1148"/>
        <v>0</v>
      </c>
      <c r="BR233" s="529">
        <f t="shared" si="1149"/>
        <v>0.34020000000000006</v>
      </c>
      <c r="BS233" s="529">
        <f t="shared" si="1150"/>
        <v>0.69984000000000002</v>
      </c>
      <c r="BT233" s="529">
        <f t="shared" si="1151"/>
        <v>0.72143999999999997</v>
      </c>
      <c r="BU233" s="529">
        <f t="shared" si="1152"/>
        <v>0.74304000000000014</v>
      </c>
      <c r="BV233" s="529">
        <f t="shared" si="1153"/>
        <v>0.7646400000000001</v>
      </c>
      <c r="BW233" s="529">
        <f t="shared" si="1154"/>
        <v>0.7884000000000001</v>
      </c>
      <c r="BX233" s="529">
        <f t="shared" si="1155"/>
        <v>0.8121600000000001</v>
      </c>
      <c r="BY233" s="529">
        <f t="shared" si="1156"/>
        <v>0.83592000000000011</v>
      </c>
      <c r="BZ233" s="529">
        <f t="shared" si="1157"/>
        <v>0.86184000000000005</v>
      </c>
      <c r="CB233" s="529">
        <f t="shared" si="1158"/>
        <v>0</v>
      </c>
      <c r="CC233" s="529">
        <f t="shared" si="1159"/>
        <v>0</v>
      </c>
      <c r="CD233" s="529">
        <f t="shared" si="1160"/>
        <v>0</v>
      </c>
      <c r="CE233" s="529">
        <f t="shared" si="1161"/>
        <v>0</v>
      </c>
      <c r="CF233" s="529">
        <f t="shared" si="1162"/>
        <v>0</v>
      </c>
      <c r="CG233" s="529">
        <f t="shared" si="1163"/>
        <v>0</v>
      </c>
      <c r="CH233" s="529">
        <f t="shared" si="1164"/>
        <v>0</v>
      </c>
      <c r="CI233" s="529">
        <f t="shared" si="1165"/>
        <v>0</v>
      </c>
      <c r="CJ233" s="529">
        <f t="shared" si="1166"/>
        <v>1000</v>
      </c>
      <c r="CK233" s="529">
        <f t="shared" si="1167"/>
        <v>2000</v>
      </c>
      <c r="CL233" s="529">
        <f t="shared" si="1168"/>
        <v>2000</v>
      </c>
      <c r="CM233" s="529">
        <f t="shared" si="1169"/>
        <v>2000</v>
      </c>
      <c r="CN233" s="529">
        <f t="shared" si="1170"/>
        <v>2000</v>
      </c>
      <c r="CO233" s="529">
        <f t="shared" si="1171"/>
        <v>2000</v>
      </c>
      <c r="CP233" s="529">
        <f t="shared" si="1083"/>
        <v>2000</v>
      </c>
      <c r="CQ233" s="529">
        <f t="shared" si="1084"/>
        <v>2000</v>
      </c>
      <c r="CR233" s="529">
        <f t="shared" si="1085"/>
        <v>2000</v>
      </c>
    </row>
    <row r="234" spans="1:96" x14ac:dyDescent="0.2">
      <c r="A234" s="763"/>
      <c r="B234" s="537" t="str">
        <f>+B227</f>
        <v>NPK 16-16-16</v>
      </c>
      <c r="C234" s="538"/>
      <c r="D234" s="607"/>
      <c r="E234" s="539"/>
      <c r="F234" s="538"/>
      <c r="G234" s="607"/>
      <c r="H234" s="539"/>
      <c r="I234" s="538"/>
      <c r="J234" s="607"/>
      <c r="K234" s="539"/>
      <c r="L234" s="538"/>
      <c r="M234" s="607"/>
      <c r="N234" s="539"/>
      <c r="O234" s="538"/>
      <c r="P234" s="607"/>
      <c r="Q234" s="539"/>
      <c r="R234" s="538"/>
      <c r="S234" s="607"/>
      <c r="T234" s="539"/>
      <c r="U234" s="538"/>
      <c r="V234" s="637"/>
      <c r="W234" s="539"/>
      <c r="X234" s="538"/>
      <c r="Y234" s="607"/>
      <c r="Z234" s="607"/>
      <c r="AA234" s="538">
        <f>+Assumptions!$I$13*$BC234*1000</f>
        <v>0</v>
      </c>
      <c r="AB234" s="607">
        <f>+AB$315*1.08</f>
        <v>363.96000000000004</v>
      </c>
      <c r="AC234" s="607">
        <f t="shared" si="1193"/>
        <v>0</v>
      </c>
      <c r="AD234" s="538">
        <f>+Assumptions!$J$13*$BC234*1000</f>
        <v>0</v>
      </c>
      <c r="AE234" s="607">
        <f>+AE$315*1.08</f>
        <v>374.76000000000005</v>
      </c>
      <c r="AF234" s="607">
        <f t="shared" si="1194"/>
        <v>0</v>
      </c>
      <c r="AG234" s="538">
        <f>+Assumptions!$K$13*$BC234*1000</f>
        <v>0</v>
      </c>
      <c r="AH234" s="607">
        <f>+AH$315*1.08</f>
        <v>385.56</v>
      </c>
      <c r="AI234" s="607">
        <f t="shared" si="1195"/>
        <v>0</v>
      </c>
      <c r="AJ234" s="538">
        <f>+Assumptions!$L$13*$BC234*1000</f>
        <v>0</v>
      </c>
      <c r="AK234" s="607">
        <f>+AK$315*1.08</f>
        <v>397.44000000000005</v>
      </c>
      <c r="AL234" s="607">
        <f t="shared" si="1196"/>
        <v>0</v>
      </c>
      <c r="AM234" s="538">
        <f>+Assumptions!$M$13*$BC234*1000</f>
        <v>0</v>
      </c>
      <c r="AN234" s="607">
        <f>+AN$315*1.08</f>
        <v>409.32000000000005</v>
      </c>
      <c r="AO234" s="607">
        <f t="shared" si="1197"/>
        <v>0</v>
      </c>
      <c r="AP234" s="538">
        <f>+Assumptions!$N$13*$BC234*1000</f>
        <v>0</v>
      </c>
      <c r="AQ234" s="607">
        <f>+AQ$315*1.08</f>
        <v>421.20000000000005</v>
      </c>
      <c r="AR234" s="607">
        <f t="shared" si="1198"/>
        <v>0</v>
      </c>
      <c r="AS234" s="538">
        <f>+Assumptions!$N$13*$BC234*1000</f>
        <v>0</v>
      </c>
      <c r="AT234" s="607">
        <f>+AT$315*1.08</f>
        <v>434.16</v>
      </c>
      <c r="AU234" s="607">
        <f t="shared" si="1199"/>
        <v>0</v>
      </c>
      <c r="AV234" s="538">
        <f>+Assumptions!$N$13*$BC234*1000</f>
        <v>0</v>
      </c>
      <c r="AW234" s="607">
        <f>+AW$315*1.08</f>
        <v>447.12</v>
      </c>
      <c r="AX234" s="607">
        <f t="shared" si="1200"/>
        <v>0</v>
      </c>
      <c r="AY234" s="538">
        <f>+Assumptions!$N$13*$BC234*1000</f>
        <v>0</v>
      </c>
      <c r="AZ234" s="607">
        <f>+AZ$315*1.08</f>
        <v>460.08000000000004</v>
      </c>
      <c r="BA234" s="607">
        <f t="shared" si="1201"/>
        <v>0</v>
      </c>
      <c r="BC234" s="710">
        <v>0</v>
      </c>
      <c r="BJ234" s="529">
        <f t="shared" si="1141"/>
        <v>0</v>
      </c>
      <c r="BK234" s="529">
        <f t="shared" si="1142"/>
        <v>0</v>
      </c>
      <c r="BL234" s="529">
        <f t="shared" si="1143"/>
        <v>0</v>
      </c>
      <c r="BM234" s="529">
        <f t="shared" si="1144"/>
        <v>0</v>
      </c>
      <c r="BN234" s="529">
        <f t="shared" si="1145"/>
        <v>0</v>
      </c>
      <c r="BO234" s="529">
        <f t="shared" si="1146"/>
        <v>0</v>
      </c>
      <c r="BP234" s="529">
        <f t="shared" si="1147"/>
        <v>0</v>
      </c>
      <c r="BQ234" s="529">
        <f t="shared" si="1148"/>
        <v>0</v>
      </c>
      <c r="BR234" s="529">
        <f t="shared" si="1149"/>
        <v>0</v>
      </c>
      <c r="BS234" s="529">
        <f t="shared" si="1150"/>
        <v>0</v>
      </c>
      <c r="BT234" s="529">
        <f t="shared" si="1151"/>
        <v>0</v>
      </c>
      <c r="BU234" s="529">
        <f t="shared" si="1152"/>
        <v>0</v>
      </c>
      <c r="BV234" s="529">
        <f t="shared" si="1153"/>
        <v>0</v>
      </c>
      <c r="BW234" s="529">
        <f t="shared" si="1154"/>
        <v>0</v>
      </c>
      <c r="BX234" s="529">
        <f t="shared" si="1155"/>
        <v>0</v>
      </c>
      <c r="BY234" s="529">
        <f t="shared" si="1156"/>
        <v>0</v>
      </c>
      <c r="BZ234" s="529">
        <f t="shared" si="1157"/>
        <v>0</v>
      </c>
      <c r="CB234" s="529">
        <f t="shared" si="1158"/>
        <v>0</v>
      </c>
      <c r="CC234" s="529">
        <f t="shared" si="1159"/>
        <v>0</v>
      </c>
      <c r="CD234" s="529">
        <f t="shared" si="1160"/>
        <v>0</v>
      </c>
      <c r="CE234" s="529">
        <f t="shared" si="1161"/>
        <v>0</v>
      </c>
      <c r="CF234" s="529">
        <f t="shared" si="1162"/>
        <v>0</v>
      </c>
      <c r="CG234" s="529">
        <f t="shared" si="1163"/>
        <v>0</v>
      </c>
      <c r="CH234" s="529">
        <f t="shared" si="1164"/>
        <v>0</v>
      </c>
      <c r="CI234" s="529">
        <f t="shared" si="1165"/>
        <v>0</v>
      </c>
      <c r="CJ234" s="529">
        <f t="shared" si="1166"/>
        <v>0</v>
      </c>
      <c r="CK234" s="529">
        <f t="shared" si="1167"/>
        <v>0</v>
      </c>
      <c r="CL234" s="529">
        <f t="shared" si="1168"/>
        <v>0</v>
      </c>
      <c r="CM234" s="529">
        <f t="shared" si="1169"/>
        <v>0</v>
      </c>
      <c r="CN234" s="529">
        <f t="shared" si="1170"/>
        <v>0</v>
      </c>
      <c r="CO234" s="529">
        <f t="shared" si="1171"/>
        <v>0</v>
      </c>
      <c r="CP234" s="529">
        <f t="shared" si="1083"/>
        <v>0</v>
      </c>
      <c r="CQ234" s="529">
        <f t="shared" si="1084"/>
        <v>0</v>
      </c>
      <c r="CR234" s="529">
        <f t="shared" si="1085"/>
        <v>0</v>
      </c>
    </row>
    <row r="235" spans="1:96" x14ac:dyDescent="0.2">
      <c r="A235" s="764"/>
      <c r="B235" s="537" t="str">
        <f>+B228</f>
        <v>NPK 10-26-26</v>
      </c>
      <c r="C235" s="538"/>
      <c r="D235" s="607"/>
      <c r="E235" s="539"/>
      <c r="F235" s="538"/>
      <c r="G235" s="607"/>
      <c r="H235" s="539"/>
      <c r="I235" s="538"/>
      <c r="J235" s="607"/>
      <c r="K235" s="539"/>
      <c r="L235" s="538"/>
      <c r="M235" s="607"/>
      <c r="N235" s="539"/>
      <c r="O235" s="538"/>
      <c r="P235" s="607"/>
      <c r="Q235" s="539"/>
      <c r="R235" s="538"/>
      <c r="S235" s="607"/>
      <c r="T235" s="539"/>
      <c r="U235" s="538"/>
      <c r="V235" s="637"/>
      <c r="W235" s="539"/>
      <c r="X235" s="538"/>
      <c r="Y235" s="607"/>
      <c r="Z235" s="607"/>
      <c r="AA235" s="538">
        <f>+Assumptions!$I$13*$BC235*1000</f>
        <v>0</v>
      </c>
      <c r="AB235" s="607">
        <f>+AB$316*1.08</f>
        <v>468.72</v>
      </c>
      <c r="AC235" s="607">
        <f t="shared" si="1193"/>
        <v>0</v>
      </c>
      <c r="AD235" s="538">
        <f>+Assumptions!$J$13*$BC235*1000</f>
        <v>0</v>
      </c>
      <c r="AE235" s="607">
        <f>+AE$316*1.08</f>
        <v>482.76000000000005</v>
      </c>
      <c r="AF235" s="607">
        <f t="shared" si="1194"/>
        <v>0</v>
      </c>
      <c r="AG235" s="538">
        <f>+Assumptions!$K$13*$BC235*1000</f>
        <v>0</v>
      </c>
      <c r="AH235" s="607">
        <f>+AH$316*1.08</f>
        <v>496.8</v>
      </c>
      <c r="AI235" s="607">
        <f t="shared" si="1195"/>
        <v>0</v>
      </c>
      <c r="AJ235" s="538">
        <f>+Assumptions!$L$13*$BC235*1000</f>
        <v>0</v>
      </c>
      <c r="AK235" s="607">
        <f>+AK$316*1.08</f>
        <v>511.92</v>
      </c>
      <c r="AL235" s="607">
        <f t="shared" si="1196"/>
        <v>0</v>
      </c>
      <c r="AM235" s="538">
        <f>+Assumptions!$M$13*$BC235*1000</f>
        <v>0</v>
      </c>
      <c r="AN235" s="607">
        <f>+AN$316*1.08</f>
        <v>527.04000000000008</v>
      </c>
      <c r="AO235" s="607">
        <f t="shared" si="1197"/>
        <v>0</v>
      </c>
      <c r="AP235" s="538">
        <f>+Assumptions!$N$13*$BC235*1000</f>
        <v>0</v>
      </c>
      <c r="AQ235" s="607">
        <f>+AQ$316*1.08</f>
        <v>543.24</v>
      </c>
      <c r="AR235" s="607">
        <f t="shared" si="1198"/>
        <v>0</v>
      </c>
      <c r="AS235" s="538">
        <f>+Assumptions!$N$13*$BC235*1000</f>
        <v>0</v>
      </c>
      <c r="AT235" s="607">
        <f>+AT$316*1.08</f>
        <v>559.44000000000005</v>
      </c>
      <c r="AU235" s="607">
        <f t="shared" si="1199"/>
        <v>0</v>
      </c>
      <c r="AV235" s="538">
        <f>+Assumptions!$N$13*$BC235*1000</f>
        <v>0</v>
      </c>
      <c r="AW235" s="607">
        <f>+AW$316*1.08</f>
        <v>576.72</v>
      </c>
      <c r="AX235" s="607">
        <f t="shared" si="1200"/>
        <v>0</v>
      </c>
      <c r="AY235" s="538">
        <f>+Assumptions!$N$13*$BC235*1000</f>
        <v>0</v>
      </c>
      <c r="AZ235" s="607">
        <f>+AZ$316*1.08</f>
        <v>594</v>
      </c>
      <c r="BA235" s="607">
        <f t="shared" si="1201"/>
        <v>0</v>
      </c>
      <c r="BC235" s="710">
        <v>0</v>
      </c>
      <c r="BJ235" s="529">
        <f t="shared" si="1141"/>
        <v>0</v>
      </c>
      <c r="BK235" s="529">
        <f t="shared" si="1142"/>
        <v>0</v>
      </c>
      <c r="BL235" s="529">
        <f t="shared" si="1143"/>
        <v>0</v>
      </c>
      <c r="BM235" s="529">
        <f t="shared" si="1144"/>
        <v>0</v>
      </c>
      <c r="BN235" s="529">
        <f t="shared" si="1145"/>
        <v>0</v>
      </c>
      <c r="BO235" s="529">
        <f t="shared" si="1146"/>
        <v>0</v>
      </c>
      <c r="BP235" s="529">
        <f t="shared" si="1147"/>
        <v>0</v>
      </c>
      <c r="BQ235" s="529">
        <f t="shared" si="1148"/>
        <v>0</v>
      </c>
      <c r="BR235" s="529">
        <f t="shared" si="1149"/>
        <v>0</v>
      </c>
      <c r="BS235" s="529">
        <f t="shared" si="1150"/>
        <v>0</v>
      </c>
      <c r="BT235" s="529">
        <f t="shared" si="1151"/>
        <v>0</v>
      </c>
      <c r="BU235" s="529">
        <f t="shared" si="1152"/>
        <v>0</v>
      </c>
      <c r="BV235" s="529">
        <f t="shared" si="1153"/>
        <v>0</v>
      </c>
      <c r="BW235" s="529">
        <f t="shared" si="1154"/>
        <v>0</v>
      </c>
      <c r="BX235" s="529">
        <f t="shared" si="1155"/>
        <v>0</v>
      </c>
      <c r="BY235" s="529">
        <f t="shared" si="1156"/>
        <v>0</v>
      </c>
      <c r="BZ235" s="529">
        <f t="shared" si="1157"/>
        <v>0</v>
      </c>
      <c r="CB235" s="529">
        <f t="shared" si="1158"/>
        <v>0</v>
      </c>
      <c r="CC235" s="529">
        <f t="shared" si="1159"/>
        <v>0</v>
      </c>
      <c r="CD235" s="529">
        <f t="shared" si="1160"/>
        <v>0</v>
      </c>
      <c r="CE235" s="529">
        <f t="shared" si="1161"/>
        <v>0</v>
      </c>
      <c r="CF235" s="529">
        <f t="shared" si="1162"/>
        <v>0</v>
      </c>
      <c r="CG235" s="529">
        <f t="shared" si="1163"/>
        <v>0</v>
      </c>
      <c r="CH235" s="529">
        <f t="shared" si="1164"/>
        <v>0</v>
      </c>
      <c r="CI235" s="529">
        <f t="shared" si="1165"/>
        <v>0</v>
      </c>
      <c r="CJ235" s="529">
        <f t="shared" si="1166"/>
        <v>0</v>
      </c>
      <c r="CK235" s="529">
        <f t="shared" si="1167"/>
        <v>0</v>
      </c>
      <c r="CL235" s="529">
        <f t="shared" si="1168"/>
        <v>0</v>
      </c>
      <c r="CM235" s="529">
        <f t="shared" si="1169"/>
        <v>0</v>
      </c>
      <c r="CN235" s="529">
        <f t="shared" si="1170"/>
        <v>0</v>
      </c>
      <c r="CO235" s="529">
        <f t="shared" si="1171"/>
        <v>0</v>
      </c>
      <c r="CP235" s="529">
        <f t="shared" si="1083"/>
        <v>0</v>
      </c>
      <c r="CQ235" s="529">
        <f t="shared" si="1084"/>
        <v>0</v>
      </c>
      <c r="CR235" s="529">
        <f t="shared" si="1085"/>
        <v>0</v>
      </c>
    </row>
    <row r="236" spans="1:96" x14ac:dyDescent="0.2">
      <c r="A236" s="763"/>
      <c r="B236" s="537" t="str">
        <f>+B229</f>
        <v>NPK 10-20-20</v>
      </c>
      <c r="C236" s="538"/>
      <c r="D236" s="607"/>
      <c r="E236" s="539"/>
      <c r="F236" s="538"/>
      <c r="G236" s="607"/>
      <c r="H236" s="539"/>
      <c r="I236" s="538"/>
      <c r="J236" s="607"/>
      <c r="K236" s="539"/>
      <c r="L236" s="538"/>
      <c r="M236" s="607"/>
      <c r="N236" s="539"/>
      <c r="O236" s="538"/>
      <c r="P236" s="607"/>
      <c r="Q236" s="539"/>
      <c r="R236" s="538"/>
      <c r="S236" s="607"/>
      <c r="T236" s="539"/>
      <c r="U236" s="538"/>
      <c r="V236" s="637"/>
      <c r="W236" s="539"/>
      <c r="X236" s="538"/>
      <c r="Y236" s="607"/>
      <c r="Z236" s="607"/>
      <c r="AA236" s="538">
        <f>+Assumptions!$I$13*$BC236*1000</f>
        <v>0</v>
      </c>
      <c r="AB236" s="607">
        <f>+AB$317*1.08</f>
        <v>378</v>
      </c>
      <c r="AC236" s="607">
        <f t="shared" si="1193"/>
        <v>0</v>
      </c>
      <c r="AD236" s="538">
        <f>+Assumptions!$J$13*$BC236*1000</f>
        <v>0</v>
      </c>
      <c r="AE236" s="607">
        <f>+AE$317*1.08</f>
        <v>389.88000000000005</v>
      </c>
      <c r="AF236" s="607">
        <f t="shared" si="1194"/>
        <v>0</v>
      </c>
      <c r="AG236" s="538">
        <f>+Assumptions!$K$13*$BC236*1000</f>
        <v>0</v>
      </c>
      <c r="AH236" s="607">
        <f>+AH$317*1.08</f>
        <v>401.76000000000005</v>
      </c>
      <c r="AI236" s="607">
        <f t="shared" si="1195"/>
        <v>0</v>
      </c>
      <c r="AJ236" s="538">
        <f>+Assumptions!$L$13*$BC236*1000</f>
        <v>0</v>
      </c>
      <c r="AK236" s="607">
        <f>+AK$317*1.08</f>
        <v>413.64000000000004</v>
      </c>
      <c r="AL236" s="607">
        <f t="shared" si="1196"/>
        <v>0</v>
      </c>
      <c r="AM236" s="538">
        <f>+Assumptions!$M$13*$BC236*1000</f>
        <v>0</v>
      </c>
      <c r="AN236" s="607">
        <f>+AN$317*1.08</f>
        <v>425.52000000000004</v>
      </c>
      <c r="AO236" s="607">
        <f t="shared" si="1197"/>
        <v>0</v>
      </c>
      <c r="AP236" s="538">
        <f>+Assumptions!$N$13*$BC236*1000</f>
        <v>0</v>
      </c>
      <c r="AQ236" s="607">
        <f>+AQ$317*1.08</f>
        <v>438.48</v>
      </c>
      <c r="AR236" s="607">
        <f t="shared" si="1198"/>
        <v>0</v>
      </c>
      <c r="AS236" s="538">
        <f>+Assumptions!$N$13*$BC236*1000</f>
        <v>0</v>
      </c>
      <c r="AT236" s="607">
        <f>+AT$317*1.08</f>
        <v>451.44000000000005</v>
      </c>
      <c r="AU236" s="607">
        <f t="shared" si="1199"/>
        <v>0</v>
      </c>
      <c r="AV236" s="538">
        <f>+Assumptions!$N$13*$BC236*1000</f>
        <v>0</v>
      </c>
      <c r="AW236" s="607">
        <f>+AW$317*1.08</f>
        <v>465.48</v>
      </c>
      <c r="AX236" s="607">
        <f t="shared" si="1200"/>
        <v>0</v>
      </c>
      <c r="AY236" s="538">
        <f>+Assumptions!$N$13*$BC236*1000</f>
        <v>0</v>
      </c>
      <c r="AZ236" s="607">
        <f>+AZ$317*1.08</f>
        <v>479.52000000000004</v>
      </c>
      <c r="BA236" s="607">
        <f t="shared" si="1201"/>
        <v>0</v>
      </c>
      <c r="BC236" s="710">
        <v>0</v>
      </c>
      <c r="BJ236" s="529">
        <f t="shared" si="1141"/>
        <v>0</v>
      </c>
      <c r="BK236" s="529">
        <f t="shared" si="1142"/>
        <v>0</v>
      </c>
      <c r="BL236" s="529">
        <f t="shared" si="1143"/>
        <v>0</v>
      </c>
      <c r="BM236" s="529">
        <f t="shared" si="1144"/>
        <v>0</v>
      </c>
      <c r="BN236" s="529">
        <f t="shared" si="1145"/>
        <v>0</v>
      </c>
      <c r="BO236" s="529">
        <f t="shared" si="1146"/>
        <v>0</v>
      </c>
      <c r="BP236" s="529">
        <f t="shared" si="1147"/>
        <v>0</v>
      </c>
      <c r="BQ236" s="529">
        <f t="shared" si="1148"/>
        <v>0</v>
      </c>
      <c r="BR236" s="529">
        <f t="shared" si="1149"/>
        <v>0</v>
      </c>
      <c r="BS236" s="529">
        <f t="shared" si="1150"/>
        <v>0</v>
      </c>
      <c r="BT236" s="529">
        <f t="shared" si="1151"/>
        <v>0</v>
      </c>
      <c r="BU236" s="529">
        <f t="shared" si="1152"/>
        <v>0</v>
      </c>
      <c r="BV236" s="529">
        <f t="shared" si="1153"/>
        <v>0</v>
      </c>
      <c r="BW236" s="529">
        <f t="shared" si="1154"/>
        <v>0</v>
      </c>
      <c r="BX236" s="529">
        <f t="shared" si="1155"/>
        <v>0</v>
      </c>
      <c r="BY236" s="529">
        <f t="shared" si="1156"/>
        <v>0</v>
      </c>
      <c r="BZ236" s="529">
        <f t="shared" si="1157"/>
        <v>0</v>
      </c>
      <c r="CB236" s="529">
        <f t="shared" si="1158"/>
        <v>0</v>
      </c>
      <c r="CC236" s="529">
        <f t="shared" si="1159"/>
        <v>0</v>
      </c>
      <c r="CD236" s="529">
        <f t="shared" si="1160"/>
        <v>0</v>
      </c>
      <c r="CE236" s="529">
        <f t="shared" si="1161"/>
        <v>0</v>
      </c>
      <c r="CF236" s="529">
        <f t="shared" si="1162"/>
        <v>0</v>
      </c>
      <c r="CG236" s="529">
        <f t="shared" si="1163"/>
        <v>0</v>
      </c>
      <c r="CH236" s="529">
        <f t="shared" si="1164"/>
        <v>0</v>
      </c>
      <c r="CI236" s="529">
        <f t="shared" si="1165"/>
        <v>0</v>
      </c>
      <c r="CJ236" s="529">
        <f t="shared" si="1166"/>
        <v>0</v>
      </c>
      <c r="CK236" s="529">
        <f t="shared" si="1167"/>
        <v>0</v>
      </c>
      <c r="CL236" s="529">
        <f t="shared" si="1168"/>
        <v>0</v>
      </c>
      <c r="CM236" s="529">
        <f t="shared" si="1169"/>
        <v>0</v>
      </c>
      <c r="CN236" s="529">
        <f t="shared" si="1170"/>
        <v>0</v>
      </c>
      <c r="CO236" s="529">
        <f t="shared" si="1171"/>
        <v>0</v>
      </c>
      <c r="CP236" s="529">
        <f t="shared" si="1083"/>
        <v>0</v>
      </c>
      <c r="CQ236" s="529">
        <f t="shared" si="1084"/>
        <v>0</v>
      </c>
      <c r="CR236" s="529">
        <f t="shared" si="1085"/>
        <v>0</v>
      </c>
    </row>
    <row r="237" spans="1:96" x14ac:dyDescent="0.2">
      <c r="A237" s="763"/>
      <c r="B237" s="537" t="str">
        <f t="shared" ref="B237:B238" si="1202">+B230</f>
        <v>NPK 13-13-21</v>
      </c>
      <c r="C237" s="538"/>
      <c r="D237" s="607"/>
      <c r="E237" s="539"/>
      <c r="F237" s="538"/>
      <c r="G237" s="607"/>
      <c r="H237" s="539"/>
      <c r="I237" s="538"/>
      <c r="J237" s="607"/>
      <c r="K237" s="539"/>
      <c r="L237" s="538"/>
      <c r="M237" s="607"/>
      <c r="N237" s="539"/>
      <c r="O237" s="538"/>
      <c r="P237" s="607"/>
      <c r="Q237" s="539"/>
      <c r="R237" s="538"/>
      <c r="S237" s="607"/>
      <c r="T237" s="539"/>
      <c r="U237" s="538"/>
      <c r="V237" s="637"/>
      <c r="W237" s="539"/>
      <c r="X237" s="538"/>
      <c r="Y237" s="607"/>
      <c r="Z237" s="607"/>
      <c r="AA237" s="538">
        <f>+Assumptions!$I$13*$BC237*1000</f>
        <v>0</v>
      </c>
      <c r="AB237" s="607">
        <f>+AB$318*1.08</f>
        <v>355.32000000000005</v>
      </c>
      <c r="AC237" s="607">
        <f t="shared" si="1193"/>
        <v>0</v>
      </c>
      <c r="AD237" s="538">
        <f>+Assumptions!$J$13*$BC237*1000</f>
        <v>0</v>
      </c>
      <c r="AE237" s="607">
        <f>+AE$318*1.08</f>
        <v>366.12</v>
      </c>
      <c r="AF237" s="607">
        <f t="shared" si="1194"/>
        <v>0</v>
      </c>
      <c r="AG237" s="538">
        <f>+Assumptions!$K$13*$BC237*1000</f>
        <v>0</v>
      </c>
      <c r="AH237" s="607">
        <f>+AH$318*1.08</f>
        <v>376.92</v>
      </c>
      <c r="AI237" s="607">
        <f t="shared" si="1195"/>
        <v>0</v>
      </c>
      <c r="AJ237" s="538">
        <f>+Assumptions!$L$13*$BC237*1000</f>
        <v>0</v>
      </c>
      <c r="AK237" s="607">
        <f>+AK$318*1.08</f>
        <v>387.72</v>
      </c>
      <c r="AL237" s="607">
        <f t="shared" si="1196"/>
        <v>0</v>
      </c>
      <c r="AM237" s="538">
        <f>+Assumptions!$M$13*$BC237*1000</f>
        <v>0</v>
      </c>
      <c r="AN237" s="607">
        <f>+AN$318*1.08</f>
        <v>399.6</v>
      </c>
      <c r="AO237" s="607">
        <f t="shared" si="1197"/>
        <v>0</v>
      </c>
      <c r="AP237" s="538">
        <f>+Assumptions!$N$13*$BC237*1000</f>
        <v>0</v>
      </c>
      <c r="AQ237" s="607">
        <f>+AQ$318*1.08</f>
        <v>411.48</v>
      </c>
      <c r="AR237" s="607">
        <f t="shared" si="1198"/>
        <v>0</v>
      </c>
      <c r="AS237" s="538">
        <f>+Assumptions!$N$13*$BC237*1000</f>
        <v>0</v>
      </c>
      <c r="AT237" s="607">
        <f>+AT$318*1.08</f>
        <v>423.36</v>
      </c>
      <c r="AU237" s="607">
        <f t="shared" si="1199"/>
        <v>0</v>
      </c>
      <c r="AV237" s="538">
        <f>+Assumptions!$N$13*$BC237*1000</f>
        <v>0</v>
      </c>
      <c r="AW237" s="607">
        <f>+AW$318*1.08</f>
        <v>436.32000000000005</v>
      </c>
      <c r="AX237" s="607">
        <f t="shared" si="1200"/>
        <v>0</v>
      </c>
      <c r="AY237" s="538">
        <f>+Assumptions!$N$13*$BC237*1000</f>
        <v>0</v>
      </c>
      <c r="AZ237" s="607">
        <f>+AZ$318*1.08</f>
        <v>449.28000000000003</v>
      </c>
      <c r="BA237" s="607">
        <f t="shared" si="1201"/>
        <v>0</v>
      </c>
      <c r="BC237" s="710">
        <v>0</v>
      </c>
      <c r="BJ237" s="529">
        <f t="shared" si="1141"/>
        <v>0</v>
      </c>
      <c r="BK237" s="529">
        <f t="shared" si="1142"/>
        <v>0</v>
      </c>
      <c r="BL237" s="529">
        <f t="shared" si="1143"/>
        <v>0</v>
      </c>
      <c r="BM237" s="529">
        <f t="shared" si="1144"/>
        <v>0</v>
      </c>
      <c r="BN237" s="529">
        <f t="shared" si="1145"/>
        <v>0</v>
      </c>
      <c r="BO237" s="529">
        <f t="shared" si="1146"/>
        <v>0</v>
      </c>
      <c r="BP237" s="529">
        <f t="shared" si="1147"/>
        <v>0</v>
      </c>
      <c r="BQ237" s="529">
        <f t="shared" si="1148"/>
        <v>0</v>
      </c>
      <c r="BR237" s="529">
        <f t="shared" si="1149"/>
        <v>0</v>
      </c>
      <c r="BS237" s="529">
        <f t="shared" si="1150"/>
        <v>0</v>
      </c>
      <c r="BT237" s="529">
        <f t="shared" si="1151"/>
        <v>0</v>
      </c>
      <c r="BU237" s="529">
        <f t="shared" si="1152"/>
        <v>0</v>
      </c>
      <c r="BV237" s="529">
        <f t="shared" si="1153"/>
        <v>0</v>
      </c>
      <c r="BW237" s="529">
        <f t="shared" si="1154"/>
        <v>0</v>
      </c>
      <c r="BX237" s="529">
        <f t="shared" si="1155"/>
        <v>0</v>
      </c>
      <c r="BY237" s="529">
        <f t="shared" si="1156"/>
        <v>0</v>
      </c>
      <c r="BZ237" s="529">
        <f t="shared" si="1157"/>
        <v>0</v>
      </c>
      <c r="CB237" s="529">
        <f t="shared" si="1158"/>
        <v>0</v>
      </c>
      <c r="CC237" s="529">
        <f t="shared" si="1159"/>
        <v>0</v>
      </c>
      <c r="CD237" s="529">
        <f t="shared" si="1160"/>
        <v>0</v>
      </c>
      <c r="CE237" s="529">
        <f t="shared" si="1161"/>
        <v>0</v>
      </c>
      <c r="CF237" s="529">
        <f t="shared" si="1162"/>
        <v>0</v>
      </c>
      <c r="CG237" s="529">
        <f t="shared" si="1163"/>
        <v>0</v>
      </c>
      <c r="CH237" s="529">
        <f t="shared" si="1164"/>
        <v>0</v>
      </c>
      <c r="CI237" s="529">
        <f t="shared" si="1165"/>
        <v>0</v>
      </c>
      <c r="CJ237" s="529">
        <f t="shared" si="1166"/>
        <v>0</v>
      </c>
      <c r="CK237" s="529">
        <f t="shared" si="1167"/>
        <v>0</v>
      </c>
      <c r="CL237" s="529">
        <f t="shared" si="1168"/>
        <v>0</v>
      </c>
      <c r="CM237" s="529">
        <f t="shared" si="1169"/>
        <v>0</v>
      </c>
      <c r="CN237" s="529">
        <f t="shared" si="1170"/>
        <v>0</v>
      </c>
      <c r="CO237" s="529">
        <f t="shared" si="1171"/>
        <v>0</v>
      </c>
      <c r="CP237" s="529">
        <f t="shared" si="1083"/>
        <v>0</v>
      </c>
      <c r="CQ237" s="529">
        <f t="shared" si="1084"/>
        <v>0</v>
      </c>
      <c r="CR237" s="529">
        <f t="shared" si="1085"/>
        <v>0</v>
      </c>
    </row>
    <row r="238" spans="1:96" x14ac:dyDescent="0.2">
      <c r="A238" s="763"/>
      <c r="B238" s="537" t="str">
        <f t="shared" si="1202"/>
        <v>NPK 00-00-00</v>
      </c>
      <c r="C238" s="538"/>
      <c r="D238" s="607"/>
      <c r="E238" s="539"/>
      <c r="F238" s="538"/>
      <c r="G238" s="607"/>
      <c r="H238" s="539"/>
      <c r="I238" s="538"/>
      <c r="J238" s="607"/>
      <c r="K238" s="539"/>
      <c r="L238" s="538"/>
      <c r="M238" s="607"/>
      <c r="N238" s="539"/>
      <c r="O238" s="538"/>
      <c r="P238" s="607"/>
      <c r="Q238" s="539"/>
      <c r="R238" s="538"/>
      <c r="S238" s="607"/>
      <c r="T238" s="539"/>
      <c r="U238" s="538"/>
      <c r="V238" s="637"/>
      <c r="W238" s="539"/>
      <c r="X238" s="538"/>
      <c r="Y238" s="607"/>
      <c r="Z238" s="607"/>
      <c r="AA238" s="538">
        <f>+Assumptions!$I$13*$BC238*1000</f>
        <v>0</v>
      </c>
      <c r="AB238" s="607">
        <f>+AB$319*1.08</f>
        <v>0</v>
      </c>
      <c r="AC238" s="607">
        <f t="shared" si="1193"/>
        <v>0</v>
      </c>
      <c r="AD238" s="538">
        <f>+Assumptions!$J$13*$BC238*1000</f>
        <v>0</v>
      </c>
      <c r="AE238" s="607">
        <f>+AE$319*1.08</f>
        <v>0</v>
      </c>
      <c r="AF238" s="607">
        <f t="shared" si="1194"/>
        <v>0</v>
      </c>
      <c r="AG238" s="538">
        <f>+Assumptions!$K$13*$BC238*1000</f>
        <v>0</v>
      </c>
      <c r="AH238" s="607">
        <f>+AH$319*1.08</f>
        <v>0</v>
      </c>
      <c r="AI238" s="607">
        <f t="shared" si="1195"/>
        <v>0</v>
      </c>
      <c r="AJ238" s="538">
        <f>+Assumptions!$L$13*$BC238*1000</f>
        <v>0</v>
      </c>
      <c r="AK238" s="607">
        <f>+AK$319*1.08</f>
        <v>0</v>
      </c>
      <c r="AL238" s="607">
        <f t="shared" si="1196"/>
        <v>0</v>
      </c>
      <c r="AM238" s="538">
        <f>+Assumptions!$M$13*$BC238*1000</f>
        <v>0</v>
      </c>
      <c r="AN238" s="607">
        <f>+AN$319*1.08</f>
        <v>0</v>
      </c>
      <c r="AO238" s="607">
        <f t="shared" si="1197"/>
        <v>0</v>
      </c>
      <c r="AP238" s="538">
        <f>+Assumptions!$N$13*$BC238*1000</f>
        <v>0</v>
      </c>
      <c r="AQ238" s="607">
        <f>+AQ$319*1.08</f>
        <v>0</v>
      </c>
      <c r="AR238" s="607">
        <f t="shared" si="1198"/>
        <v>0</v>
      </c>
      <c r="AS238" s="538">
        <f>+Assumptions!$N$13*$BC238*1000</f>
        <v>0</v>
      </c>
      <c r="AT238" s="607">
        <f>+AT$319*1.08</f>
        <v>0</v>
      </c>
      <c r="AU238" s="607">
        <f t="shared" si="1199"/>
        <v>0</v>
      </c>
      <c r="AV238" s="538">
        <f>+Assumptions!$N$13*$BC238*1000</f>
        <v>0</v>
      </c>
      <c r="AW238" s="607">
        <f>+AW$319*1.08</f>
        <v>0</v>
      </c>
      <c r="AX238" s="607">
        <f t="shared" si="1200"/>
        <v>0</v>
      </c>
      <c r="AY238" s="538">
        <f>+Assumptions!$N$13*$BC238*1000</f>
        <v>0</v>
      </c>
      <c r="AZ238" s="607">
        <f>+AZ$319*1.08</f>
        <v>0</v>
      </c>
      <c r="BA238" s="607">
        <f t="shared" si="1201"/>
        <v>0</v>
      </c>
      <c r="BC238" s="710">
        <v>0</v>
      </c>
      <c r="BJ238" s="529">
        <f t="shared" si="1141"/>
        <v>0</v>
      </c>
      <c r="BK238" s="529">
        <f t="shared" si="1142"/>
        <v>0</v>
      </c>
      <c r="BL238" s="529">
        <f t="shared" si="1143"/>
        <v>0</v>
      </c>
      <c r="BM238" s="529">
        <f t="shared" si="1144"/>
        <v>0</v>
      </c>
      <c r="BN238" s="529">
        <f t="shared" si="1145"/>
        <v>0</v>
      </c>
      <c r="BO238" s="529">
        <f t="shared" si="1146"/>
        <v>0</v>
      </c>
      <c r="BP238" s="529">
        <f t="shared" si="1147"/>
        <v>0</v>
      </c>
      <c r="BQ238" s="529">
        <f t="shared" si="1148"/>
        <v>0</v>
      </c>
      <c r="BR238" s="529">
        <f t="shared" si="1149"/>
        <v>0</v>
      </c>
      <c r="BS238" s="529">
        <f t="shared" si="1150"/>
        <v>0</v>
      </c>
      <c r="BT238" s="529">
        <f t="shared" si="1151"/>
        <v>0</v>
      </c>
      <c r="BU238" s="529">
        <f t="shared" si="1152"/>
        <v>0</v>
      </c>
      <c r="BV238" s="529">
        <f t="shared" si="1153"/>
        <v>0</v>
      </c>
      <c r="BW238" s="529">
        <f t="shared" si="1154"/>
        <v>0</v>
      </c>
      <c r="BX238" s="529">
        <f t="shared" si="1155"/>
        <v>0</v>
      </c>
      <c r="BY238" s="529">
        <f t="shared" si="1156"/>
        <v>0</v>
      </c>
      <c r="BZ238" s="529">
        <f t="shared" si="1157"/>
        <v>0</v>
      </c>
      <c r="CB238" s="529">
        <f t="shared" si="1158"/>
        <v>0</v>
      </c>
      <c r="CC238" s="529">
        <f t="shared" si="1159"/>
        <v>0</v>
      </c>
      <c r="CD238" s="529">
        <f t="shared" si="1160"/>
        <v>0</v>
      </c>
      <c r="CE238" s="529">
        <f t="shared" si="1161"/>
        <v>0</v>
      </c>
      <c r="CF238" s="529">
        <f t="shared" si="1162"/>
        <v>0</v>
      </c>
      <c r="CG238" s="529">
        <f t="shared" si="1163"/>
        <v>0</v>
      </c>
      <c r="CH238" s="529">
        <f t="shared" si="1164"/>
        <v>0</v>
      </c>
      <c r="CI238" s="529">
        <f t="shared" si="1165"/>
        <v>0</v>
      </c>
      <c r="CJ238" s="529">
        <f t="shared" si="1166"/>
        <v>0</v>
      </c>
      <c r="CK238" s="529">
        <f t="shared" si="1167"/>
        <v>0</v>
      </c>
      <c r="CL238" s="529">
        <f t="shared" si="1168"/>
        <v>0</v>
      </c>
      <c r="CM238" s="529">
        <f t="shared" si="1169"/>
        <v>0</v>
      </c>
      <c r="CN238" s="529">
        <f t="shared" si="1170"/>
        <v>0</v>
      </c>
      <c r="CO238" s="529">
        <f t="shared" si="1171"/>
        <v>0</v>
      </c>
      <c r="CP238" s="529">
        <f t="shared" si="1083"/>
        <v>0</v>
      </c>
      <c r="CQ238" s="529">
        <f t="shared" si="1084"/>
        <v>0</v>
      </c>
      <c r="CR238" s="529">
        <f t="shared" si="1085"/>
        <v>0</v>
      </c>
    </row>
    <row r="239" spans="1:96" x14ac:dyDescent="0.2">
      <c r="A239" s="765"/>
      <c r="B239" s="611"/>
      <c r="C239" s="543"/>
      <c r="D239" s="609"/>
      <c r="E239" s="544"/>
      <c r="F239" s="543"/>
      <c r="G239" s="609"/>
      <c r="H239" s="544"/>
      <c r="I239" s="543"/>
      <c r="J239" s="609"/>
      <c r="K239" s="544"/>
      <c r="L239" s="543"/>
      <c r="M239" s="609"/>
      <c r="N239" s="544"/>
      <c r="O239" s="543"/>
      <c r="P239" s="609"/>
      <c r="Q239" s="544"/>
      <c r="R239" s="543"/>
      <c r="S239" s="609"/>
      <c r="T239" s="544"/>
      <c r="U239" s="543"/>
      <c r="V239" s="638"/>
      <c r="W239" s="544"/>
      <c r="X239" s="543"/>
      <c r="Y239" s="609"/>
      <c r="Z239" s="609"/>
      <c r="AA239" s="543"/>
      <c r="AB239" s="609"/>
      <c r="AC239" s="609"/>
      <c r="AD239" s="543"/>
      <c r="AE239" s="609"/>
      <c r="AF239" s="609"/>
      <c r="AG239" s="543"/>
      <c r="AH239" s="609"/>
      <c r="AI239" s="609"/>
      <c r="AJ239" s="543"/>
      <c r="AK239" s="609"/>
      <c r="AL239" s="609"/>
      <c r="AM239" s="543"/>
      <c r="AN239" s="609"/>
      <c r="AO239" s="609"/>
      <c r="AP239" s="543"/>
      <c r="AQ239" s="609"/>
      <c r="AR239" s="609"/>
      <c r="AS239" s="543"/>
      <c r="AT239" s="609"/>
      <c r="AU239" s="609"/>
      <c r="AV239" s="543"/>
      <c r="AW239" s="609"/>
      <c r="AX239" s="609"/>
      <c r="AY239" s="543"/>
      <c r="AZ239" s="609"/>
      <c r="BA239" s="609"/>
      <c r="BC239" s="710" t="e">
        <v>#N/A</v>
      </c>
      <c r="BJ239" s="529">
        <f t="shared" si="1141"/>
        <v>0</v>
      </c>
      <c r="BK239" s="529">
        <f t="shared" si="1142"/>
        <v>0</v>
      </c>
      <c r="BL239" s="529">
        <f t="shared" si="1143"/>
        <v>0</v>
      </c>
      <c r="BM239" s="529">
        <f t="shared" si="1144"/>
        <v>0</v>
      </c>
      <c r="BN239" s="529">
        <f t="shared" si="1145"/>
        <v>0</v>
      </c>
      <c r="BO239" s="529">
        <f t="shared" si="1146"/>
        <v>0</v>
      </c>
      <c r="BP239" s="529">
        <f t="shared" si="1147"/>
        <v>0</v>
      </c>
      <c r="BQ239" s="529">
        <f t="shared" si="1148"/>
        <v>0</v>
      </c>
      <c r="BR239" s="529">
        <f t="shared" si="1149"/>
        <v>0</v>
      </c>
      <c r="BS239" s="529">
        <f t="shared" si="1150"/>
        <v>0</v>
      </c>
      <c r="BT239" s="529">
        <f t="shared" si="1151"/>
        <v>0</v>
      </c>
      <c r="BU239" s="529">
        <f t="shared" si="1152"/>
        <v>0</v>
      </c>
      <c r="BV239" s="529">
        <f t="shared" si="1153"/>
        <v>0</v>
      </c>
      <c r="BW239" s="529">
        <f t="shared" si="1154"/>
        <v>0</v>
      </c>
      <c r="BX239" s="529">
        <f t="shared" si="1155"/>
        <v>0</v>
      </c>
      <c r="BY239" s="529">
        <f t="shared" si="1156"/>
        <v>0</v>
      </c>
      <c r="BZ239" s="529">
        <f t="shared" si="1157"/>
        <v>0</v>
      </c>
      <c r="CB239" s="529">
        <f t="shared" si="1158"/>
        <v>0</v>
      </c>
      <c r="CC239" s="529">
        <f t="shared" si="1159"/>
        <v>0</v>
      </c>
      <c r="CD239" s="529">
        <f t="shared" si="1160"/>
        <v>0</v>
      </c>
      <c r="CE239" s="529">
        <f t="shared" si="1161"/>
        <v>0</v>
      </c>
      <c r="CF239" s="529">
        <f t="shared" si="1162"/>
        <v>0</v>
      </c>
      <c r="CG239" s="529">
        <f t="shared" si="1163"/>
        <v>0</v>
      </c>
      <c r="CH239" s="529">
        <f t="shared" si="1164"/>
        <v>0</v>
      </c>
      <c r="CI239" s="529">
        <f t="shared" si="1165"/>
        <v>0</v>
      </c>
      <c r="CJ239" s="529">
        <f t="shared" si="1166"/>
        <v>0</v>
      </c>
      <c r="CK239" s="529">
        <f t="shared" si="1167"/>
        <v>0</v>
      </c>
      <c r="CL239" s="529">
        <f t="shared" si="1168"/>
        <v>0</v>
      </c>
      <c r="CM239" s="529">
        <f t="shared" si="1169"/>
        <v>0</v>
      </c>
      <c r="CN239" s="529">
        <f t="shared" si="1170"/>
        <v>0</v>
      </c>
      <c r="CO239" s="529">
        <f t="shared" si="1171"/>
        <v>0</v>
      </c>
      <c r="CP239" s="529">
        <f t="shared" si="1083"/>
        <v>0</v>
      </c>
      <c r="CQ239" s="529">
        <f t="shared" si="1084"/>
        <v>0</v>
      </c>
      <c r="CR239" s="529">
        <f t="shared" si="1085"/>
        <v>0</v>
      </c>
    </row>
    <row r="240" spans="1:96" x14ac:dyDescent="0.2">
      <c r="A240" s="762" t="s">
        <v>736</v>
      </c>
      <c r="B240" s="610" t="str">
        <f>+B233</f>
        <v>NPK 15-15-15</v>
      </c>
      <c r="C240" s="605"/>
      <c r="D240" s="603"/>
      <c r="E240" s="604"/>
      <c r="F240" s="605"/>
      <c r="G240" s="603"/>
      <c r="H240" s="604"/>
      <c r="I240" s="605"/>
      <c r="J240" s="603"/>
      <c r="K240" s="604"/>
      <c r="L240" s="605"/>
      <c r="M240" s="603"/>
      <c r="N240" s="604"/>
      <c r="O240" s="605"/>
      <c r="P240" s="603"/>
      <c r="Q240" s="604"/>
      <c r="R240" s="605"/>
      <c r="S240" s="603"/>
      <c r="T240" s="604"/>
      <c r="U240" s="605"/>
      <c r="V240" s="636"/>
      <c r="W240" s="604"/>
      <c r="X240" s="605"/>
      <c r="Y240" s="603"/>
      <c r="Z240" s="603"/>
      <c r="AA240" s="605">
        <f>+Assumptions!$I$13*$BC240*1000</f>
        <v>0</v>
      </c>
      <c r="AB240" s="603">
        <f>+AB$314*1.1</f>
        <v>346.5</v>
      </c>
      <c r="AC240" s="603">
        <f t="shared" ref="AC240:AC245" si="1203">+AB240*AA240</f>
        <v>0</v>
      </c>
      <c r="AD240" s="605">
        <f>+Assumptions!$J$13*$BC240*1000</f>
        <v>0</v>
      </c>
      <c r="AE240" s="603">
        <f>+AE$314*1.1</f>
        <v>356.40000000000003</v>
      </c>
      <c r="AF240" s="603">
        <f t="shared" ref="AF240:AF245" si="1204">+AE240*AD240</f>
        <v>0</v>
      </c>
      <c r="AG240" s="605">
        <f>+Assumptions!$K$13*$BC240*1000</f>
        <v>0</v>
      </c>
      <c r="AH240" s="603">
        <f>+AH$314*1.1</f>
        <v>367.40000000000003</v>
      </c>
      <c r="AI240" s="603">
        <f t="shared" ref="AI240:AI245" si="1205">+AH240*AG240</f>
        <v>0</v>
      </c>
      <c r="AJ240" s="605">
        <f>+Assumptions!$L$13*$BC240*1000</f>
        <v>0</v>
      </c>
      <c r="AK240" s="603">
        <f>+AK$314*1.1</f>
        <v>378.40000000000003</v>
      </c>
      <c r="AL240" s="603">
        <f t="shared" ref="AL240:AL245" si="1206">+AK240*AJ240</f>
        <v>0</v>
      </c>
      <c r="AM240" s="605">
        <f>+Assumptions!$M$13*$BC240*1000</f>
        <v>0</v>
      </c>
      <c r="AN240" s="603">
        <f>+AN$314*1.1</f>
        <v>389.40000000000003</v>
      </c>
      <c r="AO240" s="603">
        <f t="shared" ref="AO240:AO245" si="1207">+AN240*AM240</f>
        <v>0</v>
      </c>
      <c r="AP240" s="605">
        <f>+Assumptions!$N$13*$BC240*1000</f>
        <v>0</v>
      </c>
      <c r="AQ240" s="603">
        <f>+AQ$314*1.1</f>
        <v>401.50000000000006</v>
      </c>
      <c r="AR240" s="603">
        <f t="shared" ref="AR240:AR245" si="1208">+AQ240*AP240</f>
        <v>0</v>
      </c>
      <c r="AS240" s="605">
        <f>+Assumptions!$N$13*$BC240*1000</f>
        <v>0</v>
      </c>
      <c r="AT240" s="603">
        <f>+AT$314*1.1</f>
        <v>413.6</v>
      </c>
      <c r="AU240" s="603">
        <f t="shared" ref="AU240:AU245" si="1209">+AT240*AS240</f>
        <v>0</v>
      </c>
      <c r="AV240" s="605">
        <f>+Assumptions!$N$13*$BC240*1000</f>
        <v>0</v>
      </c>
      <c r="AW240" s="603">
        <f>+AW$314*1.1</f>
        <v>425.70000000000005</v>
      </c>
      <c r="AX240" s="603">
        <f t="shared" ref="AX240:AX245" si="1210">+AW240*AV240</f>
        <v>0</v>
      </c>
      <c r="AY240" s="605">
        <f>+Assumptions!$N$13*$BC240*1000</f>
        <v>0</v>
      </c>
      <c r="AZ240" s="603">
        <f>+AZ$314*1.1</f>
        <v>438.90000000000003</v>
      </c>
      <c r="BA240" s="603">
        <f t="shared" ref="BA240:BA245" si="1211">+AZ240*AY240</f>
        <v>0</v>
      </c>
      <c r="BC240" s="710">
        <v>0</v>
      </c>
      <c r="BJ240" s="529">
        <f t="shared" si="1141"/>
        <v>0</v>
      </c>
      <c r="BK240" s="529">
        <f t="shared" si="1142"/>
        <v>0</v>
      </c>
      <c r="BL240" s="529">
        <f t="shared" si="1143"/>
        <v>0</v>
      </c>
      <c r="BM240" s="529">
        <f t="shared" si="1144"/>
        <v>0</v>
      </c>
      <c r="BN240" s="529">
        <f t="shared" si="1145"/>
        <v>0</v>
      </c>
      <c r="BO240" s="529">
        <f t="shared" si="1146"/>
        <v>0</v>
      </c>
      <c r="BP240" s="529">
        <f t="shared" si="1147"/>
        <v>0</v>
      </c>
      <c r="BQ240" s="529">
        <f t="shared" si="1148"/>
        <v>0</v>
      </c>
      <c r="BR240" s="529">
        <f t="shared" si="1149"/>
        <v>0</v>
      </c>
      <c r="BS240" s="529">
        <f t="shared" si="1150"/>
        <v>0</v>
      </c>
      <c r="BT240" s="529">
        <f t="shared" si="1151"/>
        <v>0</v>
      </c>
      <c r="BU240" s="529">
        <f t="shared" si="1152"/>
        <v>0</v>
      </c>
      <c r="BV240" s="529">
        <f t="shared" si="1153"/>
        <v>0</v>
      </c>
      <c r="BW240" s="529">
        <f t="shared" si="1154"/>
        <v>0</v>
      </c>
      <c r="BX240" s="529">
        <f t="shared" si="1155"/>
        <v>0</v>
      </c>
      <c r="BY240" s="529">
        <f t="shared" si="1156"/>
        <v>0</v>
      </c>
      <c r="BZ240" s="529">
        <f t="shared" si="1157"/>
        <v>0</v>
      </c>
      <c r="CB240" s="529">
        <f t="shared" si="1158"/>
        <v>0</v>
      </c>
      <c r="CC240" s="529">
        <f t="shared" si="1159"/>
        <v>0</v>
      </c>
      <c r="CD240" s="529">
        <f t="shared" si="1160"/>
        <v>0</v>
      </c>
      <c r="CE240" s="529">
        <f t="shared" si="1161"/>
        <v>0</v>
      </c>
      <c r="CF240" s="529">
        <f t="shared" si="1162"/>
        <v>0</v>
      </c>
      <c r="CG240" s="529">
        <f t="shared" si="1163"/>
        <v>0</v>
      </c>
      <c r="CH240" s="529">
        <f t="shared" si="1164"/>
        <v>0</v>
      </c>
      <c r="CI240" s="529">
        <f t="shared" si="1165"/>
        <v>0</v>
      </c>
      <c r="CJ240" s="529">
        <f t="shared" si="1166"/>
        <v>0</v>
      </c>
      <c r="CK240" s="529">
        <f t="shared" si="1167"/>
        <v>0</v>
      </c>
      <c r="CL240" s="529">
        <f t="shared" si="1168"/>
        <v>0</v>
      </c>
      <c r="CM240" s="529">
        <f t="shared" si="1169"/>
        <v>0</v>
      </c>
      <c r="CN240" s="529">
        <f t="shared" si="1170"/>
        <v>0</v>
      </c>
      <c r="CO240" s="529">
        <f t="shared" si="1171"/>
        <v>0</v>
      </c>
      <c r="CP240" s="529">
        <f t="shared" si="1083"/>
        <v>0</v>
      </c>
      <c r="CQ240" s="529">
        <f t="shared" si="1084"/>
        <v>0</v>
      </c>
      <c r="CR240" s="529">
        <f t="shared" si="1085"/>
        <v>0</v>
      </c>
    </row>
    <row r="241" spans="1:96" x14ac:dyDescent="0.2">
      <c r="A241" s="763"/>
      <c r="B241" s="537" t="str">
        <f>+B234</f>
        <v>NPK 16-16-16</v>
      </c>
      <c r="C241" s="538"/>
      <c r="D241" s="607"/>
      <c r="E241" s="539"/>
      <c r="F241" s="538"/>
      <c r="G241" s="607"/>
      <c r="H241" s="539"/>
      <c r="I241" s="538"/>
      <c r="J241" s="607"/>
      <c r="K241" s="539"/>
      <c r="L241" s="538"/>
      <c r="M241" s="607"/>
      <c r="N241" s="539"/>
      <c r="O241" s="538"/>
      <c r="P241" s="607"/>
      <c r="Q241" s="539"/>
      <c r="R241" s="538"/>
      <c r="S241" s="607"/>
      <c r="T241" s="539"/>
      <c r="U241" s="538"/>
      <c r="V241" s="637"/>
      <c r="W241" s="539"/>
      <c r="X241" s="538"/>
      <c r="Y241" s="607"/>
      <c r="Z241" s="607"/>
      <c r="AA241" s="538">
        <f>+Assumptions!$I$13*$BC241*1000</f>
        <v>0</v>
      </c>
      <c r="AB241" s="607">
        <f>+AB$315*1.1</f>
        <v>370.70000000000005</v>
      </c>
      <c r="AC241" s="607">
        <f t="shared" si="1203"/>
        <v>0</v>
      </c>
      <c r="AD241" s="538">
        <f>+Assumptions!$J$13*$BC241*1000</f>
        <v>0</v>
      </c>
      <c r="AE241" s="607">
        <f>+AE$315*1.1</f>
        <v>381.70000000000005</v>
      </c>
      <c r="AF241" s="607">
        <f t="shared" si="1204"/>
        <v>0</v>
      </c>
      <c r="AG241" s="538">
        <f>+Assumptions!$K$13*$BC241*1000</f>
        <v>0</v>
      </c>
      <c r="AH241" s="607">
        <f>+AH$315*1.1</f>
        <v>392.70000000000005</v>
      </c>
      <c r="AI241" s="607">
        <f t="shared" si="1205"/>
        <v>0</v>
      </c>
      <c r="AJ241" s="538">
        <f>+Assumptions!$L$13*$BC241*1000</f>
        <v>0</v>
      </c>
      <c r="AK241" s="607">
        <f>+AK$315*1.1</f>
        <v>404.8</v>
      </c>
      <c r="AL241" s="607">
        <f t="shared" si="1206"/>
        <v>0</v>
      </c>
      <c r="AM241" s="538">
        <f>+Assumptions!$M$13*$BC241*1000</f>
        <v>0</v>
      </c>
      <c r="AN241" s="607">
        <f>+AN$315*1.1</f>
        <v>416.90000000000003</v>
      </c>
      <c r="AO241" s="607">
        <f t="shared" si="1207"/>
        <v>0</v>
      </c>
      <c r="AP241" s="538">
        <f>+Assumptions!$N$13*$BC241*1000</f>
        <v>0</v>
      </c>
      <c r="AQ241" s="607">
        <f>+AQ$315*1.1</f>
        <v>429.00000000000006</v>
      </c>
      <c r="AR241" s="607">
        <f t="shared" si="1208"/>
        <v>0</v>
      </c>
      <c r="AS241" s="538">
        <f>+Assumptions!$N$13*$BC241*1000</f>
        <v>0</v>
      </c>
      <c r="AT241" s="607">
        <f>+AT$315*1.1</f>
        <v>442.20000000000005</v>
      </c>
      <c r="AU241" s="607">
        <f t="shared" si="1209"/>
        <v>0</v>
      </c>
      <c r="AV241" s="538">
        <f>+Assumptions!$N$13*$BC241*1000</f>
        <v>0</v>
      </c>
      <c r="AW241" s="607">
        <f>+AW$315*1.1</f>
        <v>455.40000000000003</v>
      </c>
      <c r="AX241" s="607">
        <f t="shared" si="1210"/>
        <v>0</v>
      </c>
      <c r="AY241" s="538">
        <f>+Assumptions!$N$13*$BC241*1000</f>
        <v>0</v>
      </c>
      <c r="AZ241" s="607">
        <f>+AZ$315*1.1</f>
        <v>468.6</v>
      </c>
      <c r="BA241" s="607">
        <f t="shared" si="1211"/>
        <v>0</v>
      </c>
      <c r="BC241" s="710">
        <v>0</v>
      </c>
      <c r="BJ241" s="529">
        <f t="shared" si="1141"/>
        <v>0</v>
      </c>
      <c r="BK241" s="529">
        <f t="shared" si="1142"/>
        <v>0</v>
      </c>
      <c r="BL241" s="529">
        <f t="shared" si="1143"/>
        <v>0</v>
      </c>
      <c r="BM241" s="529">
        <f t="shared" si="1144"/>
        <v>0</v>
      </c>
      <c r="BN241" s="529">
        <f t="shared" si="1145"/>
        <v>0</v>
      </c>
      <c r="BO241" s="529">
        <f t="shared" si="1146"/>
        <v>0</v>
      </c>
      <c r="BP241" s="529">
        <f t="shared" si="1147"/>
        <v>0</v>
      </c>
      <c r="BQ241" s="529">
        <f t="shared" si="1148"/>
        <v>0</v>
      </c>
      <c r="BR241" s="529">
        <f t="shared" si="1149"/>
        <v>0</v>
      </c>
      <c r="BS241" s="529">
        <f t="shared" si="1150"/>
        <v>0</v>
      </c>
      <c r="BT241" s="529">
        <f t="shared" si="1151"/>
        <v>0</v>
      </c>
      <c r="BU241" s="529">
        <f t="shared" si="1152"/>
        <v>0</v>
      </c>
      <c r="BV241" s="529">
        <f t="shared" si="1153"/>
        <v>0</v>
      </c>
      <c r="BW241" s="529">
        <f t="shared" si="1154"/>
        <v>0</v>
      </c>
      <c r="BX241" s="529">
        <f t="shared" si="1155"/>
        <v>0</v>
      </c>
      <c r="BY241" s="529">
        <f t="shared" si="1156"/>
        <v>0</v>
      </c>
      <c r="BZ241" s="529">
        <f t="shared" si="1157"/>
        <v>0</v>
      </c>
      <c r="CB241" s="529">
        <f t="shared" si="1158"/>
        <v>0</v>
      </c>
      <c r="CC241" s="529">
        <f t="shared" si="1159"/>
        <v>0</v>
      </c>
      <c r="CD241" s="529">
        <f t="shared" si="1160"/>
        <v>0</v>
      </c>
      <c r="CE241" s="529">
        <f t="shared" si="1161"/>
        <v>0</v>
      </c>
      <c r="CF241" s="529">
        <f t="shared" si="1162"/>
        <v>0</v>
      </c>
      <c r="CG241" s="529">
        <f t="shared" si="1163"/>
        <v>0</v>
      </c>
      <c r="CH241" s="529">
        <f t="shared" si="1164"/>
        <v>0</v>
      </c>
      <c r="CI241" s="529">
        <f t="shared" si="1165"/>
        <v>0</v>
      </c>
      <c r="CJ241" s="529">
        <f t="shared" si="1166"/>
        <v>0</v>
      </c>
      <c r="CK241" s="529">
        <f t="shared" si="1167"/>
        <v>0</v>
      </c>
      <c r="CL241" s="529">
        <f t="shared" si="1168"/>
        <v>0</v>
      </c>
      <c r="CM241" s="529">
        <f t="shared" si="1169"/>
        <v>0</v>
      </c>
      <c r="CN241" s="529">
        <f t="shared" si="1170"/>
        <v>0</v>
      </c>
      <c r="CO241" s="529">
        <f t="shared" si="1171"/>
        <v>0</v>
      </c>
      <c r="CP241" s="529">
        <f t="shared" si="1083"/>
        <v>0</v>
      </c>
      <c r="CQ241" s="529">
        <f t="shared" si="1084"/>
        <v>0</v>
      </c>
      <c r="CR241" s="529">
        <f t="shared" si="1085"/>
        <v>0</v>
      </c>
    </row>
    <row r="242" spans="1:96" x14ac:dyDescent="0.2">
      <c r="A242" s="764"/>
      <c r="B242" s="537" t="str">
        <f>+B235</f>
        <v>NPK 10-26-26</v>
      </c>
      <c r="C242" s="538"/>
      <c r="D242" s="607"/>
      <c r="E242" s="539"/>
      <c r="F242" s="538"/>
      <c r="G242" s="607"/>
      <c r="H242" s="539"/>
      <c r="I242" s="538"/>
      <c r="J242" s="607"/>
      <c r="K242" s="539"/>
      <c r="L242" s="538"/>
      <c r="M242" s="607"/>
      <c r="N242" s="539"/>
      <c r="O242" s="538"/>
      <c r="P242" s="607"/>
      <c r="Q242" s="539"/>
      <c r="R242" s="538"/>
      <c r="S242" s="607"/>
      <c r="T242" s="539"/>
      <c r="U242" s="538"/>
      <c r="V242" s="637"/>
      <c r="W242" s="539"/>
      <c r="X242" s="538"/>
      <c r="Y242" s="607"/>
      <c r="Z242" s="607"/>
      <c r="AA242" s="538">
        <f>+Assumptions!$I$13*$BC242*1000</f>
        <v>0</v>
      </c>
      <c r="AB242" s="607">
        <f>+AB$316*1.1</f>
        <v>477.40000000000003</v>
      </c>
      <c r="AC242" s="607">
        <f t="shared" si="1203"/>
        <v>0</v>
      </c>
      <c r="AD242" s="538">
        <f>+Assumptions!$J$13*$BC242*1000</f>
        <v>0</v>
      </c>
      <c r="AE242" s="607">
        <f>+AE$316*1.1</f>
        <v>491.70000000000005</v>
      </c>
      <c r="AF242" s="607">
        <f t="shared" si="1204"/>
        <v>0</v>
      </c>
      <c r="AG242" s="538">
        <f>+Assumptions!$K$13*$BC242*1000</f>
        <v>0</v>
      </c>
      <c r="AH242" s="607">
        <f>+AH$316*1.1</f>
        <v>506.00000000000006</v>
      </c>
      <c r="AI242" s="607">
        <f t="shared" si="1205"/>
        <v>0</v>
      </c>
      <c r="AJ242" s="538">
        <f>+Assumptions!$L$13*$BC242*1000</f>
        <v>0</v>
      </c>
      <c r="AK242" s="607">
        <f>+AK$316*1.1</f>
        <v>521.40000000000009</v>
      </c>
      <c r="AL242" s="607">
        <f t="shared" si="1206"/>
        <v>0</v>
      </c>
      <c r="AM242" s="538">
        <f>+Assumptions!$M$13*$BC242*1000</f>
        <v>0</v>
      </c>
      <c r="AN242" s="607">
        <f>+AN$316*1.1</f>
        <v>536.80000000000007</v>
      </c>
      <c r="AO242" s="607">
        <f t="shared" si="1207"/>
        <v>0</v>
      </c>
      <c r="AP242" s="538">
        <f>+Assumptions!$N$13*$BC242*1000</f>
        <v>0</v>
      </c>
      <c r="AQ242" s="607">
        <f>+AQ$316*1.1</f>
        <v>553.30000000000007</v>
      </c>
      <c r="AR242" s="607">
        <f t="shared" si="1208"/>
        <v>0</v>
      </c>
      <c r="AS242" s="538">
        <f>+Assumptions!$N$13*$BC242*1000</f>
        <v>0</v>
      </c>
      <c r="AT242" s="607">
        <f>+AT$316*1.1</f>
        <v>569.80000000000007</v>
      </c>
      <c r="AU242" s="607">
        <f t="shared" si="1209"/>
        <v>0</v>
      </c>
      <c r="AV242" s="538">
        <f>+Assumptions!$N$13*$BC242*1000</f>
        <v>0</v>
      </c>
      <c r="AW242" s="607">
        <f>+AW$316*1.1</f>
        <v>587.40000000000009</v>
      </c>
      <c r="AX242" s="607">
        <f t="shared" si="1210"/>
        <v>0</v>
      </c>
      <c r="AY242" s="538">
        <f>+Assumptions!$N$13*$BC242*1000</f>
        <v>0</v>
      </c>
      <c r="AZ242" s="607">
        <f>+AZ$316*1.1</f>
        <v>605</v>
      </c>
      <c r="BA242" s="607">
        <f t="shared" si="1211"/>
        <v>0</v>
      </c>
      <c r="BC242" s="710">
        <v>0</v>
      </c>
      <c r="BJ242" s="529">
        <f t="shared" si="1141"/>
        <v>0</v>
      </c>
      <c r="BK242" s="529">
        <f t="shared" si="1142"/>
        <v>0</v>
      </c>
      <c r="BL242" s="529">
        <f t="shared" si="1143"/>
        <v>0</v>
      </c>
      <c r="BM242" s="529">
        <f t="shared" si="1144"/>
        <v>0</v>
      </c>
      <c r="BN242" s="529">
        <f t="shared" si="1145"/>
        <v>0</v>
      </c>
      <c r="BO242" s="529">
        <f t="shared" si="1146"/>
        <v>0</v>
      </c>
      <c r="BP242" s="529">
        <f t="shared" si="1147"/>
        <v>0</v>
      </c>
      <c r="BQ242" s="529">
        <f t="shared" si="1148"/>
        <v>0</v>
      </c>
      <c r="BR242" s="529">
        <f t="shared" si="1149"/>
        <v>0</v>
      </c>
      <c r="BS242" s="529">
        <f t="shared" si="1150"/>
        <v>0</v>
      </c>
      <c r="BT242" s="529">
        <f t="shared" si="1151"/>
        <v>0</v>
      </c>
      <c r="BU242" s="529">
        <f t="shared" si="1152"/>
        <v>0</v>
      </c>
      <c r="BV242" s="529">
        <f t="shared" si="1153"/>
        <v>0</v>
      </c>
      <c r="BW242" s="529">
        <f t="shared" si="1154"/>
        <v>0</v>
      </c>
      <c r="BX242" s="529">
        <f t="shared" si="1155"/>
        <v>0</v>
      </c>
      <c r="BY242" s="529">
        <f t="shared" si="1156"/>
        <v>0</v>
      </c>
      <c r="BZ242" s="529">
        <f t="shared" si="1157"/>
        <v>0</v>
      </c>
      <c r="CB242" s="529">
        <f t="shared" si="1158"/>
        <v>0</v>
      </c>
      <c r="CC242" s="529">
        <f t="shared" si="1159"/>
        <v>0</v>
      </c>
      <c r="CD242" s="529">
        <f t="shared" si="1160"/>
        <v>0</v>
      </c>
      <c r="CE242" s="529">
        <f t="shared" si="1161"/>
        <v>0</v>
      </c>
      <c r="CF242" s="529">
        <f t="shared" si="1162"/>
        <v>0</v>
      </c>
      <c r="CG242" s="529">
        <f t="shared" si="1163"/>
        <v>0</v>
      </c>
      <c r="CH242" s="529">
        <f t="shared" si="1164"/>
        <v>0</v>
      </c>
      <c r="CI242" s="529">
        <f t="shared" si="1165"/>
        <v>0</v>
      </c>
      <c r="CJ242" s="529">
        <f t="shared" si="1166"/>
        <v>0</v>
      </c>
      <c r="CK242" s="529">
        <f t="shared" si="1167"/>
        <v>0</v>
      </c>
      <c r="CL242" s="529">
        <f t="shared" si="1168"/>
        <v>0</v>
      </c>
      <c r="CM242" s="529">
        <f t="shared" si="1169"/>
        <v>0</v>
      </c>
      <c r="CN242" s="529">
        <f t="shared" si="1170"/>
        <v>0</v>
      </c>
      <c r="CO242" s="529">
        <f t="shared" si="1171"/>
        <v>0</v>
      </c>
      <c r="CP242" s="529">
        <f t="shared" si="1083"/>
        <v>0</v>
      </c>
      <c r="CQ242" s="529">
        <f t="shared" si="1084"/>
        <v>0</v>
      </c>
      <c r="CR242" s="529">
        <f t="shared" si="1085"/>
        <v>0</v>
      </c>
    </row>
    <row r="243" spans="1:96" x14ac:dyDescent="0.2">
      <c r="A243" s="763"/>
      <c r="B243" s="537" t="str">
        <f>+B236</f>
        <v>NPK 10-20-20</v>
      </c>
      <c r="C243" s="538"/>
      <c r="D243" s="607"/>
      <c r="E243" s="539"/>
      <c r="F243" s="538"/>
      <c r="G243" s="607"/>
      <c r="H243" s="539"/>
      <c r="I243" s="538"/>
      <c r="J243" s="607"/>
      <c r="K243" s="539"/>
      <c r="L243" s="538"/>
      <c r="M243" s="607"/>
      <c r="N243" s="539"/>
      <c r="O243" s="538"/>
      <c r="P243" s="607"/>
      <c r="Q243" s="539"/>
      <c r="R243" s="538"/>
      <c r="S243" s="607"/>
      <c r="T243" s="539"/>
      <c r="U243" s="538"/>
      <c r="V243" s="637"/>
      <c r="W243" s="539"/>
      <c r="X243" s="538"/>
      <c r="Y243" s="607"/>
      <c r="Z243" s="607"/>
      <c r="AA243" s="538">
        <f>+Assumptions!$I$13*$BC243*1000</f>
        <v>0</v>
      </c>
      <c r="AB243" s="607">
        <f>+AB$317*1.1</f>
        <v>385.00000000000006</v>
      </c>
      <c r="AC243" s="607">
        <f t="shared" si="1203"/>
        <v>0</v>
      </c>
      <c r="AD243" s="538">
        <f>+Assumptions!$J$13*$BC243*1000</f>
        <v>0</v>
      </c>
      <c r="AE243" s="607">
        <f>+AE$317*1.1</f>
        <v>397.1</v>
      </c>
      <c r="AF243" s="607">
        <f t="shared" si="1204"/>
        <v>0</v>
      </c>
      <c r="AG243" s="538">
        <f>+Assumptions!$K$13*$BC243*1000</f>
        <v>0</v>
      </c>
      <c r="AH243" s="607">
        <f>+AH$317*1.1</f>
        <v>409.20000000000005</v>
      </c>
      <c r="AI243" s="607">
        <f t="shared" si="1205"/>
        <v>0</v>
      </c>
      <c r="AJ243" s="538">
        <f>+Assumptions!$L$13*$BC243*1000</f>
        <v>0</v>
      </c>
      <c r="AK243" s="607">
        <f>+AK$317*1.1</f>
        <v>421.3</v>
      </c>
      <c r="AL243" s="607">
        <f t="shared" si="1206"/>
        <v>0</v>
      </c>
      <c r="AM243" s="538">
        <f>+Assumptions!$M$13*$BC243*1000</f>
        <v>0</v>
      </c>
      <c r="AN243" s="607">
        <f>+AN$317*1.1</f>
        <v>433.40000000000003</v>
      </c>
      <c r="AO243" s="607">
        <f t="shared" si="1207"/>
        <v>0</v>
      </c>
      <c r="AP243" s="538">
        <f>+Assumptions!$N$13*$BC243*1000</f>
        <v>0</v>
      </c>
      <c r="AQ243" s="607">
        <f>+AQ$317*1.1</f>
        <v>446.6</v>
      </c>
      <c r="AR243" s="607">
        <f t="shared" si="1208"/>
        <v>0</v>
      </c>
      <c r="AS243" s="538">
        <f>+Assumptions!$N$13*$BC243*1000</f>
        <v>0</v>
      </c>
      <c r="AT243" s="607">
        <f>+AT$317*1.1</f>
        <v>459.8</v>
      </c>
      <c r="AU243" s="607">
        <f t="shared" si="1209"/>
        <v>0</v>
      </c>
      <c r="AV243" s="538">
        <f>+Assumptions!$N$13*$BC243*1000</f>
        <v>0</v>
      </c>
      <c r="AW243" s="607">
        <f>+AW$317*1.1</f>
        <v>474.1</v>
      </c>
      <c r="AX243" s="607">
        <f t="shared" si="1210"/>
        <v>0</v>
      </c>
      <c r="AY243" s="538">
        <f>+Assumptions!$N$13*$BC243*1000</f>
        <v>0</v>
      </c>
      <c r="AZ243" s="607">
        <f>+AZ$317*1.1</f>
        <v>488.40000000000003</v>
      </c>
      <c r="BA243" s="607">
        <f t="shared" si="1211"/>
        <v>0</v>
      </c>
      <c r="BC243" s="710">
        <v>0</v>
      </c>
      <c r="BJ243" s="529">
        <f t="shared" si="1141"/>
        <v>0</v>
      </c>
      <c r="BK243" s="529">
        <f t="shared" si="1142"/>
        <v>0</v>
      </c>
      <c r="BL243" s="529">
        <f t="shared" si="1143"/>
        <v>0</v>
      </c>
      <c r="BM243" s="529">
        <f t="shared" si="1144"/>
        <v>0</v>
      </c>
      <c r="BN243" s="529">
        <f t="shared" si="1145"/>
        <v>0</v>
      </c>
      <c r="BO243" s="529">
        <f t="shared" si="1146"/>
        <v>0</v>
      </c>
      <c r="BP243" s="529">
        <f t="shared" si="1147"/>
        <v>0</v>
      </c>
      <c r="BQ243" s="529">
        <f t="shared" si="1148"/>
        <v>0</v>
      </c>
      <c r="BR243" s="529">
        <f t="shared" si="1149"/>
        <v>0</v>
      </c>
      <c r="BS243" s="529">
        <f t="shared" si="1150"/>
        <v>0</v>
      </c>
      <c r="BT243" s="529">
        <f t="shared" si="1151"/>
        <v>0</v>
      </c>
      <c r="BU243" s="529">
        <f t="shared" si="1152"/>
        <v>0</v>
      </c>
      <c r="BV243" s="529">
        <f t="shared" si="1153"/>
        <v>0</v>
      </c>
      <c r="BW243" s="529">
        <f t="shared" si="1154"/>
        <v>0</v>
      </c>
      <c r="BX243" s="529">
        <f t="shared" si="1155"/>
        <v>0</v>
      </c>
      <c r="BY243" s="529">
        <f t="shared" si="1156"/>
        <v>0</v>
      </c>
      <c r="BZ243" s="529">
        <f t="shared" si="1157"/>
        <v>0</v>
      </c>
      <c r="CB243" s="529">
        <f t="shared" si="1158"/>
        <v>0</v>
      </c>
      <c r="CC243" s="529">
        <f t="shared" si="1159"/>
        <v>0</v>
      </c>
      <c r="CD243" s="529">
        <f t="shared" si="1160"/>
        <v>0</v>
      </c>
      <c r="CE243" s="529">
        <f t="shared" si="1161"/>
        <v>0</v>
      </c>
      <c r="CF243" s="529">
        <f t="shared" si="1162"/>
        <v>0</v>
      </c>
      <c r="CG243" s="529">
        <f t="shared" si="1163"/>
        <v>0</v>
      </c>
      <c r="CH243" s="529">
        <f t="shared" si="1164"/>
        <v>0</v>
      </c>
      <c r="CI243" s="529">
        <f t="shared" si="1165"/>
        <v>0</v>
      </c>
      <c r="CJ243" s="529">
        <f t="shared" si="1166"/>
        <v>0</v>
      </c>
      <c r="CK243" s="529">
        <f t="shared" si="1167"/>
        <v>0</v>
      </c>
      <c r="CL243" s="529">
        <f t="shared" si="1168"/>
        <v>0</v>
      </c>
      <c r="CM243" s="529">
        <f t="shared" si="1169"/>
        <v>0</v>
      </c>
      <c r="CN243" s="529">
        <f t="shared" si="1170"/>
        <v>0</v>
      </c>
      <c r="CO243" s="529">
        <f t="shared" si="1171"/>
        <v>0</v>
      </c>
      <c r="CP243" s="529">
        <f t="shared" si="1083"/>
        <v>0</v>
      </c>
      <c r="CQ243" s="529">
        <f t="shared" si="1084"/>
        <v>0</v>
      </c>
      <c r="CR243" s="529">
        <f t="shared" si="1085"/>
        <v>0</v>
      </c>
    </row>
    <row r="244" spans="1:96" x14ac:dyDescent="0.2">
      <c r="A244" s="763"/>
      <c r="B244" s="537" t="str">
        <f t="shared" ref="B244:B245" si="1212">+B237</f>
        <v>NPK 13-13-21</v>
      </c>
      <c r="C244" s="538"/>
      <c r="D244" s="607"/>
      <c r="E244" s="539"/>
      <c r="F244" s="538"/>
      <c r="G244" s="607"/>
      <c r="H244" s="539"/>
      <c r="I244" s="538"/>
      <c r="J244" s="607"/>
      <c r="K244" s="539"/>
      <c r="L244" s="538"/>
      <c r="M244" s="607"/>
      <c r="N244" s="539"/>
      <c r="O244" s="538"/>
      <c r="P244" s="607"/>
      <c r="Q244" s="539"/>
      <c r="R244" s="538"/>
      <c r="S244" s="607"/>
      <c r="T244" s="539"/>
      <c r="U244" s="538"/>
      <c r="V244" s="637"/>
      <c r="W244" s="539"/>
      <c r="X244" s="538"/>
      <c r="Y244" s="607"/>
      <c r="Z244" s="607"/>
      <c r="AA244" s="538">
        <f>+Assumptions!$I$13*$BC244*1000</f>
        <v>0</v>
      </c>
      <c r="AB244" s="607">
        <f>+AB$318*1.1</f>
        <v>361.90000000000003</v>
      </c>
      <c r="AC244" s="607">
        <f t="shared" si="1203"/>
        <v>0</v>
      </c>
      <c r="AD244" s="538">
        <f>+Assumptions!$J$13*$BC244*1000</f>
        <v>0</v>
      </c>
      <c r="AE244" s="607">
        <f>+AE$318*1.1</f>
        <v>372.90000000000003</v>
      </c>
      <c r="AF244" s="607">
        <f t="shared" si="1204"/>
        <v>0</v>
      </c>
      <c r="AG244" s="538">
        <f>+Assumptions!$K$13*$BC244*1000</f>
        <v>0</v>
      </c>
      <c r="AH244" s="607">
        <f>+AH$318*1.1</f>
        <v>383.90000000000003</v>
      </c>
      <c r="AI244" s="607">
        <f t="shared" si="1205"/>
        <v>0</v>
      </c>
      <c r="AJ244" s="538">
        <f>+Assumptions!$L$13*$BC244*1000</f>
        <v>0</v>
      </c>
      <c r="AK244" s="607">
        <f>+AK$318*1.1</f>
        <v>394.90000000000003</v>
      </c>
      <c r="AL244" s="607">
        <f t="shared" si="1206"/>
        <v>0</v>
      </c>
      <c r="AM244" s="538">
        <f>+Assumptions!$M$13*$BC244*1000</f>
        <v>0</v>
      </c>
      <c r="AN244" s="607">
        <f>+AN$318*1.1</f>
        <v>407.00000000000006</v>
      </c>
      <c r="AO244" s="607">
        <f t="shared" si="1207"/>
        <v>0</v>
      </c>
      <c r="AP244" s="538">
        <f>+Assumptions!$N$13*$BC244*1000</f>
        <v>0</v>
      </c>
      <c r="AQ244" s="607">
        <f>+AQ$318*1.1</f>
        <v>419.1</v>
      </c>
      <c r="AR244" s="607">
        <f t="shared" si="1208"/>
        <v>0</v>
      </c>
      <c r="AS244" s="538">
        <f>+Assumptions!$N$13*$BC244*1000</f>
        <v>0</v>
      </c>
      <c r="AT244" s="607">
        <f>+AT$318*1.1</f>
        <v>431.20000000000005</v>
      </c>
      <c r="AU244" s="607">
        <f t="shared" si="1209"/>
        <v>0</v>
      </c>
      <c r="AV244" s="538">
        <f>+Assumptions!$N$13*$BC244*1000</f>
        <v>0</v>
      </c>
      <c r="AW244" s="607">
        <f>+AW$318*1.1</f>
        <v>444.40000000000003</v>
      </c>
      <c r="AX244" s="607">
        <f t="shared" si="1210"/>
        <v>0</v>
      </c>
      <c r="AY244" s="538">
        <f>+Assumptions!$N$13*$BC244*1000</f>
        <v>0</v>
      </c>
      <c r="AZ244" s="607">
        <f>+AZ$318*1.1</f>
        <v>457.6</v>
      </c>
      <c r="BA244" s="607">
        <f t="shared" si="1211"/>
        <v>0</v>
      </c>
      <c r="BC244" s="710">
        <v>0</v>
      </c>
      <c r="BJ244" s="529">
        <f t="shared" si="1141"/>
        <v>0</v>
      </c>
      <c r="BK244" s="529">
        <f t="shared" si="1142"/>
        <v>0</v>
      </c>
      <c r="BL244" s="529">
        <f t="shared" si="1143"/>
        <v>0</v>
      </c>
      <c r="BM244" s="529">
        <f t="shared" si="1144"/>
        <v>0</v>
      </c>
      <c r="BN244" s="529">
        <f t="shared" si="1145"/>
        <v>0</v>
      </c>
      <c r="BO244" s="529">
        <f t="shared" si="1146"/>
        <v>0</v>
      </c>
      <c r="BP244" s="529">
        <f t="shared" si="1147"/>
        <v>0</v>
      </c>
      <c r="BQ244" s="529">
        <f t="shared" si="1148"/>
        <v>0</v>
      </c>
      <c r="BR244" s="529">
        <f t="shared" si="1149"/>
        <v>0</v>
      </c>
      <c r="BS244" s="529">
        <f t="shared" si="1150"/>
        <v>0</v>
      </c>
      <c r="BT244" s="529">
        <f t="shared" si="1151"/>
        <v>0</v>
      </c>
      <c r="BU244" s="529">
        <f t="shared" si="1152"/>
        <v>0</v>
      </c>
      <c r="BV244" s="529">
        <f t="shared" si="1153"/>
        <v>0</v>
      </c>
      <c r="BW244" s="529">
        <f t="shared" si="1154"/>
        <v>0</v>
      </c>
      <c r="BX244" s="529">
        <f t="shared" si="1155"/>
        <v>0</v>
      </c>
      <c r="BY244" s="529">
        <f t="shared" si="1156"/>
        <v>0</v>
      </c>
      <c r="BZ244" s="529">
        <f t="shared" si="1157"/>
        <v>0</v>
      </c>
      <c r="CB244" s="529">
        <f t="shared" si="1158"/>
        <v>0</v>
      </c>
      <c r="CC244" s="529">
        <f t="shared" si="1159"/>
        <v>0</v>
      </c>
      <c r="CD244" s="529">
        <f t="shared" si="1160"/>
        <v>0</v>
      </c>
      <c r="CE244" s="529">
        <f t="shared" si="1161"/>
        <v>0</v>
      </c>
      <c r="CF244" s="529">
        <f t="shared" si="1162"/>
        <v>0</v>
      </c>
      <c r="CG244" s="529">
        <f t="shared" si="1163"/>
        <v>0</v>
      </c>
      <c r="CH244" s="529">
        <f t="shared" si="1164"/>
        <v>0</v>
      </c>
      <c r="CI244" s="529">
        <f t="shared" si="1165"/>
        <v>0</v>
      </c>
      <c r="CJ244" s="529">
        <f t="shared" si="1166"/>
        <v>0</v>
      </c>
      <c r="CK244" s="529">
        <f t="shared" si="1167"/>
        <v>0</v>
      </c>
      <c r="CL244" s="529">
        <f t="shared" si="1168"/>
        <v>0</v>
      </c>
      <c r="CM244" s="529">
        <f t="shared" si="1169"/>
        <v>0</v>
      </c>
      <c r="CN244" s="529">
        <f t="shared" si="1170"/>
        <v>0</v>
      </c>
      <c r="CO244" s="529">
        <f t="shared" si="1171"/>
        <v>0</v>
      </c>
      <c r="CP244" s="529">
        <f t="shared" si="1083"/>
        <v>0</v>
      </c>
      <c r="CQ244" s="529">
        <f t="shared" si="1084"/>
        <v>0</v>
      </c>
      <c r="CR244" s="529">
        <f t="shared" si="1085"/>
        <v>0</v>
      </c>
    </row>
    <row r="245" spans="1:96" x14ac:dyDescent="0.2">
      <c r="A245" s="763"/>
      <c r="B245" s="537" t="str">
        <f t="shared" si="1212"/>
        <v>NPK 00-00-00</v>
      </c>
      <c r="C245" s="538"/>
      <c r="D245" s="607"/>
      <c r="E245" s="539"/>
      <c r="F245" s="538"/>
      <c r="G245" s="607"/>
      <c r="H245" s="539"/>
      <c r="I245" s="538"/>
      <c r="J245" s="607"/>
      <c r="K245" s="539"/>
      <c r="L245" s="538"/>
      <c r="M245" s="607"/>
      <c r="N245" s="539"/>
      <c r="O245" s="538"/>
      <c r="P245" s="607"/>
      <c r="Q245" s="539"/>
      <c r="R245" s="538"/>
      <c r="S245" s="607"/>
      <c r="T245" s="539"/>
      <c r="U245" s="538"/>
      <c r="V245" s="637"/>
      <c r="W245" s="539"/>
      <c r="X245" s="538"/>
      <c r="Y245" s="607"/>
      <c r="Z245" s="607"/>
      <c r="AA245" s="538">
        <f>+Assumptions!$I$13*$BC245*1000</f>
        <v>0</v>
      </c>
      <c r="AB245" s="607">
        <f>+AB$319*1.1</f>
        <v>0</v>
      </c>
      <c r="AC245" s="607">
        <f t="shared" si="1203"/>
        <v>0</v>
      </c>
      <c r="AD245" s="538">
        <f>+Assumptions!$J$13*$BC245*1000</f>
        <v>0</v>
      </c>
      <c r="AE245" s="607">
        <f>+AE$319*1.1</f>
        <v>0</v>
      </c>
      <c r="AF245" s="607">
        <f t="shared" si="1204"/>
        <v>0</v>
      </c>
      <c r="AG245" s="538">
        <f>+Assumptions!$K$13*$BC245*1000</f>
        <v>0</v>
      </c>
      <c r="AH245" s="607">
        <f>+AH$319*1.1</f>
        <v>0</v>
      </c>
      <c r="AI245" s="607">
        <f t="shared" si="1205"/>
        <v>0</v>
      </c>
      <c r="AJ245" s="538">
        <f>+Assumptions!$L$13*$BC245*1000</f>
        <v>0</v>
      </c>
      <c r="AK245" s="607">
        <f>+AK$319*1.1</f>
        <v>0</v>
      </c>
      <c r="AL245" s="607">
        <f t="shared" si="1206"/>
        <v>0</v>
      </c>
      <c r="AM245" s="538">
        <f>+Assumptions!$M$13*$BC245*1000</f>
        <v>0</v>
      </c>
      <c r="AN245" s="607">
        <f>+AN$319*1.1</f>
        <v>0</v>
      </c>
      <c r="AO245" s="607">
        <f t="shared" si="1207"/>
        <v>0</v>
      </c>
      <c r="AP245" s="538">
        <f>+Assumptions!$N$13*$BC245*1000</f>
        <v>0</v>
      </c>
      <c r="AQ245" s="607">
        <f>+AQ$319*1.1</f>
        <v>0</v>
      </c>
      <c r="AR245" s="607">
        <f t="shared" si="1208"/>
        <v>0</v>
      </c>
      <c r="AS245" s="538">
        <f>+Assumptions!$N$13*$BC245*1000</f>
        <v>0</v>
      </c>
      <c r="AT245" s="607">
        <f>+AT$319*1.1</f>
        <v>0</v>
      </c>
      <c r="AU245" s="607">
        <f t="shared" si="1209"/>
        <v>0</v>
      </c>
      <c r="AV245" s="538">
        <f>+Assumptions!$N$13*$BC245*1000</f>
        <v>0</v>
      </c>
      <c r="AW245" s="607">
        <f>+AW$319*1.1</f>
        <v>0</v>
      </c>
      <c r="AX245" s="607">
        <f t="shared" si="1210"/>
        <v>0</v>
      </c>
      <c r="AY245" s="538">
        <f>+Assumptions!$N$13*$BC245*1000</f>
        <v>0</v>
      </c>
      <c r="AZ245" s="607">
        <f>+AZ$319*1.1</f>
        <v>0</v>
      </c>
      <c r="BA245" s="607">
        <f t="shared" si="1211"/>
        <v>0</v>
      </c>
      <c r="BC245" s="710">
        <v>0</v>
      </c>
      <c r="BJ245" s="529">
        <f t="shared" si="1141"/>
        <v>0</v>
      </c>
      <c r="BK245" s="529">
        <f t="shared" si="1142"/>
        <v>0</v>
      </c>
      <c r="BL245" s="529">
        <f t="shared" si="1143"/>
        <v>0</v>
      </c>
      <c r="BM245" s="529">
        <f t="shared" si="1144"/>
        <v>0</v>
      </c>
      <c r="BN245" s="529">
        <f t="shared" si="1145"/>
        <v>0</v>
      </c>
      <c r="BO245" s="529">
        <f t="shared" si="1146"/>
        <v>0</v>
      </c>
      <c r="BP245" s="529">
        <f t="shared" si="1147"/>
        <v>0</v>
      </c>
      <c r="BQ245" s="529">
        <f t="shared" si="1148"/>
        <v>0</v>
      </c>
      <c r="BR245" s="529">
        <f t="shared" si="1149"/>
        <v>0</v>
      </c>
      <c r="BS245" s="529">
        <f t="shared" si="1150"/>
        <v>0</v>
      </c>
      <c r="BT245" s="529">
        <f t="shared" si="1151"/>
        <v>0</v>
      </c>
      <c r="BU245" s="529">
        <f t="shared" si="1152"/>
        <v>0</v>
      </c>
      <c r="BV245" s="529">
        <f t="shared" si="1153"/>
        <v>0</v>
      </c>
      <c r="BW245" s="529">
        <f t="shared" si="1154"/>
        <v>0</v>
      </c>
      <c r="BX245" s="529">
        <f t="shared" si="1155"/>
        <v>0</v>
      </c>
      <c r="BY245" s="529">
        <f t="shared" si="1156"/>
        <v>0</v>
      </c>
      <c r="BZ245" s="529">
        <f t="shared" si="1157"/>
        <v>0</v>
      </c>
      <c r="CB245" s="529">
        <f t="shared" si="1158"/>
        <v>0</v>
      </c>
      <c r="CC245" s="529">
        <f t="shared" si="1159"/>
        <v>0</v>
      </c>
      <c r="CD245" s="529">
        <f t="shared" si="1160"/>
        <v>0</v>
      </c>
      <c r="CE245" s="529">
        <f t="shared" si="1161"/>
        <v>0</v>
      </c>
      <c r="CF245" s="529">
        <f t="shared" si="1162"/>
        <v>0</v>
      </c>
      <c r="CG245" s="529">
        <f t="shared" si="1163"/>
        <v>0</v>
      </c>
      <c r="CH245" s="529">
        <f t="shared" si="1164"/>
        <v>0</v>
      </c>
      <c r="CI245" s="529">
        <f t="shared" si="1165"/>
        <v>0</v>
      </c>
      <c r="CJ245" s="529">
        <f t="shared" si="1166"/>
        <v>0</v>
      </c>
      <c r="CK245" s="529">
        <f t="shared" si="1167"/>
        <v>0</v>
      </c>
      <c r="CL245" s="529">
        <f t="shared" si="1168"/>
        <v>0</v>
      </c>
      <c r="CM245" s="529">
        <f t="shared" si="1169"/>
        <v>0</v>
      </c>
      <c r="CN245" s="529">
        <f t="shared" si="1170"/>
        <v>0</v>
      </c>
      <c r="CO245" s="529">
        <f t="shared" si="1171"/>
        <v>0</v>
      </c>
      <c r="CP245" s="529">
        <f t="shared" si="1083"/>
        <v>0</v>
      </c>
      <c r="CQ245" s="529">
        <f t="shared" si="1084"/>
        <v>0</v>
      </c>
      <c r="CR245" s="529">
        <f t="shared" si="1085"/>
        <v>0</v>
      </c>
    </row>
    <row r="246" spans="1:96" x14ac:dyDescent="0.2">
      <c r="A246" s="765"/>
      <c r="B246" s="611"/>
      <c r="C246" s="543"/>
      <c r="D246" s="609"/>
      <c r="E246" s="544"/>
      <c r="F246" s="543"/>
      <c r="G246" s="609"/>
      <c r="H246" s="544"/>
      <c r="I246" s="543"/>
      <c r="J246" s="609"/>
      <c r="K246" s="544"/>
      <c r="L246" s="543"/>
      <c r="M246" s="609"/>
      <c r="N246" s="544"/>
      <c r="O246" s="543"/>
      <c r="P246" s="609"/>
      <c r="Q246" s="544"/>
      <c r="R246" s="543"/>
      <c r="S246" s="609"/>
      <c r="T246" s="544"/>
      <c r="U246" s="543"/>
      <c r="V246" s="638"/>
      <c r="W246" s="544"/>
      <c r="X246" s="543"/>
      <c r="Y246" s="609"/>
      <c r="Z246" s="609"/>
      <c r="AA246" s="543"/>
      <c r="AB246" s="609"/>
      <c r="AC246" s="609"/>
      <c r="AD246" s="543"/>
      <c r="AE246" s="609"/>
      <c r="AF246" s="609"/>
      <c r="AG246" s="543"/>
      <c r="AH246" s="609"/>
      <c r="AI246" s="609"/>
      <c r="AJ246" s="543"/>
      <c r="AK246" s="609"/>
      <c r="AL246" s="609"/>
      <c r="AM246" s="543"/>
      <c r="AN246" s="609"/>
      <c r="AO246" s="609"/>
      <c r="AP246" s="543"/>
      <c r="AQ246" s="609"/>
      <c r="AR246" s="609"/>
      <c r="AS246" s="543"/>
      <c r="AT246" s="609"/>
      <c r="AU246" s="609"/>
      <c r="AV246" s="543"/>
      <c r="AW246" s="609"/>
      <c r="AX246" s="609"/>
      <c r="AY246" s="543"/>
      <c r="AZ246" s="609"/>
      <c r="BA246" s="609"/>
      <c r="BC246" s="710" t="e">
        <v>#N/A</v>
      </c>
      <c r="BJ246" s="529">
        <f t="shared" si="1141"/>
        <v>0</v>
      </c>
      <c r="BK246" s="529">
        <f t="shared" si="1142"/>
        <v>0</v>
      </c>
      <c r="BL246" s="529">
        <f t="shared" si="1143"/>
        <v>0</v>
      </c>
      <c r="BM246" s="529">
        <f t="shared" si="1144"/>
        <v>0</v>
      </c>
      <c r="BN246" s="529">
        <f t="shared" si="1145"/>
        <v>0</v>
      </c>
      <c r="BO246" s="529">
        <f t="shared" si="1146"/>
        <v>0</v>
      </c>
      <c r="BP246" s="529">
        <f t="shared" si="1147"/>
        <v>0</v>
      </c>
      <c r="BQ246" s="529">
        <f t="shared" si="1148"/>
        <v>0</v>
      </c>
      <c r="BR246" s="529">
        <f t="shared" si="1149"/>
        <v>0</v>
      </c>
      <c r="BS246" s="529">
        <f t="shared" si="1150"/>
        <v>0</v>
      </c>
      <c r="BT246" s="529">
        <f t="shared" si="1151"/>
        <v>0</v>
      </c>
      <c r="BU246" s="529">
        <f t="shared" si="1152"/>
        <v>0</v>
      </c>
      <c r="BV246" s="529">
        <f t="shared" si="1153"/>
        <v>0</v>
      </c>
      <c r="BW246" s="529">
        <f t="shared" si="1154"/>
        <v>0</v>
      </c>
      <c r="BX246" s="529">
        <f t="shared" si="1155"/>
        <v>0</v>
      </c>
      <c r="BY246" s="529">
        <f t="shared" si="1156"/>
        <v>0</v>
      </c>
      <c r="BZ246" s="529">
        <f t="shared" si="1157"/>
        <v>0</v>
      </c>
      <c r="CB246" s="529">
        <f t="shared" si="1158"/>
        <v>0</v>
      </c>
      <c r="CC246" s="529">
        <f t="shared" si="1159"/>
        <v>0</v>
      </c>
      <c r="CD246" s="529">
        <f t="shared" si="1160"/>
        <v>0</v>
      </c>
      <c r="CE246" s="529">
        <f t="shared" si="1161"/>
        <v>0</v>
      </c>
      <c r="CF246" s="529">
        <f t="shared" si="1162"/>
        <v>0</v>
      </c>
      <c r="CG246" s="529">
        <f t="shared" si="1163"/>
        <v>0</v>
      </c>
      <c r="CH246" s="529">
        <f t="shared" si="1164"/>
        <v>0</v>
      </c>
      <c r="CI246" s="529">
        <f t="shared" si="1165"/>
        <v>0</v>
      </c>
      <c r="CJ246" s="529">
        <f t="shared" si="1166"/>
        <v>0</v>
      </c>
      <c r="CK246" s="529">
        <f t="shared" si="1167"/>
        <v>0</v>
      </c>
      <c r="CL246" s="529">
        <f t="shared" si="1168"/>
        <v>0</v>
      </c>
      <c r="CM246" s="529">
        <f t="shared" si="1169"/>
        <v>0</v>
      </c>
      <c r="CN246" s="529">
        <f t="shared" si="1170"/>
        <v>0</v>
      </c>
      <c r="CO246" s="529">
        <f t="shared" si="1171"/>
        <v>0</v>
      </c>
      <c r="CP246" s="529">
        <f t="shared" si="1083"/>
        <v>0</v>
      </c>
      <c r="CQ246" s="529">
        <f t="shared" si="1084"/>
        <v>0</v>
      </c>
      <c r="CR246" s="529">
        <f t="shared" si="1085"/>
        <v>0</v>
      </c>
    </row>
    <row r="247" spans="1:96" x14ac:dyDescent="0.2">
      <c r="A247" s="762" t="s">
        <v>738</v>
      </c>
      <c r="B247" s="610" t="str">
        <f>+B240</f>
        <v>NPK 15-15-15</v>
      </c>
      <c r="C247" s="605"/>
      <c r="D247" s="603"/>
      <c r="E247" s="604"/>
      <c r="F247" s="605"/>
      <c r="G247" s="603"/>
      <c r="H247" s="604"/>
      <c r="I247" s="605"/>
      <c r="J247" s="603"/>
      <c r="K247" s="604"/>
      <c r="L247" s="605"/>
      <c r="M247" s="603"/>
      <c r="N247" s="604"/>
      <c r="O247" s="605"/>
      <c r="P247" s="603"/>
      <c r="Q247" s="604"/>
      <c r="R247" s="605"/>
      <c r="S247" s="603"/>
      <c r="T247" s="604"/>
      <c r="U247" s="605"/>
      <c r="V247" s="636"/>
      <c r="W247" s="604"/>
      <c r="X247" s="605"/>
      <c r="Y247" s="603"/>
      <c r="Z247" s="603"/>
      <c r="AA247" s="605">
        <f>+Assumptions!$I$13*$BC247*1000</f>
        <v>1400</v>
      </c>
      <c r="AB247" s="603">
        <f>+AB$314-9</f>
        <v>306</v>
      </c>
      <c r="AC247" s="603">
        <f t="shared" ref="AC247:AC252" si="1213">+AB247*AA247</f>
        <v>428400</v>
      </c>
      <c r="AD247" s="605">
        <f>+Assumptions!$J$13*$BC247*1000</f>
        <v>2800</v>
      </c>
      <c r="AE247" s="603">
        <f>+AE$314-9</f>
        <v>315</v>
      </c>
      <c r="AF247" s="603">
        <f t="shared" ref="AF247:AF252" si="1214">+AE247*AD247</f>
        <v>882000</v>
      </c>
      <c r="AG247" s="605">
        <f>+Assumptions!$K$13*$BC247*1000</f>
        <v>2800</v>
      </c>
      <c r="AH247" s="603">
        <f>+AH$314-9</f>
        <v>325</v>
      </c>
      <c r="AI247" s="603">
        <f t="shared" ref="AI247:AI252" si="1215">+AH247*AG247</f>
        <v>910000</v>
      </c>
      <c r="AJ247" s="605">
        <f>+Assumptions!$L$13*$BC247*1000</f>
        <v>2800</v>
      </c>
      <c r="AK247" s="603">
        <f>+AK$314-9</f>
        <v>335</v>
      </c>
      <c r="AL247" s="603">
        <f t="shared" ref="AL247:AL252" si="1216">+AK247*AJ247</f>
        <v>938000</v>
      </c>
      <c r="AM247" s="605">
        <f>+Assumptions!$M$13*$BC247*1000</f>
        <v>2800</v>
      </c>
      <c r="AN247" s="603">
        <f>+AN$314-9</f>
        <v>345</v>
      </c>
      <c r="AO247" s="603">
        <f t="shared" ref="AO247:AO252" si="1217">+AN247*AM247</f>
        <v>966000</v>
      </c>
      <c r="AP247" s="605">
        <f>+Assumptions!$N$13*$BC247*1000</f>
        <v>2800</v>
      </c>
      <c r="AQ247" s="603">
        <f>+AQ$314-9</f>
        <v>356</v>
      </c>
      <c r="AR247" s="603">
        <f t="shared" ref="AR247:AR252" si="1218">+AQ247*AP247</f>
        <v>996800</v>
      </c>
      <c r="AS247" s="605">
        <f>+Assumptions!$N$13*$BC247*1000</f>
        <v>2800</v>
      </c>
      <c r="AT247" s="603">
        <f>+AT$314-9</f>
        <v>367</v>
      </c>
      <c r="AU247" s="603">
        <f t="shared" ref="AU247:AU252" si="1219">+AT247*AS247</f>
        <v>1027600</v>
      </c>
      <c r="AV247" s="605">
        <f>+Assumptions!$N$13*$BC247*1000</f>
        <v>2800</v>
      </c>
      <c r="AW247" s="603">
        <f>+AW$314-9</f>
        <v>378</v>
      </c>
      <c r="AX247" s="603">
        <f t="shared" ref="AX247:AX252" si="1220">+AW247*AV247</f>
        <v>1058400</v>
      </c>
      <c r="AY247" s="605">
        <f>+Assumptions!$N$13*$BC247*1000</f>
        <v>2800</v>
      </c>
      <c r="AZ247" s="603">
        <f>+AZ$314-9</f>
        <v>390</v>
      </c>
      <c r="BA247" s="603">
        <f t="shared" ref="BA247:BA252" si="1221">+AZ247*AY247</f>
        <v>1092000</v>
      </c>
      <c r="BC247" s="710">
        <v>1.7499999999999998E-2</v>
      </c>
      <c r="BD247" s="729">
        <f>30%-12.5%</f>
        <v>0.17499999999999999</v>
      </c>
      <c r="BJ247" s="529">
        <f t="shared" ref="BJ247:BJ278" si="1222">E247</f>
        <v>0</v>
      </c>
      <c r="BK247" s="529">
        <f t="shared" ref="BK247:BK278" si="1223">H247</f>
        <v>0</v>
      </c>
      <c r="BL247" s="529">
        <f t="shared" ref="BL247:BL278" si="1224">K247</f>
        <v>0</v>
      </c>
      <c r="BM247" s="529">
        <f t="shared" ref="BM247:BM278" si="1225">N247</f>
        <v>0</v>
      </c>
      <c r="BN247" s="529">
        <f t="shared" ref="BN247:BN278" si="1226">Q247</f>
        <v>0</v>
      </c>
      <c r="BO247" s="529">
        <f t="shared" ref="BO247:BO278" si="1227">T247</f>
        <v>0</v>
      </c>
      <c r="BP247" s="529">
        <f t="shared" ref="BP247:BP278" si="1228">W247</f>
        <v>0</v>
      </c>
      <c r="BQ247" s="529">
        <f t="shared" ref="BQ247:BQ278" si="1229">Z247</f>
        <v>0</v>
      </c>
      <c r="BR247" s="529">
        <f t="shared" ref="BR247:BR278" si="1230">AC247/1000000</f>
        <v>0.4284</v>
      </c>
      <c r="BS247" s="529">
        <f t="shared" ref="BS247:BS278" si="1231">AF247/1000000</f>
        <v>0.88200000000000001</v>
      </c>
      <c r="BT247" s="529">
        <f t="shared" ref="BT247:BT278" si="1232">AI247/1000000</f>
        <v>0.91</v>
      </c>
      <c r="BU247" s="529">
        <f t="shared" ref="BU247:BU278" si="1233">AL247/1000000</f>
        <v>0.93799999999999994</v>
      </c>
      <c r="BV247" s="529">
        <f t="shared" ref="BV247:BV278" si="1234">AO247/1000000</f>
        <v>0.96599999999999997</v>
      </c>
      <c r="BW247" s="529">
        <f t="shared" ref="BW247:BW278" si="1235">AR247/1000000</f>
        <v>0.99680000000000002</v>
      </c>
      <c r="BX247" s="529">
        <f t="shared" ref="BX247:BX278" si="1236">AU247/1000000</f>
        <v>1.0276000000000001</v>
      </c>
      <c r="BY247" s="529">
        <f t="shared" ref="BY247:BY278" si="1237">AX247/1000000</f>
        <v>1.0584</v>
      </c>
      <c r="BZ247" s="529">
        <f t="shared" ref="BZ247:BZ278" si="1238">BA247/1000000</f>
        <v>1.0920000000000001</v>
      </c>
      <c r="CB247" s="529">
        <f t="shared" ref="CB247:CB278" si="1239">C247</f>
        <v>0</v>
      </c>
      <c r="CC247" s="529">
        <f t="shared" ref="CC247:CC278" si="1240">F247</f>
        <v>0</v>
      </c>
      <c r="CD247" s="529">
        <f t="shared" ref="CD247:CD278" si="1241">I247</f>
        <v>0</v>
      </c>
      <c r="CE247" s="529">
        <f t="shared" ref="CE247:CE278" si="1242">L247</f>
        <v>0</v>
      </c>
      <c r="CF247" s="529">
        <f t="shared" ref="CF247:CF278" si="1243">O247</f>
        <v>0</v>
      </c>
      <c r="CG247" s="529">
        <f t="shared" ref="CG247:CG278" si="1244">R247</f>
        <v>0</v>
      </c>
      <c r="CH247" s="529">
        <f t="shared" ref="CH247:CH278" si="1245">U247</f>
        <v>0</v>
      </c>
      <c r="CI247" s="529">
        <f t="shared" ref="CI247:CI278" si="1246">X247</f>
        <v>0</v>
      </c>
      <c r="CJ247" s="529">
        <f t="shared" ref="CJ247:CJ278" si="1247">AA247</f>
        <v>1400</v>
      </c>
      <c r="CK247" s="529">
        <f t="shared" ref="CK247:CK278" si="1248">AD247</f>
        <v>2800</v>
      </c>
      <c r="CL247" s="529">
        <f t="shared" ref="CL247:CL278" si="1249">AG247</f>
        <v>2800</v>
      </c>
      <c r="CM247" s="529">
        <f t="shared" ref="CM247:CM278" si="1250">AJ247</f>
        <v>2800</v>
      </c>
      <c r="CN247" s="529">
        <f t="shared" ref="CN247:CN278" si="1251">AM247</f>
        <v>2800</v>
      </c>
      <c r="CO247" s="529">
        <f t="shared" ref="CO247:CO278" si="1252">AP247</f>
        <v>2800</v>
      </c>
      <c r="CP247" s="529">
        <f t="shared" si="1083"/>
        <v>2800</v>
      </c>
      <c r="CQ247" s="529">
        <f t="shared" si="1084"/>
        <v>2800</v>
      </c>
      <c r="CR247" s="529">
        <f t="shared" si="1085"/>
        <v>2800</v>
      </c>
    </row>
    <row r="248" spans="1:96" x14ac:dyDescent="0.2">
      <c r="A248" s="763"/>
      <c r="B248" s="537" t="str">
        <f>+B241</f>
        <v>NPK 16-16-16</v>
      </c>
      <c r="C248" s="538"/>
      <c r="D248" s="607"/>
      <c r="E248" s="539"/>
      <c r="F248" s="538"/>
      <c r="G248" s="607"/>
      <c r="H248" s="539"/>
      <c r="I248" s="538"/>
      <c r="J248" s="607"/>
      <c r="K248" s="539"/>
      <c r="L248" s="538"/>
      <c r="M248" s="607"/>
      <c r="N248" s="539"/>
      <c r="O248" s="538"/>
      <c r="P248" s="607"/>
      <c r="Q248" s="539"/>
      <c r="R248" s="538"/>
      <c r="S248" s="607"/>
      <c r="T248" s="539"/>
      <c r="U248" s="538"/>
      <c r="V248" s="637"/>
      <c r="W248" s="539"/>
      <c r="X248" s="538"/>
      <c r="Y248" s="607"/>
      <c r="Z248" s="607"/>
      <c r="AA248" s="538">
        <f>+Assumptions!$I$13*$BC248*1000</f>
        <v>0</v>
      </c>
      <c r="AB248" s="607">
        <f>+AB$315-9</f>
        <v>328</v>
      </c>
      <c r="AC248" s="607">
        <f t="shared" si="1213"/>
        <v>0</v>
      </c>
      <c r="AD248" s="538">
        <f>+Assumptions!$J$13*$BC248*1000</f>
        <v>0</v>
      </c>
      <c r="AE248" s="607">
        <f>+AE$315-9</f>
        <v>338</v>
      </c>
      <c r="AF248" s="607">
        <f t="shared" si="1214"/>
        <v>0</v>
      </c>
      <c r="AG248" s="538">
        <f>+Assumptions!$K$13*$BC248*1000</f>
        <v>0</v>
      </c>
      <c r="AH248" s="607">
        <f>+AH$315-9</f>
        <v>348</v>
      </c>
      <c r="AI248" s="607">
        <f t="shared" si="1215"/>
        <v>0</v>
      </c>
      <c r="AJ248" s="538">
        <f>+Assumptions!$L$13*$BC248*1000</f>
        <v>0</v>
      </c>
      <c r="AK248" s="607">
        <f>+AK$315-9</f>
        <v>359</v>
      </c>
      <c r="AL248" s="607">
        <f t="shared" si="1216"/>
        <v>0</v>
      </c>
      <c r="AM248" s="538">
        <f>+Assumptions!$M$13*$BC248*1000</f>
        <v>0</v>
      </c>
      <c r="AN248" s="607">
        <f>+AN$315-9</f>
        <v>370</v>
      </c>
      <c r="AO248" s="607">
        <f t="shared" si="1217"/>
        <v>0</v>
      </c>
      <c r="AP248" s="538">
        <f>+Assumptions!$N$13*$BC248*1000</f>
        <v>0</v>
      </c>
      <c r="AQ248" s="607">
        <f>+AQ$315-9</f>
        <v>381</v>
      </c>
      <c r="AR248" s="607">
        <f t="shared" si="1218"/>
        <v>0</v>
      </c>
      <c r="AS248" s="538">
        <f>+Assumptions!$N$13*$BC248*1000</f>
        <v>0</v>
      </c>
      <c r="AT248" s="607">
        <f>+AT$315-9</f>
        <v>393</v>
      </c>
      <c r="AU248" s="607">
        <f t="shared" si="1219"/>
        <v>0</v>
      </c>
      <c r="AV248" s="538">
        <f>+Assumptions!$N$13*$BC248*1000</f>
        <v>0</v>
      </c>
      <c r="AW248" s="607">
        <f>+AW$315-9</f>
        <v>405</v>
      </c>
      <c r="AX248" s="607">
        <f t="shared" si="1220"/>
        <v>0</v>
      </c>
      <c r="AY248" s="538">
        <f>+Assumptions!$N$13*$BC248*1000</f>
        <v>0</v>
      </c>
      <c r="AZ248" s="607">
        <f>+AZ$315-9</f>
        <v>417</v>
      </c>
      <c r="BA248" s="607">
        <f t="shared" si="1221"/>
        <v>0</v>
      </c>
      <c r="BC248" s="710">
        <v>0</v>
      </c>
      <c r="BJ248" s="529">
        <f t="shared" si="1222"/>
        <v>0</v>
      </c>
      <c r="BK248" s="529">
        <f t="shared" si="1223"/>
        <v>0</v>
      </c>
      <c r="BL248" s="529">
        <f t="shared" si="1224"/>
        <v>0</v>
      </c>
      <c r="BM248" s="529">
        <f t="shared" si="1225"/>
        <v>0</v>
      </c>
      <c r="BN248" s="529">
        <f t="shared" si="1226"/>
        <v>0</v>
      </c>
      <c r="BO248" s="529">
        <f t="shared" si="1227"/>
        <v>0</v>
      </c>
      <c r="BP248" s="529">
        <f t="shared" si="1228"/>
        <v>0</v>
      </c>
      <c r="BQ248" s="529">
        <f t="shared" si="1229"/>
        <v>0</v>
      </c>
      <c r="BR248" s="529">
        <f t="shared" si="1230"/>
        <v>0</v>
      </c>
      <c r="BS248" s="529">
        <f t="shared" si="1231"/>
        <v>0</v>
      </c>
      <c r="BT248" s="529">
        <f t="shared" si="1232"/>
        <v>0</v>
      </c>
      <c r="BU248" s="529">
        <f t="shared" si="1233"/>
        <v>0</v>
      </c>
      <c r="BV248" s="529">
        <f t="shared" si="1234"/>
        <v>0</v>
      </c>
      <c r="BW248" s="529">
        <f t="shared" si="1235"/>
        <v>0</v>
      </c>
      <c r="BX248" s="529">
        <f t="shared" si="1236"/>
        <v>0</v>
      </c>
      <c r="BY248" s="529">
        <f t="shared" si="1237"/>
        <v>0</v>
      </c>
      <c r="BZ248" s="529">
        <f t="shared" si="1238"/>
        <v>0</v>
      </c>
      <c r="CB248" s="529">
        <f t="shared" si="1239"/>
        <v>0</v>
      </c>
      <c r="CC248" s="529">
        <f t="shared" si="1240"/>
        <v>0</v>
      </c>
      <c r="CD248" s="529">
        <f t="shared" si="1241"/>
        <v>0</v>
      </c>
      <c r="CE248" s="529">
        <f t="shared" si="1242"/>
        <v>0</v>
      </c>
      <c r="CF248" s="529">
        <f t="shared" si="1243"/>
        <v>0</v>
      </c>
      <c r="CG248" s="529">
        <f t="shared" si="1244"/>
        <v>0</v>
      </c>
      <c r="CH248" s="529">
        <f t="shared" si="1245"/>
        <v>0</v>
      </c>
      <c r="CI248" s="529">
        <f t="shared" si="1246"/>
        <v>0</v>
      </c>
      <c r="CJ248" s="529">
        <f t="shared" si="1247"/>
        <v>0</v>
      </c>
      <c r="CK248" s="529">
        <f t="shared" si="1248"/>
        <v>0</v>
      </c>
      <c r="CL248" s="529">
        <f t="shared" si="1249"/>
        <v>0</v>
      </c>
      <c r="CM248" s="529">
        <f t="shared" si="1250"/>
        <v>0</v>
      </c>
      <c r="CN248" s="529">
        <f t="shared" si="1251"/>
        <v>0</v>
      </c>
      <c r="CO248" s="529">
        <f t="shared" si="1252"/>
        <v>0</v>
      </c>
      <c r="CP248" s="529">
        <f t="shared" ref="CP248:CP302" si="1253">AS248</f>
        <v>0</v>
      </c>
      <c r="CQ248" s="529">
        <f t="shared" ref="CQ248:CQ302" si="1254">AV248</f>
        <v>0</v>
      </c>
      <c r="CR248" s="529">
        <f t="shared" ref="CR248:CR302" si="1255">AY248</f>
        <v>0</v>
      </c>
    </row>
    <row r="249" spans="1:96" x14ac:dyDescent="0.2">
      <c r="A249" s="764"/>
      <c r="B249" s="537" t="str">
        <f>+B242</f>
        <v>NPK 10-26-26</v>
      </c>
      <c r="C249" s="538"/>
      <c r="D249" s="607"/>
      <c r="E249" s="539"/>
      <c r="F249" s="538"/>
      <c r="G249" s="607"/>
      <c r="H249" s="539"/>
      <c r="I249" s="538"/>
      <c r="J249" s="607"/>
      <c r="K249" s="539"/>
      <c r="L249" s="538"/>
      <c r="M249" s="607"/>
      <c r="N249" s="539"/>
      <c r="O249" s="538"/>
      <c r="P249" s="607"/>
      <c r="Q249" s="539"/>
      <c r="R249" s="538"/>
      <c r="S249" s="607"/>
      <c r="T249" s="539"/>
      <c r="U249" s="538"/>
      <c r="V249" s="637"/>
      <c r="W249" s="539"/>
      <c r="X249" s="538"/>
      <c r="Y249" s="607"/>
      <c r="Z249" s="607"/>
      <c r="AA249" s="538">
        <f>+Assumptions!$I$13*$BC249*1000</f>
        <v>425.00000000000006</v>
      </c>
      <c r="AB249" s="607">
        <f>+AB$316-9</f>
        <v>425</v>
      </c>
      <c r="AC249" s="607">
        <f t="shared" si="1213"/>
        <v>180625.00000000003</v>
      </c>
      <c r="AD249" s="538">
        <f>+Assumptions!$J$13*$BC249*1000</f>
        <v>850.00000000000011</v>
      </c>
      <c r="AE249" s="607">
        <f>+AE$316-9</f>
        <v>438</v>
      </c>
      <c r="AF249" s="607">
        <f t="shared" si="1214"/>
        <v>372300.00000000006</v>
      </c>
      <c r="AG249" s="538">
        <f>+Assumptions!$K$13*$BC249*1000</f>
        <v>850.00000000000011</v>
      </c>
      <c r="AH249" s="607">
        <f>+AH$316-9</f>
        <v>451</v>
      </c>
      <c r="AI249" s="607">
        <f t="shared" si="1215"/>
        <v>383350.00000000006</v>
      </c>
      <c r="AJ249" s="538">
        <f>+Assumptions!$L$13*$BC249*1000</f>
        <v>850.00000000000011</v>
      </c>
      <c r="AK249" s="607">
        <f>+AK$316-9</f>
        <v>465</v>
      </c>
      <c r="AL249" s="607">
        <f t="shared" si="1216"/>
        <v>395250.00000000006</v>
      </c>
      <c r="AM249" s="538">
        <f>+Assumptions!$M$13*$BC249*1000</f>
        <v>850.00000000000011</v>
      </c>
      <c r="AN249" s="607">
        <f>+AN$316-9</f>
        <v>479</v>
      </c>
      <c r="AO249" s="607">
        <f t="shared" si="1217"/>
        <v>407150.00000000006</v>
      </c>
      <c r="AP249" s="538">
        <f>+Assumptions!$N$13*$BC249*1000</f>
        <v>850.00000000000011</v>
      </c>
      <c r="AQ249" s="607">
        <f>+AQ$316-9</f>
        <v>494</v>
      </c>
      <c r="AR249" s="607">
        <f t="shared" si="1218"/>
        <v>419900.00000000006</v>
      </c>
      <c r="AS249" s="538">
        <f>+Assumptions!$N$13*$BC249*1000</f>
        <v>850.00000000000011</v>
      </c>
      <c r="AT249" s="607">
        <f>+AT$316-9</f>
        <v>509</v>
      </c>
      <c r="AU249" s="607">
        <f t="shared" si="1219"/>
        <v>432650.00000000006</v>
      </c>
      <c r="AV249" s="538">
        <f>+Assumptions!$N$13*$BC249*1000</f>
        <v>850.00000000000011</v>
      </c>
      <c r="AW249" s="607">
        <f>+AW$316-9</f>
        <v>525</v>
      </c>
      <c r="AX249" s="607">
        <f t="shared" si="1220"/>
        <v>446250.00000000006</v>
      </c>
      <c r="AY249" s="538">
        <f>+Assumptions!$N$13*$BC249*1000</f>
        <v>850.00000000000011</v>
      </c>
      <c r="AZ249" s="607">
        <f>+AZ$316-9</f>
        <v>541</v>
      </c>
      <c r="BA249" s="607">
        <f t="shared" si="1221"/>
        <v>459850.00000000006</v>
      </c>
      <c r="BC249" s="710">
        <v>5.3125000000000004E-3</v>
      </c>
      <c r="BD249" s="729">
        <v>0.05</v>
      </c>
      <c r="BJ249" s="529">
        <f t="shared" si="1222"/>
        <v>0</v>
      </c>
      <c r="BK249" s="529">
        <f t="shared" si="1223"/>
        <v>0</v>
      </c>
      <c r="BL249" s="529">
        <f t="shared" si="1224"/>
        <v>0</v>
      </c>
      <c r="BM249" s="529">
        <f t="shared" si="1225"/>
        <v>0</v>
      </c>
      <c r="BN249" s="529">
        <f t="shared" si="1226"/>
        <v>0</v>
      </c>
      <c r="BO249" s="529">
        <f t="shared" si="1227"/>
        <v>0</v>
      </c>
      <c r="BP249" s="529">
        <f t="shared" si="1228"/>
        <v>0</v>
      </c>
      <c r="BQ249" s="529">
        <f t="shared" si="1229"/>
        <v>0</v>
      </c>
      <c r="BR249" s="529">
        <f t="shared" si="1230"/>
        <v>0.18062500000000004</v>
      </c>
      <c r="BS249" s="529">
        <f t="shared" si="1231"/>
        <v>0.37230000000000008</v>
      </c>
      <c r="BT249" s="529">
        <f t="shared" si="1232"/>
        <v>0.38335000000000008</v>
      </c>
      <c r="BU249" s="529">
        <f t="shared" si="1233"/>
        <v>0.39525000000000005</v>
      </c>
      <c r="BV249" s="529">
        <f t="shared" si="1234"/>
        <v>0.40715000000000007</v>
      </c>
      <c r="BW249" s="529">
        <f t="shared" si="1235"/>
        <v>0.41990000000000005</v>
      </c>
      <c r="BX249" s="529">
        <f t="shared" si="1236"/>
        <v>0.43265000000000003</v>
      </c>
      <c r="BY249" s="529">
        <f t="shared" si="1237"/>
        <v>0.44625000000000004</v>
      </c>
      <c r="BZ249" s="529">
        <f t="shared" si="1238"/>
        <v>0.45985000000000004</v>
      </c>
      <c r="CB249" s="529">
        <f t="shared" si="1239"/>
        <v>0</v>
      </c>
      <c r="CC249" s="529">
        <f t="shared" si="1240"/>
        <v>0</v>
      </c>
      <c r="CD249" s="529">
        <f t="shared" si="1241"/>
        <v>0</v>
      </c>
      <c r="CE249" s="529">
        <f t="shared" si="1242"/>
        <v>0</v>
      </c>
      <c r="CF249" s="529">
        <f t="shared" si="1243"/>
        <v>0</v>
      </c>
      <c r="CG249" s="529">
        <f t="shared" si="1244"/>
        <v>0</v>
      </c>
      <c r="CH249" s="529">
        <f t="shared" si="1245"/>
        <v>0</v>
      </c>
      <c r="CI249" s="529">
        <f t="shared" si="1246"/>
        <v>0</v>
      </c>
      <c r="CJ249" s="529">
        <f t="shared" si="1247"/>
        <v>425.00000000000006</v>
      </c>
      <c r="CK249" s="529">
        <f t="shared" si="1248"/>
        <v>850.00000000000011</v>
      </c>
      <c r="CL249" s="529">
        <f t="shared" si="1249"/>
        <v>850.00000000000011</v>
      </c>
      <c r="CM249" s="529">
        <f t="shared" si="1250"/>
        <v>850.00000000000011</v>
      </c>
      <c r="CN249" s="529">
        <f t="shared" si="1251"/>
        <v>850.00000000000011</v>
      </c>
      <c r="CO249" s="529">
        <f t="shared" si="1252"/>
        <v>850.00000000000011</v>
      </c>
      <c r="CP249" s="529">
        <f t="shared" si="1253"/>
        <v>850.00000000000011</v>
      </c>
      <c r="CQ249" s="529">
        <f t="shared" si="1254"/>
        <v>850.00000000000011</v>
      </c>
      <c r="CR249" s="529">
        <f t="shared" si="1255"/>
        <v>850.00000000000011</v>
      </c>
    </row>
    <row r="250" spans="1:96" x14ac:dyDescent="0.2">
      <c r="A250" s="763"/>
      <c r="B250" s="537" t="str">
        <f>+B243</f>
        <v>NPK 10-20-20</v>
      </c>
      <c r="C250" s="538"/>
      <c r="D250" s="607"/>
      <c r="E250" s="539"/>
      <c r="F250" s="538"/>
      <c r="G250" s="607"/>
      <c r="H250" s="539"/>
      <c r="I250" s="538"/>
      <c r="J250" s="607"/>
      <c r="K250" s="539"/>
      <c r="L250" s="538"/>
      <c r="M250" s="607"/>
      <c r="N250" s="539"/>
      <c r="O250" s="538"/>
      <c r="P250" s="607"/>
      <c r="Q250" s="539"/>
      <c r="R250" s="538"/>
      <c r="S250" s="607"/>
      <c r="T250" s="539"/>
      <c r="U250" s="538"/>
      <c r="V250" s="637"/>
      <c r="W250" s="539"/>
      <c r="X250" s="538"/>
      <c r="Y250" s="607"/>
      <c r="Z250" s="607"/>
      <c r="AA250" s="538">
        <f>+Assumptions!$I$13*$BC250*1000</f>
        <v>3600.0000000000005</v>
      </c>
      <c r="AB250" s="607">
        <f>+AB$317-9</f>
        <v>341</v>
      </c>
      <c r="AC250" s="607">
        <f t="shared" si="1213"/>
        <v>1227600.0000000002</v>
      </c>
      <c r="AD250" s="538">
        <f>+Assumptions!$J$13*$BC250*1000</f>
        <v>7200.0000000000009</v>
      </c>
      <c r="AE250" s="607">
        <f>+AE$317-9</f>
        <v>352</v>
      </c>
      <c r="AF250" s="607">
        <f t="shared" si="1214"/>
        <v>2534400.0000000005</v>
      </c>
      <c r="AG250" s="538">
        <f>+Assumptions!$K$13*$BC250*1000</f>
        <v>7200.0000000000009</v>
      </c>
      <c r="AH250" s="607">
        <f>+AH$317-9</f>
        <v>363</v>
      </c>
      <c r="AI250" s="607">
        <f t="shared" si="1215"/>
        <v>2613600.0000000005</v>
      </c>
      <c r="AJ250" s="538">
        <f>+Assumptions!$L$13*$BC250*1000</f>
        <v>7200.0000000000009</v>
      </c>
      <c r="AK250" s="607">
        <f>+AK$317-9</f>
        <v>374</v>
      </c>
      <c r="AL250" s="607">
        <f t="shared" si="1216"/>
        <v>2692800.0000000005</v>
      </c>
      <c r="AM250" s="538">
        <f>+Assumptions!$M$13*$BC250*1000</f>
        <v>7200.0000000000009</v>
      </c>
      <c r="AN250" s="607">
        <f>+AN$317-9</f>
        <v>385</v>
      </c>
      <c r="AO250" s="607">
        <f t="shared" si="1217"/>
        <v>2772000.0000000005</v>
      </c>
      <c r="AP250" s="538">
        <f>+Assumptions!$N$13*$BC250*1000</f>
        <v>7200.0000000000009</v>
      </c>
      <c r="AQ250" s="607">
        <f>+AQ$317-9</f>
        <v>397</v>
      </c>
      <c r="AR250" s="607">
        <f t="shared" si="1218"/>
        <v>2858400.0000000005</v>
      </c>
      <c r="AS250" s="538">
        <f>+Assumptions!$N$13*$BC250*1000</f>
        <v>7200.0000000000009</v>
      </c>
      <c r="AT250" s="607">
        <f>+AT$317-9</f>
        <v>409</v>
      </c>
      <c r="AU250" s="607">
        <f t="shared" si="1219"/>
        <v>2944800.0000000005</v>
      </c>
      <c r="AV250" s="538">
        <f>+Assumptions!$N$13*$BC250*1000</f>
        <v>7200.0000000000009</v>
      </c>
      <c r="AW250" s="607">
        <f>+AW$317-9</f>
        <v>422</v>
      </c>
      <c r="AX250" s="607">
        <f t="shared" si="1220"/>
        <v>3038400.0000000005</v>
      </c>
      <c r="AY250" s="538">
        <f>+Assumptions!$N$13*$BC250*1000</f>
        <v>7200.0000000000009</v>
      </c>
      <c r="AZ250" s="607">
        <f>+AZ$317-9</f>
        <v>435</v>
      </c>
      <c r="BA250" s="607">
        <f t="shared" si="1221"/>
        <v>3132000.0000000005</v>
      </c>
      <c r="BC250" s="710">
        <v>4.5000000000000005E-2</v>
      </c>
      <c r="BD250" s="729">
        <v>0.8</v>
      </c>
      <c r="BJ250" s="529">
        <f t="shared" si="1222"/>
        <v>0</v>
      </c>
      <c r="BK250" s="529">
        <f t="shared" si="1223"/>
        <v>0</v>
      </c>
      <c r="BL250" s="529">
        <f t="shared" si="1224"/>
        <v>0</v>
      </c>
      <c r="BM250" s="529">
        <f t="shared" si="1225"/>
        <v>0</v>
      </c>
      <c r="BN250" s="529">
        <f t="shared" si="1226"/>
        <v>0</v>
      </c>
      <c r="BO250" s="529">
        <f t="shared" si="1227"/>
        <v>0</v>
      </c>
      <c r="BP250" s="529">
        <f t="shared" si="1228"/>
        <v>0</v>
      </c>
      <c r="BQ250" s="529">
        <f t="shared" si="1229"/>
        <v>0</v>
      </c>
      <c r="BR250" s="529">
        <f t="shared" si="1230"/>
        <v>1.2276000000000002</v>
      </c>
      <c r="BS250" s="529">
        <f t="shared" si="1231"/>
        <v>2.5344000000000007</v>
      </c>
      <c r="BT250" s="529">
        <f t="shared" si="1232"/>
        <v>2.6136000000000004</v>
      </c>
      <c r="BU250" s="529">
        <f t="shared" si="1233"/>
        <v>2.6928000000000005</v>
      </c>
      <c r="BV250" s="529">
        <f t="shared" si="1234"/>
        <v>2.7720000000000007</v>
      </c>
      <c r="BW250" s="529">
        <f t="shared" si="1235"/>
        <v>2.8584000000000005</v>
      </c>
      <c r="BX250" s="529">
        <f t="shared" si="1236"/>
        <v>2.9448000000000003</v>
      </c>
      <c r="BY250" s="529">
        <f t="shared" si="1237"/>
        <v>3.0384000000000007</v>
      </c>
      <c r="BZ250" s="529">
        <f t="shared" si="1238"/>
        <v>3.1320000000000006</v>
      </c>
      <c r="CB250" s="529">
        <f t="shared" si="1239"/>
        <v>0</v>
      </c>
      <c r="CC250" s="529">
        <f t="shared" si="1240"/>
        <v>0</v>
      </c>
      <c r="CD250" s="529">
        <f t="shared" si="1241"/>
        <v>0</v>
      </c>
      <c r="CE250" s="529">
        <f t="shared" si="1242"/>
        <v>0</v>
      </c>
      <c r="CF250" s="529">
        <f t="shared" si="1243"/>
        <v>0</v>
      </c>
      <c r="CG250" s="529">
        <f t="shared" si="1244"/>
        <v>0</v>
      </c>
      <c r="CH250" s="529">
        <f t="shared" si="1245"/>
        <v>0</v>
      </c>
      <c r="CI250" s="529">
        <f t="shared" si="1246"/>
        <v>0</v>
      </c>
      <c r="CJ250" s="529">
        <f t="shared" si="1247"/>
        <v>3600.0000000000005</v>
      </c>
      <c r="CK250" s="529">
        <f t="shared" si="1248"/>
        <v>7200.0000000000009</v>
      </c>
      <c r="CL250" s="529">
        <f t="shared" si="1249"/>
        <v>7200.0000000000009</v>
      </c>
      <c r="CM250" s="529">
        <f t="shared" si="1250"/>
        <v>7200.0000000000009</v>
      </c>
      <c r="CN250" s="529">
        <f t="shared" si="1251"/>
        <v>7200.0000000000009</v>
      </c>
      <c r="CO250" s="529">
        <f t="shared" si="1252"/>
        <v>7200.0000000000009</v>
      </c>
      <c r="CP250" s="529">
        <f t="shared" si="1253"/>
        <v>7200.0000000000009</v>
      </c>
      <c r="CQ250" s="529">
        <f t="shared" si="1254"/>
        <v>7200.0000000000009</v>
      </c>
      <c r="CR250" s="529">
        <f t="shared" si="1255"/>
        <v>7200.0000000000009</v>
      </c>
    </row>
    <row r="251" spans="1:96" x14ac:dyDescent="0.2">
      <c r="A251" s="763"/>
      <c r="B251" s="537" t="str">
        <f t="shared" ref="B251:B252" si="1256">+B244</f>
        <v>NPK 13-13-21</v>
      </c>
      <c r="C251" s="538"/>
      <c r="D251" s="607"/>
      <c r="E251" s="539"/>
      <c r="F251" s="538"/>
      <c r="G251" s="607"/>
      <c r="H251" s="539"/>
      <c r="I251" s="538"/>
      <c r="J251" s="607"/>
      <c r="K251" s="539"/>
      <c r="L251" s="538"/>
      <c r="M251" s="607"/>
      <c r="N251" s="539"/>
      <c r="O251" s="538"/>
      <c r="P251" s="607"/>
      <c r="Q251" s="539"/>
      <c r="R251" s="538"/>
      <c r="S251" s="607"/>
      <c r="T251" s="539"/>
      <c r="U251" s="538"/>
      <c r="V251" s="637"/>
      <c r="W251" s="539"/>
      <c r="X251" s="538"/>
      <c r="Y251" s="607"/>
      <c r="Z251" s="607"/>
      <c r="AA251" s="538">
        <f>+Assumptions!$I$13*$BC251*1000</f>
        <v>1500</v>
      </c>
      <c r="AB251" s="607">
        <f>+AB$318-9</f>
        <v>320</v>
      </c>
      <c r="AC251" s="607">
        <f t="shared" si="1213"/>
        <v>480000</v>
      </c>
      <c r="AD251" s="538">
        <f>+Assumptions!$J$13*$BC251*1000</f>
        <v>3000</v>
      </c>
      <c r="AE251" s="607">
        <f>+AE$318-9</f>
        <v>330</v>
      </c>
      <c r="AF251" s="607">
        <f t="shared" si="1214"/>
        <v>990000</v>
      </c>
      <c r="AG251" s="538">
        <f>+Assumptions!$K$13*$BC251*1000</f>
        <v>3000</v>
      </c>
      <c r="AH251" s="607">
        <f>+AH$318-9</f>
        <v>340</v>
      </c>
      <c r="AI251" s="607">
        <f t="shared" si="1215"/>
        <v>1020000</v>
      </c>
      <c r="AJ251" s="538">
        <f>+Assumptions!$L$13*$BC251*1000</f>
        <v>3000</v>
      </c>
      <c r="AK251" s="607">
        <f>+AK$318-9</f>
        <v>350</v>
      </c>
      <c r="AL251" s="607">
        <f t="shared" si="1216"/>
        <v>1050000</v>
      </c>
      <c r="AM251" s="538">
        <f>+Assumptions!$M$13*$BC251*1000</f>
        <v>3000</v>
      </c>
      <c r="AN251" s="607">
        <f>+AN$318-9</f>
        <v>361</v>
      </c>
      <c r="AO251" s="607">
        <f t="shared" si="1217"/>
        <v>1083000</v>
      </c>
      <c r="AP251" s="538">
        <f>+Assumptions!$N$13*$BC251*1000</f>
        <v>3000</v>
      </c>
      <c r="AQ251" s="607">
        <f>+AQ$318-9</f>
        <v>372</v>
      </c>
      <c r="AR251" s="607">
        <f t="shared" si="1218"/>
        <v>1116000</v>
      </c>
      <c r="AS251" s="538">
        <f>+Assumptions!$N$13*$BC251*1000</f>
        <v>3000</v>
      </c>
      <c r="AT251" s="607">
        <f>+AT$318-9</f>
        <v>383</v>
      </c>
      <c r="AU251" s="607">
        <f t="shared" si="1219"/>
        <v>1149000</v>
      </c>
      <c r="AV251" s="538">
        <f>+Assumptions!$N$13*$BC251*1000</f>
        <v>3000</v>
      </c>
      <c r="AW251" s="607">
        <f>+AW$318-9</f>
        <v>395</v>
      </c>
      <c r="AX251" s="607">
        <f t="shared" si="1220"/>
        <v>1185000</v>
      </c>
      <c r="AY251" s="538">
        <f>+Assumptions!$N$13*$BC251*1000</f>
        <v>3000</v>
      </c>
      <c r="AZ251" s="607">
        <f>+AZ$318-9</f>
        <v>407</v>
      </c>
      <c r="BA251" s="607">
        <f t="shared" si="1221"/>
        <v>1221000</v>
      </c>
      <c r="BC251" s="710">
        <v>1.8749999999999999E-2</v>
      </c>
      <c r="BD251" s="729">
        <v>0.5</v>
      </c>
      <c r="BJ251" s="529">
        <f t="shared" si="1222"/>
        <v>0</v>
      </c>
      <c r="BK251" s="529">
        <f t="shared" si="1223"/>
        <v>0</v>
      </c>
      <c r="BL251" s="529">
        <f t="shared" si="1224"/>
        <v>0</v>
      </c>
      <c r="BM251" s="529">
        <f t="shared" si="1225"/>
        <v>0</v>
      </c>
      <c r="BN251" s="529">
        <f t="shared" si="1226"/>
        <v>0</v>
      </c>
      <c r="BO251" s="529">
        <f t="shared" si="1227"/>
        <v>0</v>
      </c>
      <c r="BP251" s="529">
        <f t="shared" si="1228"/>
        <v>0</v>
      </c>
      <c r="BQ251" s="529">
        <f t="shared" si="1229"/>
        <v>0</v>
      </c>
      <c r="BR251" s="529">
        <f t="shared" si="1230"/>
        <v>0.48</v>
      </c>
      <c r="BS251" s="529">
        <f t="shared" si="1231"/>
        <v>0.99</v>
      </c>
      <c r="BT251" s="529">
        <f t="shared" si="1232"/>
        <v>1.02</v>
      </c>
      <c r="BU251" s="529">
        <f t="shared" si="1233"/>
        <v>1.05</v>
      </c>
      <c r="BV251" s="529">
        <f t="shared" si="1234"/>
        <v>1.083</v>
      </c>
      <c r="BW251" s="529">
        <f t="shared" si="1235"/>
        <v>1.1160000000000001</v>
      </c>
      <c r="BX251" s="529">
        <f t="shared" si="1236"/>
        <v>1.149</v>
      </c>
      <c r="BY251" s="529">
        <f t="shared" si="1237"/>
        <v>1.1850000000000001</v>
      </c>
      <c r="BZ251" s="529">
        <f t="shared" si="1238"/>
        <v>1.2210000000000001</v>
      </c>
      <c r="CB251" s="529">
        <f t="shared" si="1239"/>
        <v>0</v>
      </c>
      <c r="CC251" s="529">
        <f t="shared" si="1240"/>
        <v>0</v>
      </c>
      <c r="CD251" s="529">
        <f t="shared" si="1241"/>
        <v>0</v>
      </c>
      <c r="CE251" s="529">
        <f t="shared" si="1242"/>
        <v>0</v>
      </c>
      <c r="CF251" s="529">
        <f t="shared" si="1243"/>
        <v>0</v>
      </c>
      <c r="CG251" s="529">
        <f t="shared" si="1244"/>
        <v>0</v>
      </c>
      <c r="CH251" s="529">
        <f t="shared" si="1245"/>
        <v>0</v>
      </c>
      <c r="CI251" s="529">
        <f t="shared" si="1246"/>
        <v>0</v>
      </c>
      <c r="CJ251" s="529">
        <f t="shared" si="1247"/>
        <v>1500</v>
      </c>
      <c r="CK251" s="529">
        <f t="shared" si="1248"/>
        <v>3000</v>
      </c>
      <c r="CL251" s="529">
        <f t="shared" si="1249"/>
        <v>3000</v>
      </c>
      <c r="CM251" s="529">
        <f t="shared" si="1250"/>
        <v>3000</v>
      </c>
      <c r="CN251" s="529">
        <f t="shared" si="1251"/>
        <v>3000</v>
      </c>
      <c r="CO251" s="529">
        <f t="shared" si="1252"/>
        <v>3000</v>
      </c>
      <c r="CP251" s="529">
        <f t="shared" si="1253"/>
        <v>3000</v>
      </c>
      <c r="CQ251" s="529">
        <f t="shared" si="1254"/>
        <v>3000</v>
      </c>
      <c r="CR251" s="529">
        <f t="shared" si="1255"/>
        <v>3000</v>
      </c>
    </row>
    <row r="252" spans="1:96" x14ac:dyDescent="0.2">
      <c r="A252" s="763"/>
      <c r="B252" s="537" t="str">
        <f t="shared" si="1256"/>
        <v>NPK 00-00-00</v>
      </c>
      <c r="C252" s="538"/>
      <c r="D252" s="607"/>
      <c r="E252" s="539"/>
      <c r="F252" s="538"/>
      <c r="G252" s="607"/>
      <c r="H252" s="539"/>
      <c r="I252" s="538"/>
      <c r="J252" s="607"/>
      <c r="K252" s="539"/>
      <c r="L252" s="538"/>
      <c r="M252" s="607"/>
      <c r="N252" s="539"/>
      <c r="O252" s="538"/>
      <c r="P252" s="607"/>
      <c r="Q252" s="539"/>
      <c r="R252" s="538"/>
      <c r="S252" s="607"/>
      <c r="T252" s="539"/>
      <c r="U252" s="538"/>
      <c r="V252" s="637"/>
      <c r="W252" s="539"/>
      <c r="X252" s="538"/>
      <c r="Y252" s="607"/>
      <c r="Z252" s="607"/>
      <c r="AA252" s="538">
        <f>+Assumptions!$I$13*$BC252*1000</f>
        <v>0</v>
      </c>
      <c r="AB252" s="607">
        <f>+AB$319-9</f>
        <v>-9</v>
      </c>
      <c r="AC252" s="607">
        <f t="shared" si="1213"/>
        <v>0</v>
      </c>
      <c r="AD252" s="538">
        <f>+Assumptions!$J$13*$BC252*1000</f>
        <v>0</v>
      </c>
      <c r="AE252" s="607">
        <f>+AE$319-9</f>
        <v>-9</v>
      </c>
      <c r="AF252" s="607">
        <f t="shared" si="1214"/>
        <v>0</v>
      </c>
      <c r="AG252" s="538">
        <f>+Assumptions!$K$13*$BC252*1000</f>
        <v>0</v>
      </c>
      <c r="AH252" s="607">
        <f>+AH$319-9</f>
        <v>-9</v>
      </c>
      <c r="AI252" s="607">
        <f t="shared" si="1215"/>
        <v>0</v>
      </c>
      <c r="AJ252" s="538">
        <f>+Assumptions!$L$13*$BC252*1000</f>
        <v>0</v>
      </c>
      <c r="AK252" s="607">
        <f>+AK$319-9</f>
        <v>-9</v>
      </c>
      <c r="AL252" s="607">
        <f t="shared" si="1216"/>
        <v>0</v>
      </c>
      <c r="AM252" s="538">
        <f>+Assumptions!$M$13*$BC252*1000</f>
        <v>0</v>
      </c>
      <c r="AN252" s="607">
        <f>+AN$319-9</f>
        <v>-9</v>
      </c>
      <c r="AO252" s="607">
        <f t="shared" si="1217"/>
        <v>0</v>
      </c>
      <c r="AP252" s="538">
        <f>+Assumptions!$N$13*$BC252*1000</f>
        <v>0</v>
      </c>
      <c r="AQ252" s="607">
        <f>+AQ$319-9</f>
        <v>-9</v>
      </c>
      <c r="AR252" s="607">
        <f t="shared" si="1218"/>
        <v>0</v>
      </c>
      <c r="AS252" s="538">
        <f>+Assumptions!$N$13*$BC252*1000</f>
        <v>0</v>
      </c>
      <c r="AT252" s="607">
        <f>+AT$319-9</f>
        <v>-9</v>
      </c>
      <c r="AU252" s="607">
        <f t="shared" si="1219"/>
        <v>0</v>
      </c>
      <c r="AV252" s="538">
        <f>+Assumptions!$N$13*$BC252*1000</f>
        <v>0</v>
      </c>
      <c r="AW252" s="607">
        <f>+AW$319-9</f>
        <v>-9</v>
      </c>
      <c r="AX252" s="607">
        <f t="shared" si="1220"/>
        <v>0</v>
      </c>
      <c r="AY252" s="538">
        <f>+Assumptions!$N$13*$BC252*1000</f>
        <v>0</v>
      </c>
      <c r="AZ252" s="607">
        <f>+AZ$319-9</f>
        <v>-9</v>
      </c>
      <c r="BA252" s="607">
        <f t="shared" si="1221"/>
        <v>0</v>
      </c>
      <c r="BC252" s="710">
        <v>0</v>
      </c>
      <c r="BJ252" s="529">
        <f t="shared" si="1222"/>
        <v>0</v>
      </c>
      <c r="BK252" s="529">
        <f t="shared" si="1223"/>
        <v>0</v>
      </c>
      <c r="BL252" s="529">
        <f t="shared" si="1224"/>
        <v>0</v>
      </c>
      <c r="BM252" s="529">
        <f t="shared" si="1225"/>
        <v>0</v>
      </c>
      <c r="BN252" s="529">
        <f t="shared" si="1226"/>
        <v>0</v>
      </c>
      <c r="BO252" s="529">
        <f t="shared" si="1227"/>
        <v>0</v>
      </c>
      <c r="BP252" s="529">
        <f t="shared" si="1228"/>
        <v>0</v>
      </c>
      <c r="BQ252" s="529">
        <f t="shared" si="1229"/>
        <v>0</v>
      </c>
      <c r="BR252" s="529">
        <f t="shared" si="1230"/>
        <v>0</v>
      </c>
      <c r="BS252" s="529">
        <f t="shared" si="1231"/>
        <v>0</v>
      </c>
      <c r="BT252" s="529">
        <f t="shared" si="1232"/>
        <v>0</v>
      </c>
      <c r="BU252" s="529">
        <f t="shared" si="1233"/>
        <v>0</v>
      </c>
      <c r="BV252" s="529">
        <f t="shared" si="1234"/>
        <v>0</v>
      </c>
      <c r="BW252" s="529">
        <f t="shared" si="1235"/>
        <v>0</v>
      </c>
      <c r="BX252" s="529">
        <f t="shared" si="1236"/>
        <v>0</v>
      </c>
      <c r="BY252" s="529">
        <f t="shared" si="1237"/>
        <v>0</v>
      </c>
      <c r="BZ252" s="529">
        <f t="shared" si="1238"/>
        <v>0</v>
      </c>
      <c r="CB252" s="529">
        <f t="shared" si="1239"/>
        <v>0</v>
      </c>
      <c r="CC252" s="529">
        <f t="shared" si="1240"/>
        <v>0</v>
      </c>
      <c r="CD252" s="529">
        <f t="shared" si="1241"/>
        <v>0</v>
      </c>
      <c r="CE252" s="529">
        <f t="shared" si="1242"/>
        <v>0</v>
      </c>
      <c r="CF252" s="529">
        <f t="shared" si="1243"/>
        <v>0</v>
      </c>
      <c r="CG252" s="529">
        <f t="shared" si="1244"/>
        <v>0</v>
      </c>
      <c r="CH252" s="529">
        <f t="shared" si="1245"/>
        <v>0</v>
      </c>
      <c r="CI252" s="529">
        <f t="shared" si="1246"/>
        <v>0</v>
      </c>
      <c r="CJ252" s="529">
        <f t="shared" si="1247"/>
        <v>0</v>
      </c>
      <c r="CK252" s="529">
        <f t="shared" si="1248"/>
        <v>0</v>
      </c>
      <c r="CL252" s="529">
        <f t="shared" si="1249"/>
        <v>0</v>
      </c>
      <c r="CM252" s="529">
        <f t="shared" si="1250"/>
        <v>0</v>
      </c>
      <c r="CN252" s="529">
        <f t="shared" si="1251"/>
        <v>0</v>
      </c>
      <c r="CO252" s="529">
        <f t="shared" si="1252"/>
        <v>0</v>
      </c>
      <c r="CP252" s="529">
        <f t="shared" si="1253"/>
        <v>0</v>
      </c>
      <c r="CQ252" s="529">
        <f t="shared" si="1254"/>
        <v>0</v>
      </c>
      <c r="CR252" s="529">
        <f t="shared" si="1255"/>
        <v>0</v>
      </c>
    </row>
    <row r="253" spans="1:96" x14ac:dyDescent="0.2">
      <c r="A253" s="765"/>
      <c r="B253" s="611"/>
      <c r="C253" s="543"/>
      <c r="D253" s="609"/>
      <c r="E253" s="544"/>
      <c r="F253" s="543"/>
      <c r="G253" s="609"/>
      <c r="H253" s="544"/>
      <c r="I253" s="543"/>
      <c r="J253" s="609"/>
      <c r="K253" s="544"/>
      <c r="L253" s="543"/>
      <c r="M253" s="609"/>
      <c r="N253" s="544"/>
      <c r="O253" s="543"/>
      <c r="P253" s="609"/>
      <c r="Q253" s="544"/>
      <c r="R253" s="543"/>
      <c r="S253" s="609"/>
      <c r="T253" s="544"/>
      <c r="U253" s="543"/>
      <c r="V253" s="638"/>
      <c r="W253" s="544"/>
      <c r="X253" s="543"/>
      <c r="Y253" s="609"/>
      <c r="Z253" s="609"/>
      <c r="AA253" s="543"/>
      <c r="AB253" s="609"/>
      <c r="AC253" s="609"/>
      <c r="AD253" s="543"/>
      <c r="AE253" s="609"/>
      <c r="AF253" s="609"/>
      <c r="AG253" s="543"/>
      <c r="AH253" s="609"/>
      <c r="AI253" s="609"/>
      <c r="AJ253" s="543"/>
      <c r="AK253" s="609"/>
      <c r="AL253" s="609"/>
      <c r="AM253" s="543"/>
      <c r="AN253" s="609"/>
      <c r="AO253" s="609"/>
      <c r="AP253" s="543"/>
      <c r="AQ253" s="609"/>
      <c r="AR253" s="609"/>
      <c r="AS253" s="543"/>
      <c r="AT253" s="609"/>
      <c r="AU253" s="609"/>
      <c r="AV253" s="543"/>
      <c r="AW253" s="609"/>
      <c r="AX253" s="609"/>
      <c r="AY253" s="543"/>
      <c r="AZ253" s="609"/>
      <c r="BA253" s="609"/>
      <c r="BC253" s="710" t="e">
        <v>#N/A</v>
      </c>
      <c r="BJ253" s="529">
        <f t="shared" si="1222"/>
        <v>0</v>
      </c>
      <c r="BK253" s="529">
        <f t="shared" si="1223"/>
        <v>0</v>
      </c>
      <c r="BL253" s="529">
        <f t="shared" si="1224"/>
        <v>0</v>
      </c>
      <c r="BM253" s="529">
        <f t="shared" si="1225"/>
        <v>0</v>
      </c>
      <c r="BN253" s="529">
        <f t="shared" si="1226"/>
        <v>0</v>
      </c>
      <c r="BO253" s="529">
        <f t="shared" si="1227"/>
        <v>0</v>
      </c>
      <c r="BP253" s="529">
        <f t="shared" si="1228"/>
        <v>0</v>
      </c>
      <c r="BQ253" s="529">
        <f t="shared" si="1229"/>
        <v>0</v>
      </c>
      <c r="BR253" s="529">
        <f t="shared" si="1230"/>
        <v>0</v>
      </c>
      <c r="BS253" s="529">
        <f t="shared" si="1231"/>
        <v>0</v>
      </c>
      <c r="BT253" s="529">
        <f t="shared" si="1232"/>
        <v>0</v>
      </c>
      <c r="BU253" s="529">
        <f t="shared" si="1233"/>
        <v>0</v>
      </c>
      <c r="BV253" s="529">
        <f t="shared" si="1234"/>
        <v>0</v>
      </c>
      <c r="BW253" s="529">
        <f t="shared" si="1235"/>
        <v>0</v>
      </c>
      <c r="BX253" s="529">
        <f t="shared" si="1236"/>
        <v>0</v>
      </c>
      <c r="BY253" s="529">
        <f t="shared" si="1237"/>
        <v>0</v>
      </c>
      <c r="BZ253" s="529">
        <f t="shared" si="1238"/>
        <v>0</v>
      </c>
      <c r="CB253" s="529">
        <f t="shared" si="1239"/>
        <v>0</v>
      </c>
      <c r="CC253" s="529">
        <f t="shared" si="1240"/>
        <v>0</v>
      </c>
      <c r="CD253" s="529">
        <f t="shared" si="1241"/>
        <v>0</v>
      </c>
      <c r="CE253" s="529">
        <f t="shared" si="1242"/>
        <v>0</v>
      </c>
      <c r="CF253" s="529">
        <f t="shared" si="1243"/>
        <v>0</v>
      </c>
      <c r="CG253" s="529">
        <f t="shared" si="1244"/>
        <v>0</v>
      </c>
      <c r="CH253" s="529">
        <f t="shared" si="1245"/>
        <v>0</v>
      </c>
      <c r="CI253" s="529">
        <f t="shared" si="1246"/>
        <v>0</v>
      </c>
      <c r="CJ253" s="529">
        <f t="shared" si="1247"/>
        <v>0</v>
      </c>
      <c r="CK253" s="529">
        <f t="shared" si="1248"/>
        <v>0</v>
      </c>
      <c r="CL253" s="529">
        <f t="shared" si="1249"/>
        <v>0</v>
      </c>
      <c r="CM253" s="529">
        <f t="shared" si="1250"/>
        <v>0</v>
      </c>
      <c r="CN253" s="529">
        <f t="shared" si="1251"/>
        <v>0</v>
      </c>
      <c r="CO253" s="529">
        <f t="shared" si="1252"/>
        <v>0</v>
      </c>
      <c r="CP253" s="529">
        <f t="shared" si="1253"/>
        <v>0</v>
      </c>
      <c r="CQ253" s="529">
        <f t="shared" si="1254"/>
        <v>0</v>
      </c>
      <c r="CR253" s="529">
        <f t="shared" si="1255"/>
        <v>0</v>
      </c>
    </row>
    <row r="254" spans="1:96" x14ac:dyDescent="0.2">
      <c r="A254" s="762" t="s">
        <v>739</v>
      </c>
      <c r="B254" s="610" t="str">
        <f>+B247</f>
        <v>NPK 15-15-15</v>
      </c>
      <c r="C254" s="605"/>
      <c r="D254" s="603"/>
      <c r="E254" s="604"/>
      <c r="F254" s="605"/>
      <c r="G254" s="603"/>
      <c r="H254" s="604"/>
      <c r="I254" s="605"/>
      <c r="J254" s="603"/>
      <c r="K254" s="604"/>
      <c r="L254" s="605"/>
      <c r="M254" s="603"/>
      <c r="N254" s="604"/>
      <c r="O254" s="605"/>
      <c r="P254" s="603"/>
      <c r="Q254" s="604"/>
      <c r="R254" s="605"/>
      <c r="S254" s="603"/>
      <c r="T254" s="604"/>
      <c r="U254" s="605"/>
      <c r="V254" s="636"/>
      <c r="W254" s="604"/>
      <c r="X254" s="605"/>
      <c r="Y254" s="603"/>
      <c r="Z254" s="603"/>
      <c r="AA254" s="605">
        <f>+Assumptions!$I$13*$BC254*1000</f>
        <v>0</v>
      </c>
      <c r="AB254" s="603">
        <f>+AB$314-5</f>
        <v>310</v>
      </c>
      <c r="AC254" s="603">
        <f t="shared" ref="AC254:AC259" si="1257">+AB254*AA254</f>
        <v>0</v>
      </c>
      <c r="AD254" s="605">
        <f>+Assumptions!$J$13*$BC254*1000</f>
        <v>0</v>
      </c>
      <c r="AE254" s="603">
        <f>+AE$314-5</f>
        <v>319</v>
      </c>
      <c r="AF254" s="603">
        <f t="shared" ref="AF254:AF259" si="1258">+AE254*AD254</f>
        <v>0</v>
      </c>
      <c r="AG254" s="605">
        <f>+Assumptions!$K$13*$BC254*1000</f>
        <v>0</v>
      </c>
      <c r="AH254" s="603">
        <f>+AH$314-5</f>
        <v>329</v>
      </c>
      <c r="AI254" s="603">
        <f t="shared" ref="AI254:AI259" si="1259">+AH254*AG254</f>
        <v>0</v>
      </c>
      <c r="AJ254" s="605">
        <f>+Assumptions!$L$13*$BC254*1000</f>
        <v>0</v>
      </c>
      <c r="AK254" s="603">
        <f>+AK$314-5</f>
        <v>339</v>
      </c>
      <c r="AL254" s="603">
        <f t="shared" ref="AL254:AL259" si="1260">+AK254*AJ254</f>
        <v>0</v>
      </c>
      <c r="AM254" s="605">
        <f>+Assumptions!$M$13*$BC254*1000</f>
        <v>0</v>
      </c>
      <c r="AN254" s="603">
        <f>+AN$314-5</f>
        <v>349</v>
      </c>
      <c r="AO254" s="603">
        <f t="shared" ref="AO254:AO259" si="1261">+AN254*AM254</f>
        <v>0</v>
      </c>
      <c r="AP254" s="605">
        <f>+Assumptions!$N$13*$BC254*1000</f>
        <v>0</v>
      </c>
      <c r="AQ254" s="603">
        <f>+AQ$314-5</f>
        <v>360</v>
      </c>
      <c r="AR254" s="603">
        <f t="shared" ref="AR254:AR259" si="1262">+AQ254*AP254</f>
        <v>0</v>
      </c>
      <c r="AS254" s="605">
        <f>+Assumptions!$N$13*$BC254*1000</f>
        <v>0</v>
      </c>
      <c r="AT254" s="603">
        <f>+AT$314-5</f>
        <v>371</v>
      </c>
      <c r="AU254" s="603">
        <f t="shared" ref="AU254:AU259" si="1263">+AT254*AS254</f>
        <v>0</v>
      </c>
      <c r="AV254" s="605">
        <f>+Assumptions!$N$13*$BC254*1000</f>
        <v>0</v>
      </c>
      <c r="AW254" s="603">
        <f>+AW$314-5</f>
        <v>382</v>
      </c>
      <c r="AX254" s="603">
        <f t="shared" ref="AX254:AX259" si="1264">+AW254*AV254</f>
        <v>0</v>
      </c>
      <c r="AY254" s="605">
        <f>+Assumptions!$N$13*$BC254*1000</f>
        <v>0</v>
      </c>
      <c r="AZ254" s="603">
        <f>+AZ$314-5</f>
        <v>394</v>
      </c>
      <c r="BA254" s="603">
        <f t="shared" ref="BA254:BA259" si="1265">+AZ254*AY254</f>
        <v>0</v>
      </c>
      <c r="BC254" s="710">
        <v>0</v>
      </c>
      <c r="BJ254" s="529">
        <f t="shared" si="1222"/>
        <v>0</v>
      </c>
      <c r="BK254" s="529">
        <f t="shared" si="1223"/>
        <v>0</v>
      </c>
      <c r="BL254" s="529">
        <f t="shared" si="1224"/>
        <v>0</v>
      </c>
      <c r="BM254" s="529">
        <f t="shared" si="1225"/>
        <v>0</v>
      </c>
      <c r="BN254" s="529">
        <f t="shared" si="1226"/>
        <v>0</v>
      </c>
      <c r="BO254" s="529">
        <f t="shared" si="1227"/>
        <v>0</v>
      </c>
      <c r="BP254" s="529">
        <f t="shared" si="1228"/>
        <v>0</v>
      </c>
      <c r="BQ254" s="529">
        <f t="shared" si="1229"/>
        <v>0</v>
      </c>
      <c r="BR254" s="529">
        <f t="shared" si="1230"/>
        <v>0</v>
      </c>
      <c r="BS254" s="529">
        <f t="shared" si="1231"/>
        <v>0</v>
      </c>
      <c r="BT254" s="529">
        <f t="shared" si="1232"/>
        <v>0</v>
      </c>
      <c r="BU254" s="529">
        <f t="shared" si="1233"/>
        <v>0</v>
      </c>
      <c r="BV254" s="529">
        <f t="shared" si="1234"/>
        <v>0</v>
      </c>
      <c r="BW254" s="529">
        <f t="shared" si="1235"/>
        <v>0</v>
      </c>
      <c r="BX254" s="529">
        <f t="shared" si="1236"/>
        <v>0</v>
      </c>
      <c r="BY254" s="529">
        <f t="shared" si="1237"/>
        <v>0</v>
      </c>
      <c r="BZ254" s="529">
        <f t="shared" si="1238"/>
        <v>0</v>
      </c>
      <c r="CB254" s="529">
        <f t="shared" si="1239"/>
        <v>0</v>
      </c>
      <c r="CC254" s="529">
        <f t="shared" si="1240"/>
        <v>0</v>
      </c>
      <c r="CD254" s="529">
        <f t="shared" si="1241"/>
        <v>0</v>
      </c>
      <c r="CE254" s="529">
        <f t="shared" si="1242"/>
        <v>0</v>
      </c>
      <c r="CF254" s="529">
        <f t="shared" si="1243"/>
        <v>0</v>
      </c>
      <c r="CG254" s="529">
        <f t="shared" si="1244"/>
        <v>0</v>
      </c>
      <c r="CH254" s="529">
        <f t="shared" si="1245"/>
        <v>0</v>
      </c>
      <c r="CI254" s="529">
        <f t="shared" si="1246"/>
        <v>0</v>
      </c>
      <c r="CJ254" s="529">
        <f t="shared" si="1247"/>
        <v>0</v>
      </c>
      <c r="CK254" s="529">
        <f t="shared" si="1248"/>
        <v>0</v>
      </c>
      <c r="CL254" s="529">
        <f t="shared" si="1249"/>
        <v>0</v>
      </c>
      <c r="CM254" s="529">
        <f t="shared" si="1250"/>
        <v>0</v>
      </c>
      <c r="CN254" s="529">
        <f t="shared" si="1251"/>
        <v>0</v>
      </c>
      <c r="CO254" s="529">
        <f t="shared" si="1252"/>
        <v>0</v>
      </c>
      <c r="CP254" s="529">
        <f t="shared" si="1253"/>
        <v>0</v>
      </c>
      <c r="CQ254" s="529">
        <f t="shared" si="1254"/>
        <v>0</v>
      </c>
      <c r="CR254" s="529">
        <f t="shared" si="1255"/>
        <v>0</v>
      </c>
    </row>
    <row r="255" spans="1:96" x14ac:dyDescent="0.2">
      <c r="A255" s="763"/>
      <c r="B255" s="537" t="str">
        <f>+B248</f>
        <v>NPK 16-16-16</v>
      </c>
      <c r="C255" s="538"/>
      <c r="D255" s="607"/>
      <c r="E255" s="539"/>
      <c r="F255" s="538"/>
      <c r="G255" s="607"/>
      <c r="H255" s="539"/>
      <c r="I255" s="538"/>
      <c r="J255" s="607"/>
      <c r="K255" s="539"/>
      <c r="L255" s="538"/>
      <c r="M255" s="607"/>
      <c r="N255" s="539"/>
      <c r="O255" s="538"/>
      <c r="P255" s="607"/>
      <c r="Q255" s="539"/>
      <c r="R255" s="538"/>
      <c r="S255" s="607"/>
      <c r="T255" s="539"/>
      <c r="U255" s="538"/>
      <c r="V255" s="637"/>
      <c r="W255" s="539"/>
      <c r="X255" s="538"/>
      <c r="Y255" s="607"/>
      <c r="Z255" s="607"/>
      <c r="AA255" s="538">
        <f>+Assumptions!$I$13*$BC255*1000</f>
        <v>2800</v>
      </c>
      <c r="AB255" s="607">
        <f>+AB$315-5</f>
        <v>332</v>
      </c>
      <c r="AC255" s="607">
        <f t="shared" si="1257"/>
        <v>929600</v>
      </c>
      <c r="AD255" s="538">
        <f>+Assumptions!$J$13*$BC255*1000</f>
        <v>5600</v>
      </c>
      <c r="AE255" s="607">
        <f>+AE$315-5</f>
        <v>342</v>
      </c>
      <c r="AF255" s="607">
        <f t="shared" si="1258"/>
        <v>1915200</v>
      </c>
      <c r="AG255" s="538">
        <f>+Assumptions!$K$13*$BC255*1000</f>
        <v>5600</v>
      </c>
      <c r="AH255" s="607">
        <f>+AH$315-5</f>
        <v>352</v>
      </c>
      <c r="AI255" s="607">
        <f t="shared" si="1259"/>
        <v>1971200</v>
      </c>
      <c r="AJ255" s="538">
        <f>+Assumptions!$L$13*$BC255*1000</f>
        <v>5600</v>
      </c>
      <c r="AK255" s="607">
        <f>+AK$315-5</f>
        <v>363</v>
      </c>
      <c r="AL255" s="607">
        <f t="shared" si="1260"/>
        <v>2032800</v>
      </c>
      <c r="AM255" s="538">
        <f>+Assumptions!$M$13*$BC255*1000</f>
        <v>5600</v>
      </c>
      <c r="AN255" s="607">
        <f>+AN$315-5</f>
        <v>374</v>
      </c>
      <c r="AO255" s="607">
        <f t="shared" si="1261"/>
        <v>2094400</v>
      </c>
      <c r="AP255" s="538">
        <f>+Assumptions!$N$13*$BC255*1000</f>
        <v>5600</v>
      </c>
      <c r="AQ255" s="607">
        <f>+AQ$315-5</f>
        <v>385</v>
      </c>
      <c r="AR255" s="607">
        <f t="shared" si="1262"/>
        <v>2156000</v>
      </c>
      <c r="AS255" s="538">
        <f>+Assumptions!$N$13*$BC255*1000</f>
        <v>5600</v>
      </c>
      <c r="AT255" s="607">
        <f>+AT$315-5</f>
        <v>397</v>
      </c>
      <c r="AU255" s="607">
        <f t="shared" si="1263"/>
        <v>2223200</v>
      </c>
      <c r="AV255" s="538">
        <f>+Assumptions!$N$13*$BC255*1000</f>
        <v>5600</v>
      </c>
      <c r="AW255" s="607">
        <f>+AW$315-5</f>
        <v>409</v>
      </c>
      <c r="AX255" s="607">
        <f t="shared" si="1264"/>
        <v>2290400</v>
      </c>
      <c r="AY255" s="538">
        <f>+Assumptions!$N$13*$BC255*1000</f>
        <v>5600</v>
      </c>
      <c r="AZ255" s="607">
        <f>+AZ$315-5</f>
        <v>421</v>
      </c>
      <c r="BA255" s="607">
        <f t="shared" si="1265"/>
        <v>2357600</v>
      </c>
      <c r="BC255" s="710">
        <v>3.4999999999999996E-2</v>
      </c>
      <c r="BD255" s="729">
        <v>0.05</v>
      </c>
      <c r="BJ255" s="529">
        <f t="shared" si="1222"/>
        <v>0</v>
      </c>
      <c r="BK255" s="529">
        <f t="shared" si="1223"/>
        <v>0</v>
      </c>
      <c r="BL255" s="529">
        <f t="shared" si="1224"/>
        <v>0</v>
      </c>
      <c r="BM255" s="529">
        <f t="shared" si="1225"/>
        <v>0</v>
      </c>
      <c r="BN255" s="529">
        <f t="shared" si="1226"/>
        <v>0</v>
      </c>
      <c r="BO255" s="529">
        <f t="shared" si="1227"/>
        <v>0</v>
      </c>
      <c r="BP255" s="529">
        <f t="shared" si="1228"/>
        <v>0</v>
      </c>
      <c r="BQ255" s="529">
        <f t="shared" si="1229"/>
        <v>0</v>
      </c>
      <c r="BR255" s="529">
        <f t="shared" si="1230"/>
        <v>0.92959999999999998</v>
      </c>
      <c r="BS255" s="529">
        <f t="shared" si="1231"/>
        <v>1.9152</v>
      </c>
      <c r="BT255" s="529">
        <f t="shared" si="1232"/>
        <v>1.9712000000000001</v>
      </c>
      <c r="BU255" s="529">
        <f t="shared" si="1233"/>
        <v>2.0327999999999999</v>
      </c>
      <c r="BV255" s="529">
        <f t="shared" si="1234"/>
        <v>2.0943999999999998</v>
      </c>
      <c r="BW255" s="529">
        <f t="shared" si="1235"/>
        <v>2.1560000000000001</v>
      </c>
      <c r="BX255" s="529">
        <f t="shared" si="1236"/>
        <v>2.2231999999999998</v>
      </c>
      <c r="BY255" s="529">
        <f t="shared" si="1237"/>
        <v>2.2904</v>
      </c>
      <c r="BZ255" s="529">
        <f t="shared" si="1238"/>
        <v>2.3576000000000001</v>
      </c>
      <c r="CB255" s="529">
        <f t="shared" si="1239"/>
        <v>0</v>
      </c>
      <c r="CC255" s="529">
        <f t="shared" si="1240"/>
        <v>0</v>
      </c>
      <c r="CD255" s="529">
        <f t="shared" si="1241"/>
        <v>0</v>
      </c>
      <c r="CE255" s="529">
        <f t="shared" si="1242"/>
        <v>0</v>
      </c>
      <c r="CF255" s="529">
        <f t="shared" si="1243"/>
        <v>0</v>
      </c>
      <c r="CG255" s="529">
        <f t="shared" si="1244"/>
        <v>0</v>
      </c>
      <c r="CH255" s="529">
        <f t="shared" si="1245"/>
        <v>0</v>
      </c>
      <c r="CI255" s="529">
        <f t="shared" si="1246"/>
        <v>0</v>
      </c>
      <c r="CJ255" s="529">
        <f t="shared" si="1247"/>
        <v>2800</v>
      </c>
      <c r="CK255" s="529">
        <f t="shared" si="1248"/>
        <v>5600</v>
      </c>
      <c r="CL255" s="529">
        <f t="shared" si="1249"/>
        <v>5600</v>
      </c>
      <c r="CM255" s="529">
        <f t="shared" si="1250"/>
        <v>5600</v>
      </c>
      <c r="CN255" s="529">
        <f t="shared" si="1251"/>
        <v>5600</v>
      </c>
      <c r="CO255" s="529">
        <f t="shared" si="1252"/>
        <v>5600</v>
      </c>
      <c r="CP255" s="529">
        <f t="shared" si="1253"/>
        <v>5600</v>
      </c>
      <c r="CQ255" s="529">
        <f t="shared" si="1254"/>
        <v>5600</v>
      </c>
      <c r="CR255" s="529">
        <f t="shared" si="1255"/>
        <v>5600</v>
      </c>
    </row>
    <row r="256" spans="1:96" x14ac:dyDescent="0.2">
      <c r="A256" s="764"/>
      <c r="B256" s="537" t="str">
        <f>+B249</f>
        <v>NPK 10-26-26</v>
      </c>
      <c r="C256" s="538"/>
      <c r="D256" s="607"/>
      <c r="E256" s="539"/>
      <c r="F256" s="538"/>
      <c r="G256" s="607"/>
      <c r="H256" s="539"/>
      <c r="I256" s="538"/>
      <c r="J256" s="607"/>
      <c r="K256" s="539"/>
      <c r="L256" s="538"/>
      <c r="M256" s="607"/>
      <c r="N256" s="539"/>
      <c r="O256" s="538"/>
      <c r="P256" s="607"/>
      <c r="Q256" s="539"/>
      <c r="R256" s="538"/>
      <c r="S256" s="607"/>
      <c r="T256" s="539"/>
      <c r="U256" s="538"/>
      <c r="V256" s="637"/>
      <c r="W256" s="539"/>
      <c r="X256" s="538"/>
      <c r="Y256" s="607"/>
      <c r="Z256" s="607"/>
      <c r="AA256" s="538">
        <f>+Assumptions!$I$13*$BC256*1000</f>
        <v>425.00000000000006</v>
      </c>
      <c r="AB256" s="607">
        <f>+AB$316-5</f>
        <v>429</v>
      </c>
      <c r="AC256" s="607">
        <f t="shared" si="1257"/>
        <v>182325.00000000003</v>
      </c>
      <c r="AD256" s="538">
        <f>+Assumptions!$J$13*$BC256*1000</f>
        <v>850.00000000000011</v>
      </c>
      <c r="AE256" s="607">
        <f>+AE$316-5</f>
        <v>442</v>
      </c>
      <c r="AF256" s="607">
        <f t="shared" si="1258"/>
        <v>375700.00000000006</v>
      </c>
      <c r="AG256" s="538">
        <f>+Assumptions!$K$13*$BC256*1000</f>
        <v>850.00000000000011</v>
      </c>
      <c r="AH256" s="607">
        <f>+AH$316-5</f>
        <v>455</v>
      </c>
      <c r="AI256" s="607">
        <f t="shared" si="1259"/>
        <v>386750.00000000006</v>
      </c>
      <c r="AJ256" s="538">
        <f>+Assumptions!$L$13*$BC256*1000</f>
        <v>850.00000000000011</v>
      </c>
      <c r="AK256" s="607">
        <f>+AK$316-5</f>
        <v>469</v>
      </c>
      <c r="AL256" s="607">
        <f t="shared" si="1260"/>
        <v>398650.00000000006</v>
      </c>
      <c r="AM256" s="538">
        <f>+Assumptions!$M$13*$BC256*1000</f>
        <v>850.00000000000011</v>
      </c>
      <c r="AN256" s="607">
        <f>+AN$316-5</f>
        <v>483</v>
      </c>
      <c r="AO256" s="607">
        <f t="shared" si="1261"/>
        <v>410550.00000000006</v>
      </c>
      <c r="AP256" s="538">
        <f>+Assumptions!$N$13*$BC256*1000</f>
        <v>850.00000000000011</v>
      </c>
      <c r="AQ256" s="607">
        <f>+AQ$316-5</f>
        <v>498</v>
      </c>
      <c r="AR256" s="607">
        <f t="shared" si="1262"/>
        <v>423300.00000000006</v>
      </c>
      <c r="AS256" s="538">
        <f>+Assumptions!$N$13*$BC256*1000</f>
        <v>850.00000000000011</v>
      </c>
      <c r="AT256" s="607">
        <f>+AT$316-5</f>
        <v>513</v>
      </c>
      <c r="AU256" s="607">
        <f t="shared" si="1263"/>
        <v>436050.00000000006</v>
      </c>
      <c r="AV256" s="538">
        <f>+Assumptions!$N$13*$BC256*1000</f>
        <v>850.00000000000011</v>
      </c>
      <c r="AW256" s="607">
        <f>+AW$316-5</f>
        <v>529</v>
      </c>
      <c r="AX256" s="607">
        <f t="shared" si="1264"/>
        <v>449650.00000000006</v>
      </c>
      <c r="AY256" s="538">
        <f>+Assumptions!$N$13*$BC256*1000</f>
        <v>850.00000000000011</v>
      </c>
      <c r="AZ256" s="607">
        <f>+AZ$316-5</f>
        <v>545</v>
      </c>
      <c r="BA256" s="607">
        <f t="shared" si="1265"/>
        <v>463250.00000000006</v>
      </c>
      <c r="BC256" s="710">
        <v>5.3125000000000004E-3</v>
      </c>
      <c r="BD256" s="729">
        <v>0.05</v>
      </c>
      <c r="BJ256" s="529">
        <f t="shared" si="1222"/>
        <v>0</v>
      </c>
      <c r="BK256" s="529">
        <f t="shared" si="1223"/>
        <v>0</v>
      </c>
      <c r="BL256" s="529">
        <f t="shared" si="1224"/>
        <v>0</v>
      </c>
      <c r="BM256" s="529">
        <f t="shared" si="1225"/>
        <v>0</v>
      </c>
      <c r="BN256" s="529">
        <f t="shared" si="1226"/>
        <v>0</v>
      </c>
      <c r="BO256" s="529">
        <f t="shared" si="1227"/>
        <v>0</v>
      </c>
      <c r="BP256" s="529">
        <f t="shared" si="1228"/>
        <v>0</v>
      </c>
      <c r="BQ256" s="529">
        <f t="shared" si="1229"/>
        <v>0</v>
      </c>
      <c r="BR256" s="529">
        <f t="shared" si="1230"/>
        <v>0.18232500000000004</v>
      </c>
      <c r="BS256" s="529">
        <f t="shared" si="1231"/>
        <v>0.37570000000000003</v>
      </c>
      <c r="BT256" s="529">
        <f t="shared" si="1232"/>
        <v>0.38675000000000004</v>
      </c>
      <c r="BU256" s="529">
        <f t="shared" si="1233"/>
        <v>0.39865000000000006</v>
      </c>
      <c r="BV256" s="529">
        <f t="shared" si="1234"/>
        <v>0.41055000000000008</v>
      </c>
      <c r="BW256" s="529">
        <f t="shared" si="1235"/>
        <v>0.42330000000000007</v>
      </c>
      <c r="BX256" s="529">
        <f t="shared" si="1236"/>
        <v>0.43605000000000005</v>
      </c>
      <c r="BY256" s="529">
        <f t="shared" si="1237"/>
        <v>0.44965000000000005</v>
      </c>
      <c r="BZ256" s="529">
        <f t="shared" si="1238"/>
        <v>0.46325000000000005</v>
      </c>
      <c r="CB256" s="529">
        <f t="shared" si="1239"/>
        <v>0</v>
      </c>
      <c r="CC256" s="529">
        <f t="shared" si="1240"/>
        <v>0</v>
      </c>
      <c r="CD256" s="529">
        <f t="shared" si="1241"/>
        <v>0</v>
      </c>
      <c r="CE256" s="529">
        <f t="shared" si="1242"/>
        <v>0</v>
      </c>
      <c r="CF256" s="529">
        <f t="shared" si="1243"/>
        <v>0</v>
      </c>
      <c r="CG256" s="529">
        <f t="shared" si="1244"/>
        <v>0</v>
      </c>
      <c r="CH256" s="529">
        <f t="shared" si="1245"/>
        <v>0</v>
      </c>
      <c r="CI256" s="529">
        <f t="shared" si="1246"/>
        <v>0</v>
      </c>
      <c r="CJ256" s="529">
        <f t="shared" si="1247"/>
        <v>425.00000000000006</v>
      </c>
      <c r="CK256" s="529">
        <f t="shared" si="1248"/>
        <v>850.00000000000011</v>
      </c>
      <c r="CL256" s="529">
        <f t="shared" si="1249"/>
        <v>850.00000000000011</v>
      </c>
      <c r="CM256" s="529">
        <f t="shared" si="1250"/>
        <v>850.00000000000011</v>
      </c>
      <c r="CN256" s="529">
        <f t="shared" si="1251"/>
        <v>850.00000000000011</v>
      </c>
      <c r="CO256" s="529">
        <f t="shared" si="1252"/>
        <v>850.00000000000011</v>
      </c>
      <c r="CP256" s="529">
        <f t="shared" si="1253"/>
        <v>850.00000000000011</v>
      </c>
      <c r="CQ256" s="529">
        <f t="shared" si="1254"/>
        <v>850.00000000000011</v>
      </c>
      <c r="CR256" s="529">
        <f t="shared" si="1255"/>
        <v>850.00000000000011</v>
      </c>
    </row>
    <row r="257" spans="1:96" x14ac:dyDescent="0.2">
      <c r="A257" s="763"/>
      <c r="B257" s="537" t="str">
        <f>+B250</f>
        <v>NPK 10-20-20</v>
      </c>
      <c r="C257" s="538"/>
      <c r="D257" s="607"/>
      <c r="E257" s="539"/>
      <c r="F257" s="538"/>
      <c r="G257" s="607"/>
      <c r="H257" s="539"/>
      <c r="I257" s="538"/>
      <c r="J257" s="607"/>
      <c r="K257" s="539"/>
      <c r="L257" s="538"/>
      <c r="M257" s="607"/>
      <c r="N257" s="539"/>
      <c r="O257" s="538"/>
      <c r="P257" s="607"/>
      <c r="Q257" s="539"/>
      <c r="R257" s="538"/>
      <c r="S257" s="607"/>
      <c r="T257" s="539"/>
      <c r="U257" s="538"/>
      <c r="V257" s="637"/>
      <c r="W257" s="539"/>
      <c r="X257" s="538"/>
      <c r="Y257" s="607"/>
      <c r="Z257" s="607"/>
      <c r="AA257" s="538">
        <f>+Assumptions!$I$13*$BC257*1000</f>
        <v>0</v>
      </c>
      <c r="AB257" s="607">
        <f>+AB$317-5</f>
        <v>345</v>
      </c>
      <c r="AC257" s="607">
        <f t="shared" si="1257"/>
        <v>0</v>
      </c>
      <c r="AD257" s="538">
        <f>+Assumptions!$J$13*$BC257*1000</f>
        <v>0</v>
      </c>
      <c r="AE257" s="607">
        <f>+AE$317-5</f>
        <v>356</v>
      </c>
      <c r="AF257" s="607">
        <f t="shared" si="1258"/>
        <v>0</v>
      </c>
      <c r="AG257" s="538">
        <f>+Assumptions!$K$13*$BC257*1000</f>
        <v>0</v>
      </c>
      <c r="AH257" s="607">
        <f>+AH$317-5</f>
        <v>367</v>
      </c>
      <c r="AI257" s="607">
        <f t="shared" si="1259"/>
        <v>0</v>
      </c>
      <c r="AJ257" s="538">
        <f>+Assumptions!$L$13*$BC257*1000</f>
        <v>0</v>
      </c>
      <c r="AK257" s="607">
        <f>+AK$317-5</f>
        <v>378</v>
      </c>
      <c r="AL257" s="607">
        <f t="shared" si="1260"/>
        <v>0</v>
      </c>
      <c r="AM257" s="538">
        <f>+Assumptions!$M$13*$BC257*1000</f>
        <v>0</v>
      </c>
      <c r="AN257" s="607">
        <f>+AN$317-5</f>
        <v>389</v>
      </c>
      <c r="AO257" s="607">
        <f t="shared" si="1261"/>
        <v>0</v>
      </c>
      <c r="AP257" s="538">
        <f>+Assumptions!$N$13*$BC257*1000</f>
        <v>0</v>
      </c>
      <c r="AQ257" s="607">
        <f>+AQ$317-5</f>
        <v>401</v>
      </c>
      <c r="AR257" s="607">
        <f t="shared" si="1262"/>
        <v>0</v>
      </c>
      <c r="AS257" s="538">
        <f>+Assumptions!$N$13*$BC257*1000</f>
        <v>0</v>
      </c>
      <c r="AT257" s="607">
        <f>+AT$317-5</f>
        <v>413</v>
      </c>
      <c r="AU257" s="607">
        <f t="shared" si="1263"/>
        <v>0</v>
      </c>
      <c r="AV257" s="538">
        <f>+Assumptions!$N$13*$BC257*1000</f>
        <v>0</v>
      </c>
      <c r="AW257" s="607">
        <f>+AW$317-5</f>
        <v>426</v>
      </c>
      <c r="AX257" s="607">
        <f t="shared" si="1264"/>
        <v>0</v>
      </c>
      <c r="AY257" s="538">
        <f>+Assumptions!$N$13*$BC257*1000</f>
        <v>0</v>
      </c>
      <c r="AZ257" s="607">
        <f>+AZ$317-5</f>
        <v>439</v>
      </c>
      <c r="BA257" s="607">
        <f t="shared" si="1265"/>
        <v>0</v>
      </c>
      <c r="BC257" s="710">
        <v>0</v>
      </c>
      <c r="BJ257" s="529">
        <f t="shared" si="1222"/>
        <v>0</v>
      </c>
      <c r="BK257" s="529">
        <f t="shared" si="1223"/>
        <v>0</v>
      </c>
      <c r="BL257" s="529">
        <f t="shared" si="1224"/>
        <v>0</v>
      </c>
      <c r="BM257" s="529">
        <f t="shared" si="1225"/>
        <v>0</v>
      </c>
      <c r="BN257" s="529">
        <f t="shared" si="1226"/>
        <v>0</v>
      </c>
      <c r="BO257" s="529">
        <f t="shared" si="1227"/>
        <v>0</v>
      </c>
      <c r="BP257" s="529">
        <f t="shared" si="1228"/>
        <v>0</v>
      </c>
      <c r="BQ257" s="529">
        <f t="shared" si="1229"/>
        <v>0</v>
      </c>
      <c r="BR257" s="529">
        <f t="shared" si="1230"/>
        <v>0</v>
      </c>
      <c r="BS257" s="529">
        <f t="shared" si="1231"/>
        <v>0</v>
      </c>
      <c r="BT257" s="529">
        <f t="shared" si="1232"/>
        <v>0</v>
      </c>
      <c r="BU257" s="529">
        <f t="shared" si="1233"/>
        <v>0</v>
      </c>
      <c r="BV257" s="529">
        <f t="shared" si="1234"/>
        <v>0</v>
      </c>
      <c r="BW257" s="529">
        <f t="shared" si="1235"/>
        <v>0</v>
      </c>
      <c r="BX257" s="529">
        <f t="shared" si="1236"/>
        <v>0</v>
      </c>
      <c r="BY257" s="529">
        <f t="shared" si="1237"/>
        <v>0</v>
      </c>
      <c r="BZ257" s="529">
        <f t="shared" si="1238"/>
        <v>0</v>
      </c>
      <c r="CB257" s="529">
        <f t="shared" si="1239"/>
        <v>0</v>
      </c>
      <c r="CC257" s="529">
        <f t="shared" si="1240"/>
        <v>0</v>
      </c>
      <c r="CD257" s="529">
        <f t="shared" si="1241"/>
        <v>0</v>
      </c>
      <c r="CE257" s="529">
        <f t="shared" si="1242"/>
        <v>0</v>
      </c>
      <c r="CF257" s="529">
        <f t="shared" si="1243"/>
        <v>0</v>
      </c>
      <c r="CG257" s="529">
        <f t="shared" si="1244"/>
        <v>0</v>
      </c>
      <c r="CH257" s="529">
        <f t="shared" si="1245"/>
        <v>0</v>
      </c>
      <c r="CI257" s="529">
        <f t="shared" si="1246"/>
        <v>0</v>
      </c>
      <c r="CJ257" s="529">
        <f t="shared" si="1247"/>
        <v>0</v>
      </c>
      <c r="CK257" s="529">
        <f t="shared" si="1248"/>
        <v>0</v>
      </c>
      <c r="CL257" s="529">
        <f t="shared" si="1249"/>
        <v>0</v>
      </c>
      <c r="CM257" s="529">
        <f t="shared" si="1250"/>
        <v>0</v>
      </c>
      <c r="CN257" s="529">
        <f t="shared" si="1251"/>
        <v>0</v>
      </c>
      <c r="CO257" s="529">
        <f t="shared" si="1252"/>
        <v>0</v>
      </c>
      <c r="CP257" s="529">
        <f t="shared" si="1253"/>
        <v>0</v>
      </c>
      <c r="CQ257" s="529">
        <f t="shared" si="1254"/>
        <v>0</v>
      </c>
      <c r="CR257" s="529">
        <f t="shared" si="1255"/>
        <v>0</v>
      </c>
    </row>
    <row r="258" spans="1:96" x14ac:dyDescent="0.2">
      <c r="A258" s="763"/>
      <c r="B258" s="537" t="str">
        <f t="shared" ref="B258:B259" si="1266">+B251</f>
        <v>NPK 13-13-21</v>
      </c>
      <c r="C258" s="538"/>
      <c r="D258" s="607"/>
      <c r="E258" s="539"/>
      <c r="F258" s="538"/>
      <c r="G258" s="607"/>
      <c r="H258" s="539"/>
      <c r="I258" s="538"/>
      <c r="J258" s="607"/>
      <c r="K258" s="539"/>
      <c r="L258" s="538"/>
      <c r="M258" s="607"/>
      <c r="N258" s="539"/>
      <c r="O258" s="538"/>
      <c r="P258" s="607"/>
      <c r="Q258" s="539"/>
      <c r="R258" s="538"/>
      <c r="S258" s="607"/>
      <c r="T258" s="539"/>
      <c r="U258" s="538"/>
      <c r="V258" s="637"/>
      <c r="W258" s="539"/>
      <c r="X258" s="538"/>
      <c r="Y258" s="607"/>
      <c r="Z258" s="607"/>
      <c r="AA258" s="538">
        <f>+Assumptions!$I$13*$BC258*1000</f>
        <v>0</v>
      </c>
      <c r="AB258" s="607">
        <f>+AB$318-5</f>
        <v>324</v>
      </c>
      <c r="AC258" s="607">
        <f t="shared" si="1257"/>
        <v>0</v>
      </c>
      <c r="AD258" s="538">
        <f>+Assumptions!$J$13*$BC258*1000</f>
        <v>0</v>
      </c>
      <c r="AE258" s="607">
        <f>+AE$318-5</f>
        <v>334</v>
      </c>
      <c r="AF258" s="607">
        <f t="shared" si="1258"/>
        <v>0</v>
      </c>
      <c r="AG258" s="538">
        <f>+Assumptions!$K$13*$BC258*1000</f>
        <v>0</v>
      </c>
      <c r="AH258" s="607">
        <f>+AH$318-5</f>
        <v>344</v>
      </c>
      <c r="AI258" s="607">
        <f t="shared" si="1259"/>
        <v>0</v>
      </c>
      <c r="AJ258" s="538">
        <f>+Assumptions!$L$13*$BC258*1000</f>
        <v>0</v>
      </c>
      <c r="AK258" s="607">
        <f>+AK$318-5</f>
        <v>354</v>
      </c>
      <c r="AL258" s="607">
        <f t="shared" si="1260"/>
        <v>0</v>
      </c>
      <c r="AM258" s="538">
        <f>+Assumptions!$M$13*$BC258*1000</f>
        <v>0</v>
      </c>
      <c r="AN258" s="607">
        <f>+AN$318-5</f>
        <v>365</v>
      </c>
      <c r="AO258" s="607">
        <f t="shared" si="1261"/>
        <v>0</v>
      </c>
      <c r="AP258" s="538">
        <f>+Assumptions!$N$13*$BC258*1000</f>
        <v>0</v>
      </c>
      <c r="AQ258" s="607">
        <f>+AQ$318-5</f>
        <v>376</v>
      </c>
      <c r="AR258" s="607">
        <f t="shared" si="1262"/>
        <v>0</v>
      </c>
      <c r="AS258" s="538">
        <f>+Assumptions!$N$13*$BC258*1000</f>
        <v>0</v>
      </c>
      <c r="AT258" s="607">
        <f>+AT$318-5</f>
        <v>387</v>
      </c>
      <c r="AU258" s="607">
        <f t="shared" si="1263"/>
        <v>0</v>
      </c>
      <c r="AV258" s="538">
        <f>+Assumptions!$N$13*$BC258*1000</f>
        <v>0</v>
      </c>
      <c r="AW258" s="607">
        <f>+AW$318-5</f>
        <v>399</v>
      </c>
      <c r="AX258" s="607">
        <f t="shared" si="1264"/>
        <v>0</v>
      </c>
      <c r="AY258" s="538">
        <f>+Assumptions!$N$13*$BC258*1000</f>
        <v>0</v>
      </c>
      <c r="AZ258" s="607">
        <f>+AZ$318-5</f>
        <v>411</v>
      </c>
      <c r="BA258" s="607">
        <f t="shared" si="1265"/>
        <v>0</v>
      </c>
      <c r="BC258" s="710">
        <v>0</v>
      </c>
      <c r="BJ258" s="529">
        <f t="shared" si="1222"/>
        <v>0</v>
      </c>
      <c r="BK258" s="529">
        <f t="shared" si="1223"/>
        <v>0</v>
      </c>
      <c r="BL258" s="529">
        <f t="shared" si="1224"/>
        <v>0</v>
      </c>
      <c r="BM258" s="529">
        <f t="shared" si="1225"/>
        <v>0</v>
      </c>
      <c r="BN258" s="529">
        <f t="shared" si="1226"/>
        <v>0</v>
      </c>
      <c r="BO258" s="529">
        <f t="shared" si="1227"/>
        <v>0</v>
      </c>
      <c r="BP258" s="529">
        <f t="shared" si="1228"/>
        <v>0</v>
      </c>
      <c r="BQ258" s="529">
        <f t="shared" si="1229"/>
        <v>0</v>
      </c>
      <c r="BR258" s="529">
        <f t="shared" si="1230"/>
        <v>0</v>
      </c>
      <c r="BS258" s="529">
        <f t="shared" si="1231"/>
        <v>0</v>
      </c>
      <c r="BT258" s="529">
        <f t="shared" si="1232"/>
        <v>0</v>
      </c>
      <c r="BU258" s="529">
        <f t="shared" si="1233"/>
        <v>0</v>
      </c>
      <c r="BV258" s="529">
        <f t="shared" si="1234"/>
        <v>0</v>
      </c>
      <c r="BW258" s="529">
        <f t="shared" si="1235"/>
        <v>0</v>
      </c>
      <c r="BX258" s="529">
        <f t="shared" si="1236"/>
        <v>0</v>
      </c>
      <c r="BY258" s="529">
        <f t="shared" si="1237"/>
        <v>0</v>
      </c>
      <c r="BZ258" s="529">
        <f t="shared" si="1238"/>
        <v>0</v>
      </c>
      <c r="CB258" s="529">
        <f t="shared" si="1239"/>
        <v>0</v>
      </c>
      <c r="CC258" s="529">
        <f t="shared" si="1240"/>
        <v>0</v>
      </c>
      <c r="CD258" s="529">
        <f t="shared" si="1241"/>
        <v>0</v>
      </c>
      <c r="CE258" s="529">
        <f t="shared" si="1242"/>
        <v>0</v>
      </c>
      <c r="CF258" s="529">
        <f t="shared" si="1243"/>
        <v>0</v>
      </c>
      <c r="CG258" s="529">
        <f t="shared" si="1244"/>
        <v>0</v>
      </c>
      <c r="CH258" s="529">
        <f t="shared" si="1245"/>
        <v>0</v>
      </c>
      <c r="CI258" s="529">
        <f t="shared" si="1246"/>
        <v>0</v>
      </c>
      <c r="CJ258" s="529">
        <f t="shared" si="1247"/>
        <v>0</v>
      </c>
      <c r="CK258" s="529">
        <f t="shared" si="1248"/>
        <v>0</v>
      </c>
      <c r="CL258" s="529">
        <f t="shared" si="1249"/>
        <v>0</v>
      </c>
      <c r="CM258" s="529">
        <f t="shared" si="1250"/>
        <v>0</v>
      </c>
      <c r="CN258" s="529">
        <f t="shared" si="1251"/>
        <v>0</v>
      </c>
      <c r="CO258" s="529">
        <f t="shared" si="1252"/>
        <v>0</v>
      </c>
      <c r="CP258" s="529">
        <f t="shared" si="1253"/>
        <v>0</v>
      </c>
      <c r="CQ258" s="529">
        <f t="shared" si="1254"/>
        <v>0</v>
      </c>
      <c r="CR258" s="529">
        <f t="shared" si="1255"/>
        <v>0</v>
      </c>
    </row>
    <row r="259" spans="1:96" x14ac:dyDescent="0.2">
      <c r="A259" s="763"/>
      <c r="B259" s="537" t="str">
        <f t="shared" si="1266"/>
        <v>NPK 00-00-00</v>
      </c>
      <c r="C259" s="538"/>
      <c r="D259" s="607"/>
      <c r="E259" s="539"/>
      <c r="F259" s="538"/>
      <c r="G259" s="607"/>
      <c r="H259" s="539"/>
      <c r="I259" s="538"/>
      <c r="J259" s="607"/>
      <c r="K259" s="539"/>
      <c r="L259" s="538"/>
      <c r="M259" s="607"/>
      <c r="N259" s="539"/>
      <c r="O259" s="538"/>
      <c r="P259" s="607"/>
      <c r="Q259" s="539"/>
      <c r="R259" s="538"/>
      <c r="S259" s="607"/>
      <c r="T259" s="539"/>
      <c r="U259" s="538"/>
      <c r="V259" s="637"/>
      <c r="W259" s="539"/>
      <c r="X259" s="538"/>
      <c r="Y259" s="607"/>
      <c r="Z259" s="607"/>
      <c r="AA259" s="538">
        <f>+Assumptions!$I$13*$BC259*1000</f>
        <v>0</v>
      </c>
      <c r="AB259" s="607">
        <f>+AB$319-5</f>
        <v>-5</v>
      </c>
      <c r="AC259" s="607">
        <f t="shared" si="1257"/>
        <v>0</v>
      </c>
      <c r="AD259" s="538">
        <f>+Assumptions!$J$13*$BC259*1000</f>
        <v>0</v>
      </c>
      <c r="AE259" s="607">
        <f>+AE$319-5</f>
        <v>-5</v>
      </c>
      <c r="AF259" s="607">
        <f t="shared" si="1258"/>
        <v>0</v>
      </c>
      <c r="AG259" s="538">
        <f>+Assumptions!$K$13*$BC259*1000</f>
        <v>0</v>
      </c>
      <c r="AH259" s="607">
        <f>+AH$319-5</f>
        <v>-5</v>
      </c>
      <c r="AI259" s="607">
        <f t="shared" si="1259"/>
        <v>0</v>
      </c>
      <c r="AJ259" s="538">
        <f>+Assumptions!$L$13*$BC259*1000</f>
        <v>0</v>
      </c>
      <c r="AK259" s="607">
        <f>+AK$319-5</f>
        <v>-5</v>
      </c>
      <c r="AL259" s="607">
        <f t="shared" si="1260"/>
        <v>0</v>
      </c>
      <c r="AM259" s="538">
        <f>+Assumptions!$M$13*$BC259*1000</f>
        <v>0</v>
      </c>
      <c r="AN259" s="607">
        <f>+AN$319-5</f>
        <v>-5</v>
      </c>
      <c r="AO259" s="607">
        <f t="shared" si="1261"/>
        <v>0</v>
      </c>
      <c r="AP259" s="538">
        <f>+Assumptions!$N$13*$BC259*1000</f>
        <v>0</v>
      </c>
      <c r="AQ259" s="607">
        <f>+AQ$319-5</f>
        <v>-5</v>
      </c>
      <c r="AR259" s="607">
        <f t="shared" si="1262"/>
        <v>0</v>
      </c>
      <c r="AS259" s="538">
        <f>+Assumptions!$N$13*$BC259*1000</f>
        <v>0</v>
      </c>
      <c r="AT259" s="607">
        <f>+AT$319-5</f>
        <v>-5</v>
      </c>
      <c r="AU259" s="607">
        <f t="shared" si="1263"/>
        <v>0</v>
      </c>
      <c r="AV259" s="538">
        <f>+Assumptions!$N$13*$BC259*1000</f>
        <v>0</v>
      </c>
      <c r="AW259" s="607">
        <f>+AW$319-5</f>
        <v>-5</v>
      </c>
      <c r="AX259" s="607">
        <f t="shared" si="1264"/>
        <v>0</v>
      </c>
      <c r="AY259" s="538">
        <f>+Assumptions!$N$13*$BC259*1000</f>
        <v>0</v>
      </c>
      <c r="AZ259" s="607">
        <f>+AZ$319-5</f>
        <v>-5</v>
      </c>
      <c r="BA259" s="607">
        <f t="shared" si="1265"/>
        <v>0</v>
      </c>
      <c r="BC259" s="710">
        <v>0</v>
      </c>
      <c r="BJ259" s="529">
        <f t="shared" si="1222"/>
        <v>0</v>
      </c>
      <c r="BK259" s="529">
        <f t="shared" si="1223"/>
        <v>0</v>
      </c>
      <c r="BL259" s="529">
        <f t="shared" si="1224"/>
        <v>0</v>
      </c>
      <c r="BM259" s="529">
        <f t="shared" si="1225"/>
        <v>0</v>
      </c>
      <c r="BN259" s="529">
        <f t="shared" si="1226"/>
        <v>0</v>
      </c>
      <c r="BO259" s="529">
        <f t="shared" si="1227"/>
        <v>0</v>
      </c>
      <c r="BP259" s="529">
        <f t="shared" si="1228"/>
        <v>0</v>
      </c>
      <c r="BQ259" s="529">
        <f t="shared" si="1229"/>
        <v>0</v>
      </c>
      <c r="BR259" s="529">
        <f t="shared" si="1230"/>
        <v>0</v>
      </c>
      <c r="BS259" s="529">
        <f t="shared" si="1231"/>
        <v>0</v>
      </c>
      <c r="BT259" s="529">
        <f t="shared" si="1232"/>
        <v>0</v>
      </c>
      <c r="BU259" s="529">
        <f t="shared" si="1233"/>
        <v>0</v>
      </c>
      <c r="BV259" s="529">
        <f t="shared" si="1234"/>
        <v>0</v>
      </c>
      <c r="BW259" s="529">
        <f t="shared" si="1235"/>
        <v>0</v>
      </c>
      <c r="BX259" s="529">
        <f t="shared" si="1236"/>
        <v>0</v>
      </c>
      <c r="BY259" s="529">
        <f t="shared" si="1237"/>
        <v>0</v>
      </c>
      <c r="BZ259" s="529">
        <f t="shared" si="1238"/>
        <v>0</v>
      </c>
      <c r="CB259" s="529">
        <f t="shared" si="1239"/>
        <v>0</v>
      </c>
      <c r="CC259" s="529">
        <f t="shared" si="1240"/>
        <v>0</v>
      </c>
      <c r="CD259" s="529">
        <f t="shared" si="1241"/>
        <v>0</v>
      </c>
      <c r="CE259" s="529">
        <f t="shared" si="1242"/>
        <v>0</v>
      </c>
      <c r="CF259" s="529">
        <f t="shared" si="1243"/>
        <v>0</v>
      </c>
      <c r="CG259" s="529">
        <f t="shared" si="1244"/>
        <v>0</v>
      </c>
      <c r="CH259" s="529">
        <f t="shared" si="1245"/>
        <v>0</v>
      </c>
      <c r="CI259" s="529">
        <f t="shared" si="1246"/>
        <v>0</v>
      </c>
      <c r="CJ259" s="529">
        <f t="shared" si="1247"/>
        <v>0</v>
      </c>
      <c r="CK259" s="529">
        <f t="shared" si="1248"/>
        <v>0</v>
      </c>
      <c r="CL259" s="529">
        <f t="shared" si="1249"/>
        <v>0</v>
      </c>
      <c r="CM259" s="529">
        <f t="shared" si="1250"/>
        <v>0</v>
      </c>
      <c r="CN259" s="529">
        <f t="shared" si="1251"/>
        <v>0</v>
      </c>
      <c r="CO259" s="529">
        <f t="shared" si="1252"/>
        <v>0</v>
      </c>
      <c r="CP259" s="529">
        <f t="shared" si="1253"/>
        <v>0</v>
      </c>
      <c r="CQ259" s="529">
        <f t="shared" si="1254"/>
        <v>0</v>
      </c>
      <c r="CR259" s="529">
        <f t="shared" si="1255"/>
        <v>0</v>
      </c>
    </row>
    <row r="260" spans="1:96" x14ac:dyDescent="0.2">
      <c r="A260" s="765"/>
      <c r="B260" s="611"/>
      <c r="C260" s="543"/>
      <c r="D260" s="609"/>
      <c r="E260" s="544"/>
      <c r="F260" s="543"/>
      <c r="G260" s="609"/>
      <c r="H260" s="544"/>
      <c r="I260" s="543"/>
      <c r="J260" s="609"/>
      <c r="K260" s="544"/>
      <c r="L260" s="543"/>
      <c r="M260" s="609"/>
      <c r="N260" s="544"/>
      <c r="O260" s="543"/>
      <c r="P260" s="609"/>
      <c r="Q260" s="544"/>
      <c r="R260" s="543"/>
      <c r="S260" s="609"/>
      <c r="T260" s="544"/>
      <c r="U260" s="543"/>
      <c r="V260" s="638"/>
      <c r="W260" s="544"/>
      <c r="X260" s="543"/>
      <c r="Y260" s="609"/>
      <c r="Z260" s="609"/>
      <c r="AA260" s="543"/>
      <c r="AB260" s="609"/>
      <c r="AC260" s="609"/>
      <c r="AD260" s="543"/>
      <c r="AE260" s="609"/>
      <c r="AF260" s="609"/>
      <c r="AG260" s="543"/>
      <c r="AH260" s="609"/>
      <c r="AI260" s="609"/>
      <c r="AJ260" s="543"/>
      <c r="AK260" s="609"/>
      <c r="AL260" s="609"/>
      <c r="AM260" s="543"/>
      <c r="AN260" s="609"/>
      <c r="AO260" s="609"/>
      <c r="AP260" s="543"/>
      <c r="AQ260" s="609"/>
      <c r="AR260" s="609"/>
      <c r="AS260" s="543"/>
      <c r="AT260" s="609"/>
      <c r="AU260" s="609"/>
      <c r="AV260" s="543"/>
      <c r="AW260" s="609"/>
      <c r="AX260" s="609"/>
      <c r="AY260" s="543"/>
      <c r="AZ260" s="609"/>
      <c r="BA260" s="609"/>
      <c r="BC260" s="710" t="e">
        <v>#N/A</v>
      </c>
      <c r="BJ260" s="529">
        <f t="shared" si="1222"/>
        <v>0</v>
      </c>
      <c r="BK260" s="529">
        <f t="shared" si="1223"/>
        <v>0</v>
      </c>
      <c r="BL260" s="529">
        <f t="shared" si="1224"/>
        <v>0</v>
      </c>
      <c r="BM260" s="529">
        <f t="shared" si="1225"/>
        <v>0</v>
      </c>
      <c r="BN260" s="529">
        <f t="shared" si="1226"/>
        <v>0</v>
      </c>
      <c r="BO260" s="529">
        <f t="shared" si="1227"/>
        <v>0</v>
      </c>
      <c r="BP260" s="529">
        <f t="shared" si="1228"/>
        <v>0</v>
      </c>
      <c r="BQ260" s="529">
        <f t="shared" si="1229"/>
        <v>0</v>
      </c>
      <c r="BR260" s="529">
        <f t="shared" si="1230"/>
        <v>0</v>
      </c>
      <c r="BS260" s="529">
        <f t="shared" si="1231"/>
        <v>0</v>
      </c>
      <c r="BT260" s="529">
        <f t="shared" si="1232"/>
        <v>0</v>
      </c>
      <c r="BU260" s="529">
        <f t="shared" si="1233"/>
        <v>0</v>
      </c>
      <c r="BV260" s="529">
        <f t="shared" si="1234"/>
        <v>0</v>
      </c>
      <c r="BW260" s="529">
        <f t="shared" si="1235"/>
        <v>0</v>
      </c>
      <c r="BX260" s="529">
        <f t="shared" si="1236"/>
        <v>0</v>
      </c>
      <c r="BY260" s="529">
        <f t="shared" si="1237"/>
        <v>0</v>
      </c>
      <c r="BZ260" s="529">
        <f t="shared" si="1238"/>
        <v>0</v>
      </c>
      <c r="CB260" s="529">
        <f t="shared" si="1239"/>
        <v>0</v>
      </c>
      <c r="CC260" s="529">
        <f t="shared" si="1240"/>
        <v>0</v>
      </c>
      <c r="CD260" s="529">
        <f t="shared" si="1241"/>
        <v>0</v>
      </c>
      <c r="CE260" s="529">
        <f t="shared" si="1242"/>
        <v>0</v>
      </c>
      <c r="CF260" s="529">
        <f t="shared" si="1243"/>
        <v>0</v>
      </c>
      <c r="CG260" s="529">
        <f t="shared" si="1244"/>
        <v>0</v>
      </c>
      <c r="CH260" s="529">
        <f t="shared" si="1245"/>
        <v>0</v>
      </c>
      <c r="CI260" s="529">
        <f t="shared" si="1246"/>
        <v>0</v>
      </c>
      <c r="CJ260" s="529">
        <f t="shared" si="1247"/>
        <v>0</v>
      </c>
      <c r="CK260" s="529">
        <f t="shared" si="1248"/>
        <v>0</v>
      </c>
      <c r="CL260" s="529">
        <f t="shared" si="1249"/>
        <v>0</v>
      </c>
      <c r="CM260" s="529">
        <f t="shared" si="1250"/>
        <v>0</v>
      </c>
      <c r="CN260" s="529">
        <f t="shared" si="1251"/>
        <v>0</v>
      </c>
      <c r="CO260" s="529">
        <f t="shared" si="1252"/>
        <v>0</v>
      </c>
      <c r="CP260" s="529">
        <f t="shared" si="1253"/>
        <v>0</v>
      </c>
      <c r="CQ260" s="529">
        <f t="shared" si="1254"/>
        <v>0</v>
      </c>
      <c r="CR260" s="529">
        <f t="shared" si="1255"/>
        <v>0</v>
      </c>
    </row>
    <row r="261" spans="1:96" x14ac:dyDescent="0.2">
      <c r="A261" s="762" t="s">
        <v>740</v>
      </c>
      <c r="B261" s="610" t="str">
        <f>+B254</f>
        <v>NPK 15-15-15</v>
      </c>
      <c r="C261" s="605"/>
      <c r="D261" s="603"/>
      <c r="E261" s="604"/>
      <c r="F261" s="605"/>
      <c r="G261" s="603"/>
      <c r="H261" s="604"/>
      <c r="I261" s="605"/>
      <c r="J261" s="603"/>
      <c r="K261" s="604"/>
      <c r="L261" s="605"/>
      <c r="M261" s="603"/>
      <c r="N261" s="604"/>
      <c r="O261" s="605"/>
      <c r="P261" s="603"/>
      <c r="Q261" s="604"/>
      <c r="R261" s="605"/>
      <c r="S261" s="603"/>
      <c r="T261" s="604"/>
      <c r="U261" s="605"/>
      <c r="V261" s="636"/>
      <c r="W261" s="604"/>
      <c r="X261" s="605"/>
      <c r="Y261" s="603"/>
      <c r="Z261" s="603"/>
      <c r="AA261" s="605">
        <f>+Assumptions!$I$13*$BC261*1000</f>
        <v>0</v>
      </c>
      <c r="AB261" s="603">
        <f>+AB$314-3</f>
        <v>312</v>
      </c>
      <c r="AC261" s="603">
        <f t="shared" ref="AC261:AC266" si="1267">+AB261*AA261</f>
        <v>0</v>
      </c>
      <c r="AD261" s="605">
        <f>+Assumptions!$J$13*$BC261*1000</f>
        <v>0</v>
      </c>
      <c r="AE261" s="603">
        <f>+AE$314-3</f>
        <v>321</v>
      </c>
      <c r="AF261" s="603">
        <f t="shared" ref="AF261:AF266" si="1268">+AE261*AD261</f>
        <v>0</v>
      </c>
      <c r="AG261" s="605">
        <f>+Assumptions!$K$13*$BC261*1000</f>
        <v>0</v>
      </c>
      <c r="AH261" s="603">
        <f>+AH$314-3</f>
        <v>331</v>
      </c>
      <c r="AI261" s="603">
        <f t="shared" ref="AI261:AI266" si="1269">+AH261*AG261</f>
        <v>0</v>
      </c>
      <c r="AJ261" s="605">
        <f>+Assumptions!$L$13*$BC261*1000</f>
        <v>0</v>
      </c>
      <c r="AK261" s="603">
        <f>+AK$314-3</f>
        <v>341</v>
      </c>
      <c r="AL261" s="603">
        <f t="shared" ref="AL261:AL266" si="1270">+AK261*AJ261</f>
        <v>0</v>
      </c>
      <c r="AM261" s="605">
        <f>+Assumptions!$M$13*$BC261*1000</f>
        <v>0</v>
      </c>
      <c r="AN261" s="603">
        <f>+AN$314-3</f>
        <v>351</v>
      </c>
      <c r="AO261" s="603">
        <f t="shared" ref="AO261:AO266" si="1271">+AN261*AM261</f>
        <v>0</v>
      </c>
      <c r="AP261" s="605">
        <f>+Assumptions!$N$13*$BC261*1000</f>
        <v>0</v>
      </c>
      <c r="AQ261" s="603">
        <f>+AQ$314-3</f>
        <v>362</v>
      </c>
      <c r="AR261" s="603">
        <f t="shared" ref="AR261:AR266" si="1272">+AQ261*AP261</f>
        <v>0</v>
      </c>
      <c r="AS261" s="605">
        <f>+Assumptions!$N$13*$BC261*1000</f>
        <v>0</v>
      </c>
      <c r="AT261" s="603">
        <f>+AT$314-3</f>
        <v>373</v>
      </c>
      <c r="AU261" s="603">
        <f t="shared" ref="AU261:AU266" si="1273">+AT261*AS261</f>
        <v>0</v>
      </c>
      <c r="AV261" s="605">
        <f>+Assumptions!$N$13*$BC261*1000</f>
        <v>0</v>
      </c>
      <c r="AW261" s="603">
        <f>+AW$314-3</f>
        <v>384</v>
      </c>
      <c r="AX261" s="603">
        <f t="shared" ref="AX261:AX266" si="1274">+AW261*AV261</f>
        <v>0</v>
      </c>
      <c r="AY261" s="605">
        <f>+Assumptions!$N$13*$BC261*1000</f>
        <v>0</v>
      </c>
      <c r="AZ261" s="603">
        <f>+AZ$314-3</f>
        <v>396</v>
      </c>
      <c r="BA261" s="603">
        <f t="shared" ref="BA261:BA266" si="1275">+AZ261*AY261</f>
        <v>0</v>
      </c>
      <c r="BC261" s="710">
        <v>0</v>
      </c>
      <c r="BJ261" s="529">
        <f t="shared" si="1222"/>
        <v>0</v>
      </c>
      <c r="BK261" s="529">
        <f t="shared" si="1223"/>
        <v>0</v>
      </c>
      <c r="BL261" s="529">
        <f t="shared" si="1224"/>
        <v>0</v>
      </c>
      <c r="BM261" s="529">
        <f t="shared" si="1225"/>
        <v>0</v>
      </c>
      <c r="BN261" s="529">
        <f t="shared" si="1226"/>
        <v>0</v>
      </c>
      <c r="BO261" s="529">
        <f t="shared" si="1227"/>
        <v>0</v>
      </c>
      <c r="BP261" s="529">
        <f t="shared" si="1228"/>
        <v>0</v>
      </c>
      <c r="BQ261" s="529">
        <f t="shared" si="1229"/>
        <v>0</v>
      </c>
      <c r="BR261" s="529">
        <f t="shared" si="1230"/>
        <v>0</v>
      </c>
      <c r="BS261" s="529">
        <f t="shared" si="1231"/>
        <v>0</v>
      </c>
      <c r="BT261" s="529">
        <f t="shared" si="1232"/>
        <v>0</v>
      </c>
      <c r="BU261" s="529">
        <f t="shared" si="1233"/>
        <v>0</v>
      </c>
      <c r="BV261" s="529">
        <f t="shared" si="1234"/>
        <v>0</v>
      </c>
      <c r="BW261" s="529">
        <f t="shared" si="1235"/>
        <v>0</v>
      </c>
      <c r="BX261" s="529">
        <f t="shared" si="1236"/>
        <v>0</v>
      </c>
      <c r="BY261" s="529">
        <f t="shared" si="1237"/>
        <v>0</v>
      </c>
      <c r="BZ261" s="529">
        <f t="shared" si="1238"/>
        <v>0</v>
      </c>
      <c r="CB261" s="529">
        <f t="shared" si="1239"/>
        <v>0</v>
      </c>
      <c r="CC261" s="529">
        <f t="shared" si="1240"/>
        <v>0</v>
      </c>
      <c r="CD261" s="529">
        <f t="shared" si="1241"/>
        <v>0</v>
      </c>
      <c r="CE261" s="529">
        <f t="shared" si="1242"/>
        <v>0</v>
      </c>
      <c r="CF261" s="529">
        <f t="shared" si="1243"/>
        <v>0</v>
      </c>
      <c r="CG261" s="529">
        <f t="shared" si="1244"/>
        <v>0</v>
      </c>
      <c r="CH261" s="529">
        <f t="shared" si="1245"/>
        <v>0</v>
      </c>
      <c r="CI261" s="529">
        <f t="shared" si="1246"/>
        <v>0</v>
      </c>
      <c r="CJ261" s="529">
        <f t="shared" si="1247"/>
        <v>0</v>
      </c>
      <c r="CK261" s="529">
        <f t="shared" si="1248"/>
        <v>0</v>
      </c>
      <c r="CL261" s="529">
        <f t="shared" si="1249"/>
        <v>0</v>
      </c>
      <c r="CM261" s="529">
        <f t="shared" si="1250"/>
        <v>0</v>
      </c>
      <c r="CN261" s="529">
        <f t="shared" si="1251"/>
        <v>0</v>
      </c>
      <c r="CO261" s="529">
        <f t="shared" si="1252"/>
        <v>0</v>
      </c>
      <c r="CP261" s="529">
        <f t="shared" si="1253"/>
        <v>0</v>
      </c>
      <c r="CQ261" s="529">
        <f t="shared" si="1254"/>
        <v>0</v>
      </c>
      <c r="CR261" s="529">
        <f t="shared" si="1255"/>
        <v>0</v>
      </c>
    </row>
    <row r="262" spans="1:96" x14ac:dyDescent="0.2">
      <c r="A262" s="763"/>
      <c r="B262" s="537" t="str">
        <f>+B255</f>
        <v>NPK 16-16-16</v>
      </c>
      <c r="C262" s="538"/>
      <c r="D262" s="607"/>
      <c r="E262" s="539"/>
      <c r="F262" s="538"/>
      <c r="G262" s="607"/>
      <c r="H262" s="539"/>
      <c r="I262" s="538"/>
      <c r="J262" s="607"/>
      <c r="K262" s="539"/>
      <c r="L262" s="538"/>
      <c r="M262" s="607"/>
      <c r="N262" s="539"/>
      <c r="O262" s="538"/>
      <c r="P262" s="607"/>
      <c r="Q262" s="539"/>
      <c r="R262" s="538"/>
      <c r="S262" s="607"/>
      <c r="T262" s="539"/>
      <c r="U262" s="538"/>
      <c r="V262" s="637"/>
      <c r="W262" s="539"/>
      <c r="X262" s="538"/>
      <c r="Y262" s="607"/>
      <c r="Z262" s="607"/>
      <c r="AA262" s="538">
        <f>+Assumptions!$I$13*$BC262*1000</f>
        <v>0</v>
      </c>
      <c r="AB262" s="607">
        <f>+AB$315-3</f>
        <v>334</v>
      </c>
      <c r="AC262" s="607">
        <f t="shared" si="1267"/>
        <v>0</v>
      </c>
      <c r="AD262" s="538">
        <f>+Assumptions!$J$13*$BC262*1000</f>
        <v>0</v>
      </c>
      <c r="AE262" s="607">
        <f>+AE$315-3</f>
        <v>344</v>
      </c>
      <c r="AF262" s="607">
        <f t="shared" si="1268"/>
        <v>0</v>
      </c>
      <c r="AG262" s="538">
        <f>+Assumptions!$K$13*$BC262*1000</f>
        <v>0</v>
      </c>
      <c r="AH262" s="607">
        <f>+AH$315-3</f>
        <v>354</v>
      </c>
      <c r="AI262" s="607">
        <f t="shared" si="1269"/>
        <v>0</v>
      </c>
      <c r="AJ262" s="538">
        <f>+Assumptions!$L$13*$BC262*1000</f>
        <v>0</v>
      </c>
      <c r="AK262" s="607">
        <f>+AK$315-3</f>
        <v>365</v>
      </c>
      <c r="AL262" s="607">
        <f t="shared" si="1270"/>
        <v>0</v>
      </c>
      <c r="AM262" s="538">
        <f>+Assumptions!$M$13*$BC262*1000</f>
        <v>0</v>
      </c>
      <c r="AN262" s="607">
        <f>+AN$315-3</f>
        <v>376</v>
      </c>
      <c r="AO262" s="607">
        <f t="shared" si="1271"/>
        <v>0</v>
      </c>
      <c r="AP262" s="538">
        <f>+Assumptions!$N$13*$BC262*1000</f>
        <v>0</v>
      </c>
      <c r="AQ262" s="607">
        <f>+AQ$315-3</f>
        <v>387</v>
      </c>
      <c r="AR262" s="607">
        <f t="shared" si="1272"/>
        <v>0</v>
      </c>
      <c r="AS262" s="538">
        <f>+Assumptions!$N$13*$BC262*1000</f>
        <v>0</v>
      </c>
      <c r="AT262" s="607">
        <f>+AT$315-3</f>
        <v>399</v>
      </c>
      <c r="AU262" s="607">
        <f t="shared" si="1273"/>
        <v>0</v>
      </c>
      <c r="AV262" s="538">
        <f>+Assumptions!$N$13*$BC262*1000</f>
        <v>0</v>
      </c>
      <c r="AW262" s="607">
        <f>+AW$315-3</f>
        <v>411</v>
      </c>
      <c r="AX262" s="607">
        <f t="shared" si="1274"/>
        <v>0</v>
      </c>
      <c r="AY262" s="538">
        <f>+Assumptions!$N$13*$BC262*1000</f>
        <v>0</v>
      </c>
      <c r="AZ262" s="607">
        <f>+AZ$315-3</f>
        <v>423</v>
      </c>
      <c r="BA262" s="607">
        <f t="shared" si="1275"/>
        <v>0</v>
      </c>
      <c r="BC262" s="710">
        <v>0</v>
      </c>
      <c r="BJ262" s="529">
        <f t="shared" si="1222"/>
        <v>0</v>
      </c>
      <c r="BK262" s="529">
        <f t="shared" si="1223"/>
        <v>0</v>
      </c>
      <c r="BL262" s="529">
        <f t="shared" si="1224"/>
        <v>0</v>
      </c>
      <c r="BM262" s="529">
        <f t="shared" si="1225"/>
        <v>0</v>
      </c>
      <c r="BN262" s="529">
        <f t="shared" si="1226"/>
        <v>0</v>
      </c>
      <c r="BO262" s="529">
        <f t="shared" si="1227"/>
        <v>0</v>
      </c>
      <c r="BP262" s="529">
        <f t="shared" si="1228"/>
        <v>0</v>
      </c>
      <c r="BQ262" s="529">
        <f t="shared" si="1229"/>
        <v>0</v>
      </c>
      <c r="BR262" s="529">
        <f t="shared" si="1230"/>
        <v>0</v>
      </c>
      <c r="BS262" s="529">
        <f t="shared" si="1231"/>
        <v>0</v>
      </c>
      <c r="BT262" s="529">
        <f t="shared" si="1232"/>
        <v>0</v>
      </c>
      <c r="BU262" s="529">
        <f t="shared" si="1233"/>
        <v>0</v>
      </c>
      <c r="BV262" s="529">
        <f t="shared" si="1234"/>
        <v>0</v>
      </c>
      <c r="BW262" s="529">
        <f t="shared" si="1235"/>
        <v>0</v>
      </c>
      <c r="BX262" s="529">
        <f t="shared" si="1236"/>
        <v>0</v>
      </c>
      <c r="BY262" s="529">
        <f t="shared" si="1237"/>
        <v>0</v>
      </c>
      <c r="BZ262" s="529">
        <f t="shared" si="1238"/>
        <v>0</v>
      </c>
      <c r="CB262" s="529">
        <f t="shared" si="1239"/>
        <v>0</v>
      </c>
      <c r="CC262" s="529">
        <f t="shared" si="1240"/>
        <v>0</v>
      </c>
      <c r="CD262" s="529">
        <f t="shared" si="1241"/>
        <v>0</v>
      </c>
      <c r="CE262" s="529">
        <f t="shared" si="1242"/>
        <v>0</v>
      </c>
      <c r="CF262" s="529">
        <f t="shared" si="1243"/>
        <v>0</v>
      </c>
      <c r="CG262" s="529">
        <f t="shared" si="1244"/>
        <v>0</v>
      </c>
      <c r="CH262" s="529">
        <f t="shared" si="1245"/>
        <v>0</v>
      </c>
      <c r="CI262" s="529">
        <f t="shared" si="1246"/>
        <v>0</v>
      </c>
      <c r="CJ262" s="529">
        <f t="shared" si="1247"/>
        <v>0</v>
      </c>
      <c r="CK262" s="529">
        <f t="shared" si="1248"/>
        <v>0</v>
      </c>
      <c r="CL262" s="529">
        <f t="shared" si="1249"/>
        <v>0</v>
      </c>
      <c r="CM262" s="529">
        <f t="shared" si="1250"/>
        <v>0</v>
      </c>
      <c r="CN262" s="529">
        <f t="shared" si="1251"/>
        <v>0</v>
      </c>
      <c r="CO262" s="529">
        <f t="shared" si="1252"/>
        <v>0</v>
      </c>
      <c r="CP262" s="529">
        <f t="shared" si="1253"/>
        <v>0</v>
      </c>
      <c r="CQ262" s="529">
        <f t="shared" si="1254"/>
        <v>0</v>
      </c>
      <c r="CR262" s="529">
        <f t="shared" si="1255"/>
        <v>0</v>
      </c>
    </row>
    <row r="263" spans="1:96" x14ac:dyDescent="0.2">
      <c r="A263" s="764"/>
      <c r="B263" s="537" t="str">
        <f>+B256</f>
        <v>NPK 10-26-26</v>
      </c>
      <c r="C263" s="538"/>
      <c r="D263" s="607"/>
      <c r="E263" s="539"/>
      <c r="F263" s="538"/>
      <c r="G263" s="607"/>
      <c r="H263" s="539"/>
      <c r="I263" s="538"/>
      <c r="J263" s="607"/>
      <c r="K263" s="539"/>
      <c r="L263" s="538"/>
      <c r="M263" s="607"/>
      <c r="N263" s="539"/>
      <c r="O263" s="538"/>
      <c r="P263" s="607"/>
      <c r="Q263" s="539"/>
      <c r="R263" s="538"/>
      <c r="S263" s="607"/>
      <c r="T263" s="539"/>
      <c r="U263" s="538"/>
      <c r="V263" s="637"/>
      <c r="W263" s="539"/>
      <c r="X263" s="538"/>
      <c r="Y263" s="607"/>
      <c r="Z263" s="607"/>
      <c r="AA263" s="538">
        <f>+Assumptions!$I$13*$BC263*1000</f>
        <v>0</v>
      </c>
      <c r="AB263" s="607">
        <f>+AB$316-3</f>
        <v>431</v>
      </c>
      <c r="AC263" s="607">
        <f t="shared" si="1267"/>
        <v>0</v>
      </c>
      <c r="AD263" s="538">
        <f>+Assumptions!$J$13*$BC263*1000</f>
        <v>0</v>
      </c>
      <c r="AE263" s="607">
        <f>+AE$316-3</f>
        <v>444</v>
      </c>
      <c r="AF263" s="607">
        <f t="shared" si="1268"/>
        <v>0</v>
      </c>
      <c r="AG263" s="538">
        <f>+Assumptions!$K$13*$BC263*1000</f>
        <v>0</v>
      </c>
      <c r="AH263" s="607">
        <f>+AH$316-3</f>
        <v>457</v>
      </c>
      <c r="AI263" s="607">
        <f t="shared" si="1269"/>
        <v>0</v>
      </c>
      <c r="AJ263" s="538">
        <f>+Assumptions!$L$13*$BC263*1000</f>
        <v>0</v>
      </c>
      <c r="AK263" s="607">
        <f>+AK$316-3</f>
        <v>471</v>
      </c>
      <c r="AL263" s="607">
        <f t="shared" si="1270"/>
        <v>0</v>
      </c>
      <c r="AM263" s="538">
        <f>+Assumptions!$M$13*$BC263*1000</f>
        <v>0</v>
      </c>
      <c r="AN263" s="607">
        <f>+AN$316-3</f>
        <v>485</v>
      </c>
      <c r="AO263" s="607">
        <f t="shared" si="1271"/>
        <v>0</v>
      </c>
      <c r="AP263" s="538">
        <f>+Assumptions!$N$13*$BC263*1000</f>
        <v>0</v>
      </c>
      <c r="AQ263" s="607">
        <f>+AQ$316-3</f>
        <v>500</v>
      </c>
      <c r="AR263" s="607">
        <f t="shared" si="1272"/>
        <v>0</v>
      </c>
      <c r="AS263" s="538">
        <f>+Assumptions!$N$13*$BC263*1000</f>
        <v>0</v>
      </c>
      <c r="AT263" s="607">
        <f>+AT$316-3</f>
        <v>515</v>
      </c>
      <c r="AU263" s="607">
        <f t="shared" si="1273"/>
        <v>0</v>
      </c>
      <c r="AV263" s="538">
        <f>+Assumptions!$N$13*$BC263*1000</f>
        <v>0</v>
      </c>
      <c r="AW263" s="607">
        <f>+AW$316-3</f>
        <v>531</v>
      </c>
      <c r="AX263" s="607">
        <f t="shared" si="1274"/>
        <v>0</v>
      </c>
      <c r="AY263" s="538">
        <f>+Assumptions!$N$13*$BC263*1000</f>
        <v>0</v>
      </c>
      <c r="AZ263" s="607">
        <f>+AZ$316-3</f>
        <v>547</v>
      </c>
      <c r="BA263" s="607">
        <f t="shared" si="1275"/>
        <v>0</v>
      </c>
      <c r="BC263" s="710">
        <v>0</v>
      </c>
      <c r="BJ263" s="529">
        <f t="shared" si="1222"/>
        <v>0</v>
      </c>
      <c r="BK263" s="529">
        <f t="shared" si="1223"/>
        <v>0</v>
      </c>
      <c r="BL263" s="529">
        <f t="shared" si="1224"/>
        <v>0</v>
      </c>
      <c r="BM263" s="529">
        <f t="shared" si="1225"/>
        <v>0</v>
      </c>
      <c r="BN263" s="529">
        <f t="shared" si="1226"/>
        <v>0</v>
      </c>
      <c r="BO263" s="529">
        <f t="shared" si="1227"/>
        <v>0</v>
      </c>
      <c r="BP263" s="529">
        <f t="shared" si="1228"/>
        <v>0</v>
      </c>
      <c r="BQ263" s="529">
        <f t="shared" si="1229"/>
        <v>0</v>
      </c>
      <c r="BR263" s="529">
        <f t="shared" si="1230"/>
        <v>0</v>
      </c>
      <c r="BS263" s="529">
        <f t="shared" si="1231"/>
        <v>0</v>
      </c>
      <c r="BT263" s="529">
        <f t="shared" si="1232"/>
        <v>0</v>
      </c>
      <c r="BU263" s="529">
        <f t="shared" si="1233"/>
        <v>0</v>
      </c>
      <c r="BV263" s="529">
        <f t="shared" si="1234"/>
        <v>0</v>
      </c>
      <c r="BW263" s="529">
        <f t="shared" si="1235"/>
        <v>0</v>
      </c>
      <c r="BX263" s="529">
        <f t="shared" si="1236"/>
        <v>0</v>
      </c>
      <c r="BY263" s="529">
        <f t="shared" si="1237"/>
        <v>0</v>
      </c>
      <c r="BZ263" s="529">
        <f t="shared" si="1238"/>
        <v>0</v>
      </c>
      <c r="CB263" s="529">
        <f t="shared" si="1239"/>
        <v>0</v>
      </c>
      <c r="CC263" s="529">
        <f t="shared" si="1240"/>
        <v>0</v>
      </c>
      <c r="CD263" s="529">
        <f t="shared" si="1241"/>
        <v>0</v>
      </c>
      <c r="CE263" s="529">
        <f t="shared" si="1242"/>
        <v>0</v>
      </c>
      <c r="CF263" s="529">
        <f t="shared" si="1243"/>
        <v>0</v>
      </c>
      <c r="CG263" s="529">
        <f t="shared" si="1244"/>
        <v>0</v>
      </c>
      <c r="CH263" s="529">
        <f t="shared" si="1245"/>
        <v>0</v>
      </c>
      <c r="CI263" s="529">
        <f t="shared" si="1246"/>
        <v>0</v>
      </c>
      <c r="CJ263" s="529">
        <f t="shared" si="1247"/>
        <v>0</v>
      </c>
      <c r="CK263" s="529">
        <f t="shared" si="1248"/>
        <v>0</v>
      </c>
      <c r="CL263" s="529">
        <f t="shared" si="1249"/>
        <v>0</v>
      </c>
      <c r="CM263" s="529">
        <f t="shared" si="1250"/>
        <v>0</v>
      </c>
      <c r="CN263" s="529">
        <f t="shared" si="1251"/>
        <v>0</v>
      </c>
      <c r="CO263" s="529">
        <f t="shared" si="1252"/>
        <v>0</v>
      </c>
      <c r="CP263" s="529">
        <f t="shared" si="1253"/>
        <v>0</v>
      </c>
      <c r="CQ263" s="529">
        <f t="shared" si="1254"/>
        <v>0</v>
      </c>
      <c r="CR263" s="529">
        <f t="shared" si="1255"/>
        <v>0</v>
      </c>
    </row>
    <row r="264" spans="1:96" x14ac:dyDescent="0.2">
      <c r="A264" s="763"/>
      <c r="B264" s="537" t="str">
        <f>+B257</f>
        <v>NPK 10-20-20</v>
      </c>
      <c r="C264" s="538"/>
      <c r="D264" s="607"/>
      <c r="E264" s="539"/>
      <c r="F264" s="538"/>
      <c r="G264" s="607"/>
      <c r="H264" s="539"/>
      <c r="I264" s="538"/>
      <c r="J264" s="607"/>
      <c r="K264" s="539"/>
      <c r="L264" s="538"/>
      <c r="M264" s="607"/>
      <c r="N264" s="539"/>
      <c r="O264" s="538"/>
      <c r="P264" s="607"/>
      <c r="Q264" s="539"/>
      <c r="R264" s="538"/>
      <c r="S264" s="607"/>
      <c r="T264" s="539"/>
      <c r="U264" s="538"/>
      <c r="V264" s="637"/>
      <c r="W264" s="539"/>
      <c r="X264" s="538"/>
      <c r="Y264" s="607"/>
      <c r="Z264" s="607"/>
      <c r="AA264" s="538">
        <f>+Assumptions!$I$13*$BC264*1000</f>
        <v>0</v>
      </c>
      <c r="AB264" s="607">
        <f>+AB$317-3</f>
        <v>347</v>
      </c>
      <c r="AC264" s="607">
        <f t="shared" si="1267"/>
        <v>0</v>
      </c>
      <c r="AD264" s="538">
        <f>+Assumptions!$J$13*$BC264*1000</f>
        <v>0</v>
      </c>
      <c r="AE264" s="607">
        <f>+AE$317-3</f>
        <v>358</v>
      </c>
      <c r="AF264" s="607">
        <f t="shared" si="1268"/>
        <v>0</v>
      </c>
      <c r="AG264" s="538">
        <f>+Assumptions!$K$13*$BC264*1000</f>
        <v>0</v>
      </c>
      <c r="AH264" s="607">
        <f>+AH$317-3</f>
        <v>369</v>
      </c>
      <c r="AI264" s="607">
        <f t="shared" si="1269"/>
        <v>0</v>
      </c>
      <c r="AJ264" s="538">
        <f>+Assumptions!$L$13*$BC264*1000</f>
        <v>0</v>
      </c>
      <c r="AK264" s="607">
        <f>+AK$317-3</f>
        <v>380</v>
      </c>
      <c r="AL264" s="607">
        <f t="shared" si="1270"/>
        <v>0</v>
      </c>
      <c r="AM264" s="538">
        <f>+Assumptions!$M$13*$BC264*1000</f>
        <v>0</v>
      </c>
      <c r="AN264" s="607">
        <f>+AN$317-3</f>
        <v>391</v>
      </c>
      <c r="AO264" s="607">
        <f t="shared" si="1271"/>
        <v>0</v>
      </c>
      <c r="AP264" s="538">
        <f>+Assumptions!$N$13*$BC264*1000</f>
        <v>0</v>
      </c>
      <c r="AQ264" s="607">
        <f>+AQ$317-3</f>
        <v>403</v>
      </c>
      <c r="AR264" s="607">
        <f t="shared" si="1272"/>
        <v>0</v>
      </c>
      <c r="AS264" s="538">
        <f>+Assumptions!$N$13*$BC264*1000</f>
        <v>0</v>
      </c>
      <c r="AT264" s="607">
        <f>+AT$317-3</f>
        <v>415</v>
      </c>
      <c r="AU264" s="607">
        <f t="shared" si="1273"/>
        <v>0</v>
      </c>
      <c r="AV264" s="538">
        <f>+Assumptions!$N$13*$BC264*1000</f>
        <v>0</v>
      </c>
      <c r="AW264" s="607">
        <f>+AW$317-3</f>
        <v>428</v>
      </c>
      <c r="AX264" s="607">
        <f t="shared" si="1274"/>
        <v>0</v>
      </c>
      <c r="AY264" s="538">
        <f>+Assumptions!$N$13*$BC264*1000</f>
        <v>0</v>
      </c>
      <c r="AZ264" s="607">
        <f>+AZ$317-3</f>
        <v>441</v>
      </c>
      <c r="BA264" s="607">
        <f t="shared" si="1275"/>
        <v>0</v>
      </c>
      <c r="BC264" s="710">
        <v>0</v>
      </c>
      <c r="BJ264" s="529">
        <f t="shared" si="1222"/>
        <v>0</v>
      </c>
      <c r="BK264" s="529">
        <f t="shared" si="1223"/>
        <v>0</v>
      </c>
      <c r="BL264" s="529">
        <f t="shared" si="1224"/>
        <v>0</v>
      </c>
      <c r="BM264" s="529">
        <f t="shared" si="1225"/>
        <v>0</v>
      </c>
      <c r="BN264" s="529">
        <f t="shared" si="1226"/>
        <v>0</v>
      </c>
      <c r="BO264" s="529">
        <f t="shared" si="1227"/>
        <v>0</v>
      </c>
      <c r="BP264" s="529">
        <f t="shared" si="1228"/>
        <v>0</v>
      </c>
      <c r="BQ264" s="529">
        <f t="shared" si="1229"/>
        <v>0</v>
      </c>
      <c r="BR264" s="529">
        <f t="shared" si="1230"/>
        <v>0</v>
      </c>
      <c r="BS264" s="529">
        <f t="shared" si="1231"/>
        <v>0</v>
      </c>
      <c r="BT264" s="529">
        <f t="shared" si="1232"/>
        <v>0</v>
      </c>
      <c r="BU264" s="529">
        <f t="shared" si="1233"/>
        <v>0</v>
      </c>
      <c r="BV264" s="529">
        <f t="shared" si="1234"/>
        <v>0</v>
      </c>
      <c r="BW264" s="529">
        <f t="shared" si="1235"/>
        <v>0</v>
      </c>
      <c r="BX264" s="529">
        <f t="shared" si="1236"/>
        <v>0</v>
      </c>
      <c r="BY264" s="529">
        <f t="shared" si="1237"/>
        <v>0</v>
      </c>
      <c r="BZ264" s="529">
        <f t="shared" si="1238"/>
        <v>0</v>
      </c>
      <c r="CB264" s="529">
        <f t="shared" si="1239"/>
        <v>0</v>
      </c>
      <c r="CC264" s="529">
        <f t="shared" si="1240"/>
        <v>0</v>
      </c>
      <c r="CD264" s="529">
        <f t="shared" si="1241"/>
        <v>0</v>
      </c>
      <c r="CE264" s="529">
        <f t="shared" si="1242"/>
        <v>0</v>
      </c>
      <c r="CF264" s="529">
        <f t="shared" si="1243"/>
        <v>0</v>
      </c>
      <c r="CG264" s="529">
        <f t="shared" si="1244"/>
        <v>0</v>
      </c>
      <c r="CH264" s="529">
        <f t="shared" si="1245"/>
        <v>0</v>
      </c>
      <c r="CI264" s="529">
        <f t="shared" si="1246"/>
        <v>0</v>
      </c>
      <c r="CJ264" s="529">
        <f t="shared" si="1247"/>
        <v>0</v>
      </c>
      <c r="CK264" s="529">
        <f t="shared" si="1248"/>
        <v>0</v>
      </c>
      <c r="CL264" s="529">
        <f t="shared" si="1249"/>
        <v>0</v>
      </c>
      <c r="CM264" s="529">
        <f t="shared" si="1250"/>
        <v>0</v>
      </c>
      <c r="CN264" s="529">
        <f t="shared" si="1251"/>
        <v>0</v>
      </c>
      <c r="CO264" s="529">
        <f t="shared" si="1252"/>
        <v>0</v>
      </c>
      <c r="CP264" s="529">
        <f t="shared" si="1253"/>
        <v>0</v>
      </c>
      <c r="CQ264" s="529">
        <f t="shared" si="1254"/>
        <v>0</v>
      </c>
      <c r="CR264" s="529">
        <f t="shared" si="1255"/>
        <v>0</v>
      </c>
    </row>
    <row r="265" spans="1:96" x14ac:dyDescent="0.2">
      <c r="A265" s="763"/>
      <c r="B265" s="537" t="str">
        <f t="shared" ref="B265:B266" si="1276">+B258</f>
        <v>NPK 13-13-21</v>
      </c>
      <c r="C265" s="538"/>
      <c r="D265" s="607"/>
      <c r="E265" s="539"/>
      <c r="F265" s="538"/>
      <c r="G265" s="607"/>
      <c r="H265" s="539"/>
      <c r="I265" s="538"/>
      <c r="J265" s="607"/>
      <c r="K265" s="539"/>
      <c r="L265" s="538"/>
      <c r="M265" s="607"/>
      <c r="N265" s="539"/>
      <c r="O265" s="538"/>
      <c r="P265" s="607"/>
      <c r="Q265" s="539"/>
      <c r="R265" s="538"/>
      <c r="S265" s="607"/>
      <c r="T265" s="539"/>
      <c r="U265" s="538"/>
      <c r="V265" s="637"/>
      <c r="W265" s="539"/>
      <c r="X265" s="538"/>
      <c r="Y265" s="607"/>
      <c r="Z265" s="607"/>
      <c r="AA265" s="538">
        <f>+Assumptions!$I$13*$BC265*1000</f>
        <v>0</v>
      </c>
      <c r="AB265" s="607">
        <f>+AB$318-3</f>
        <v>326</v>
      </c>
      <c r="AC265" s="607">
        <f t="shared" si="1267"/>
        <v>0</v>
      </c>
      <c r="AD265" s="538">
        <f>+Assumptions!$J$13*$BC265*1000</f>
        <v>0</v>
      </c>
      <c r="AE265" s="607">
        <f>+AE$318-3</f>
        <v>336</v>
      </c>
      <c r="AF265" s="607">
        <f t="shared" si="1268"/>
        <v>0</v>
      </c>
      <c r="AG265" s="538">
        <f>+Assumptions!$K$13*$BC265*1000</f>
        <v>0</v>
      </c>
      <c r="AH265" s="607">
        <f>+AH$318-3</f>
        <v>346</v>
      </c>
      <c r="AI265" s="607">
        <f t="shared" si="1269"/>
        <v>0</v>
      </c>
      <c r="AJ265" s="538">
        <f>+Assumptions!$L$13*$BC265*1000</f>
        <v>0</v>
      </c>
      <c r="AK265" s="607">
        <f>+AK$318-3</f>
        <v>356</v>
      </c>
      <c r="AL265" s="607">
        <f t="shared" si="1270"/>
        <v>0</v>
      </c>
      <c r="AM265" s="538">
        <f>+Assumptions!$M$13*$BC265*1000</f>
        <v>0</v>
      </c>
      <c r="AN265" s="607">
        <f>+AN$318-3</f>
        <v>367</v>
      </c>
      <c r="AO265" s="607">
        <f t="shared" si="1271"/>
        <v>0</v>
      </c>
      <c r="AP265" s="538">
        <f>+Assumptions!$N$13*$BC265*1000</f>
        <v>0</v>
      </c>
      <c r="AQ265" s="607">
        <f>+AQ$318-3</f>
        <v>378</v>
      </c>
      <c r="AR265" s="607">
        <f t="shared" si="1272"/>
        <v>0</v>
      </c>
      <c r="AS265" s="538">
        <f>+Assumptions!$N$13*$BC265*1000</f>
        <v>0</v>
      </c>
      <c r="AT265" s="607">
        <f>+AT$318-3</f>
        <v>389</v>
      </c>
      <c r="AU265" s="607">
        <f t="shared" si="1273"/>
        <v>0</v>
      </c>
      <c r="AV265" s="538">
        <f>+Assumptions!$N$13*$BC265*1000</f>
        <v>0</v>
      </c>
      <c r="AW265" s="607">
        <f>+AW$318-3</f>
        <v>401</v>
      </c>
      <c r="AX265" s="607">
        <f t="shared" si="1274"/>
        <v>0</v>
      </c>
      <c r="AY265" s="538">
        <f>+Assumptions!$N$13*$BC265*1000</f>
        <v>0</v>
      </c>
      <c r="AZ265" s="607">
        <f>+AZ$318-3</f>
        <v>413</v>
      </c>
      <c r="BA265" s="607">
        <f t="shared" si="1275"/>
        <v>0</v>
      </c>
      <c r="BC265" s="710">
        <v>0</v>
      </c>
      <c r="BJ265" s="529">
        <f t="shared" si="1222"/>
        <v>0</v>
      </c>
      <c r="BK265" s="529">
        <f t="shared" si="1223"/>
        <v>0</v>
      </c>
      <c r="BL265" s="529">
        <f t="shared" si="1224"/>
        <v>0</v>
      </c>
      <c r="BM265" s="529">
        <f t="shared" si="1225"/>
        <v>0</v>
      </c>
      <c r="BN265" s="529">
        <f t="shared" si="1226"/>
        <v>0</v>
      </c>
      <c r="BO265" s="529">
        <f t="shared" si="1227"/>
        <v>0</v>
      </c>
      <c r="BP265" s="529">
        <f t="shared" si="1228"/>
        <v>0</v>
      </c>
      <c r="BQ265" s="529">
        <f t="shared" si="1229"/>
        <v>0</v>
      </c>
      <c r="BR265" s="529">
        <f t="shared" si="1230"/>
        <v>0</v>
      </c>
      <c r="BS265" s="529">
        <f t="shared" si="1231"/>
        <v>0</v>
      </c>
      <c r="BT265" s="529">
        <f t="shared" si="1232"/>
        <v>0</v>
      </c>
      <c r="BU265" s="529">
        <f t="shared" si="1233"/>
        <v>0</v>
      </c>
      <c r="BV265" s="529">
        <f t="shared" si="1234"/>
        <v>0</v>
      </c>
      <c r="BW265" s="529">
        <f t="shared" si="1235"/>
        <v>0</v>
      </c>
      <c r="BX265" s="529">
        <f t="shared" si="1236"/>
        <v>0</v>
      </c>
      <c r="BY265" s="529">
        <f t="shared" si="1237"/>
        <v>0</v>
      </c>
      <c r="BZ265" s="529">
        <f t="shared" si="1238"/>
        <v>0</v>
      </c>
      <c r="CB265" s="529">
        <f t="shared" si="1239"/>
        <v>0</v>
      </c>
      <c r="CC265" s="529">
        <f t="shared" si="1240"/>
        <v>0</v>
      </c>
      <c r="CD265" s="529">
        <f t="shared" si="1241"/>
        <v>0</v>
      </c>
      <c r="CE265" s="529">
        <f t="shared" si="1242"/>
        <v>0</v>
      </c>
      <c r="CF265" s="529">
        <f t="shared" si="1243"/>
        <v>0</v>
      </c>
      <c r="CG265" s="529">
        <f t="shared" si="1244"/>
        <v>0</v>
      </c>
      <c r="CH265" s="529">
        <f t="shared" si="1245"/>
        <v>0</v>
      </c>
      <c r="CI265" s="529">
        <f t="shared" si="1246"/>
        <v>0</v>
      </c>
      <c r="CJ265" s="529">
        <f t="shared" si="1247"/>
        <v>0</v>
      </c>
      <c r="CK265" s="529">
        <f t="shared" si="1248"/>
        <v>0</v>
      </c>
      <c r="CL265" s="529">
        <f t="shared" si="1249"/>
        <v>0</v>
      </c>
      <c r="CM265" s="529">
        <f t="shared" si="1250"/>
        <v>0</v>
      </c>
      <c r="CN265" s="529">
        <f t="shared" si="1251"/>
        <v>0</v>
      </c>
      <c r="CO265" s="529">
        <f t="shared" si="1252"/>
        <v>0</v>
      </c>
      <c r="CP265" s="529">
        <f t="shared" si="1253"/>
        <v>0</v>
      </c>
      <c r="CQ265" s="529">
        <f t="shared" si="1254"/>
        <v>0</v>
      </c>
      <c r="CR265" s="529">
        <f t="shared" si="1255"/>
        <v>0</v>
      </c>
    </row>
    <row r="266" spans="1:96" x14ac:dyDescent="0.2">
      <c r="A266" s="763"/>
      <c r="B266" s="537" t="str">
        <f t="shared" si="1276"/>
        <v>NPK 00-00-00</v>
      </c>
      <c r="C266" s="538"/>
      <c r="D266" s="607"/>
      <c r="E266" s="539"/>
      <c r="F266" s="538"/>
      <c r="G266" s="607"/>
      <c r="H266" s="539"/>
      <c r="I266" s="538"/>
      <c r="J266" s="607"/>
      <c r="K266" s="539"/>
      <c r="L266" s="538"/>
      <c r="M266" s="607"/>
      <c r="N266" s="539"/>
      <c r="O266" s="538"/>
      <c r="P266" s="607"/>
      <c r="Q266" s="539"/>
      <c r="R266" s="538"/>
      <c r="S266" s="607"/>
      <c r="T266" s="539"/>
      <c r="U266" s="538"/>
      <c r="V266" s="637"/>
      <c r="W266" s="539"/>
      <c r="X266" s="538"/>
      <c r="Y266" s="607"/>
      <c r="Z266" s="607"/>
      <c r="AA266" s="538">
        <f>+Assumptions!$I$13*$BC266*1000</f>
        <v>0</v>
      </c>
      <c r="AB266" s="607">
        <f>+AB$319-3</f>
        <v>-3</v>
      </c>
      <c r="AC266" s="607">
        <f t="shared" si="1267"/>
        <v>0</v>
      </c>
      <c r="AD266" s="538">
        <f>+Assumptions!$J$13*$BC266*1000</f>
        <v>0</v>
      </c>
      <c r="AE266" s="607">
        <f>+AE$319-3</f>
        <v>-3</v>
      </c>
      <c r="AF266" s="607">
        <f t="shared" si="1268"/>
        <v>0</v>
      </c>
      <c r="AG266" s="538">
        <f>+Assumptions!$K$13*$BC266*1000</f>
        <v>0</v>
      </c>
      <c r="AH266" s="607">
        <f>+AH$319-3</f>
        <v>-3</v>
      </c>
      <c r="AI266" s="607">
        <f t="shared" si="1269"/>
        <v>0</v>
      </c>
      <c r="AJ266" s="538">
        <f>+Assumptions!$L$13*$BC266*1000</f>
        <v>0</v>
      </c>
      <c r="AK266" s="607">
        <f>+AK$319-3</f>
        <v>-3</v>
      </c>
      <c r="AL266" s="607">
        <f t="shared" si="1270"/>
        <v>0</v>
      </c>
      <c r="AM266" s="538">
        <f>+Assumptions!$M$13*$BC266*1000</f>
        <v>0</v>
      </c>
      <c r="AN266" s="607">
        <f>+AN$319-3</f>
        <v>-3</v>
      </c>
      <c r="AO266" s="607">
        <f t="shared" si="1271"/>
        <v>0</v>
      </c>
      <c r="AP266" s="538">
        <f>+Assumptions!$N$13*$BC266*1000</f>
        <v>0</v>
      </c>
      <c r="AQ266" s="607">
        <f>+AQ$319-3</f>
        <v>-3</v>
      </c>
      <c r="AR266" s="607">
        <f t="shared" si="1272"/>
        <v>0</v>
      </c>
      <c r="AS266" s="538">
        <f>+Assumptions!$N$13*$BC266*1000</f>
        <v>0</v>
      </c>
      <c r="AT266" s="607">
        <f>+AT$319-3</f>
        <v>-3</v>
      </c>
      <c r="AU266" s="607">
        <f t="shared" si="1273"/>
        <v>0</v>
      </c>
      <c r="AV266" s="538">
        <f>+Assumptions!$N$13*$BC266*1000</f>
        <v>0</v>
      </c>
      <c r="AW266" s="607">
        <f>+AW$319-3</f>
        <v>-3</v>
      </c>
      <c r="AX266" s="607">
        <f t="shared" si="1274"/>
        <v>0</v>
      </c>
      <c r="AY266" s="538">
        <f>+Assumptions!$N$13*$BC266*1000</f>
        <v>0</v>
      </c>
      <c r="AZ266" s="607">
        <f>+AZ$319-3</f>
        <v>-3</v>
      </c>
      <c r="BA266" s="607">
        <f t="shared" si="1275"/>
        <v>0</v>
      </c>
      <c r="BC266" s="710">
        <v>0</v>
      </c>
      <c r="BD266" s="729">
        <v>1</v>
      </c>
      <c r="BJ266" s="529">
        <f t="shared" si="1222"/>
        <v>0</v>
      </c>
      <c r="BK266" s="529">
        <f t="shared" si="1223"/>
        <v>0</v>
      </c>
      <c r="BL266" s="529">
        <f t="shared" si="1224"/>
        <v>0</v>
      </c>
      <c r="BM266" s="529">
        <f t="shared" si="1225"/>
        <v>0</v>
      </c>
      <c r="BN266" s="529">
        <f t="shared" si="1226"/>
        <v>0</v>
      </c>
      <c r="BO266" s="529">
        <f t="shared" si="1227"/>
        <v>0</v>
      </c>
      <c r="BP266" s="529">
        <f t="shared" si="1228"/>
        <v>0</v>
      </c>
      <c r="BQ266" s="529">
        <f t="shared" si="1229"/>
        <v>0</v>
      </c>
      <c r="BR266" s="529">
        <f t="shared" si="1230"/>
        <v>0</v>
      </c>
      <c r="BS266" s="529">
        <f t="shared" si="1231"/>
        <v>0</v>
      </c>
      <c r="BT266" s="529">
        <f t="shared" si="1232"/>
        <v>0</v>
      </c>
      <c r="BU266" s="529">
        <f t="shared" si="1233"/>
        <v>0</v>
      </c>
      <c r="BV266" s="529">
        <f t="shared" si="1234"/>
        <v>0</v>
      </c>
      <c r="BW266" s="529">
        <f t="shared" si="1235"/>
        <v>0</v>
      </c>
      <c r="BX266" s="529">
        <f t="shared" si="1236"/>
        <v>0</v>
      </c>
      <c r="BY266" s="529">
        <f t="shared" si="1237"/>
        <v>0</v>
      </c>
      <c r="BZ266" s="529">
        <f t="shared" si="1238"/>
        <v>0</v>
      </c>
      <c r="CB266" s="529">
        <f t="shared" si="1239"/>
        <v>0</v>
      </c>
      <c r="CC266" s="529">
        <f t="shared" si="1240"/>
        <v>0</v>
      </c>
      <c r="CD266" s="529">
        <f t="shared" si="1241"/>
        <v>0</v>
      </c>
      <c r="CE266" s="529">
        <f t="shared" si="1242"/>
        <v>0</v>
      </c>
      <c r="CF266" s="529">
        <f t="shared" si="1243"/>
        <v>0</v>
      </c>
      <c r="CG266" s="529">
        <f t="shared" si="1244"/>
        <v>0</v>
      </c>
      <c r="CH266" s="529">
        <f t="shared" si="1245"/>
        <v>0</v>
      </c>
      <c r="CI266" s="529">
        <f t="shared" si="1246"/>
        <v>0</v>
      </c>
      <c r="CJ266" s="529">
        <f t="shared" si="1247"/>
        <v>0</v>
      </c>
      <c r="CK266" s="529">
        <f t="shared" si="1248"/>
        <v>0</v>
      </c>
      <c r="CL266" s="529">
        <f t="shared" si="1249"/>
        <v>0</v>
      </c>
      <c r="CM266" s="529">
        <f t="shared" si="1250"/>
        <v>0</v>
      </c>
      <c r="CN266" s="529">
        <f t="shared" si="1251"/>
        <v>0</v>
      </c>
      <c r="CO266" s="529">
        <f t="shared" si="1252"/>
        <v>0</v>
      </c>
      <c r="CP266" s="529">
        <f t="shared" si="1253"/>
        <v>0</v>
      </c>
      <c r="CQ266" s="529">
        <f t="shared" si="1254"/>
        <v>0</v>
      </c>
      <c r="CR266" s="529">
        <f t="shared" si="1255"/>
        <v>0</v>
      </c>
    </row>
    <row r="267" spans="1:96" x14ac:dyDescent="0.2">
      <c r="A267" s="765"/>
      <c r="B267" s="611"/>
      <c r="C267" s="543"/>
      <c r="D267" s="609"/>
      <c r="E267" s="544"/>
      <c r="F267" s="543"/>
      <c r="G267" s="609"/>
      <c r="H267" s="544"/>
      <c r="I267" s="543"/>
      <c r="J267" s="609"/>
      <c r="K267" s="544"/>
      <c r="L267" s="543"/>
      <c r="M267" s="609"/>
      <c r="N267" s="544"/>
      <c r="O267" s="543"/>
      <c r="P267" s="609"/>
      <c r="Q267" s="544"/>
      <c r="R267" s="543"/>
      <c r="S267" s="609"/>
      <c r="T267" s="544"/>
      <c r="U267" s="543"/>
      <c r="V267" s="638"/>
      <c r="W267" s="544"/>
      <c r="X267" s="543"/>
      <c r="Y267" s="609"/>
      <c r="Z267" s="609"/>
      <c r="AA267" s="543"/>
      <c r="AB267" s="609"/>
      <c r="AC267" s="609"/>
      <c r="AD267" s="543"/>
      <c r="AE267" s="609"/>
      <c r="AF267" s="609"/>
      <c r="AG267" s="543"/>
      <c r="AH267" s="609"/>
      <c r="AI267" s="609"/>
      <c r="AJ267" s="543"/>
      <c r="AK267" s="609"/>
      <c r="AL267" s="609"/>
      <c r="AM267" s="543"/>
      <c r="AN267" s="609"/>
      <c r="AO267" s="609"/>
      <c r="AP267" s="543"/>
      <c r="AQ267" s="609"/>
      <c r="AR267" s="609"/>
      <c r="AS267" s="543"/>
      <c r="AT267" s="609"/>
      <c r="AU267" s="609"/>
      <c r="AV267" s="543"/>
      <c r="AW267" s="609"/>
      <c r="AX267" s="609"/>
      <c r="AY267" s="543"/>
      <c r="AZ267" s="609"/>
      <c r="BA267" s="609"/>
      <c r="BC267" s="710" t="e">
        <v>#N/A</v>
      </c>
      <c r="BJ267" s="529">
        <f t="shared" si="1222"/>
        <v>0</v>
      </c>
      <c r="BK267" s="529">
        <f t="shared" si="1223"/>
        <v>0</v>
      </c>
      <c r="BL267" s="529">
        <f t="shared" si="1224"/>
        <v>0</v>
      </c>
      <c r="BM267" s="529">
        <f t="shared" si="1225"/>
        <v>0</v>
      </c>
      <c r="BN267" s="529">
        <f t="shared" si="1226"/>
        <v>0</v>
      </c>
      <c r="BO267" s="529">
        <f t="shared" si="1227"/>
        <v>0</v>
      </c>
      <c r="BP267" s="529">
        <f t="shared" si="1228"/>
        <v>0</v>
      </c>
      <c r="BQ267" s="529">
        <f t="shared" si="1229"/>
        <v>0</v>
      </c>
      <c r="BR267" s="529">
        <f t="shared" si="1230"/>
        <v>0</v>
      </c>
      <c r="BS267" s="529">
        <f t="shared" si="1231"/>
        <v>0</v>
      </c>
      <c r="BT267" s="529">
        <f t="shared" si="1232"/>
        <v>0</v>
      </c>
      <c r="BU267" s="529">
        <f t="shared" si="1233"/>
        <v>0</v>
      </c>
      <c r="BV267" s="529">
        <f t="shared" si="1234"/>
        <v>0</v>
      </c>
      <c r="BW267" s="529">
        <f t="shared" si="1235"/>
        <v>0</v>
      </c>
      <c r="BX267" s="529">
        <f t="shared" si="1236"/>
        <v>0</v>
      </c>
      <c r="BY267" s="529">
        <f t="shared" si="1237"/>
        <v>0</v>
      </c>
      <c r="BZ267" s="529">
        <f t="shared" si="1238"/>
        <v>0</v>
      </c>
      <c r="CB267" s="529">
        <f t="shared" si="1239"/>
        <v>0</v>
      </c>
      <c r="CC267" s="529">
        <f t="shared" si="1240"/>
        <v>0</v>
      </c>
      <c r="CD267" s="529">
        <f t="shared" si="1241"/>
        <v>0</v>
      </c>
      <c r="CE267" s="529">
        <f t="shared" si="1242"/>
        <v>0</v>
      </c>
      <c r="CF267" s="529">
        <f t="shared" si="1243"/>
        <v>0</v>
      </c>
      <c r="CG267" s="529">
        <f t="shared" si="1244"/>
        <v>0</v>
      </c>
      <c r="CH267" s="529">
        <f t="shared" si="1245"/>
        <v>0</v>
      </c>
      <c r="CI267" s="529">
        <f t="shared" si="1246"/>
        <v>0</v>
      </c>
      <c r="CJ267" s="529">
        <f t="shared" si="1247"/>
        <v>0</v>
      </c>
      <c r="CK267" s="529">
        <f t="shared" si="1248"/>
        <v>0</v>
      </c>
      <c r="CL267" s="529">
        <f t="shared" si="1249"/>
        <v>0</v>
      </c>
      <c r="CM267" s="529">
        <f t="shared" si="1250"/>
        <v>0</v>
      </c>
      <c r="CN267" s="529">
        <f t="shared" si="1251"/>
        <v>0</v>
      </c>
      <c r="CO267" s="529">
        <f t="shared" si="1252"/>
        <v>0</v>
      </c>
      <c r="CP267" s="529">
        <f t="shared" si="1253"/>
        <v>0</v>
      </c>
      <c r="CQ267" s="529">
        <f t="shared" si="1254"/>
        <v>0</v>
      </c>
      <c r="CR267" s="529">
        <f t="shared" si="1255"/>
        <v>0</v>
      </c>
    </row>
    <row r="268" spans="1:96" x14ac:dyDescent="0.2">
      <c r="A268" s="762" t="s">
        <v>500</v>
      </c>
      <c r="B268" s="610" t="str">
        <f>+B261</f>
        <v>NPK 15-15-15</v>
      </c>
      <c r="C268" s="605"/>
      <c r="D268" s="603"/>
      <c r="E268" s="604"/>
      <c r="F268" s="605"/>
      <c r="G268" s="603"/>
      <c r="H268" s="604"/>
      <c r="I268" s="605"/>
      <c r="J268" s="603"/>
      <c r="K268" s="604"/>
      <c r="L268" s="605"/>
      <c r="M268" s="603"/>
      <c r="N268" s="604"/>
      <c r="O268" s="605"/>
      <c r="P268" s="603"/>
      <c r="Q268" s="604"/>
      <c r="R268" s="605"/>
      <c r="S268" s="603"/>
      <c r="T268" s="604"/>
      <c r="U268" s="605"/>
      <c r="V268" s="636"/>
      <c r="W268" s="604"/>
      <c r="X268" s="605"/>
      <c r="Y268" s="603"/>
      <c r="Z268" s="603"/>
      <c r="AA268" s="605">
        <f>+Assumptions!$I$13*$BC268*1000</f>
        <v>4800.0000000000009</v>
      </c>
      <c r="AB268" s="603">
        <f>+AB$314+2</f>
        <v>317</v>
      </c>
      <c r="AC268" s="603">
        <f t="shared" ref="AC268:AC273" si="1277">+AB268*AA268</f>
        <v>1521600.0000000002</v>
      </c>
      <c r="AD268" s="605">
        <f>+Assumptions!$J$13*$BC268*1000</f>
        <v>9600.0000000000018</v>
      </c>
      <c r="AE268" s="603">
        <f>+AE$314+2</f>
        <v>326</v>
      </c>
      <c r="AF268" s="603">
        <f t="shared" ref="AF268:AF273" si="1278">+AE268*AD268</f>
        <v>3129600.0000000005</v>
      </c>
      <c r="AG268" s="605">
        <f>+Assumptions!$K$13*$BC268*1000</f>
        <v>9600.0000000000018</v>
      </c>
      <c r="AH268" s="603">
        <f>+AH$314+2</f>
        <v>336</v>
      </c>
      <c r="AI268" s="603">
        <f t="shared" ref="AI268:AI273" si="1279">+AH268*AG268</f>
        <v>3225600.0000000005</v>
      </c>
      <c r="AJ268" s="605">
        <f>+Assumptions!$L$13*$BC268*1000</f>
        <v>9600.0000000000018</v>
      </c>
      <c r="AK268" s="603">
        <f>+AK$314+2</f>
        <v>346</v>
      </c>
      <c r="AL268" s="603">
        <f t="shared" ref="AL268:AL273" si="1280">+AK268*AJ268</f>
        <v>3321600.0000000005</v>
      </c>
      <c r="AM268" s="605">
        <f>+Assumptions!$M$13*$BC268*1000</f>
        <v>9600.0000000000018</v>
      </c>
      <c r="AN268" s="603">
        <f>+AN$314+2</f>
        <v>356</v>
      </c>
      <c r="AO268" s="603">
        <f t="shared" ref="AO268:AO273" si="1281">+AN268*AM268</f>
        <v>3417600.0000000005</v>
      </c>
      <c r="AP268" s="605">
        <f>+Assumptions!$N$13*$BC268*1000</f>
        <v>9600.0000000000018</v>
      </c>
      <c r="AQ268" s="603">
        <f>+AQ$314+2</f>
        <v>367</v>
      </c>
      <c r="AR268" s="603">
        <f t="shared" ref="AR268:AR273" si="1282">+AQ268*AP268</f>
        <v>3523200.0000000005</v>
      </c>
      <c r="AS268" s="605">
        <f>+Assumptions!$N$13*$BC268*1000</f>
        <v>9600.0000000000018</v>
      </c>
      <c r="AT268" s="603">
        <f>+AT$314+2</f>
        <v>378</v>
      </c>
      <c r="AU268" s="603">
        <f t="shared" ref="AU268:AU273" si="1283">+AT268*AS268</f>
        <v>3628800.0000000005</v>
      </c>
      <c r="AV268" s="605">
        <f>+Assumptions!$N$13*$BC268*1000</f>
        <v>9600.0000000000018</v>
      </c>
      <c r="AW268" s="603">
        <f>+AW$314+2</f>
        <v>389</v>
      </c>
      <c r="AX268" s="603">
        <f t="shared" ref="AX268:AX273" si="1284">+AW268*AV268</f>
        <v>3734400.0000000009</v>
      </c>
      <c r="AY268" s="605">
        <f>+Assumptions!$N$13*$BC268*1000</f>
        <v>9600.0000000000018</v>
      </c>
      <c r="AZ268" s="603">
        <f>+AZ$314+2</f>
        <v>401</v>
      </c>
      <c r="BA268" s="603">
        <f t="shared" ref="BA268:BA273" si="1285">+AZ268*AY268</f>
        <v>3849600.0000000009</v>
      </c>
      <c r="BC268" s="710">
        <v>6.0000000000000012E-2</v>
      </c>
      <c r="BD268" s="729">
        <f>15%+10%+30%+3%+2%</f>
        <v>0.60000000000000009</v>
      </c>
      <c r="BJ268" s="529">
        <f t="shared" si="1222"/>
        <v>0</v>
      </c>
      <c r="BK268" s="529">
        <f t="shared" si="1223"/>
        <v>0</v>
      </c>
      <c r="BL268" s="529">
        <f t="shared" si="1224"/>
        <v>0</v>
      </c>
      <c r="BM268" s="529">
        <f t="shared" si="1225"/>
        <v>0</v>
      </c>
      <c r="BN268" s="529">
        <f t="shared" si="1226"/>
        <v>0</v>
      </c>
      <c r="BO268" s="529">
        <f t="shared" si="1227"/>
        <v>0</v>
      </c>
      <c r="BP268" s="529">
        <f t="shared" si="1228"/>
        <v>0</v>
      </c>
      <c r="BQ268" s="529">
        <f t="shared" si="1229"/>
        <v>0</v>
      </c>
      <c r="BR268" s="529">
        <f t="shared" si="1230"/>
        <v>1.5216000000000003</v>
      </c>
      <c r="BS268" s="529">
        <f t="shared" si="1231"/>
        <v>3.1296000000000004</v>
      </c>
      <c r="BT268" s="529">
        <f t="shared" si="1232"/>
        <v>3.2256000000000005</v>
      </c>
      <c r="BU268" s="529">
        <f t="shared" si="1233"/>
        <v>3.3216000000000006</v>
      </c>
      <c r="BV268" s="529">
        <f t="shared" si="1234"/>
        <v>3.4176000000000006</v>
      </c>
      <c r="BW268" s="529">
        <f t="shared" si="1235"/>
        <v>3.5232000000000006</v>
      </c>
      <c r="BX268" s="529">
        <f t="shared" si="1236"/>
        <v>3.6288000000000005</v>
      </c>
      <c r="BY268" s="529">
        <f t="shared" si="1237"/>
        <v>3.7344000000000008</v>
      </c>
      <c r="BZ268" s="529">
        <f t="shared" si="1238"/>
        <v>3.849600000000001</v>
      </c>
      <c r="CB268" s="529">
        <f t="shared" si="1239"/>
        <v>0</v>
      </c>
      <c r="CC268" s="529">
        <f t="shared" si="1240"/>
        <v>0</v>
      </c>
      <c r="CD268" s="529">
        <f t="shared" si="1241"/>
        <v>0</v>
      </c>
      <c r="CE268" s="529">
        <f t="shared" si="1242"/>
        <v>0</v>
      </c>
      <c r="CF268" s="529">
        <f t="shared" si="1243"/>
        <v>0</v>
      </c>
      <c r="CG268" s="529">
        <f t="shared" si="1244"/>
        <v>0</v>
      </c>
      <c r="CH268" s="529">
        <f t="shared" si="1245"/>
        <v>0</v>
      </c>
      <c r="CI268" s="529">
        <f t="shared" si="1246"/>
        <v>0</v>
      </c>
      <c r="CJ268" s="529">
        <f t="shared" si="1247"/>
        <v>4800.0000000000009</v>
      </c>
      <c r="CK268" s="529">
        <f t="shared" si="1248"/>
        <v>9600.0000000000018</v>
      </c>
      <c r="CL268" s="529">
        <f t="shared" si="1249"/>
        <v>9600.0000000000018</v>
      </c>
      <c r="CM268" s="529">
        <f t="shared" si="1250"/>
        <v>9600.0000000000018</v>
      </c>
      <c r="CN268" s="529">
        <f t="shared" si="1251"/>
        <v>9600.0000000000018</v>
      </c>
      <c r="CO268" s="529">
        <f t="shared" si="1252"/>
        <v>9600.0000000000018</v>
      </c>
      <c r="CP268" s="529">
        <f t="shared" si="1253"/>
        <v>9600.0000000000018</v>
      </c>
      <c r="CQ268" s="529">
        <f t="shared" si="1254"/>
        <v>9600.0000000000018</v>
      </c>
      <c r="CR268" s="529">
        <f t="shared" si="1255"/>
        <v>9600.0000000000018</v>
      </c>
    </row>
    <row r="269" spans="1:96" x14ac:dyDescent="0.2">
      <c r="A269" s="763"/>
      <c r="B269" s="537" t="str">
        <f>+B262</f>
        <v>NPK 16-16-16</v>
      </c>
      <c r="C269" s="538"/>
      <c r="D269" s="607"/>
      <c r="E269" s="539"/>
      <c r="F269" s="538"/>
      <c r="G269" s="607"/>
      <c r="H269" s="539"/>
      <c r="I269" s="538"/>
      <c r="J269" s="607"/>
      <c r="K269" s="539"/>
      <c r="L269" s="538"/>
      <c r="M269" s="607"/>
      <c r="N269" s="539"/>
      <c r="O269" s="538"/>
      <c r="P269" s="607"/>
      <c r="Q269" s="539"/>
      <c r="R269" s="538"/>
      <c r="S269" s="607"/>
      <c r="T269" s="539"/>
      <c r="U269" s="538"/>
      <c r="V269" s="637"/>
      <c r="W269" s="539"/>
      <c r="X269" s="538"/>
      <c r="Y269" s="607"/>
      <c r="Z269" s="607"/>
      <c r="AA269" s="538">
        <f>+Assumptions!$I$13*$BC269*1000</f>
        <v>1679.9999999999998</v>
      </c>
      <c r="AB269" s="607">
        <f>+AB$315+2</f>
        <v>339</v>
      </c>
      <c r="AC269" s="607">
        <f t="shared" si="1277"/>
        <v>569519.99999999988</v>
      </c>
      <c r="AD269" s="538">
        <f>+Assumptions!$J$13*$BC269*1000</f>
        <v>3359.9999999999995</v>
      </c>
      <c r="AE269" s="607">
        <f>+AE$315+2</f>
        <v>349</v>
      </c>
      <c r="AF269" s="607">
        <f t="shared" si="1278"/>
        <v>1172639.9999999998</v>
      </c>
      <c r="AG269" s="538">
        <f>+Assumptions!$K$13*$BC269*1000</f>
        <v>3359.9999999999995</v>
      </c>
      <c r="AH269" s="607">
        <f>+AH$315+2</f>
        <v>359</v>
      </c>
      <c r="AI269" s="607">
        <f t="shared" si="1279"/>
        <v>1206239.9999999998</v>
      </c>
      <c r="AJ269" s="538">
        <f>+Assumptions!$L$13*$BC269*1000</f>
        <v>3359.9999999999995</v>
      </c>
      <c r="AK269" s="607">
        <f>+AK$315+2</f>
        <v>370</v>
      </c>
      <c r="AL269" s="607">
        <f t="shared" si="1280"/>
        <v>1243199.9999999998</v>
      </c>
      <c r="AM269" s="538">
        <f>+Assumptions!$M$13*$BC269*1000</f>
        <v>3359.9999999999995</v>
      </c>
      <c r="AN269" s="607">
        <f>+AN$315+2</f>
        <v>381</v>
      </c>
      <c r="AO269" s="607">
        <f t="shared" si="1281"/>
        <v>1280159.9999999998</v>
      </c>
      <c r="AP269" s="538">
        <f>+Assumptions!$N$13*$BC269*1000</f>
        <v>3359.9999999999995</v>
      </c>
      <c r="AQ269" s="607">
        <f>+AQ$315+2</f>
        <v>392</v>
      </c>
      <c r="AR269" s="607">
        <f t="shared" si="1282"/>
        <v>1317119.9999999998</v>
      </c>
      <c r="AS269" s="538">
        <f>+Assumptions!$N$13*$BC269*1000</f>
        <v>3359.9999999999995</v>
      </c>
      <c r="AT269" s="607">
        <f>+AT$315+2</f>
        <v>404</v>
      </c>
      <c r="AU269" s="607">
        <f t="shared" si="1283"/>
        <v>1357439.9999999998</v>
      </c>
      <c r="AV269" s="538">
        <f>+Assumptions!$N$13*$BC269*1000</f>
        <v>3359.9999999999995</v>
      </c>
      <c r="AW269" s="607">
        <f>+AW$315+2</f>
        <v>416</v>
      </c>
      <c r="AX269" s="607">
        <f t="shared" si="1284"/>
        <v>1397759.9999999998</v>
      </c>
      <c r="AY269" s="538">
        <f>+Assumptions!$N$13*$BC269*1000</f>
        <v>3359.9999999999995</v>
      </c>
      <c r="AZ269" s="607">
        <f>+AZ$315+2</f>
        <v>428</v>
      </c>
      <c r="BA269" s="607">
        <f t="shared" si="1285"/>
        <v>1438079.9999999998</v>
      </c>
      <c r="BC269" s="710">
        <v>2.0999999999999998E-2</v>
      </c>
      <c r="BD269" s="729">
        <v>0.03</v>
      </c>
      <c r="BJ269" s="529">
        <f t="shared" si="1222"/>
        <v>0</v>
      </c>
      <c r="BK269" s="529">
        <f t="shared" si="1223"/>
        <v>0</v>
      </c>
      <c r="BL269" s="529">
        <f t="shared" si="1224"/>
        <v>0</v>
      </c>
      <c r="BM269" s="529">
        <f t="shared" si="1225"/>
        <v>0</v>
      </c>
      <c r="BN269" s="529">
        <f t="shared" si="1226"/>
        <v>0</v>
      </c>
      <c r="BO269" s="529">
        <f t="shared" si="1227"/>
        <v>0</v>
      </c>
      <c r="BP269" s="529">
        <f t="shared" si="1228"/>
        <v>0</v>
      </c>
      <c r="BQ269" s="529">
        <f t="shared" si="1229"/>
        <v>0</v>
      </c>
      <c r="BR269" s="529">
        <f t="shared" si="1230"/>
        <v>0.56951999999999992</v>
      </c>
      <c r="BS269" s="529">
        <f t="shared" si="1231"/>
        <v>1.1726399999999997</v>
      </c>
      <c r="BT269" s="529">
        <f t="shared" si="1232"/>
        <v>1.2062399999999998</v>
      </c>
      <c r="BU269" s="529">
        <f t="shared" si="1233"/>
        <v>1.2431999999999999</v>
      </c>
      <c r="BV269" s="529">
        <f t="shared" si="1234"/>
        <v>1.2801599999999997</v>
      </c>
      <c r="BW269" s="529">
        <f t="shared" si="1235"/>
        <v>1.3171199999999998</v>
      </c>
      <c r="BX269" s="529">
        <f t="shared" si="1236"/>
        <v>1.3574399999999998</v>
      </c>
      <c r="BY269" s="529">
        <f t="shared" si="1237"/>
        <v>1.3977599999999997</v>
      </c>
      <c r="BZ269" s="529">
        <f t="shared" si="1238"/>
        <v>1.4380799999999998</v>
      </c>
      <c r="CB269" s="529">
        <f t="shared" si="1239"/>
        <v>0</v>
      </c>
      <c r="CC269" s="529">
        <f t="shared" si="1240"/>
        <v>0</v>
      </c>
      <c r="CD269" s="529">
        <f t="shared" si="1241"/>
        <v>0</v>
      </c>
      <c r="CE269" s="529">
        <f t="shared" si="1242"/>
        <v>0</v>
      </c>
      <c r="CF269" s="529">
        <f t="shared" si="1243"/>
        <v>0</v>
      </c>
      <c r="CG269" s="529">
        <f t="shared" si="1244"/>
        <v>0</v>
      </c>
      <c r="CH269" s="529">
        <f t="shared" si="1245"/>
        <v>0</v>
      </c>
      <c r="CI269" s="529">
        <f t="shared" si="1246"/>
        <v>0</v>
      </c>
      <c r="CJ269" s="529">
        <f t="shared" si="1247"/>
        <v>1679.9999999999998</v>
      </c>
      <c r="CK269" s="529">
        <f t="shared" si="1248"/>
        <v>3359.9999999999995</v>
      </c>
      <c r="CL269" s="529">
        <f t="shared" si="1249"/>
        <v>3359.9999999999995</v>
      </c>
      <c r="CM269" s="529">
        <f t="shared" si="1250"/>
        <v>3359.9999999999995</v>
      </c>
      <c r="CN269" s="529">
        <f t="shared" si="1251"/>
        <v>3359.9999999999995</v>
      </c>
      <c r="CO269" s="529">
        <f t="shared" si="1252"/>
        <v>3359.9999999999995</v>
      </c>
      <c r="CP269" s="529">
        <f t="shared" si="1253"/>
        <v>3359.9999999999995</v>
      </c>
      <c r="CQ269" s="529">
        <f t="shared" si="1254"/>
        <v>3359.9999999999995</v>
      </c>
      <c r="CR269" s="529">
        <f t="shared" si="1255"/>
        <v>3359.9999999999995</v>
      </c>
    </row>
    <row r="270" spans="1:96" x14ac:dyDescent="0.2">
      <c r="A270" s="764"/>
      <c r="B270" s="537" t="str">
        <f>+B263</f>
        <v>NPK 10-26-26</v>
      </c>
      <c r="C270" s="538"/>
      <c r="D270" s="607"/>
      <c r="E270" s="539"/>
      <c r="F270" s="538"/>
      <c r="G270" s="607"/>
      <c r="H270" s="539"/>
      <c r="I270" s="538"/>
      <c r="J270" s="607"/>
      <c r="K270" s="539"/>
      <c r="L270" s="538"/>
      <c r="M270" s="607"/>
      <c r="N270" s="539"/>
      <c r="O270" s="538"/>
      <c r="P270" s="607"/>
      <c r="Q270" s="539"/>
      <c r="R270" s="538"/>
      <c r="S270" s="607"/>
      <c r="T270" s="539"/>
      <c r="U270" s="538"/>
      <c r="V270" s="637"/>
      <c r="W270" s="539"/>
      <c r="X270" s="538"/>
      <c r="Y270" s="607"/>
      <c r="Z270" s="607"/>
      <c r="AA270" s="538">
        <f>+Assumptions!$I$13*$BC270*1000</f>
        <v>425.00000000000006</v>
      </c>
      <c r="AB270" s="607">
        <f>+AB$316+2</f>
        <v>436</v>
      </c>
      <c r="AC270" s="607">
        <f t="shared" si="1277"/>
        <v>185300.00000000003</v>
      </c>
      <c r="AD270" s="538">
        <f>+Assumptions!$J$13*$BC270*1000</f>
        <v>850.00000000000011</v>
      </c>
      <c r="AE270" s="607">
        <f>+AE$316+2</f>
        <v>449</v>
      </c>
      <c r="AF270" s="607">
        <f t="shared" si="1278"/>
        <v>381650.00000000006</v>
      </c>
      <c r="AG270" s="538">
        <f>+Assumptions!$K$13*$BC270*1000</f>
        <v>850.00000000000011</v>
      </c>
      <c r="AH270" s="607">
        <f>+AH$316+2</f>
        <v>462</v>
      </c>
      <c r="AI270" s="607">
        <f t="shared" si="1279"/>
        <v>392700.00000000006</v>
      </c>
      <c r="AJ270" s="538">
        <f>+Assumptions!$L$13*$BC270*1000</f>
        <v>850.00000000000011</v>
      </c>
      <c r="AK270" s="607">
        <f>+AK$316+2</f>
        <v>476</v>
      </c>
      <c r="AL270" s="607">
        <f t="shared" si="1280"/>
        <v>404600.00000000006</v>
      </c>
      <c r="AM270" s="538">
        <f>+Assumptions!$M$13*$BC270*1000</f>
        <v>850.00000000000011</v>
      </c>
      <c r="AN270" s="607">
        <f>+AN$316+2</f>
        <v>490</v>
      </c>
      <c r="AO270" s="607">
        <f t="shared" si="1281"/>
        <v>416500.00000000006</v>
      </c>
      <c r="AP270" s="538">
        <f>+Assumptions!$N$13*$BC270*1000</f>
        <v>850.00000000000011</v>
      </c>
      <c r="AQ270" s="607">
        <f>+AQ$316+2</f>
        <v>505</v>
      </c>
      <c r="AR270" s="607">
        <f t="shared" si="1282"/>
        <v>429250.00000000006</v>
      </c>
      <c r="AS270" s="538">
        <f>+Assumptions!$N$13*$BC270*1000</f>
        <v>850.00000000000011</v>
      </c>
      <c r="AT270" s="607">
        <f>+AT$316+2</f>
        <v>520</v>
      </c>
      <c r="AU270" s="607">
        <f t="shared" si="1283"/>
        <v>442000.00000000006</v>
      </c>
      <c r="AV270" s="538">
        <f>+Assumptions!$N$13*$BC270*1000</f>
        <v>850.00000000000011</v>
      </c>
      <c r="AW270" s="607">
        <f>+AW$316+2</f>
        <v>536</v>
      </c>
      <c r="AX270" s="607">
        <f t="shared" si="1284"/>
        <v>455600.00000000006</v>
      </c>
      <c r="AY270" s="538">
        <f>+Assumptions!$N$13*$BC270*1000</f>
        <v>850.00000000000011</v>
      </c>
      <c r="AZ270" s="607">
        <f>+AZ$316+2</f>
        <v>552</v>
      </c>
      <c r="BA270" s="607">
        <f t="shared" si="1285"/>
        <v>469200.00000000006</v>
      </c>
      <c r="BC270" s="710">
        <v>5.3125000000000004E-3</v>
      </c>
      <c r="BD270" s="729">
        <v>0.05</v>
      </c>
      <c r="BJ270" s="529">
        <f t="shared" si="1222"/>
        <v>0</v>
      </c>
      <c r="BK270" s="529">
        <f t="shared" si="1223"/>
        <v>0</v>
      </c>
      <c r="BL270" s="529">
        <f t="shared" si="1224"/>
        <v>0</v>
      </c>
      <c r="BM270" s="529">
        <f t="shared" si="1225"/>
        <v>0</v>
      </c>
      <c r="BN270" s="529">
        <f t="shared" si="1226"/>
        <v>0</v>
      </c>
      <c r="BO270" s="529">
        <f t="shared" si="1227"/>
        <v>0</v>
      </c>
      <c r="BP270" s="529">
        <f t="shared" si="1228"/>
        <v>0</v>
      </c>
      <c r="BQ270" s="529">
        <f t="shared" si="1229"/>
        <v>0</v>
      </c>
      <c r="BR270" s="529">
        <f t="shared" si="1230"/>
        <v>0.18530000000000002</v>
      </c>
      <c r="BS270" s="529">
        <f t="shared" si="1231"/>
        <v>0.38165000000000004</v>
      </c>
      <c r="BT270" s="529">
        <f t="shared" si="1232"/>
        <v>0.39270000000000005</v>
      </c>
      <c r="BU270" s="529">
        <f t="shared" si="1233"/>
        <v>0.40460000000000007</v>
      </c>
      <c r="BV270" s="529">
        <f t="shared" si="1234"/>
        <v>0.41650000000000004</v>
      </c>
      <c r="BW270" s="529">
        <f t="shared" si="1235"/>
        <v>0.42925000000000008</v>
      </c>
      <c r="BX270" s="529">
        <f t="shared" si="1236"/>
        <v>0.44200000000000006</v>
      </c>
      <c r="BY270" s="529">
        <f t="shared" si="1237"/>
        <v>0.45560000000000006</v>
      </c>
      <c r="BZ270" s="529">
        <f t="shared" si="1238"/>
        <v>0.46920000000000006</v>
      </c>
      <c r="CB270" s="529">
        <f t="shared" si="1239"/>
        <v>0</v>
      </c>
      <c r="CC270" s="529">
        <f t="shared" si="1240"/>
        <v>0</v>
      </c>
      <c r="CD270" s="529">
        <f t="shared" si="1241"/>
        <v>0</v>
      </c>
      <c r="CE270" s="529">
        <f t="shared" si="1242"/>
        <v>0</v>
      </c>
      <c r="CF270" s="529">
        <f t="shared" si="1243"/>
        <v>0</v>
      </c>
      <c r="CG270" s="529">
        <f t="shared" si="1244"/>
        <v>0</v>
      </c>
      <c r="CH270" s="529">
        <f t="shared" si="1245"/>
        <v>0</v>
      </c>
      <c r="CI270" s="529">
        <f t="shared" si="1246"/>
        <v>0</v>
      </c>
      <c r="CJ270" s="529">
        <f t="shared" si="1247"/>
        <v>425.00000000000006</v>
      </c>
      <c r="CK270" s="529">
        <f t="shared" si="1248"/>
        <v>850.00000000000011</v>
      </c>
      <c r="CL270" s="529">
        <f t="shared" si="1249"/>
        <v>850.00000000000011</v>
      </c>
      <c r="CM270" s="529">
        <f t="shared" si="1250"/>
        <v>850.00000000000011</v>
      </c>
      <c r="CN270" s="529">
        <f t="shared" si="1251"/>
        <v>850.00000000000011</v>
      </c>
      <c r="CO270" s="529">
        <f t="shared" si="1252"/>
        <v>850.00000000000011</v>
      </c>
      <c r="CP270" s="529">
        <f t="shared" si="1253"/>
        <v>850.00000000000011</v>
      </c>
      <c r="CQ270" s="529">
        <f t="shared" si="1254"/>
        <v>850.00000000000011</v>
      </c>
      <c r="CR270" s="529">
        <f t="shared" si="1255"/>
        <v>850.00000000000011</v>
      </c>
    </row>
    <row r="271" spans="1:96" x14ac:dyDescent="0.2">
      <c r="A271" s="763"/>
      <c r="B271" s="537" t="str">
        <f>+B264</f>
        <v>NPK 10-20-20</v>
      </c>
      <c r="C271" s="538"/>
      <c r="D271" s="607"/>
      <c r="E271" s="539"/>
      <c r="F271" s="538"/>
      <c r="G271" s="607"/>
      <c r="H271" s="539"/>
      <c r="I271" s="538"/>
      <c r="J271" s="607"/>
      <c r="K271" s="539"/>
      <c r="L271" s="538"/>
      <c r="M271" s="607"/>
      <c r="N271" s="539"/>
      <c r="O271" s="538"/>
      <c r="P271" s="607"/>
      <c r="Q271" s="539"/>
      <c r="R271" s="538"/>
      <c r="S271" s="607"/>
      <c r="T271" s="539"/>
      <c r="U271" s="538"/>
      <c r="V271" s="637"/>
      <c r="W271" s="539"/>
      <c r="X271" s="538"/>
      <c r="Y271" s="607"/>
      <c r="Z271" s="607"/>
      <c r="AA271" s="538">
        <f>+Assumptions!$I$13*$BC271*1000</f>
        <v>450.00000000000006</v>
      </c>
      <c r="AB271" s="607">
        <f>+AB$317+2</f>
        <v>352</v>
      </c>
      <c r="AC271" s="607">
        <f t="shared" si="1277"/>
        <v>158400.00000000003</v>
      </c>
      <c r="AD271" s="538">
        <f>+Assumptions!$J$13*$BC271*1000</f>
        <v>900.00000000000011</v>
      </c>
      <c r="AE271" s="607">
        <f>+AE$317+2</f>
        <v>363</v>
      </c>
      <c r="AF271" s="607">
        <f t="shared" si="1278"/>
        <v>326700.00000000006</v>
      </c>
      <c r="AG271" s="538">
        <f>+Assumptions!$K$13*$BC271*1000</f>
        <v>900.00000000000011</v>
      </c>
      <c r="AH271" s="607">
        <f>+AH$317+2</f>
        <v>374</v>
      </c>
      <c r="AI271" s="607">
        <f t="shared" si="1279"/>
        <v>336600.00000000006</v>
      </c>
      <c r="AJ271" s="538">
        <f>+Assumptions!$L$13*$BC271*1000</f>
        <v>900.00000000000011</v>
      </c>
      <c r="AK271" s="607">
        <f>+AK$317+2</f>
        <v>385</v>
      </c>
      <c r="AL271" s="607">
        <f t="shared" si="1280"/>
        <v>346500.00000000006</v>
      </c>
      <c r="AM271" s="538">
        <f>+Assumptions!$M$13*$BC271*1000</f>
        <v>900.00000000000011</v>
      </c>
      <c r="AN271" s="607">
        <f>+AN$317+2</f>
        <v>396</v>
      </c>
      <c r="AO271" s="607">
        <f t="shared" si="1281"/>
        <v>356400.00000000006</v>
      </c>
      <c r="AP271" s="538">
        <f>+Assumptions!$N$13*$BC271*1000</f>
        <v>900.00000000000011</v>
      </c>
      <c r="AQ271" s="607">
        <f>+AQ$317+2</f>
        <v>408</v>
      </c>
      <c r="AR271" s="607">
        <f t="shared" si="1282"/>
        <v>367200.00000000006</v>
      </c>
      <c r="AS271" s="538">
        <f>+Assumptions!$N$13*$BC271*1000</f>
        <v>900.00000000000011</v>
      </c>
      <c r="AT271" s="607">
        <f>+AT$317+2</f>
        <v>420</v>
      </c>
      <c r="AU271" s="607">
        <f t="shared" si="1283"/>
        <v>378000.00000000006</v>
      </c>
      <c r="AV271" s="538">
        <f>+Assumptions!$N$13*$BC271*1000</f>
        <v>900.00000000000011</v>
      </c>
      <c r="AW271" s="607">
        <f>+AW$317+2</f>
        <v>433</v>
      </c>
      <c r="AX271" s="607">
        <f t="shared" si="1284"/>
        <v>389700.00000000006</v>
      </c>
      <c r="AY271" s="538">
        <f>+Assumptions!$N$13*$BC271*1000</f>
        <v>900.00000000000011</v>
      </c>
      <c r="AZ271" s="607">
        <f>+AZ$317+2</f>
        <v>446</v>
      </c>
      <c r="BA271" s="607">
        <f t="shared" si="1285"/>
        <v>401400.00000000006</v>
      </c>
      <c r="BC271" s="710">
        <v>5.6250000000000007E-3</v>
      </c>
      <c r="BD271" s="729">
        <v>0.1</v>
      </c>
      <c r="BJ271" s="529">
        <f t="shared" si="1222"/>
        <v>0</v>
      </c>
      <c r="BK271" s="529">
        <f t="shared" si="1223"/>
        <v>0</v>
      </c>
      <c r="BL271" s="529">
        <f t="shared" si="1224"/>
        <v>0</v>
      </c>
      <c r="BM271" s="529">
        <f t="shared" si="1225"/>
        <v>0</v>
      </c>
      <c r="BN271" s="529">
        <f t="shared" si="1226"/>
        <v>0</v>
      </c>
      <c r="BO271" s="529">
        <f t="shared" si="1227"/>
        <v>0</v>
      </c>
      <c r="BP271" s="529">
        <f t="shared" si="1228"/>
        <v>0</v>
      </c>
      <c r="BQ271" s="529">
        <f t="shared" si="1229"/>
        <v>0</v>
      </c>
      <c r="BR271" s="529">
        <f t="shared" si="1230"/>
        <v>0.15840000000000004</v>
      </c>
      <c r="BS271" s="529">
        <f t="shared" si="1231"/>
        <v>0.32670000000000005</v>
      </c>
      <c r="BT271" s="529">
        <f t="shared" si="1232"/>
        <v>0.33660000000000007</v>
      </c>
      <c r="BU271" s="529">
        <f t="shared" si="1233"/>
        <v>0.34650000000000009</v>
      </c>
      <c r="BV271" s="529">
        <f t="shared" si="1234"/>
        <v>0.35640000000000005</v>
      </c>
      <c r="BW271" s="529">
        <f t="shared" si="1235"/>
        <v>0.36720000000000008</v>
      </c>
      <c r="BX271" s="529">
        <f t="shared" si="1236"/>
        <v>0.37800000000000006</v>
      </c>
      <c r="BY271" s="529">
        <f t="shared" si="1237"/>
        <v>0.38970000000000005</v>
      </c>
      <c r="BZ271" s="529">
        <f t="shared" si="1238"/>
        <v>0.40140000000000003</v>
      </c>
      <c r="CB271" s="529">
        <f t="shared" si="1239"/>
        <v>0</v>
      </c>
      <c r="CC271" s="529">
        <f t="shared" si="1240"/>
        <v>0</v>
      </c>
      <c r="CD271" s="529">
        <f t="shared" si="1241"/>
        <v>0</v>
      </c>
      <c r="CE271" s="529">
        <f t="shared" si="1242"/>
        <v>0</v>
      </c>
      <c r="CF271" s="529">
        <f t="shared" si="1243"/>
        <v>0</v>
      </c>
      <c r="CG271" s="529">
        <f t="shared" si="1244"/>
        <v>0</v>
      </c>
      <c r="CH271" s="529">
        <f t="shared" si="1245"/>
        <v>0</v>
      </c>
      <c r="CI271" s="529">
        <f t="shared" si="1246"/>
        <v>0</v>
      </c>
      <c r="CJ271" s="529">
        <f t="shared" si="1247"/>
        <v>450.00000000000006</v>
      </c>
      <c r="CK271" s="529">
        <f t="shared" si="1248"/>
        <v>900.00000000000011</v>
      </c>
      <c r="CL271" s="529">
        <f t="shared" si="1249"/>
        <v>900.00000000000011</v>
      </c>
      <c r="CM271" s="529">
        <f t="shared" si="1250"/>
        <v>900.00000000000011</v>
      </c>
      <c r="CN271" s="529">
        <f t="shared" si="1251"/>
        <v>900.00000000000011</v>
      </c>
      <c r="CO271" s="529">
        <f t="shared" si="1252"/>
        <v>900.00000000000011</v>
      </c>
      <c r="CP271" s="529">
        <f t="shared" si="1253"/>
        <v>900.00000000000011</v>
      </c>
      <c r="CQ271" s="529">
        <f t="shared" si="1254"/>
        <v>900.00000000000011</v>
      </c>
      <c r="CR271" s="529">
        <f t="shared" si="1255"/>
        <v>900.00000000000011</v>
      </c>
    </row>
    <row r="272" spans="1:96" x14ac:dyDescent="0.2">
      <c r="A272" s="763"/>
      <c r="B272" s="537" t="str">
        <f t="shared" ref="B272:B273" si="1286">+B265</f>
        <v>NPK 13-13-21</v>
      </c>
      <c r="C272" s="538"/>
      <c r="D272" s="607"/>
      <c r="E272" s="539"/>
      <c r="F272" s="538"/>
      <c r="G272" s="607"/>
      <c r="H272" s="539"/>
      <c r="I272" s="538"/>
      <c r="J272" s="607"/>
      <c r="K272" s="539"/>
      <c r="L272" s="538"/>
      <c r="M272" s="607"/>
      <c r="N272" s="539"/>
      <c r="O272" s="538"/>
      <c r="P272" s="607"/>
      <c r="Q272" s="539"/>
      <c r="R272" s="538"/>
      <c r="S272" s="607"/>
      <c r="T272" s="539"/>
      <c r="U272" s="538"/>
      <c r="V272" s="637"/>
      <c r="W272" s="539"/>
      <c r="X272" s="538"/>
      <c r="Y272" s="607"/>
      <c r="Z272" s="607"/>
      <c r="AA272" s="538">
        <f>+Assumptions!$I$13*$BC272*1000</f>
        <v>0</v>
      </c>
      <c r="AB272" s="607">
        <f>+AB$318+2</f>
        <v>331</v>
      </c>
      <c r="AC272" s="607">
        <f t="shared" si="1277"/>
        <v>0</v>
      </c>
      <c r="AD272" s="538">
        <f>+Assumptions!$J$13*$BC272*1000</f>
        <v>0</v>
      </c>
      <c r="AE272" s="607">
        <f>+AE$318+2</f>
        <v>341</v>
      </c>
      <c r="AF272" s="607">
        <f t="shared" si="1278"/>
        <v>0</v>
      </c>
      <c r="AG272" s="538">
        <f>+Assumptions!$K$13*$BC272*1000</f>
        <v>0</v>
      </c>
      <c r="AH272" s="607">
        <f>+AH$318+2</f>
        <v>351</v>
      </c>
      <c r="AI272" s="607">
        <f t="shared" si="1279"/>
        <v>0</v>
      </c>
      <c r="AJ272" s="538">
        <f>+Assumptions!$L$13*$BC272*1000</f>
        <v>0</v>
      </c>
      <c r="AK272" s="607">
        <f>+AK$318+2</f>
        <v>361</v>
      </c>
      <c r="AL272" s="607">
        <f t="shared" si="1280"/>
        <v>0</v>
      </c>
      <c r="AM272" s="538">
        <f>+Assumptions!$M$13*$BC272*1000</f>
        <v>0</v>
      </c>
      <c r="AN272" s="607">
        <f>+AN$318+2</f>
        <v>372</v>
      </c>
      <c r="AO272" s="607">
        <f t="shared" si="1281"/>
        <v>0</v>
      </c>
      <c r="AP272" s="538">
        <f>+Assumptions!$N$13*$BC272*1000</f>
        <v>0</v>
      </c>
      <c r="AQ272" s="607">
        <f>+AQ$318+2</f>
        <v>383</v>
      </c>
      <c r="AR272" s="607">
        <f t="shared" si="1282"/>
        <v>0</v>
      </c>
      <c r="AS272" s="538">
        <f>+Assumptions!$N$13*$BC272*1000</f>
        <v>0</v>
      </c>
      <c r="AT272" s="607">
        <f>+AT$318+2</f>
        <v>394</v>
      </c>
      <c r="AU272" s="607">
        <f t="shared" si="1283"/>
        <v>0</v>
      </c>
      <c r="AV272" s="538">
        <f>+Assumptions!$N$13*$BC272*1000</f>
        <v>0</v>
      </c>
      <c r="AW272" s="607">
        <f>+AW$318+2</f>
        <v>406</v>
      </c>
      <c r="AX272" s="607">
        <f t="shared" si="1284"/>
        <v>0</v>
      </c>
      <c r="AY272" s="538">
        <f>+Assumptions!$N$13*$BC272*1000</f>
        <v>0</v>
      </c>
      <c r="AZ272" s="607">
        <f>+AZ$318+2</f>
        <v>418</v>
      </c>
      <c r="BA272" s="607">
        <f t="shared" si="1285"/>
        <v>0</v>
      </c>
      <c r="BC272" s="710">
        <v>0</v>
      </c>
      <c r="BJ272" s="529">
        <f t="shared" si="1222"/>
        <v>0</v>
      </c>
      <c r="BK272" s="529">
        <f t="shared" si="1223"/>
        <v>0</v>
      </c>
      <c r="BL272" s="529">
        <f t="shared" si="1224"/>
        <v>0</v>
      </c>
      <c r="BM272" s="529">
        <f t="shared" si="1225"/>
        <v>0</v>
      </c>
      <c r="BN272" s="529">
        <f t="shared" si="1226"/>
        <v>0</v>
      </c>
      <c r="BO272" s="529">
        <f t="shared" si="1227"/>
        <v>0</v>
      </c>
      <c r="BP272" s="529">
        <f t="shared" si="1228"/>
        <v>0</v>
      </c>
      <c r="BQ272" s="529">
        <f t="shared" si="1229"/>
        <v>0</v>
      </c>
      <c r="BR272" s="529">
        <f t="shared" si="1230"/>
        <v>0</v>
      </c>
      <c r="BS272" s="529">
        <f t="shared" si="1231"/>
        <v>0</v>
      </c>
      <c r="BT272" s="529">
        <f t="shared" si="1232"/>
        <v>0</v>
      </c>
      <c r="BU272" s="529">
        <f t="shared" si="1233"/>
        <v>0</v>
      </c>
      <c r="BV272" s="529">
        <f t="shared" si="1234"/>
        <v>0</v>
      </c>
      <c r="BW272" s="529">
        <f t="shared" si="1235"/>
        <v>0</v>
      </c>
      <c r="BX272" s="529">
        <f t="shared" si="1236"/>
        <v>0</v>
      </c>
      <c r="BY272" s="529">
        <f t="shared" si="1237"/>
        <v>0</v>
      </c>
      <c r="BZ272" s="529">
        <f t="shared" si="1238"/>
        <v>0</v>
      </c>
      <c r="CB272" s="529">
        <f t="shared" si="1239"/>
        <v>0</v>
      </c>
      <c r="CC272" s="529">
        <f t="shared" si="1240"/>
        <v>0</v>
      </c>
      <c r="CD272" s="529">
        <f t="shared" si="1241"/>
        <v>0</v>
      </c>
      <c r="CE272" s="529">
        <f t="shared" si="1242"/>
        <v>0</v>
      </c>
      <c r="CF272" s="529">
        <f t="shared" si="1243"/>
        <v>0</v>
      </c>
      <c r="CG272" s="529">
        <f t="shared" si="1244"/>
        <v>0</v>
      </c>
      <c r="CH272" s="529">
        <f t="shared" si="1245"/>
        <v>0</v>
      </c>
      <c r="CI272" s="529">
        <f t="shared" si="1246"/>
        <v>0</v>
      </c>
      <c r="CJ272" s="529">
        <f t="shared" si="1247"/>
        <v>0</v>
      </c>
      <c r="CK272" s="529">
        <f t="shared" si="1248"/>
        <v>0</v>
      </c>
      <c r="CL272" s="529">
        <f t="shared" si="1249"/>
        <v>0</v>
      </c>
      <c r="CM272" s="529">
        <f t="shared" si="1250"/>
        <v>0</v>
      </c>
      <c r="CN272" s="529">
        <f t="shared" si="1251"/>
        <v>0</v>
      </c>
      <c r="CO272" s="529">
        <f t="shared" si="1252"/>
        <v>0</v>
      </c>
      <c r="CP272" s="529">
        <f t="shared" si="1253"/>
        <v>0</v>
      </c>
      <c r="CQ272" s="529">
        <f t="shared" si="1254"/>
        <v>0</v>
      </c>
      <c r="CR272" s="529">
        <f t="shared" si="1255"/>
        <v>0</v>
      </c>
    </row>
    <row r="273" spans="1:96" x14ac:dyDescent="0.2">
      <c r="A273" s="763"/>
      <c r="B273" s="537" t="str">
        <f t="shared" si="1286"/>
        <v>NPK 00-00-00</v>
      </c>
      <c r="C273" s="538"/>
      <c r="D273" s="607"/>
      <c r="E273" s="539"/>
      <c r="F273" s="538"/>
      <c r="G273" s="607"/>
      <c r="H273" s="539"/>
      <c r="I273" s="538"/>
      <c r="J273" s="607"/>
      <c r="K273" s="539"/>
      <c r="L273" s="538"/>
      <c r="M273" s="607"/>
      <c r="N273" s="539"/>
      <c r="O273" s="538"/>
      <c r="P273" s="607"/>
      <c r="Q273" s="539"/>
      <c r="R273" s="538"/>
      <c r="S273" s="607"/>
      <c r="T273" s="539"/>
      <c r="U273" s="538"/>
      <c r="V273" s="637"/>
      <c r="W273" s="539"/>
      <c r="X273" s="538"/>
      <c r="Y273" s="607"/>
      <c r="Z273" s="607"/>
      <c r="AA273" s="538">
        <f>+Assumptions!$I$13*$BC273*1000</f>
        <v>0</v>
      </c>
      <c r="AB273" s="607">
        <f>+AB$319+2</f>
        <v>2</v>
      </c>
      <c r="AC273" s="607">
        <f t="shared" si="1277"/>
        <v>0</v>
      </c>
      <c r="AD273" s="538">
        <f>+Assumptions!$J$13*$BC273*1000</f>
        <v>0</v>
      </c>
      <c r="AE273" s="607">
        <f>+AE$319+2</f>
        <v>2</v>
      </c>
      <c r="AF273" s="607">
        <f t="shared" si="1278"/>
        <v>0</v>
      </c>
      <c r="AG273" s="538">
        <f>+Assumptions!$K$13*$BC273*1000</f>
        <v>0</v>
      </c>
      <c r="AH273" s="607">
        <f>+AH$319+2</f>
        <v>2</v>
      </c>
      <c r="AI273" s="607">
        <f t="shared" si="1279"/>
        <v>0</v>
      </c>
      <c r="AJ273" s="538">
        <f>+Assumptions!$L$13*$BC273*1000</f>
        <v>0</v>
      </c>
      <c r="AK273" s="607">
        <f>+AK$319+2</f>
        <v>2</v>
      </c>
      <c r="AL273" s="607">
        <f t="shared" si="1280"/>
        <v>0</v>
      </c>
      <c r="AM273" s="538">
        <f>+Assumptions!$M$13*$BC273*1000</f>
        <v>0</v>
      </c>
      <c r="AN273" s="607">
        <f>+AN$319+2</f>
        <v>2</v>
      </c>
      <c r="AO273" s="607">
        <f t="shared" si="1281"/>
        <v>0</v>
      </c>
      <c r="AP273" s="538">
        <f>+Assumptions!$N$13*$BC273*1000</f>
        <v>0</v>
      </c>
      <c r="AQ273" s="607">
        <f>+AQ$319+2</f>
        <v>2</v>
      </c>
      <c r="AR273" s="607">
        <f t="shared" si="1282"/>
        <v>0</v>
      </c>
      <c r="AS273" s="538">
        <f>+Assumptions!$N$13*$BC273*1000</f>
        <v>0</v>
      </c>
      <c r="AT273" s="607">
        <f>+AT$319+2</f>
        <v>2</v>
      </c>
      <c r="AU273" s="607">
        <f t="shared" si="1283"/>
        <v>0</v>
      </c>
      <c r="AV273" s="538">
        <f>+Assumptions!$N$13*$BC273*1000</f>
        <v>0</v>
      </c>
      <c r="AW273" s="607">
        <f>+AW$319+2</f>
        <v>2</v>
      </c>
      <c r="AX273" s="607">
        <f t="shared" si="1284"/>
        <v>0</v>
      </c>
      <c r="AY273" s="538">
        <f>+Assumptions!$N$13*$BC273*1000</f>
        <v>0</v>
      </c>
      <c r="AZ273" s="607">
        <f>+AZ$319+2</f>
        <v>2</v>
      </c>
      <c r="BA273" s="607">
        <f t="shared" si="1285"/>
        <v>0</v>
      </c>
      <c r="BC273" s="710">
        <v>0</v>
      </c>
      <c r="BJ273" s="529">
        <f t="shared" si="1222"/>
        <v>0</v>
      </c>
      <c r="BK273" s="529">
        <f t="shared" si="1223"/>
        <v>0</v>
      </c>
      <c r="BL273" s="529">
        <f t="shared" si="1224"/>
        <v>0</v>
      </c>
      <c r="BM273" s="529">
        <f t="shared" si="1225"/>
        <v>0</v>
      </c>
      <c r="BN273" s="529">
        <f t="shared" si="1226"/>
        <v>0</v>
      </c>
      <c r="BO273" s="529">
        <f t="shared" si="1227"/>
        <v>0</v>
      </c>
      <c r="BP273" s="529">
        <f t="shared" si="1228"/>
        <v>0</v>
      </c>
      <c r="BQ273" s="529">
        <f t="shared" si="1229"/>
        <v>0</v>
      </c>
      <c r="BR273" s="529">
        <f t="shared" si="1230"/>
        <v>0</v>
      </c>
      <c r="BS273" s="529">
        <f t="shared" si="1231"/>
        <v>0</v>
      </c>
      <c r="BT273" s="529">
        <f t="shared" si="1232"/>
        <v>0</v>
      </c>
      <c r="BU273" s="529">
        <f t="shared" si="1233"/>
        <v>0</v>
      </c>
      <c r="BV273" s="529">
        <f t="shared" si="1234"/>
        <v>0</v>
      </c>
      <c r="BW273" s="529">
        <f t="shared" si="1235"/>
        <v>0</v>
      </c>
      <c r="BX273" s="529">
        <f t="shared" si="1236"/>
        <v>0</v>
      </c>
      <c r="BY273" s="529">
        <f t="shared" si="1237"/>
        <v>0</v>
      </c>
      <c r="BZ273" s="529">
        <f t="shared" si="1238"/>
        <v>0</v>
      </c>
      <c r="CB273" s="529">
        <f t="shared" si="1239"/>
        <v>0</v>
      </c>
      <c r="CC273" s="529">
        <f t="shared" si="1240"/>
        <v>0</v>
      </c>
      <c r="CD273" s="529">
        <f t="shared" si="1241"/>
        <v>0</v>
      </c>
      <c r="CE273" s="529">
        <f t="shared" si="1242"/>
        <v>0</v>
      </c>
      <c r="CF273" s="529">
        <f t="shared" si="1243"/>
        <v>0</v>
      </c>
      <c r="CG273" s="529">
        <f t="shared" si="1244"/>
        <v>0</v>
      </c>
      <c r="CH273" s="529">
        <f t="shared" si="1245"/>
        <v>0</v>
      </c>
      <c r="CI273" s="529">
        <f t="shared" si="1246"/>
        <v>0</v>
      </c>
      <c r="CJ273" s="529">
        <f t="shared" si="1247"/>
        <v>0</v>
      </c>
      <c r="CK273" s="529">
        <f t="shared" si="1248"/>
        <v>0</v>
      </c>
      <c r="CL273" s="529">
        <f t="shared" si="1249"/>
        <v>0</v>
      </c>
      <c r="CM273" s="529">
        <f t="shared" si="1250"/>
        <v>0</v>
      </c>
      <c r="CN273" s="529">
        <f t="shared" si="1251"/>
        <v>0</v>
      </c>
      <c r="CO273" s="529">
        <f t="shared" si="1252"/>
        <v>0</v>
      </c>
      <c r="CP273" s="529">
        <f t="shared" si="1253"/>
        <v>0</v>
      </c>
      <c r="CQ273" s="529">
        <f t="shared" si="1254"/>
        <v>0</v>
      </c>
      <c r="CR273" s="529">
        <f t="shared" si="1255"/>
        <v>0</v>
      </c>
    </row>
    <row r="274" spans="1:96" x14ac:dyDescent="0.2">
      <c r="A274" s="765"/>
      <c r="B274" s="611"/>
      <c r="C274" s="543"/>
      <c r="D274" s="609"/>
      <c r="E274" s="544"/>
      <c r="F274" s="543"/>
      <c r="G274" s="609"/>
      <c r="H274" s="544"/>
      <c r="I274" s="543"/>
      <c r="J274" s="609"/>
      <c r="K274" s="544"/>
      <c r="L274" s="543"/>
      <c r="M274" s="609"/>
      <c r="N274" s="544"/>
      <c r="O274" s="543"/>
      <c r="P274" s="609"/>
      <c r="Q274" s="544"/>
      <c r="R274" s="543"/>
      <c r="S274" s="609"/>
      <c r="T274" s="544"/>
      <c r="U274" s="543"/>
      <c r="V274" s="638"/>
      <c r="W274" s="544"/>
      <c r="X274" s="543"/>
      <c r="Y274" s="609"/>
      <c r="Z274" s="609"/>
      <c r="AA274" s="543"/>
      <c r="AB274" s="609"/>
      <c r="AC274" s="609"/>
      <c r="AD274" s="543"/>
      <c r="AE274" s="609"/>
      <c r="AF274" s="609"/>
      <c r="AG274" s="543"/>
      <c r="AH274" s="609"/>
      <c r="AI274" s="609"/>
      <c r="AJ274" s="543"/>
      <c r="AK274" s="609"/>
      <c r="AL274" s="609"/>
      <c r="AM274" s="543"/>
      <c r="AN274" s="609"/>
      <c r="AO274" s="609"/>
      <c r="AP274" s="543"/>
      <c r="AQ274" s="609"/>
      <c r="AR274" s="609"/>
      <c r="AS274" s="543"/>
      <c r="AT274" s="609"/>
      <c r="AU274" s="609"/>
      <c r="AV274" s="543"/>
      <c r="AW274" s="609"/>
      <c r="AX274" s="609"/>
      <c r="AY274" s="543"/>
      <c r="AZ274" s="609"/>
      <c r="BA274" s="609"/>
      <c r="BC274" s="710" t="e">
        <v>#N/A</v>
      </c>
      <c r="BJ274" s="529">
        <f t="shared" si="1222"/>
        <v>0</v>
      </c>
      <c r="BK274" s="529">
        <f t="shared" si="1223"/>
        <v>0</v>
      </c>
      <c r="BL274" s="529">
        <f t="shared" si="1224"/>
        <v>0</v>
      </c>
      <c r="BM274" s="529">
        <f t="shared" si="1225"/>
        <v>0</v>
      </c>
      <c r="BN274" s="529">
        <f t="shared" si="1226"/>
        <v>0</v>
      </c>
      <c r="BO274" s="529">
        <f t="shared" si="1227"/>
        <v>0</v>
      </c>
      <c r="BP274" s="529">
        <f t="shared" si="1228"/>
        <v>0</v>
      </c>
      <c r="BQ274" s="529">
        <f t="shared" si="1229"/>
        <v>0</v>
      </c>
      <c r="BR274" s="529">
        <f t="shared" si="1230"/>
        <v>0</v>
      </c>
      <c r="BS274" s="529">
        <f t="shared" si="1231"/>
        <v>0</v>
      </c>
      <c r="BT274" s="529">
        <f t="shared" si="1232"/>
        <v>0</v>
      </c>
      <c r="BU274" s="529">
        <f t="shared" si="1233"/>
        <v>0</v>
      </c>
      <c r="BV274" s="529">
        <f t="shared" si="1234"/>
        <v>0</v>
      </c>
      <c r="BW274" s="529">
        <f t="shared" si="1235"/>
        <v>0</v>
      </c>
      <c r="BX274" s="529">
        <f t="shared" si="1236"/>
        <v>0</v>
      </c>
      <c r="BY274" s="529">
        <f t="shared" si="1237"/>
        <v>0</v>
      </c>
      <c r="BZ274" s="529">
        <f t="shared" si="1238"/>
        <v>0</v>
      </c>
      <c r="CB274" s="529">
        <f t="shared" si="1239"/>
        <v>0</v>
      </c>
      <c r="CC274" s="529">
        <f t="shared" si="1240"/>
        <v>0</v>
      </c>
      <c r="CD274" s="529">
        <f t="shared" si="1241"/>
        <v>0</v>
      </c>
      <c r="CE274" s="529">
        <f t="shared" si="1242"/>
        <v>0</v>
      </c>
      <c r="CF274" s="529">
        <f t="shared" si="1243"/>
        <v>0</v>
      </c>
      <c r="CG274" s="529">
        <f t="shared" si="1244"/>
        <v>0</v>
      </c>
      <c r="CH274" s="529">
        <f t="shared" si="1245"/>
        <v>0</v>
      </c>
      <c r="CI274" s="529">
        <f t="shared" si="1246"/>
        <v>0</v>
      </c>
      <c r="CJ274" s="529">
        <f t="shared" si="1247"/>
        <v>0</v>
      </c>
      <c r="CK274" s="529">
        <f t="shared" si="1248"/>
        <v>0</v>
      </c>
      <c r="CL274" s="529">
        <f t="shared" si="1249"/>
        <v>0</v>
      </c>
      <c r="CM274" s="529">
        <f t="shared" si="1250"/>
        <v>0</v>
      </c>
      <c r="CN274" s="529">
        <f t="shared" si="1251"/>
        <v>0</v>
      </c>
      <c r="CO274" s="529">
        <f t="shared" si="1252"/>
        <v>0</v>
      </c>
      <c r="CP274" s="529">
        <f t="shared" si="1253"/>
        <v>0</v>
      </c>
      <c r="CQ274" s="529">
        <f t="shared" si="1254"/>
        <v>0</v>
      </c>
      <c r="CR274" s="529">
        <f t="shared" si="1255"/>
        <v>0</v>
      </c>
    </row>
    <row r="275" spans="1:96" x14ac:dyDescent="0.2">
      <c r="A275" s="766" t="s">
        <v>741</v>
      </c>
      <c r="B275" s="610" t="str">
        <f>+B268</f>
        <v>NPK 15-15-15</v>
      </c>
      <c r="C275" s="605"/>
      <c r="D275" s="603"/>
      <c r="E275" s="604"/>
      <c r="F275" s="605"/>
      <c r="G275" s="603"/>
      <c r="H275" s="604"/>
      <c r="I275" s="605"/>
      <c r="J275" s="603"/>
      <c r="K275" s="604"/>
      <c r="L275" s="605"/>
      <c r="M275" s="603"/>
      <c r="N275" s="604"/>
      <c r="O275" s="605"/>
      <c r="P275" s="603"/>
      <c r="Q275" s="604"/>
      <c r="R275" s="605"/>
      <c r="S275" s="603"/>
      <c r="T275" s="604"/>
      <c r="U275" s="605"/>
      <c r="V275" s="636"/>
      <c r="W275" s="604"/>
      <c r="X275" s="605"/>
      <c r="Y275" s="603"/>
      <c r="Z275" s="603"/>
      <c r="AA275" s="605">
        <f>+Assumptions!$I$13*$BC275*1000</f>
        <v>0</v>
      </c>
      <c r="AB275" s="603">
        <f>+AB$314+7</f>
        <v>322</v>
      </c>
      <c r="AC275" s="603">
        <f t="shared" ref="AC275:AC280" si="1287">+AB275*AA275</f>
        <v>0</v>
      </c>
      <c r="AD275" s="605">
        <f>+Assumptions!$J$13*$BC275*1000</f>
        <v>0</v>
      </c>
      <c r="AE275" s="603">
        <f>+AE$314+7</f>
        <v>331</v>
      </c>
      <c r="AF275" s="603">
        <f t="shared" ref="AF275:AF280" si="1288">+AE275*AD275</f>
        <v>0</v>
      </c>
      <c r="AG275" s="605">
        <f>+Assumptions!$K$13*$BC275*1000</f>
        <v>0</v>
      </c>
      <c r="AH275" s="603">
        <f>+AH$314+7</f>
        <v>341</v>
      </c>
      <c r="AI275" s="603">
        <f t="shared" ref="AI275:AI280" si="1289">+AH275*AG275</f>
        <v>0</v>
      </c>
      <c r="AJ275" s="605">
        <f>+Assumptions!$L$13*$BC275*1000</f>
        <v>0</v>
      </c>
      <c r="AK275" s="603">
        <f>+AK$314+7</f>
        <v>351</v>
      </c>
      <c r="AL275" s="603">
        <f t="shared" ref="AL275:AL280" si="1290">+AK275*AJ275</f>
        <v>0</v>
      </c>
      <c r="AM275" s="605">
        <f>+Assumptions!$M$13*$BC275*1000</f>
        <v>0</v>
      </c>
      <c r="AN275" s="603">
        <f>+AN$314+7</f>
        <v>361</v>
      </c>
      <c r="AO275" s="603">
        <f t="shared" ref="AO275:AO280" si="1291">+AN275*AM275</f>
        <v>0</v>
      </c>
      <c r="AP275" s="605">
        <f>+Assumptions!$N$13*$BC275*1000</f>
        <v>0</v>
      </c>
      <c r="AQ275" s="603">
        <f>+AQ$314+7</f>
        <v>372</v>
      </c>
      <c r="AR275" s="603">
        <f t="shared" ref="AR275:AR280" si="1292">+AQ275*AP275</f>
        <v>0</v>
      </c>
      <c r="AS275" s="605">
        <f>+Assumptions!$N$13*$BC275*1000</f>
        <v>0</v>
      </c>
      <c r="AT275" s="603">
        <f>+AT$314+7</f>
        <v>383</v>
      </c>
      <c r="AU275" s="603">
        <f t="shared" ref="AU275:AU280" si="1293">+AT275*AS275</f>
        <v>0</v>
      </c>
      <c r="AV275" s="605">
        <f>+Assumptions!$N$13*$BC275*1000</f>
        <v>0</v>
      </c>
      <c r="AW275" s="603">
        <f>+AW$314+7</f>
        <v>394</v>
      </c>
      <c r="AX275" s="603">
        <f t="shared" ref="AX275:AX280" si="1294">+AW275*AV275</f>
        <v>0</v>
      </c>
      <c r="AY275" s="605">
        <f>+Assumptions!$N$13*$BC275*1000</f>
        <v>0</v>
      </c>
      <c r="AZ275" s="603">
        <f>+AZ$314+7</f>
        <v>406</v>
      </c>
      <c r="BA275" s="603">
        <f t="shared" ref="BA275:BA280" si="1295">+AZ275*AY275</f>
        <v>0</v>
      </c>
      <c r="BC275" s="710">
        <v>0</v>
      </c>
      <c r="BJ275" s="529">
        <f t="shared" si="1222"/>
        <v>0</v>
      </c>
      <c r="BK275" s="529">
        <f t="shared" si="1223"/>
        <v>0</v>
      </c>
      <c r="BL275" s="529">
        <f t="shared" si="1224"/>
        <v>0</v>
      </c>
      <c r="BM275" s="529">
        <f t="shared" si="1225"/>
        <v>0</v>
      </c>
      <c r="BN275" s="529">
        <f t="shared" si="1226"/>
        <v>0</v>
      </c>
      <c r="BO275" s="529">
        <f t="shared" si="1227"/>
        <v>0</v>
      </c>
      <c r="BP275" s="529">
        <f t="shared" si="1228"/>
        <v>0</v>
      </c>
      <c r="BQ275" s="529">
        <f t="shared" si="1229"/>
        <v>0</v>
      </c>
      <c r="BR275" s="529">
        <f t="shared" si="1230"/>
        <v>0</v>
      </c>
      <c r="BS275" s="529">
        <f t="shared" si="1231"/>
        <v>0</v>
      </c>
      <c r="BT275" s="529">
        <f t="shared" si="1232"/>
        <v>0</v>
      </c>
      <c r="BU275" s="529">
        <f t="shared" si="1233"/>
        <v>0</v>
      </c>
      <c r="BV275" s="529">
        <f t="shared" si="1234"/>
        <v>0</v>
      </c>
      <c r="BW275" s="529">
        <f t="shared" si="1235"/>
        <v>0</v>
      </c>
      <c r="BX275" s="529">
        <f t="shared" si="1236"/>
        <v>0</v>
      </c>
      <c r="BY275" s="529">
        <f t="shared" si="1237"/>
        <v>0</v>
      </c>
      <c r="BZ275" s="529">
        <f t="shared" si="1238"/>
        <v>0</v>
      </c>
      <c r="CB275" s="529">
        <f t="shared" si="1239"/>
        <v>0</v>
      </c>
      <c r="CC275" s="529">
        <f t="shared" si="1240"/>
        <v>0</v>
      </c>
      <c r="CD275" s="529">
        <f t="shared" si="1241"/>
        <v>0</v>
      </c>
      <c r="CE275" s="529">
        <f t="shared" si="1242"/>
        <v>0</v>
      </c>
      <c r="CF275" s="529">
        <f t="shared" si="1243"/>
        <v>0</v>
      </c>
      <c r="CG275" s="529">
        <f t="shared" si="1244"/>
        <v>0</v>
      </c>
      <c r="CH275" s="529">
        <f t="shared" si="1245"/>
        <v>0</v>
      </c>
      <c r="CI275" s="529">
        <f t="shared" si="1246"/>
        <v>0</v>
      </c>
      <c r="CJ275" s="529">
        <f t="shared" si="1247"/>
        <v>0</v>
      </c>
      <c r="CK275" s="529">
        <f t="shared" si="1248"/>
        <v>0</v>
      </c>
      <c r="CL275" s="529">
        <f t="shared" si="1249"/>
        <v>0</v>
      </c>
      <c r="CM275" s="529">
        <f t="shared" si="1250"/>
        <v>0</v>
      </c>
      <c r="CN275" s="529">
        <f t="shared" si="1251"/>
        <v>0</v>
      </c>
      <c r="CO275" s="529">
        <f t="shared" si="1252"/>
        <v>0</v>
      </c>
      <c r="CP275" s="529">
        <f t="shared" si="1253"/>
        <v>0</v>
      </c>
      <c r="CQ275" s="529">
        <f t="shared" si="1254"/>
        <v>0</v>
      </c>
      <c r="CR275" s="529">
        <f t="shared" si="1255"/>
        <v>0</v>
      </c>
    </row>
    <row r="276" spans="1:96" x14ac:dyDescent="0.2">
      <c r="A276" s="767"/>
      <c r="B276" s="537" t="str">
        <f>+B269</f>
        <v>NPK 16-16-16</v>
      </c>
      <c r="C276" s="538"/>
      <c r="D276" s="607"/>
      <c r="E276" s="539"/>
      <c r="F276" s="538"/>
      <c r="G276" s="607"/>
      <c r="H276" s="539"/>
      <c r="I276" s="538"/>
      <c r="J276" s="607"/>
      <c r="K276" s="539"/>
      <c r="L276" s="538"/>
      <c r="M276" s="607"/>
      <c r="N276" s="539"/>
      <c r="O276" s="538"/>
      <c r="P276" s="607"/>
      <c r="Q276" s="539"/>
      <c r="R276" s="538"/>
      <c r="S276" s="607"/>
      <c r="T276" s="539"/>
      <c r="U276" s="538"/>
      <c r="V276" s="637"/>
      <c r="W276" s="539"/>
      <c r="X276" s="538"/>
      <c r="Y276" s="607"/>
      <c r="Z276" s="607"/>
      <c r="AA276" s="538">
        <f>+Assumptions!$I$13*$BC276*1000</f>
        <v>0</v>
      </c>
      <c r="AB276" s="607">
        <f>+AB$315+7</f>
        <v>344</v>
      </c>
      <c r="AC276" s="607">
        <f t="shared" si="1287"/>
        <v>0</v>
      </c>
      <c r="AD276" s="538">
        <f>+Assumptions!$J$13*$BC276*1000</f>
        <v>0</v>
      </c>
      <c r="AE276" s="607">
        <f>+AE$315+7</f>
        <v>354</v>
      </c>
      <c r="AF276" s="607">
        <f t="shared" si="1288"/>
        <v>0</v>
      </c>
      <c r="AG276" s="538">
        <f>+Assumptions!$K$13*$BC276*1000</f>
        <v>0</v>
      </c>
      <c r="AH276" s="607">
        <f>+AH$315+7</f>
        <v>364</v>
      </c>
      <c r="AI276" s="607">
        <f t="shared" si="1289"/>
        <v>0</v>
      </c>
      <c r="AJ276" s="538">
        <f>+Assumptions!$L$13*$BC276*1000</f>
        <v>0</v>
      </c>
      <c r="AK276" s="607">
        <f>+AK$315+7</f>
        <v>375</v>
      </c>
      <c r="AL276" s="607">
        <f t="shared" si="1290"/>
        <v>0</v>
      </c>
      <c r="AM276" s="538">
        <f>+Assumptions!$M$13*$BC276*1000</f>
        <v>0</v>
      </c>
      <c r="AN276" s="607">
        <f>+AN$315+7</f>
        <v>386</v>
      </c>
      <c r="AO276" s="607">
        <f t="shared" si="1291"/>
        <v>0</v>
      </c>
      <c r="AP276" s="538">
        <f>+Assumptions!$N$13*$BC276*1000</f>
        <v>0</v>
      </c>
      <c r="AQ276" s="607">
        <f>+AQ$315+7</f>
        <v>397</v>
      </c>
      <c r="AR276" s="607">
        <f t="shared" si="1292"/>
        <v>0</v>
      </c>
      <c r="AS276" s="538">
        <f>+Assumptions!$N$13*$BC276*1000</f>
        <v>0</v>
      </c>
      <c r="AT276" s="607">
        <f>+AT$315+7</f>
        <v>409</v>
      </c>
      <c r="AU276" s="607">
        <f t="shared" si="1293"/>
        <v>0</v>
      </c>
      <c r="AV276" s="538">
        <f>+Assumptions!$N$13*$BC276*1000</f>
        <v>0</v>
      </c>
      <c r="AW276" s="607">
        <f>+AW$315+7</f>
        <v>421</v>
      </c>
      <c r="AX276" s="607">
        <f t="shared" si="1294"/>
        <v>0</v>
      </c>
      <c r="AY276" s="538">
        <f>+Assumptions!$N$13*$BC276*1000</f>
        <v>0</v>
      </c>
      <c r="AZ276" s="607">
        <f>+AZ$315+7</f>
        <v>433</v>
      </c>
      <c r="BA276" s="607">
        <f t="shared" si="1295"/>
        <v>0</v>
      </c>
      <c r="BC276" s="710">
        <v>0</v>
      </c>
      <c r="BJ276" s="529">
        <f t="shared" si="1222"/>
        <v>0</v>
      </c>
      <c r="BK276" s="529">
        <f t="shared" si="1223"/>
        <v>0</v>
      </c>
      <c r="BL276" s="529">
        <f t="shared" si="1224"/>
        <v>0</v>
      </c>
      <c r="BM276" s="529">
        <f t="shared" si="1225"/>
        <v>0</v>
      </c>
      <c r="BN276" s="529">
        <f t="shared" si="1226"/>
        <v>0</v>
      </c>
      <c r="BO276" s="529">
        <f t="shared" si="1227"/>
        <v>0</v>
      </c>
      <c r="BP276" s="529">
        <f t="shared" si="1228"/>
        <v>0</v>
      </c>
      <c r="BQ276" s="529">
        <f t="shared" si="1229"/>
        <v>0</v>
      </c>
      <c r="BR276" s="529">
        <f t="shared" si="1230"/>
        <v>0</v>
      </c>
      <c r="BS276" s="529">
        <f t="shared" si="1231"/>
        <v>0</v>
      </c>
      <c r="BT276" s="529">
        <f t="shared" si="1232"/>
        <v>0</v>
      </c>
      <c r="BU276" s="529">
        <f t="shared" si="1233"/>
        <v>0</v>
      </c>
      <c r="BV276" s="529">
        <f t="shared" si="1234"/>
        <v>0</v>
      </c>
      <c r="BW276" s="529">
        <f t="shared" si="1235"/>
        <v>0</v>
      </c>
      <c r="BX276" s="529">
        <f t="shared" si="1236"/>
        <v>0</v>
      </c>
      <c r="BY276" s="529">
        <f t="shared" si="1237"/>
        <v>0</v>
      </c>
      <c r="BZ276" s="529">
        <f t="shared" si="1238"/>
        <v>0</v>
      </c>
      <c r="CB276" s="529">
        <f t="shared" si="1239"/>
        <v>0</v>
      </c>
      <c r="CC276" s="529">
        <f t="shared" si="1240"/>
        <v>0</v>
      </c>
      <c r="CD276" s="529">
        <f t="shared" si="1241"/>
        <v>0</v>
      </c>
      <c r="CE276" s="529">
        <f t="shared" si="1242"/>
        <v>0</v>
      </c>
      <c r="CF276" s="529">
        <f t="shared" si="1243"/>
        <v>0</v>
      </c>
      <c r="CG276" s="529">
        <f t="shared" si="1244"/>
        <v>0</v>
      </c>
      <c r="CH276" s="529">
        <f t="shared" si="1245"/>
        <v>0</v>
      </c>
      <c r="CI276" s="529">
        <f t="shared" si="1246"/>
        <v>0</v>
      </c>
      <c r="CJ276" s="529">
        <f t="shared" si="1247"/>
        <v>0</v>
      </c>
      <c r="CK276" s="529">
        <f t="shared" si="1248"/>
        <v>0</v>
      </c>
      <c r="CL276" s="529">
        <f t="shared" si="1249"/>
        <v>0</v>
      </c>
      <c r="CM276" s="529">
        <f t="shared" si="1250"/>
        <v>0</v>
      </c>
      <c r="CN276" s="529">
        <f t="shared" si="1251"/>
        <v>0</v>
      </c>
      <c r="CO276" s="529">
        <f t="shared" si="1252"/>
        <v>0</v>
      </c>
      <c r="CP276" s="529">
        <f t="shared" si="1253"/>
        <v>0</v>
      </c>
      <c r="CQ276" s="529">
        <f t="shared" si="1254"/>
        <v>0</v>
      </c>
      <c r="CR276" s="529">
        <f t="shared" si="1255"/>
        <v>0</v>
      </c>
    </row>
    <row r="277" spans="1:96" x14ac:dyDescent="0.2">
      <c r="A277" s="768"/>
      <c r="B277" s="537" t="str">
        <f>+B270</f>
        <v>NPK 10-26-26</v>
      </c>
      <c r="C277" s="538"/>
      <c r="D277" s="607"/>
      <c r="E277" s="539"/>
      <c r="F277" s="538"/>
      <c r="G277" s="607"/>
      <c r="H277" s="539"/>
      <c r="I277" s="538"/>
      <c r="J277" s="607"/>
      <c r="K277" s="539"/>
      <c r="L277" s="538"/>
      <c r="M277" s="607"/>
      <c r="N277" s="539"/>
      <c r="O277" s="538"/>
      <c r="P277" s="607"/>
      <c r="Q277" s="539"/>
      <c r="R277" s="538"/>
      <c r="S277" s="607"/>
      <c r="T277" s="539"/>
      <c r="U277" s="538"/>
      <c r="V277" s="637"/>
      <c r="W277" s="539"/>
      <c r="X277" s="538"/>
      <c r="Y277" s="607"/>
      <c r="Z277" s="607"/>
      <c r="AA277" s="538">
        <f>+Assumptions!$I$13*$BC277*1000</f>
        <v>0</v>
      </c>
      <c r="AB277" s="607">
        <f>+AB$316+7</f>
        <v>441</v>
      </c>
      <c r="AC277" s="607">
        <f t="shared" si="1287"/>
        <v>0</v>
      </c>
      <c r="AD277" s="538">
        <f>+Assumptions!$J$13*$BC277*1000</f>
        <v>0</v>
      </c>
      <c r="AE277" s="607">
        <f>+AE$316+7</f>
        <v>454</v>
      </c>
      <c r="AF277" s="607">
        <f t="shared" si="1288"/>
        <v>0</v>
      </c>
      <c r="AG277" s="538">
        <f>+Assumptions!$K$13*$BC277*1000</f>
        <v>0</v>
      </c>
      <c r="AH277" s="607">
        <f>+AH$316+7</f>
        <v>467</v>
      </c>
      <c r="AI277" s="607">
        <f t="shared" si="1289"/>
        <v>0</v>
      </c>
      <c r="AJ277" s="538">
        <f>+Assumptions!$L$13*$BC277*1000</f>
        <v>0</v>
      </c>
      <c r="AK277" s="607">
        <f>+AK$316+7</f>
        <v>481</v>
      </c>
      <c r="AL277" s="607">
        <f t="shared" si="1290"/>
        <v>0</v>
      </c>
      <c r="AM277" s="538">
        <f>+Assumptions!$M$13*$BC277*1000</f>
        <v>0</v>
      </c>
      <c r="AN277" s="607">
        <f>+AN$316+7</f>
        <v>495</v>
      </c>
      <c r="AO277" s="607">
        <f t="shared" si="1291"/>
        <v>0</v>
      </c>
      <c r="AP277" s="538">
        <f>+Assumptions!$N$13*$BC277*1000</f>
        <v>0</v>
      </c>
      <c r="AQ277" s="607">
        <f>+AQ$316+7</f>
        <v>510</v>
      </c>
      <c r="AR277" s="607">
        <f t="shared" si="1292"/>
        <v>0</v>
      </c>
      <c r="AS277" s="538">
        <f>+Assumptions!$N$13*$BC277*1000</f>
        <v>0</v>
      </c>
      <c r="AT277" s="607">
        <f>+AT$316+7</f>
        <v>525</v>
      </c>
      <c r="AU277" s="607">
        <f t="shared" si="1293"/>
        <v>0</v>
      </c>
      <c r="AV277" s="538">
        <f>+Assumptions!$N$13*$BC277*1000</f>
        <v>0</v>
      </c>
      <c r="AW277" s="607">
        <f>+AW$316+7</f>
        <v>541</v>
      </c>
      <c r="AX277" s="607">
        <f t="shared" si="1294"/>
        <v>0</v>
      </c>
      <c r="AY277" s="538">
        <f>+Assumptions!$N$13*$BC277*1000</f>
        <v>0</v>
      </c>
      <c r="AZ277" s="607">
        <f>+AZ$316+7</f>
        <v>557</v>
      </c>
      <c r="BA277" s="607">
        <f t="shared" si="1295"/>
        <v>0</v>
      </c>
      <c r="BC277" s="710">
        <v>0</v>
      </c>
      <c r="BJ277" s="529">
        <f t="shared" si="1222"/>
        <v>0</v>
      </c>
      <c r="BK277" s="529">
        <f t="shared" si="1223"/>
        <v>0</v>
      </c>
      <c r="BL277" s="529">
        <f t="shared" si="1224"/>
        <v>0</v>
      </c>
      <c r="BM277" s="529">
        <f t="shared" si="1225"/>
        <v>0</v>
      </c>
      <c r="BN277" s="529">
        <f t="shared" si="1226"/>
        <v>0</v>
      </c>
      <c r="BO277" s="529">
        <f t="shared" si="1227"/>
        <v>0</v>
      </c>
      <c r="BP277" s="529">
        <f t="shared" si="1228"/>
        <v>0</v>
      </c>
      <c r="BQ277" s="529">
        <f t="shared" si="1229"/>
        <v>0</v>
      </c>
      <c r="BR277" s="529">
        <f t="shared" si="1230"/>
        <v>0</v>
      </c>
      <c r="BS277" s="529">
        <f t="shared" si="1231"/>
        <v>0</v>
      </c>
      <c r="BT277" s="529">
        <f t="shared" si="1232"/>
        <v>0</v>
      </c>
      <c r="BU277" s="529">
        <f t="shared" si="1233"/>
        <v>0</v>
      </c>
      <c r="BV277" s="529">
        <f t="shared" si="1234"/>
        <v>0</v>
      </c>
      <c r="BW277" s="529">
        <f t="shared" si="1235"/>
        <v>0</v>
      </c>
      <c r="BX277" s="529">
        <f t="shared" si="1236"/>
        <v>0</v>
      </c>
      <c r="BY277" s="529">
        <f t="shared" si="1237"/>
        <v>0</v>
      </c>
      <c r="BZ277" s="529">
        <f t="shared" si="1238"/>
        <v>0</v>
      </c>
      <c r="CB277" s="529">
        <f t="shared" si="1239"/>
        <v>0</v>
      </c>
      <c r="CC277" s="529">
        <f t="shared" si="1240"/>
        <v>0</v>
      </c>
      <c r="CD277" s="529">
        <f t="shared" si="1241"/>
        <v>0</v>
      </c>
      <c r="CE277" s="529">
        <f t="shared" si="1242"/>
        <v>0</v>
      </c>
      <c r="CF277" s="529">
        <f t="shared" si="1243"/>
        <v>0</v>
      </c>
      <c r="CG277" s="529">
        <f t="shared" si="1244"/>
        <v>0</v>
      </c>
      <c r="CH277" s="529">
        <f t="shared" si="1245"/>
        <v>0</v>
      </c>
      <c r="CI277" s="529">
        <f t="shared" si="1246"/>
        <v>0</v>
      </c>
      <c r="CJ277" s="529">
        <f t="shared" si="1247"/>
        <v>0</v>
      </c>
      <c r="CK277" s="529">
        <f t="shared" si="1248"/>
        <v>0</v>
      </c>
      <c r="CL277" s="529">
        <f t="shared" si="1249"/>
        <v>0</v>
      </c>
      <c r="CM277" s="529">
        <f t="shared" si="1250"/>
        <v>0</v>
      </c>
      <c r="CN277" s="529">
        <f t="shared" si="1251"/>
        <v>0</v>
      </c>
      <c r="CO277" s="529">
        <f t="shared" si="1252"/>
        <v>0</v>
      </c>
      <c r="CP277" s="529">
        <f t="shared" si="1253"/>
        <v>0</v>
      </c>
      <c r="CQ277" s="529">
        <f t="shared" si="1254"/>
        <v>0</v>
      </c>
      <c r="CR277" s="529">
        <f t="shared" si="1255"/>
        <v>0</v>
      </c>
    </row>
    <row r="278" spans="1:96" x14ac:dyDescent="0.2">
      <c r="A278" s="767"/>
      <c r="B278" s="537" t="str">
        <f>+B271</f>
        <v>NPK 10-20-20</v>
      </c>
      <c r="C278" s="538"/>
      <c r="D278" s="607"/>
      <c r="E278" s="539"/>
      <c r="F278" s="538"/>
      <c r="G278" s="607"/>
      <c r="H278" s="539"/>
      <c r="I278" s="538"/>
      <c r="J278" s="607"/>
      <c r="K278" s="539"/>
      <c r="L278" s="538"/>
      <c r="M278" s="607"/>
      <c r="N278" s="539"/>
      <c r="O278" s="538"/>
      <c r="P278" s="607"/>
      <c r="Q278" s="539"/>
      <c r="R278" s="538"/>
      <c r="S278" s="607"/>
      <c r="T278" s="539"/>
      <c r="U278" s="538"/>
      <c r="V278" s="637"/>
      <c r="W278" s="539"/>
      <c r="X278" s="538"/>
      <c r="Y278" s="607"/>
      <c r="Z278" s="607"/>
      <c r="AA278" s="538">
        <f>+Assumptions!$I$13*$BC278*1000</f>
        <v>450.00000000000006</v>
      </c>
      <c r="AB278" s="607">
        <f>+AB$317+7</f>
        <v>357</v>
      </c>
      <c r="AC278" s="607">
        <f t="shared" si="1287"/>
        <v>160650.00000000003</v>
      </c>
      <c r="AD278" s="538">
        <f>+Assumptions!$J$13*$BC278*1000</f>
        <v>900.00000000000011</v>
      </c>
      <c r="AE278" s="607">
        <f>+AE$317+7</f>
        <v>368</v>
      </c>
      <c r="AF278" s="607">
        <f t="shared" si="1288"/>
        <v>331200.00000000006</v>
      </c>
      <c r="AG278" s="538">
        <f>+Assumptions!$K$13*$BC278*1000</f>
        <v>900.00000000000011</v>
      </c>
      <c r="AH278" s="607">
        <f>+AH$317+7</f>
        <v>379</v>
      </c>
      <c r="AI278" s="607">
        <f t="shared" si="1289"/>
        <v>341100.00000000006</v>
      </c>
      <c r="AJ278" s="538">
        <f>+Assumptions!$L$13*$BC278*1000</f>
        <v>900.00000000000011</v>
      </c>
      <c r="AK278" s="607">
        <f>+AK$317+7</f>
        <v>390</v>
      </c>
      <c r="AL278" s="607">
        <f t="shared" si="1290"/>
        <v>351000.00000000006</v>
      </c>
      <c r="AM278" s="538">
        <f>+Assumptions!$M$13*$BC278*1000</f>
        <v>900.00000000000011</v>
      </c>
      <c r="AN278" s="607">
        <f>+AN$317+7</f>
        <v>401</v>
      </c>
      <c r="AO278" s="607">
        <f t="shared" si="1291"/>
        <v>360900.00000000006</v>
      </c>
      <c r="AP278" s="538">
        <f>+Assumptions!$N$13*$BC278*1000</f>
        <v>900.00000000000011</v>
      </c>
      <c r="AQ278" s="607">
        <f>+AQ$317+7</f>
        <v>413</v>
      </c>
      <c r="AR278" s="607">
        <f t="shared" si="1292"/>
        <v>371700.00000000006</v>
      </c>
      <c r="AS278" s="538">
        <f>+Assumptions!$N$13*$BC278*1000</f>
        <v>900.00000000000011</v>
      </c>
      <c r="AT278" s="607">
        <f>+AT$317+7</f>
        <v>425</v>
      </c>
      <c r="AU278" s="607">
        <f t="shared" si="1293"/>
        <v>382500.00000000006</v>
      </c>
      <c r="AV278" s="538">
        <f>+Assumptions!$N$13*$BC278*1000</f>
        <v>900.00000000000011</v>
      </c>
      <c r="AW278" s="607">
        <f>+AW$317+7</f>
        <v>438</v>
      </c>
      <c r="AX278" s="607">
        <f t="shared" si="1294"/>
        <v>394200.00000000006</v>
      </c>
      <c r="AY278" s="538">
        <f>+Assumptions!$N$13*$BC278*1000</f>
        <v>900.00000000000011</v>
      </c>
      <c r="AZ278" s="607">
        <f>+AZ$317+7</f>
        <v>451</v>
      </c>
      <c r="BA278" s="607">
        <f t="shared" si="1295"/>
        <v>405900.00000000006</v>
      </c>
      <c r="BC278" s="710">
        <v>5.6250000000000007E-3</v>
      </c>
      <c r="BD278" s="729">
        <v>0.1</v>
      </c>
      <c r="BJ278" s="529">
        <f t="shared" si="1222"/>
        <v>0</v>
      </c>
      <c r="BK278" s="529">
        <f t="shared" si="1223"/>
        <v>0</v>
      </c>
      <c r="BL278" s="529">
        <f t="shared" si="1224"/>
        <v>0</v>
      </c>
      <c r="BM278" s="529">
        <f t="shared" si="1225"/>
        <v>0</v>
      </c>
      <c r="BN278" s="529">
        <f t="shared" si="1226"/>
        <v>0</v>
      </c>
      <c r="BO278" s="529">
        <f t="shared" si="1227"/>
        <v>0</v>
      </c>
      <c r="BP278" s="529">
        <f t="shared" si="1228"/>
        <v>0</v>
      </c>
      <c r="BQ278" s="529">
        <f t="shared" si="1229"/>
        <v>0</v>
      </c>
      <c r="BR278" s="529">
        <f t="shared" si="1230"/>
        <v>0.16065000000000004</v>
      </c>
      <c r="BS278" s="529">
        <f t="shared" si="1231"/>
        <v>0.33120000000000005</v>
      </c>
      <c r="BT278" s="529">
        <f t="shared" si="1232"/>
        <v>0.34110000000000007</v>
      </c>
      <c r="BU278" s="529">
        <f t="shared" si="1233"/>
        <v>0.35100000000000003</v>
      </c>
      <c r="BV278" s="529">
        <f t="shared" si="1234"/>
        <v>0.36090000000000005</v>
      </c>
      <c r="BW278" s="529">
        <f t="shared" si="1235"/>
        <v>0.37170000000000009</v>
      </c>
      <c r="BX278" s="529">
        <f t="shared" si="1236"/>
        <v>0.38250000000000006</v>
      </c>
      <c r="BY278" s="529">
        <f t="shared" si="1237"/>
        <v>0.39420000000000005</v>
      </c>
      <c r="BZ278" s="529">
        <f t="shared" si="1238"/>
        <v>0.40590000000000004</v>
      </c>
      <c r="CB278" s="529">
        <f t="shared" si="1239"/>
        <v>0</v>
      </c>
      <c r="CC278" s="529">
        <f t="shared" si="1240"/>
        <v>0</v>
      </c>
      <c r="CD278" s="529">
        <f t="shared" si="1241"/>
        <v>0</v>
      </c>
      <c r="CE278" s="529">
        <f t="shared" si="1242"/>
        <v>0</v>
      </c>
      <c r="CF278" s="529">
        <f t="shared" si="1243"/>
        <v>0</v>
      </c>
      <c r="CG278" s="529">
        <f t="shared" si="1244"/>
        <v>0</v>
      </c>
      <c r="CH278" s="529">
        <f t="shared" si="1245"/>
        <v>0</v>
      </c>
      <c r="CI278" s="529">
        <f t="shared" si="1246"/>
        <v>0</v>
      </c>
      <c r="CJ278" s="529">
        <f t="shared" si="1247"/>
        <v>450.00000000000006</v>
      </c>
      <c r="CK278" s="529">
        <f t="shared" si="1248"/>
        <v>900.00000000000011</v>
      </c>
      <c r="CL278" s="529">
        <f t="shared" si="1249"/>
        <v>900.00000000000011</v>
      </c>
      <c r="CM278" s="529">
        <f t="shared" si="1250"/>
        <v>900.00000000000011</v>
      </c>
      <c r="CN278" s="529">
        <f t="shared" si="1251"/>
        <v>900.00000000000011</v>
      </c>
      <c r="CO278" s="529">
        <f t="shared" si="1252"/>
        <v>900.00000000000011</v>
      </c>
      <c r="CP278" s="529">
        <f t="shared" si="1253"/>
        <v>900.00000000000011</v>
      </c>
      <c r="CQ278" s="529">
        <f t="shared" si="1254"/>
        <v>900.00000000000011</v>
      </c>
      <c r="CR278" s="529">
        <f t="shared" si="1255"/>
        <v>900.00000000000011</v>
      </c>
    </row>
    <row r="279" spans="1:96" x14ac:dyDescent="0.2">
      <c r="A279" s="767"/>
      <c r="B279" s="537" t="str">
        <f t="shared" ref="B279:B280" si="1296">+B272</f>
        <v>NPK 13-13-21</v>
      </c>
      <c r="C279" s="538"/>
      <c r="D279" s="607"/>
      <c r="E279" s="539"/>
      <c r="F279" s="538"/>
      <c r="G279" s="607"/>
      <c r="H279" s="539"/>
      <c r="I279" s="538"/>
      <c r="J279" s="607"/>
      <c r="K279" s="539"/>
      <c r="L279" s="538"/>
      <c r="M279" s="607"/>
      <c r="N279" s="539"/>
      <c r="O279" s="538"/>
      <c r="P279" s="607"/>
      <c r="Q279" s="539"/>
      <c r="R279" s="538"/>
      <c r="S279" s="607"/>
      <c r="T279" s="539"/>
      <c r="U279" s="538"/>
      <c r="V279" s="637"/>
      <c r="W279" s="539"/>
      <c r="X279" s="538"/>
      <c r="Y279" s="607"/>
      <c r="Z279" s="607"/>
      <c r="AA279" s="538">
        <f>+Assumptions!$I$13*$BC279*1000</f>
        <v>0</v>
      </c>
      <c r="AB279" s="607">
        <f>+AB$318+7</f>
        <v>336</v>
      </c>
      <c r="AC279" s="607">
        <f t="shared" si="1287"/>
        <v>0</v>
      </c>
      <c r="AD279" s="538">
        <f>+Assumptions!$J$13*$BC279*1000</f>
        <v>0</v>
      </c>
      <c r="AE279" s="607">
        <f>+AE$318+7</f>
        <v>346</v>
      </c>
      <c r="AF279" s="607">
        <f t="shared" si="1288"/>
        <v>0</v>
      </c>
      <c r="AG279" s="538">
        <f>+Assumptions!$K$13*$BC279*1000</f>
        <v>0</v>
      </c>
      <c r="AH279" s="607">
        <f>+AH$318+7</f>
        <v>356</v>
      </c>
      <c r="AI279" s="607">
        <f t="shared" si="1289"/>
        <v>0</v>
      </c>
      <c r="AJ279" s="538">
        <f>+Assumptions!$L$13*$BC279*1000</f>
        <v>0</v>
      </c>
      <c r="AK279" s="607">
        <f>+AK$318+7</f>
        <v>366</v>
      </c>
      <c r="AL279" s="607">
        <f t="shared" si="1290"/>
        <v>0</v>
      </c>
      <c r="AM279" s="538">
        <f>+Assumptions!$M$13*$BC279*1000</f>
        <v>0</v>
      </c>
      <c r="AN279" s="607">
        <f>+AN$318+7</f>
        <v>377</v>
      </c>
      <c r="AO279" s="607">
        <f t="shared" si="1291"/>
        <v>0</v>
      </c>
      <c r="AP279" s="538">
        <f>+Assumptions!$N$13*$BC279*1000</f>
        <v>0</v>
      </c>
      <c r="AQ279" s="607">
        <f>+AQ$318+7</f>
        <v>388</v>
      </c>
      <c r="AR279" s="607">
        <f t="shared" si="1292"/>
        <v>0</v>
      </c>
      <c r="AS279" s="538">
        <f>+Assumptions!$N$13*$BC279*1000</f>
        <v>0</v>
      </c>
      <c r="AT279" s="607">
        <f>+AT$318+7</f>
        <v>399</v>
      </c>
      <c r="AU279" s="607">
        <f t="shared" si="1293"/>
        <v>0</v>
      </c>
      <c r="AV279" s="538">
        <f>+Assumptions!$N$13*$BC279*1000</f>
        <v>0</v>
      </c>
      <c r="AW279" s="607">
        <f>+AW$318+7</f>
        <v>411</v>
      </c>
      <c r="AX279" s="607">
        <f t="shared" si="1294"/>
        <v>0</v>
      </c>
      <c r="AY279" s="538">
        <f>+Assumptions!$N$13*$BC279*1000</f>
        <v>0</v>
      </c>
      <c r="AZ279" s="607">
        <f>+AZ$318+7</f>
        <v>423</v>
      </c>
      <c r="BA279" s="607">
        <f t="shared" si="1295"/>
        <v>0</v>
      </c>
      <c r="BC279" s="710">
        <v>0</v>
      </c>
      <c r="BJ279" s="529">
        <f t="shared" ref="BJ279:BJ302" si="1297">E279</f>
        <v>0</v>
      </c>
      <c r="BK279" s="529">
        <f t="shared" ref="BK279:BK302" si="1298">H279</f>
        <v>0</v>
      </c>
      <c r="BL279" s="529">
        <f t="shared" ref="BL279:BL302" si="1299">K279</f>
        <v>0</v>
      </c>
      <c r="BM279" s="529">
        <f t="shared" ref="BM279:BM302" si="1300">N279</f>
        <v>0</v>
      </c>
      <c r="BN279" s="529">
        <f t="shared" ref="BN279:BN302" si="1301">Q279</f>
        <v>0</v>
      </c>
      <c r="BO279" s="529">
        <f t="shared" ref="BO279:BO302" si="1302">T279</f>
        <v>0</v>
      </c>
      <c r="BP279" s="529">
        <f t="shared" ref="BP279:BP302" si="1303">W279</f>
        <v>0</v>
      </c>
      <c r="BQ279" s="529">
        <f t="shared" ref="BQ279:BQ302" si="1304">Z279</f>
        <v>0</v>
      </c>
      <c r="BR279" s="529">
        <f t="shared" ref="BR279:BR302" si="1305">AC279/1000000</f>
        <v>0</v>
      </c>
      <c r="BS279" s="529">
        <f t="shared" ref="BS279:BS302" si="1306">AF279/1000000</f>
        <v>0</v>
      </c>
      <c r="BT279" s="529">
        <f t="shared" ref="BT279:BT302" si="1307">AI279/1000000</f>
        <v>0</v>
      </c>
      <c r="BU279" s="529">
        <f t="shared" ref="BU279:BU302" si="1308">AL279/1000000</f>
        <v>0</v>
      </c>
      <c r="BV279" s="529">
        <f t="shared" ref="BV279:BV302" si="1309">AO279/1000000</f>
        <v>0</v>
      </c>
      <c r="BW279" s="529">
        <f t="shared" ref="BW279:BW302" si="1310">AR279/1000000</f>
        <v>0</v>
      </c>
      <c r="BX279" s="529">
        <f t="shared" ref="BX279:BX302" si="1311">AU279/1000000</f>
        <v>0</v>
      </c>
      <c r="BY279" s="529">
        <f t="shared" ref="BY279:BY302" si="1312">AX279/1000000</f>
        <v>0</v>
      </c>
      <c r="BZ279" s="529">
        <f t="shared" ref="BZ279:BZ302" si="1313">BA279/1000000</f>
        <v>0</v>
      </c>
      <c r="CB279" s="529">
        <f t="shared" ref="CB279:CB302" si="1314">C279</f>
        <v>0</v>
      </c>
      <c r="CC279" s="529">
        <f t="shared" ref="CC279:CC302" si="1315">F279</f>
        <v>0</v>
      </c>
      <c r="CD279" s="529">
        <f t="shared" ref="CD279:CD302" si="1316">I279</f>
        <v>0</v>
      </c>
      <c r="CE279" s="529">
        <f t="shared" ref="CE279:CE302" si="1317">L279</f>
        <v>0</v>
      </c>
      <c r="CF279" s="529">
        <f t="shared" ref="CF279:CF302" si="1318">O279</f>
        <v>0</v>
      </c>
      <c r="CG279" s="529">
        <f t="shared" ref="CG279:CG302" si="1319">R279</f>
        <v>0</v>
      </c>
      <c r="CH279" s="529">
        <f t="shared" ref="CH279:CH302" si="1320">U279</f>
        <v>0</v>
      </c>
      <c r="CI279" s="529">
        <f t="shared" ref="CI279:CI302" si="1321">X279</f>
        <v>0</v>
      </c>
      <c r="CJ279" s="529">
        <f t="shared" ref="CJ279:CJ302" si="1322">AA279</f>
        <v>0</v>
      </c>
      <c r="CK279" s="529">
        <f t="shared" ref="CK279:CK302" si="1323">AD279</f>
        <v>0</v>
      </c>
      <c r="CL279" s="529">
        <f t="shared" ref="CL279:CL302" si="1324">AG279</f>
        <v>0</v>
      </c>
      <c r="CM279" s="529">
        <f t="shared" ref="CM279:CM302" si="1325">AJ279</f>
        <v>0</v>
      </c>
      <c r="CN279" s="529">
        <f t="shared" ref="CN279:CN302" si="1326">AM279</f>
        <v>0</v>
      </c>
      <c r="CO279" s="529">
        <f t="shared" ref="CO279:CO302" si="1327">AP279</f>
        <v>0</v>
      </c>
      <c r="CP279" s="529">
        <f t="shared" si="1253"/>
        <v>0</v>
      </c>
      <c r="CQ279" s="529">
        <f t="shared" si="1254"/>
        <v>0</v>
      </c>
      <c r="CR279" s="529">
        <f t="shared" si="1255"/>
        <v>0</v>
      </c>
    </row>
    <row r="280" spans="1:96" x14ac:dyDescent="0.2">
      <c r="A280" s="767"/>
      <c r="B280" s="537" t="str">
        <f t="shared" si="1296"/>
        <v>NPK 00-00-00</v>
      </c>
      <c r="C280" s="538"/>
      <c r="D280" s="607"/>
      <c r="E280" s="539"/>
      <c r="F280" s="538"/>
      <c r="G280" s="607"/>
      <c r="H280" s="539"/>
      <c r="I280" s="538"/>
      <c r="J280" s="607"/>
      <c r="K280" s="539"/>
      <c r="L280" s="538"/>
      <c r="M280" s="607"/>
      <c r="N280" s="539"/>
      <c r="O280" s="538"/>
      <c r="P280" s="607"/>
      <c r="Q280" s="539"/>
      <c r="R280" s="538"/>
      <c r="S280" s="607"/>
      <c r="T280" s="539"/>
      <c r="U280" s="538"/>
      <c r="V280" s="637"/>
      <c r="W280" s="539"/>
      <c r="X280" s="538"/>
      <c r="Y280" s="607"/>
      <c r="Z280" s="607"/>
      <c r="AA280" s="538">
        <f>+Assumptions!$I$13*$BC280*1000</f>
        <v>0</v>
      </c>
      <c r="AB280" s="607">
        <f>+AB$319+7</f>
        <v>7</v>
      </c>
      <c r="AC280" s="607">
        <f t="shared" si="1287"/>
        <v>0</v>
      </c>
      <c r="AD280" s="538">
        <f>+Assumptions!$J$13*$BC280*1000</f>
        <v>0</v>
      </c>
      <c r="AE280" s="607">
        <f>+AE$319+7</f>
        <v>7</v>
      </c>
      <c r="AF280" s="607">
        <f t="shared" si="1288"/>
        <v>0</v>
      </c>
      <c r="AG280" s="538">
        <f>+Assumptions!$K$13*$BC280*1000</f>
        <v>0</v>
      </c>
      <c r="AH280" s="607">
        <f>+AH$319+7</f>
        <v>7</v>
      </c>
      <c r="AI280" s="607">
        <f t="shared" si="1289"/>
        <v>0</v>
      </c>
      <c r="AJ280" s="538">
        <f>+Assumptions!$L$13*$BC280*1000</f>
        <v>0</v>
      </c>
      <c r="AK280" s="607">
        <f>+AK$319+7</f>
        <v>7</v>
      </c>
      <c r="AL280" s="607">
        <f t="shared" si="1290"/>
        <v>0</v>
      </c>
      <c r="AM280" s="538">
        <f>+Assumptions!$M$13*$BC280*1000</f>
        <v>0</v>
      </c>
      <c r="AN280" s="607">
        <f>+AN$319+7</f>
        <v>7</v>
      </c>
      <c r="AO280" s="607">
        <f t="shared" si="1291"/>
        <v>0</v>
      </c>
      <c r="AP280" s="538">
        <f>+Assumptions!$N$13*$BC280*1000</f>
        <v>0</v>
      </c>
      <c r="AQ280" s="607">
        <f>+AQ$319+7</f>
        <v>7</v>
      </c>
      <c r="AR280" s="607">
        <f t="shared" si="1292"/>
        <v>0</v>
      </c>
      <c r="AS280" s="538">
        <f>+Assumptions!$N$13*$BC280*1000</f>
        <v>0</v>
      </c>
      <c r="AT280" s="607">
        <f>+AT$319+7</f>
        <v>7</v>
      </c>
      <c r="AU280" s="607">
        <f t="shared" si="1293"/>
        <v>0</v>
      </c>
      <c r="AV280" s="538">
        <f>+Assumptions!$N$13*$BC280*1000</f>
        <v>0</v>
      </c>
      <c r="AW280" s="607">
        <f>+AW$319+7</f>
        <v>7</v>
      </c>
      <c r="AX280" s="607">
        <f t="shared" si="1294"/>
        <v>0</v>
      </c>
      <c r="AY280" s="538">
        <f>+Assumptions!$N$13*$BC280*1000</f>
        <v>0</v>
      </c>
      <c r="AZ280" s="607">
        <f>+AZ$319+7</f>
        <v>7</v>
      </c>
      <c r="BA280" s="607">
        <f t="shared" si="1295"/>
        <v>0</v>
      </c>
      <c r="BC280" s="710">
        <v>0</v>
      </c>
      <c r="BJ280" s="529">
        <f t="shared" si="1297"/>
        <v>0</v>
      </c>
      <c r="BK280" s="529">
        <f t="shared" si="1298"/>
        <v>0</v>
      </c>
      <c r="BL280" s="529">
        <f t="shared" si="1299"/>
        <v>0</v>
      </c>
      <c r="BM280" s="529">
        <f t="shared" si="1300"/>
        <v>0</v>
      </c>
      <c r="BN280" s="529">
        <f t="shared" si="1301"/>
        <v>0</v>
      </c>
      <c r="BO280" s="529">
        <f t="shared" si="1302"/>
        <v>0</v>
      </c>
      <c r="BP280" s="529">
        <f t="shared" si="1303"/>
        <v>0</v>
      </c>
      <c r="BQ280" s="529">
        <f t="shared" si="1304"/>
        <v>0</v>
      </c>
      <c r="BR280" s="529">
        <f t="shared" si="1305"/>
        <v>0</v>
      </c>
      <c r="BS280" s="529">
        <f t="shared" si="1306"/>
        <v>0</v>
      </c>
      <c r="BT280" s="529">
        <f t="shared" si="1307"/>
        <v>0</v>
      </c>
      <c r="BU280" s="529">
        <f t="shared" si="1308"/>
        <v>0</v>
      </c>
      <c r="BV280" s="529">
        <f t="shared" si="1309"/>
        <v>0</v>
      </c>
      <c r="BW280" s="529">
        <f t="shared" si="1310"/>
        <v>0</v>
      </c>
      <c r="BX280" s="529">
        <f t="shared" si="1311"/>
        <v>0</v>
      </c>
      <c r="BY280" s="529">
        <f t="shared" si="1312"/>
        <v>0</v>
      </c>
      <c r="BZ280" s="529">
        <f t="shared" si="1313"/>
        <v>0</v>
      </c>
      <c r="CB280" s="529">
        <f t="shared" si="1314"/>
        <v>0</v>
      </c>
      <c r="CC280" s="529">
        <f t="shared" si="1315"/>
        <v>0</v>
      </c>
      <c r="CD280" s="529">
        <f t="shared" si="1316"/>
        <v>0</v>
      </c>
      <c r="CE280" s="529">
        <f t="shared" si="1317"/>
        <v>0</v>
      </c>
      <c r="CF280" s="529">
        <f t="shared" si="1318"/>
        <v>0</v>
      </c>
      <c r="CG280" s="529">
        <f t="shared" si="1319"/>
        <v>0</v>
      </c>
      <c r="CH280" s="529">
        <f t="shared" si="1320"/>
        <v>0</v>
      </c>
      <c r="CI280" s="529">
        <f t="shared" si="1321"/>
        <v>0</v>
      </c>
      <c r="CJ280" s="529">
        <f t="shared" si="1322"/>
        <v>0</v>
      </c>
      <c r="CK280" s="529">
        <f t="shared" si="1323"/>
        <v>0</v>
      </c>
      <c r="CL280" s="529">
        <f t="shared" si="1324"/>
        <v>0</v>
      </c>
      <c r="CM280" s="529">
        <f t="shared" si="1325"/>
        <v>0</v>
      </c>
      <c r="CN280" s="529">
        <f t="shared" si="1326"/>
        <v>0</v>
      </c>
      <c r="CO280" s="529">
        <f t="shared" si="1327"/>
        <v>0</v>
      </c>
      <c r="CP280" s="529">
        <f t="shared" si="1253"/>
        <v>0</v>
      </c>
      <c r="CQ280" s="529">
        <f t="shared" si="1254"/>
        <v>0</v>
      </c>
      <c r="CR280" s="529">
        <f t="shared" si="1255"/>
        <v>0</v>
      </c>
    </row>
    <row r="281" spans="1:96" x14ac:dyDescent="0.2">
      <c r="A281" s="769"/>
      <c r="B281" s="611"/>
      <c r="C281" s="543"/>
      <c r="D281" s="609"/>
      <c r="E281" s="544"/>
      <c r="F281" s="543"/>
      <c r="G281" s="609"/>
      <c r="H281" s="544"/>
      <c r="I281" s="543"/>
      <c r="J281" s="609"/>
      <c r="K281" s="544"/>
      <c r="L281" s="543"/>
      <c r="M281" s="609"/>
      <c r="N281" s="544"/>
      <c r="O281" s="543"/>
      <c r="P281" s="609"/>
      <c r="Q281" s="544"/>
      <c r="R281" s="543"/>
      <c r="S281" s="609"/>
      <c r="T281" s="544"/>
      <c r="U281" s="543"/>
      <c r="V281" s="638"/>
      <c r="W281" s="544"/>
      <c r="X281" s="543"/>
      <c r="Y281" s="609"/>
      <c r="Z281" s="609"/>
      <c r="AA281" s="543"/>
      <c r="AB281" s="609"/>
      <c r="AC281" s="609"/>
      <c r="AD281" s="543"/>
      <c r="AE281" s="609"/>
      <c r="AF281" s="609"/>
      <c r="AG281" s="543"/>
      <c r="AH281" s="609"/>
      <c r="AI281" s="609"/>
      <c r="AJ281" s="543"/>
      <c r="AK281" s="609"/>
      <c r="AL281" s="609"/>
      <c r="AM281" s="543"/>
      <c r="AN281" s="609"/>
      <c r="AO281" s="609"/>
      <c r="AP281" s="543"/>
      <c r="AQ281" s="609"/>
      <c r="AR281" s="609"/>
      <c r="AS281" s="543"/>
      <c r="AT281" s="609"/>
      <c r="AU281" s="609"/>
      <c r="AV281" s="543"/>
      <c r="AW281" s="609"/>
      <c r="AX281" s="609"/>
      <c r="AY281" s="543"/>
      <c r="AZ281" s="609"/>
      <c r="BA281" s="609"/>
      <c r="BC281" s="710" t="e">
        <v>#N/A</v>
      </c>
      <c r="BJ281" s="529">
        <f t="shared" si="1297"/>
        <v>0</v>
      </c>
      <c r="BK281" s="529">
        <f t="shared" si="1298"/>
        <v>0</v>
      </c>
      <c r="BL281" s="529">
        <f t="shared" si="1299"/>
        <v>0</v>
      </c>
      <c r="BM281" s="529">
        <f t="shared" si="1300"/>
        <v>0</v>
      </c>
      <c r="BN281" s="529">
        <f t="shared" si="1301"/>
        <v>0</v>
      </c>
      <c r="BO281" s="529">
        <f t="shared" si="1302"/>
        <v>0</v>
      </c>
      <c r="BP281" s="529">
        <f t="shared" si="1303"/>
        <v>0</v>
      </c>
      <c r="BQ281" s="529">
        <f t="shared" si="1304"/>
        <v>0</v>
      </c>
      <c r="BR281" s="529">
        <f t="shared" si="1305"/>
        <v>0</v>
      </c>
      <c r="BS281" s="529">
        <f t="shared" si="1306"/>
        <v>0</v>
      </c>
      <c r="BT281" s="529">
        <f t="shared" si="1307"/>
        <v>0</v>
      </c>
      <c r="BU281" s="529">
        <f t="shared" si="1308"/>
        <v>0</v>
      </c>
      <c r="BV281" s="529">
        <f t="shared" si="1309"/>
        <v>0</v>
      </c>
      <c r="BW281" s="529">
        <f t="shared" si="1310"/>
        <v>0</v>
      </c>
      <c r="BX281" s="529">
        <f t="shared" si="1311"/>
        <v>0</v>
      </c>
      <c r="BY281" s="529">
        <f t="shared" si="1312"/>
        <v>0</v>
      </c>
      <c r="BZ281" s="529">
        <f t="shared" si="1313"/>
        <v>0</v>
      </c>
      <c r="CB281" s="529">
        <f t="shared" si="1314"/>
        <v>0</v>
      </c>
      <c r="CC281" s="529">
        <f t="shared" si="1315"/>
        <v>0</v>
      </c>
      <c r="CD281" s="529">
        <f t="shared" si="1316"/>
        <v>0</v>
      </c>
      <c r="CE281" s="529">
        <f t="shared" si="1317"/>
        <v>0</v>
      </c>
      <c r="CF281" s="529">
        <f t="shared" si="1318"/>
        <v>0</v>
      </c>
      <c r="CG281" s="529">
        <f t="shared" si="1319"/>
        <v>0</v>
      </c>
      <c r="CH281" s="529">
        <f t="shared" si="1320"/>
        <v>0</v>
      </c>
      <c r="CI281" s="529">
        <f t="shared" si="1321"/>
        <v>0</v>
      </c>
      <c r="CJ281" s="529">
        <f t="shared" si="1322"/>
        <v>0</v>
      </c>
      <c r="CK281" s="529">
        <f t="shared" si="1323"/>
        <v>0</v>
      </c>
      <c r="CL281" s="529">
        <f t="shared" si="1324"/>
        <v>0</v>
      </c>
      <c r="CM281" s="529">
        <f t="shared" si="1325"/>
        <v>0</v>
      </c>
      <c r="CN281" s="529">
        <f t="shared" si="1326"/>
        <v>0</v>
      </c>
      <c r="CO281" s="529">
        <f t="shared" si="1327"/>
        <v>0</v>
      </c>
      <c r="CP281" s="529">
        <f t="shared" si="1253"/>
        <v>0</v>
      </c>
      <c r="CQ281" s="529">
        <f t="shared" si="1254"/>
        <v>0</v>
      </c>
      <c r="CR281" s="529">
        <f t="shared" si="1255"/>
        <v>0</v>
      </c>
    </row>
    <row r="282" spans="1:96" x14ac:dyDescent="0.2">
      <c r="A282" s="762" t="s">
        <v>727</v>
      </c>
      <c r="B282" s="610" t="str">
        <f>+B275</f>
        <v>NPK 15-15-15</v>
      </c>
      <c r="C282" s="605"/>
      <c r="D282" s="603"/>
      <c r="E282" s="604"/>
      <c r="F282" s="605"/>
      <c r="G282" s="603"/>
      <c r="H282" s="604"/>
      <c r="I282" s="605"/>
      <c r="J282" s="603"/>
      <c r="K282" s="604"/>
      <c r="L282" s="605"/>
      <c r="M282" s="603"/>
      <c r="N282" s="604"/>
      <c r="O282" s="605"/>
      <c r="P282" s="603"/>
      <c r="Q282" s="604"/>
      <c r="R282" s="605"/>
      <c r="S282" s="603"/>
      <c r="T282" s="604"/>
      <c r="U282" s="605"/>
      <c r="V282" s="636"/>
      <c r="W282" s="604"/>
      <c r="X282" s="605"/>
      <c r="Y282" s="603"/>
      <c r="Z282" s="603"/>
      <c r="AA282" s="605">
        <f>+Assumptions!$I$13*$BC282*1000</f>
        <v>0</v>
      </c>
      <c r="AB282" s="603">
        <f>+AB275</f>
        <v>322</v>
      </c>
      <c r="AC282" s="603">
        <f t="shared" ref="AC282:AC287" si="1328">+AB282*AA282</f>
        <v>0</v>
      </c>
      <c r="AD282" s="605">
        <f>+Assumptions!$J$13*$BC282*1000</f>
        <v>0</v>
      </c>
      <c r="AE282" s="603">
        <f>+AE275</f>
        <v>331</v>
      </c>
      <c r="AF282" s="603">
        <f t="shared" ref="AF282:AF287" si="1329">+AE282*AD282</f>
        <v>0</v>
      </c>
      <c r="AG282" s="605">
        <f>+Assumptions!$K$13*$BC282*1000</f>
        <v>0</v>
      </c>
      <c r="AH282" s="603">
        <f>+AH275</f>
        <v>341</v>
      </c>
      <c r="AI282" s="603">
        <f t="shared" ref="AI282:AI287" si="1330">+AH282*AG282</f>
        <v>0</v>
      </c>
      <c r="AJ282" s="605">
        <f>+Assumptions!$L$13*$BC282*1000</f>
        <v>0</v>
      </c>
      <c r="AK282" s="603">
        <f>+AK275</f>
        <v>351</v>
      </c>
      <c r="AL282" s="603">
        <f t="shared" ref="AL282:AL287" si="1331">+AK282*AJ282</f>
        <v>0</v>
      </c>
      <c r="AM282" s="605">
        <f>+Assumptions!$M$13*$BC282*1000</f>
        <v>0</v>
      </c>
      <c r="AN282" s="603">
        <f>+AN275</f>
        <v>361</v>
      </c>
      <c r="AO282" s="603">
        <f t="shared" ref="AO282:AO287" si="1332">+AN282*AM282</f>
        <v>0</v>
      </c>
      <c r="AP282" s="605">
        <f>+Assumptions!$N$13*$BC282*1000</f>
        <v>0</v>
      </c>
      <c r="AQ282" s="603">
        <f>+AQ275</f>
        <v>372</v>
      </c>
      <c r="AR282" s="603">
        <f t="shared" ref="AR282:AR287" si="1333">+AQ282*AP282</f>
        <v>0</v>
      </c>
      <c r="AS282" s="605">
        <f>+Assumptions!$N$13*$BC282*1000</f>
        <v>0</v>
      </c>
      <c r="AT282" s="603">
        <f>+AT275</f>
        <v>383</v>
      </c>
      <c r="AU282" s="603">
        <f t="shared" ref="AU282:AU287" si="1334">+AT282*AS282</f>
        <v>0</v>
      </c>
      <c r="AV282" s="605">
        <f>+Assumptions!$N$13*$BC282*1000</f>
        <v>0</v>
      </c>
      <c r="AW282" s="603">
        <f>+AW275</f>
        <v>394</v>
      </c>
      <c r="AX282" s="603">
        <f t="shared" ref="AX282:AX287" si="1335">+AW282*AV282</f>
        <v>0</v>
      </c>
      <c r="AY282" s="605">
        <f>+Assumptions!$N$13*$BC282*1000</f>
        <v>0</v>
      </c>
      <c r="AZ282" s="603">
        <f>+AZ275</f>
        <v>406</v>
      </c>
      <c r="BA282" s="603">
        <f t="shared" ref="BA282:BA287" si="1336">+AZ282*AY282</f>
        <v>0</v>
      </c>
      <c r="BC282" s="710">
        <v>0</v>
      </c>
      <c r="BJ282" s="529">
        <f t="shared" si="1297"/>
        <v>0</v>
      </c>
      <c r="BK282" s="529">
        <f t="shared" si="1298"/>
        <v>0</v>
      </c>
      <c r="BL282" s="529">
        <f t="shared" si="1299"/>
        <v>0</v>
      </c>
      <c r="BM282" s="529">
        <f t="shared" si="1300"/>
        <v>0</v>
      </c>
      <c r="BN282" s="529">
        <f t="shared" si="1301"/>
        <v>0</v>
      </c>
      <c r="BO282" s="529">
        <f t="shared" si="1302"/>
        <v>0</v>
      </c>
      <c r="BP282" s="529">
        <f t="shared" si="1303"/>
        <v>0</v>
      </c>
      <c r="BQ282" s="529">
        <f t="shared" si="1304"/>
        <v>0</v>
      </c>
      <c r="BR282" s="529">
        <f t="shared" si="1305"/>
        <v>0</v>
      </c>
      <c r="BS282" s="529">
        <f t="shared" si="1306"/>
        <v>0</v>
      </c>
      <c r="BT282" s="529">
        <f t="shared" si="1307"/>
        <v>0</v>
      </c>
      <c r="BU282" s="529">
        <f t="shared" si="1308"/>
        <v>0</v>
      </c>
      <c r="BV282" s="529">
        <f t="shared" si="1309"/>
        <v>0</v>
      </c>
      <c r="BW282" s="529">
        <f t="shared" si="1310"/>
        <v>0</v>
      </c>
      <c r="BX282" s="529">
        <f t="shared" si="1311"/>
        <v>0</v>
      </c>
      <c r="BY282" s="529">
        <f t="shared" si="1312"/>
        <v>0</v>
      </c>
      <c r="BZ282" s="529">
        <f t="shared" si="1313"/>
        <v>0</v>
      </c>
      <c r="CB282" s="529">
        <f t="shared" si="1314"/>
        <v>0</v>
      </c>
      <c r="CC282" s="529">
        <f t="shared" si="1315"/>
        <v>0</v>
      </c>
      <c r="CD282" s="529">
        <f t="shared" si="1316"/>
        <v>0</v>
      </c>
      <c r="CE282" s="529">
        <f t="shared" si="1317"/>
        <v>0</v>
      </c>
      <c r="CF282" s="529">
        <f t="shared" si="1318"/>
        <v>0</v>
      </c>
      <c r="CG282" s="529">
        <f t="shared" si="1319"/>
        <v>0</v>
      </c>
      <c r="CH282" s="529">
        <f t="shared" si="1320"/>
        <v>0</v>
      </c>
      <c r="CI282" s="529">
        <f t="shared" si="1321"/>
        <v>0</v>
      </c>
      <c r="CJ282" s="529">
        <f t="shared" si="1322"/>
        <v>0</v>
      </c>
      <c r="CK282" s="529">
        <f t="shared" si="1323"/>
        <v>0</v>
      </c>
      <c r="CL282" s="529">
        <f t="shared" si="1324"/>
        <v>0</v>
      </c>
      <c r="CM282" s="529">
        <f t="shared" si="1325"/>
        <v>0</v>
      </c>
      <c r="CN282" s="529">
        <f t="shared" si="1326"/>
        <v>0</v>
      </c>
      <c r="CO282" s="529">
        <f t="shared" si="1327"/>
        <v>0</v>
      </c>
      <c r="CP282" s="529">
        <f t="shared" si="1253"/>
        <v>0</v>
      </c>
      <c r="CQ282" s="529">
        <f t="shared" si="1254"/>
        <v>0</v>
      </c>
      <c r="CR282" s="529">
        <f t="shared" si="1255"/>
        <v>0</v>
      </c>
    </row>
    <row r="283" spans="1:96" x14ac:dyDescent="0.2">
      <c r="A283" s="763"/>
      <c r="B283" s="537" t="str">
        <f>+B276</f>
        <v>NPK 16-16-16</v>
      </c>
      <c r="C283" s="538"/>
      <c r="D283" s="607"/>
      <c r="E283" s="539"/>
      <c r="F283" s="538"/>
      <c r="G283" s="607"/>
      <c r="H283" s="539"/>
      <c r="I283" s="538"/>
      <c r="J283" s="607"/>
      <c r="K283" s="539"/>
      <c r="L283" s="538"/>
      <c r="M283" s="607"/>
      <c r="N283" s="539"/>
      <c r="O283" s="538"/>
      <c r="P283" s="607"/>
      <c r="Q283" s="539"/>
      <c r="R283" s="538"/>
      <c r="S283" s="607"/>
      <c r="T283" s="539"/>
      <c r="U283" s="538"/>
      <c r="V283" s="637"/>
      <c r="W283" s="539"/>
      <c r="X283" s="538"/>
      <c r="Y283" s="607"/>
      <c r="Z283" s="607"/>
      <c r="AA283" s="538">
        <f>+Assumptions!$I$13*$BC283*1000</f>
        <v>0</v>
      </c>
      <c r="AB283" s="607">
        <f>+AB276</f>
        <v>344</v>
      </c>
      <c r="AC283" s="607">
        <f t="shared" si="1328"/>
        <v>0</v>
      </c>
      <c r="AD283" s="538">
        <f>+Assumptions!$J$13*$BC283*1000</f>
        <v>0</v>
      </c>
      <c r="AE283" s="607">
        <f>+AE276</f>
        <v>354</v>
      </c>
      <c r="AF283" s="607">
        <f t="shared" si="1329"/>
        <v>0</v>
      </c>
      <c r="AG283" s="538">
        <f>+Assumptions!$K$13*$BC283*1000</f>
        <v>0</v>
      </c>
      <c r="AH283" s="607">
        <f>+AH276</f>
        <v>364</v>
      </c>
      <c r="AI283" s="607">
        <f t="shared" si="1330"/>
        <v>0</v>
      </c>
      <c r="AJ283" s="538">
        <f>+Assumptions!$L$13*$BC283*1000</f>
        <v>0</v>
      </c>
      <c r="AK283" s="607">
        <f>+AK276</f>
        <v>375</v>
      </c>
      <c r="AL283" s="607">
        <f t="shared" si="1331"/>
        <v>0</v>
      </c>
      <c r="AM283" s="538">
        <f>+Assumptions!$M$13*$BC283*1000</f>
        <v>0</v>
      </c>
      <c r="AN283" s="607">
        <f>+AN276</f>
        <v>386</v>
      </c>
      <c r="AO283" s="607">
        <f t="shared" si="1332"/>
        <v>0</v>
      </c>
      <c r="AP283" s="538">
        <f>+Assumptions!$N$13*$BC283*1000</f>
        <v>0</v>
      </c>
      <c r="AQ283" s="607">
        <f>+AQ276</f>
        <v>397</v>
      </c>
      <c r="AR283" s="607">
        <f t="shared" si="1333"/>
        <v>0</v>
      </c>
      <c r="AS283" s="538">
        <f>+Assumptions!$N$13*$BC283*1000</f>
        <v>0</v>
      </c>
      <c r="AT283" s="607">
        <f>+AT276</f>
        <v>409</v>
      </c>
      <c r="AU283" s="607">
        <f t="shared" si="1334"/>
        <v>0</v>
      </c>
      <c r="AV283" s="538">
        <f>+Assumptions!$N$13*$BC283*1000</f>
        <v>0</v>
      </c>
      <c r="AW283" s="607">
        <f>+AW276</f>
        <v>421</v>
      </c>
      <c r="AX283" s="607">
        <f t="shared" si="1335"/>
        <v>0</v>
      </c>
      <c r="AY283" s="538">
        <f>+Assumptions!$N$13*$BC283*1000</f>
        <v>0</v>
      </c>
      <c r="AZ283" s="607">
        <f>+AZ276</f>
        <v>433</v>
      </c>
      <c r="BA283" s="607">
        <f t="shared" si="1336"/>
        <v>0</v>
      </c>
      <c r="BC283" s="710">
        <v>0</v>
      </c>
      <c r="BJ283" s="529">
        <f t="shared" si="1297"/>
        <v>0</v>
      </c>
      <c r="BK283" s="529">
        <f t="shared" si="1298"/>
        <v>0</v>
      </c>
      <c r="BL283" s="529">
        <f t="shared" si="1299"/>
        <v>0</v>
      </c>
      <c r="BM283" s="529">
        <f t="shared" si="1300"/>
        <v>0</v>
      </c>
      <c r="BN283" s="529">
        <f t="shared" si="1301"/>
        <v>0</v>
      </c>
      <c r="BO283" s="529">
        <f t="shared" si="1302"/>
        <v>0</v>
      </c>
      <c r="BP283" s="529">
        <f t="shared" si="1303"/>
        <v>0</v>
      </c>
      <c r="BQ283" s="529">
        <f t="shared" si="1304"/>
        <v>0</v>
      </c>
      <c r="BR283" s="529">
        <f t="shared" si="1305"/>
        <v>0</v>
      </c>
      <c r="BS283" s="529">
        <f t="shared" si="1306"/>
        <v>0</v>
      </c>
      <c r="BT283" s="529">
        <f t="shared" si="1307"/>
        <v>0</v>
      </c>
      <c r="BU283" s="529">
        <f t="shared" si="1308"/>
        <v>0</v>
      </c>
      <c r="BV283" s="529">
        <f t="shared" si="1309"/>
        <v>0</v>
      </c>
      <c r="BW283" s="529">
        <f t="shared" si="1310"/>
        <v>0</v>
      </c>
      <c r="BX283" s="529">
        <f t="shared" si="1311"/>
        <v>0</v>
      </c>
      <c r="BY283" s="529">
        <f t="shared" si="1312"/>
        <v>0</v>
      </c>
      <c r="BZ283" s="529">
        <f t="shared" si="1313"/>
        <v>0</v>
      </c>
      <c r="CB283" s="529">
        <f t="shared" si="1314"/>
        <v>0</v>
      </c>
      <c r="CC283" s="529">
        <f t="shared" si="1315"/>
        <v>0</v>
      </c>
      <c r="CD283" s="529">
        <f t="shared" si="1316"/>
        <v>0</v>
      </c>
      <c r="CE283" s="529">
        <f t="shared" si="1317"/>
        <v>0</v>
      </c>
      <c r="CF283" s="529">
        <f t="shared" si="1318"/>
        <v>0</v>
      </c>
      <c r="CG283" s="529">
        <f t="shared" si="1319"/>
        <v>0</v>
      </c>
      <c r="CH283" s="529">
        <f t="shared" si="1320"/>
        <v>0</v>
      </c>
      <c r="CI283" s="529">
        <f t="shared" si="1321"/>
        <v>0</v>
      </c>
      <c r="CJ283" s="529">
        <f t="shared" si="1322"/>
        <v>0</v>
      </c>
      <c r="CK283" s="529">
        <f t="shared" si="1323"/>
        <v>0</v>
      </c>
      <c r="CL283" s="529">
        <f t="shared" si="1324"/>
        <v>0</v>
      </c>
      <c r="CM283" s="529">
        <f t="shared" si="1325"/>
        <v>0</v>
      </c>
      <c r="CN283" s="529">
        <f t="shared" si="1326"/>
        <v>0</v>
      </c>
      <c r="CO283" s="529">
        <f t="shared" si="1327"/>
        <v>0</v>
      </c>
      <c r="CP283" s="529">
        <f t="shared" si="1253"/>
        <v>0</v>
      </c>
      <c r="CQ283" s="529">
        <f t="shared" si="1254"/>
        <v>0</v>
      </c>
      <c r="CR283" s="529">
        <f t="shared" si="1255"/>
        <v>0</v>
      </c>
    </row>
    <row r="284" spans="1:96" x14ac:dyDescent="0.2">
      <c r="A284" s="764"/>
      <c r="B284" s="537" t="str">
        <f>+B277</f>
        <v>NPK 10-26-26</v>
      </c>
      <c r="C284" s="538"/>
      <c r="D284" s="607"/>
      <c r="E284" s="539"/>
      <c r="F284" s="538"/>
      <c r="G284" s="607"/>
      <c r="H284" s="539"/>
      <c r="I284" s="538"/>
      <c r="J284" s="607"/>
      <c r="K284" s="539"/>
      <c r="L284" s="538"/>
      <c r="M284" s="607"/>
      <c r="N284" s="539"/>
      <c r="O284" s="538"/>
      <c r="P284" s="607"/>
      <c r="Q284" s="539"/>
      <c r="R284" s="538"/>
      <c r="S284" s="607"/>
      <c r="T284" s="539"/>
      <c r="U284" s="538"/>
      <c r="V284" s="637"/>
      <c r="W284" s="539"/>
      <c r="X284" s="538"/>
      <c r="Y284" s="607"/>
      <c r="Z284" s="607"/>
      <c r="AA284" s="538">
        <f>+Assumptions!$I$13*$BC284*1000</f>
        <v>0</v>
      </c>
      <c r="AB284" s="607">
        <f>+AB277</f>
        <v>441</v>
      </c>
      <c r="AC284" s="607">
        <f t="shared" si="1328"/>
        <v>0</v>
      </c>
      <c r="AD284" s="538">
        <f>+Assumptions!$J$13*$BC284*1000</f>
        <v>0</v>
      </c>
      <c r="AE284" s="607">
        <f>+AE277</f>
        <v>454</v>
      </c>
      <c r="AF284" s="607">
        <f t="shared" si="1329"/>
        <v>0</v>
      </c>
      <c r="AG284" s="538">
        <f>+Assumptions!$K$13*$BC284*1000</f>
        <v>0</v>
      </c>
      <c r="AH284" s="607">
        <f>+AH277</f>
        <v>467</v>
      </c>
      <c r="AI284" s="607">
        <f t="shared" si="1330"/>
        <v>0</v>
      </c>
      <c r="AJ284" s="538">
        <f>+Assumptions!$L$13*$BC284*1000</f>
        <v>0</v>
      </c>
      <c r="AK284" s="607">
        <f>+AK277</f>
        <v>481</v>
      </c>
      <c r="AL284" s="607">
        <f t="shared" si="1331"/>
        <v>0</v>
      </c>
      <c r="AM284" s="538">
        <f>+Assumptions!$M$13*$BC284*1000</f>
        <v>0</v>
      </c>
      <c r="AN284" s="607">
        <f>+AN277</f>
        <v>495</v>
      </c>
      <c r="AO284" s="607">
        <f t="shared" si="1332"/>
        <v>0</v>
      </c>
      <c r="AP284" s="538">
        <f>+Assumptions!$N$13*$BC284*1000</f>
        <v>0</v>
      </c>
      <c r="AQ284" s="607">
        <f>+AQ277</f>
        <v>510</v>
      </c>
      <c r="AR284" s="607">
        <f t="shared" si="1333"/>
        <v>0</v>
      </c>
      <c r="AS284" s="538">
        <f>+Assumptions!$N$13*$BC284*1000</f>
        <v>0</v>
      </c>
      <c r="AT284" s="607">
        <f>+AT277</f>
        <v>525</v>
      </c>
      <c r="AU284" s="607">
        <f t="shared" si="1334"/>
        <v>0</v>
      </c>
      <c r="AV284" s="538">
        <f>+Assumptions!$N$13*$BC284*1000</f>
        <v>0</v>
      </c>
      <c r="AW284" s="607">
        <f>+AW277</f>
        <v>541</v>
      </c>
      <c r="AX284" s="607">
        <f t="shared" si="1335"/>
        <v>0</v>
      </c>
      <c r="AY284" s="538">
        <f>+Assumptions!$N$13*$BC284*1000</f>
        <v>0</v>
      </c>
      <c r="AZ284" s="607">
        <f>+AZ277</f>
        <v>557</v>
      </c>
      <c r="BA284" s="607">
        <f t="shared" si="1336"/>
        <v>0</v>
      </c>
      <c r="BC284" s="710">
        <v>0</v>
      </c>
      <c r="BJ284" s="529">
        <f t="shared" si="1297"/>
        <v>0</v>
      </c>
      <c r="BK284" s="529">
        <f t="shared" si="1298"/>
        <v>0</v>
      </c>
      <c r="BL284" s="529">
        <f t="shared" si="1299"/>
        <v>0</v>
      </c>
      <c r="BM284" s="529">
        <f t="shared" si="1300"/>
        <v>0</v>
      </c>
      <c r="BN284" s="529">
        <f t="shared" si="1301"/>
        <v>0</v>
      </c>
      <c r="BO284" s="529">
        <f t="shared" si="1302"/>
        <v>0</v>
      </c>
      <c r="BP284" s="529">
        <f t="shared" si="1303"/>
        <v>0</v>
      </c>
      <c r="BQ284" s="529">
        <f t="shared" si="1304"/>
        <v>0</v>
      </c>
      <c r="BR284" s="529">
        <f t="shared" si="1305"/>
        <v>0</v>
      </c>
      <c r="BS284" s="529">
        <f t="shared" si="1306"/>
        <v>0</v>
      </c>
      <c r="BT284" s="529">
        <f t="shared" si="1307"/>
        <v>0</v>
      </c>
      <c r="BU284" s="529">
        <f t="shared" si="1308"/>
        <v>0</v>
      </c>
      <c r="BV284" s="529">
        <f t="shared" si="1309"/>
        <v>0</v>
      </c>
      <c r="BW284" s="529">
        <f t="shared" si="1310"/>
        <v>0</v>
      </c>
      <c r="BX284" s="529">
        <f t="shared" si="1311"/>
        <v>0</v>
      </c>
      <c r="BY284" s="529">
        <f t="shared" si="1312"/>
        <v>0</v>
      </c>
      <c r="BZ284" s="529">
        <f t="shared" si="1313"/>
        <v>0</v>
      </c>
      <c r="CB284" s="529">
        <f t="shared" si="1314"/>
        <v>0</v>
      </c>
      <c r="CC284" s="529">
        <f t="shared" si="1315"/>
        <v>0</v>
      </c>
      <c r="CD284" s="529">
        <f t="shared" si="1316"/>
        <v>0</v>
      </c>
      <c r="CE284" s="529">
        <f t="shared" si="1317"/>
        <v>0</v>
      </c>
      <c r="CF284" s="529">
        <f t="shared" si="1318"/>
        <v>0</v>
      </c>
      <c r="CG284" s="529">
        <f t="shared" si="1319"/>
        <v>0</v>
      </c>
      <c r="CH284" s="529">
        <f t="shared" si="1320"/>
        <v>0</v>
      </c>
      <c r="CI284" s="529">
        <f t="shared" si="1321"/>
        <v>0</v>
      </c>
      <c r="CJ284" s="529">
        <f t="shared" si="1322"/>
        <v>0</v>
      </c>
      <c r="CK284" s="529">
        <f t="shared" si="1323"/>
        <v>0</v>
      </c>
      <c r="CL284" s="529">
        <f t="shared" si="1324"/>
        <v>0</v>
      </c>
      <c r="CM284" s="529">
        <f t="shared" si="1325"/>
        <v>0</v>
      </c>
      <c r="CN284" s="529">
        <f t="shared" si="1326"/>
        <v>0</v>
      </c>
      <c r="CO284" s="529">
        <f t="shared" si="1327"/>
        <v>0</v>
      </c>
      <c r="CP284" s="529">
        <f t="shared" si="1253"/>
        <v>0</v>
      </c>
      <c r="CQ284" s="529">
        <f t="shared" si="1254"/>
        <v>0</v>
      </c>
      <c r="CR284" s="529">
        <f t="shared" si="1255"/>
        <v>0</v>
      </c>
    </row>
    <row r="285" spans="1:96" x14ac:dyDescent="0.2">
      <c r="A285" s="763"/>
      <c r="B285" s="537" t="str">
        <f>+B278</f>
        <v>NPK 10-20-20</v>
      </c>
      <c r="C285" s="538"/>
      <c r="D285" s="607"/>
      <c r="E285" s="539"/>
      <c r="F285" s="538"/>
      <c r="G285" s="607"/>
      <c r="H285" s="539"/>
      <c r="I285" s="538"/>
      <c r="J285" s="607"/>
      <c r="K285" s="539"/>
      <c r="L285" s="538"/>
      <c r="M285" s="607"/>
      <c r="N285" s="539"/>
      <c r="O285" s="538"/>
      <c r="P285" s="607"/>
      <c r="Q285" s="539"/>
      <c r="R285" s="538"/>
      <c r="S285" s="607"/>
      <c r="T285" s="539"/>
      <c r="U285" s="538"/>
      <c r="V285" s="637"/>
      <c r="W285" s="539"/>
      <c r="X285" s="538"/>
      <c r="Y285" s="607"/>
      <c r="Z285" s="607"/>
      <c r="AA285" s="538">
        <f>+Assumptions!$I$13*$BC285*1000</f>
        <v>0</v>
      </c>
      <c r="AB285" s="607">
        <f>+AB278</f>
        <v>357</v>
      </c>
      <c r="AC285" s="607">
        <f t="shared" si="1328"/>
        <v>0</v>
      </c>
      <c r="AD285" s="538">
        <f>+Assumptions!$J$13*$BC285*1000</f>
        <v>0</v>
      </c>
      <c r="AE285" s="607">
        <f>+AE278</f>
        <v>368</v>
      </c>
      <c r="AF285" s="607">
        <f t="shared" si="1329"/>
        <v>0</v>
      </c>
      <c r="AG285" s="538">
        <f>+Assumptions!$K$13*$BC285*1000</f>
        <v>0</v>
      </c>
      <c r="AH285" s="607">
        <f>+AH278</f>
        <v>379</v>
      </c>
      <c r="AI285" s="607">
        <f t="shared" si="1330"/>
        <v>0</v>
      </c>
      <c r="AJ285" s="538">
        <f>+Assumptions!$L$13*$BC285*1000</f>
        <v>0</v>
      </c>
      <c r="AK285" s="607">
        <f>+AK278</f>
        <v>390</v>
      </c>
      <c r="AL285" s="607">
        <f t="shared" si="1331"/>
        <v>0</v>
      </c>
      <c r="AM285" s="538">
        <f>+Assumptions!$M$13*$BC285*1000</f>
        <v>0</v>
      </c>
      <c r="AN285" s="607">
        <f>+AN278</f>
        <v>401</v>
      </c>
      <c r="AO285" s="607">
        <f t="shared" si="1332"/>
        <v>0</v>
      </c>
      <c r="AP285" s="538">
        <f>+Assumptions!$N$13*$BC285*1000</f>
        <v>0</v>
      </c>
      <c r="AQ285" s="607">
        <f>+AQ278</f>
        <v>413</v>
      </c>
      <c r="AR285" s="607">
        <f t="shared" si="1333"/>
        <v>0</v>
      </c>
      <c r="AS285" s="538">
        <f>+Assumptions!$N$13*$BC285*1000</f>
        <v>0</v>
      </c>
      <c r="AT285" s="607">
        <f>+AT278</f>
        <v>425</v>
      </c>
      <c r="AU285" s="607">
        <f t="shared" si="1334"/>
        <v>0</v>
      </c>
      <c r="AV285" s="538">
        <f>+Assumptions!$N$13*$BC285*1000</f>
        <v>0</v>
      </c>
      <c r="AW285" s="607">
        <f>+AW278</f>
        <v>438</v>
      </c>
      <c r="AX285" s="607">
        <f t="shared" si="1335"/>
        <v>0</v>
      </c>
      <c r="AY285" s="538">
        <f>+Assumptions!$N$13*$BC285*1000</f>
        <v>0</v>
      </c>
      <c r="AZ285" s="607">
        <f>+AZ278</f>
        <v>451</v>
      </c>
      <c r="BA285" s="607">
        <f t="shared" si="1336"/>
        <v>0</v>
      </c>
      <c r="BC285" s="710">
        <v>0</v>
      </c>
      <c r="BJ285" s="529">
        <f t="shared" si="1297"/>
        <v>0</v>
      </c>
      <c r="BK285" s="529">
        <f t="shared" si="1298"/>
        <v>0</v>
      </c>
      <c r="BL285" s="529">
        <f t="shared" si="1299"/>
        <v>0</v>
      </c>
      <c r="BM285" s="529">
        <f t="shared" si="1300"/>
        <v>0</v>
      </c>
      <c r="BN285" s="529">
        <f t="shared" si="1301"/>
        <v>0</v>
      </c>
      <c r="BO285" s="529">
        <f t="shared" si="1302"/>
        <v>0</v>
      </c>
      <c r="BP285" s="529">
        <f t="shared" si="1303"/>
        <v>0</v>
      </c>
      <c r="BQ285" s="529">
        <f t="shared" si="1304"/>
        <v>0</v>
      </c>
      <c r="BR285" s="529">
        <f t="shared" si="1305"/>
        <v>0</v>
      </c>
      <c r="BS285" s="529">
        <f t="shared" si="1306"/>
        <v>0</v>
      </c>
      <c r="BT285" s="529">
        <f t="shared" si="1307"/>
        <v>0</v>
      </c>
      <c r="BU285" s="529">
        <f t="shared" si="1308"/>
        <v>0</v>
      </c>
      <c r="BV285" s="529">
        <f t="shared" si="1309"/>
        <v>0</v>
      </c>
      <c r="BW285" s="529">
        <f t="shared" si="1310"/>
        <v>0</v>
      </c>
      <c r="BX285" s="529">
        <f t="shared" si="1311"/>
        <v>0</v>
      </c>
      <c r="BY285" s="529">
        <f t="shared" si="1312"/>
        <v>0</v>
      </c>
      <c r="BZ285" s="529">
        <f t="shared" si="1313"/>
        <v>0</v>
      </c>
      <c r="CB285" s="529">
        <f t="shared" si="1314"/>
        <v>0</v>
      </c>
      <c r="CC285" s="529">
        <f t="shared" si="1315"/>
        <v>0</v>
      </c>
      <c r="CD285" s="529">
        <f t="shared" si="1316"/>
        <v>0</v>
      </c>
      <c r="CE285" s="529">
        <f t="shared" si="1317"/>
        <v>0</v>
      </c>
      <c r="CF285" s="529">
        <f t="shared" si="1318"/>
        <v>0</v>
      </c>
      <c r="CG285" s="529">
        <f t="shared" si="1319"/>
        <v>0</v>
      </c>
      <c r="CH285" s="529">
        <f t="shared" si="1320"/>
        <v>0</v>
      </c>
      <c r="CI285" s="529">
        <f t="shared" si="1321"/>
        <v>0</v>
      </c>
      <c r="CJ285" s="529">
        <f t="shared" si="1322"/>
        <v>0</v>
      </c>
      <c r="CK285" s="529">
        <f t="shared" si="1323"/>
        <v>0</v>
      </c>
      <c r="CL285" s="529">
        <f t="shared" si="1324"/>
        <v>0</v>
      </c>
      <c r="CM285" s="529">
        <f t="shared" si="1325"/>
        <v>0</v>
      </c>
      <c r="CN285" s="529">
        <f t="shared" si="1326"/>
        <v>0</v>
      </c>
      <c r="CO285" s="529">
        <f t="shared" si="1327"/>
        <v>0</v>
      </c>
      <c r="CP285" s="529">
        <f t="shared" si="1253"/>
        <v>0</v>
      </c>
      <c r="CQ285" s="529">
        <f t="shared" si="1254"/>
        <v>0</v>
      </c>
      <c r="CR285" s="529">
        <f t="shared" si="1255"/>
        <v>0</v>
      </c>
    </row>
    <row r="286" spans="1:96" x14ac:dyDescent="0.2">
      <c r="A286" s="763"/>
      <c r="B286" s="537" t="str">
        <f t="shared" ref="B286:B287" si="1337">+B279</f>
        <v>NPK 13-13-21</v>
      </c>
      <c r="C286" s="538"/>
      <c r="D286" s="607"/>
      <c r="E286" s="539"/>
      <c r="F286" s="538"/>
      <c r="G286" s="607"/>
      <c r="H286" s="539"/>
      <c r="I286" s="538"/>
      <c r="J286" s="607"/>
      <c r="K286" s="539"/>
      <c r="L286" s="538"/>
      <c r="M286" s="607"/>
      <c r="N286" s="539"/>
      <c r="O286" s="538"/>
      <c r="P286" s="607"/>
      <c r="Q286" s="539"/>
      <c r="R286" s="538"/>
      <c r="S286" s="607"/>
      <c r="T286" s="539"/>
      <c r="U286" s="538"/>
      <c r="V286" s="637"/>
      <c r="W286" s="539"/>
      <c r="X286" s="538"/>
      <c r="Y286" s="607"/>
      <c r="Z286" s="607"/>
      <c r="AA286" s="538">
        <f>+Assumptions!$I$13*$BC286*1000</f>
        <v>0</v>
      </c>
      <c r="AB286" s="607">
        <f t="shared" ref="AB286:AB287" si="1338">+AB279</f>
        <v>336</v>
      </c>
      <c r="AC286" s="607">
        <f t="shared" si="1328"/>
        <v>0</v>
      </c>
      <c r="AD286" s="538">
        <f>+Assumptions!$J$13*$BC286*1000</f>
        <v>0</v>
      </c>
      <c r="AE286" s="607">
        <f t="shared" ref="AE286:AE287" si="1339">+AE279</f>
        <v>346</v>
      </c>
      <c r="AF286" s="607">
        <f t="shared" si="1329"/>
        <v>0</v>
      </c>
      <c r="AG286" s="538">
        <f>+Assumptions!$K$13*$BC286*1000</f>
        <v>0</v>
      </c>
      <c r="AH286" s="607">
        <f t="shared" ref="AH286:AH287" si="1340">+AH279</f>
        <v>356</v>
      </c>
      <c r="AI286" s="607">
        <f t="shared" si="1330"/>
        <v>0</v>
      </c>
      <c r="AJ286" s="538">
        <f>+Assumptions!$L$13*$BC286*1000</f>
        <v>0</v>
      </c>
      <c r="AK286" s="607">
        <f t="shared" ref="AK286:AK287" si="1341">+AK279</f>
        <v>366</v>
      </c>
      <c r="AL286" s="607">
        <f t="shared" si="1331"/>
        <v>0</v>
      </c>
      <c r="AM286" s="538">
        <f>+Assumptions!$M$13*$BC286*1000</f>
        <v>0</v>
      </c>
      <c r="AN286" s="607">
        <f t="shared" ref="AN286:AN287" si="1342">+AN279</f>
        <v>377</v>
      </c>
      <c r="AO286" s="607">
        <f t="shared" si="1332"/>
        <v>0</v>
      </c>
      <c r="AP286" s="538">
        <f>+Assumptions!$N$13*$BC286*1000</f>
        <v>0</v>
      </c>
      <c r="AQ286" s="607">
        <f t="shared" ref="AQ286:AQ287" si="1343">+AQ279</f>
        <v>388</v>
      </c>
      <c r="AR286" s="607">
        <f t="shared" si="1333"/>
        <v>0</v>
      </c>
      <c r="AS286" s="538">
        <f>+Assumptions!$N$13*$BC286*1000</f>
        <v>0</v>
      </c>
      <c r="AT286" s="607">
        <f t="shared" ref="AT286:AT287" si="1344">+AT279</f>
        <v>399</v>
      </c>
      <c r="AU286" s="607">
        <f t="shared" si="1334"/>
        <v>0</v>
      </c>
      <c r="AV286" s="538">
        <f>+Assumptions!$N$13*$BC286*1000</f>
        <v>0</v>
      </c>
      <c r="AW286" s="607">
        <f t="shared" ref="AW286:AW287" si="1345">+AW279</f>
        <v>411</v>
      </c>
      <c r="AX286" s="607">
        <f t="shared" si="1335"/>
        <v>0</v>
      </c>
      <c r="AY286" s="538">
        <f>+Assumptions!$N$13*$BC286*1000</f>
        <v>0</v>
      </c>
      <c r="AZ286" s="607">
        <f t="shared" ref="AZ286:AZ287" si="1346">+AZ279</f>
        <v>423</v>
      </c>
      <c r="BA286" s="607">
        <f t="shared" si="1336"/>
        <v>0</v>
      </c>
      <c r="BC286" s="710">
        <v>0</v>
      </c>
      <c r="BJ286" s="529">
        <f t="shared" si="1297"/>
        <v>0</v>
      </c>
      <c r="BK286" s="529">
        <f t="shared" si="1298"/>
        <v>0</v>
      </c>
      <c r="BL286" s="529">
        <f t="shared" si="1299"/>
        <v>0</v>
      </c>
      <c r="BM286" s="529">
        <f t="shared" si="1300"/>
        <v>0</v>
      </c>
      <c r="BN286" s="529">
        <f t="shared" si="1301"/>
        <v>0</v>
      </c>
      <c r="BO286" s="529">
        <f t="shared" si="1302"/>
        <v>0</v>
      </c>
      <c r="BP286" s="529">
        <f t="shared" si="1303"/>
        <v>0</v>
      </c>
      <c r="BQ286" s="529">
        <f t="shared" si="1304"/>
        <v>0</v>
      </c>
      <c r="BR286" s="529">
        <f t="shared" si="1305"/>
        <v>0</v>
      </c>
      <c r="BS286" s="529">
        <f t="shared" si="1306"/>
        <v>0</v>
      </c>
      <c r="BT286" s="529">
        <f t="shared" si="1307"/>
        <v>0</v>
      </c>
      <c r="BU286" s="529">
        <f t="shared" si="1308"/>
        <v>0</v>
      </c>
      <c r="BV286" s="529">
        <f t="shared" si="1309"/>
        <v>0</v>
      </c>
      <c r="BW286" s="529">
        <f t="shared" si="1310"/>
        <v>0</v>
      </c>
      <c r="BX286" s="529">
        <f t="shared" si="1311"/>
        <v>0</v>
      </c>
      <c r="BY286" s="529">
        <f t="shared" si="1312"/>
        <v>0</v>
      </c>
      <c r="BZ286" s="529">
        <f t="shared" si="1313"/>
        <v>0</v>
      </c>
      <c r="CB286" s="529">
        <f t="shared" si="1314"/>
        <v>0</v>
      </c>
      <c r="CC286" s="529">
        <f t="shared" si="1315"/>
        <v>0</v>
      </c>
      <c r="CD286" s="529">
        <f t="shared" si="1316"/>
        <v>0</v>
      </c>
      <c r="CE286" s="529">
        <f t="shared" si="1317"/>
        <v>0</v>
      </c>
      <c r="CF286" s="529">
        <f t="shared" si="1318"/>
        <v>0</v>
      </c>
      <c r="CG286" s="529">
        <f t="shared" si="1319"/>
        <v>0</v>
      </c>
      <c r="CH286" s="529">
        <f t="shared" si="1320"/>
        <v>0</v>
      </c>
      <c r="CI286" s="529">
        <f t="shared" si="1321"/>
        <v>0</v>
      </c>
      <c r="CJ286" s="529">
        <f t="shared" si="1322"/>
        <v>0</v>
      </c>
      <c r="CK286" s="529">
        <f t="shared" si="1323"/>
        <v>0</v>
      </c>
      <c r="CL286" s="529">
        <f t="shared" si="1324"/>
        <v>0</v>
      </c>
      <c r="CM286" s="529">
        <f t="shared" si="1325"/>
        <v>0</v>
      </c>
      <c r="CN286" s="529">
        <f t="shared" si="1326"/>
        <v>0</v>
      </c>
      <c r="CO286" s="529">
        <f t="shared" si="1327"/>
        <v>0</v>
      </c>
      <c r="CP286" s="529">
        <f t="shared" si="1253"/>
        <v>0</v>
      </c>
      <c r="CQ286" s="529">
        <f t="shared" si="1254"/>
        <v>0</v>
      </c>
      <c r="CR286" s="529">
        <f t="shared" si="1255"/>
        <v>0</v>
      </c>
    </row>
    <row r="287" spans="1:96" x14ac:dyDescent="0.2">
      <c r="A287" s="763"/>
      <c r="B287" s="537" t="str">
        <f t="shared" si="1337"/>
        <v>NPK 00-00-00</v>
      </c>
      <c r="C287" s="538"/>
      <c r="D287" s="607"/>
      <c r="E287" s="539"/>
      <c r="F287" s="538"/>
      <c r="G287" s="607"/>
      <c r="H287" s="539"/>
      <c r="I287" s="538"/>
      <c r="J287" s="607"/>
      <c r="K287" s="539"/>
      <c r="L287" s="538"/>
      <c r="M287" s="607"/>
      <c r="N287" s="539"/>
      <c r="O287" s="538"/>
      <c r="P287" s="607"/>
      <c r="Q287" s="539"/>
      <c r="R287" s="538"/>
      <c r="S287" s="607"/>
      <c r="T287" s="539"/>
      <c r="U287" s="538"/>
      <c r="V287" s="637"/>
      <c r="W287" s="539"/>
      <c r="X287" s="538"/>
      <c r="Y287" s="607"/>
      <c r="Z287" s="607"/>
      <c r="AA287" s="538">
        <f>+Assumptions!$I$13*$BC287*1000</f>
        <v>0</v>
      </c>
      <c r="AB287" s="607">
        <f t="shared" si="1338"/>
        <v>7</v>
      </c>
      <c r="AC287" s="607">
        <f t="shared" si="1328"/>
        <v>0</v>
      </c>
      <c r="AD287" s="538">
        <f>+Assumptions!$J$13*$BC287*1000</f>
        <v>0</v>
      </c>
      <c r="AE287" s="607">
        <f t="shared" si="1339"/>
        <v>7</v>
      </c>
      <c r="AF287" s="607">
        <f t="shared" si="1329"/>
        <v>0</v>
      </c>
      <c r="AG287" s="538">
        <f>+Assumptions!$K$13*$BC287*1000</f>
        <v>0</v>
      </c>
      <c r="AH287" s="607">
        <f t="shared" si="1340"/>
        <v>7</v>
      </c>
      <c r="AI287" s="607">
        <f t="shared" si="1330"/>
        <v>0</v>
      </c>
      <c r="AJ287" s="538">
        <f>+Assumptions!$L$13*$BC287*1000</f>
        <v>0</v>
      </c>
      <c r="AK287" s="607">
        <f t="shared" si="1341"/>
        <v>7</v>
      </c>
      <c r="AL287" s="607">
        <f t="shared" si="1331"/>
        <v>0</v>
      </c>
      <c r="AM287" s="538">
        <f>+Assumptions!$M$13*$BC287*1000</f>
        <v>0</v>
      </c>
      <c r="AN287" s="607">
        <f t="shared" si="1342"/>
        <v>7</v>
      </c>
      <c r="AO287" s="607">
        <f t="shared" si="1332"/>
        <v>0</v>
      </c>
      <c r="AP287" s="538">
        <f>+Assumptions!$N$13*$BC287*1000</f>
        <v>0</v>
      </c>
      <c r="AQ287" s="607">
        <f t="shared" si="1343"/>
        <v>7</v>
      </c>
      <c r="AR287" s="607">
        <f t="shared" si="1333"/>
        <v>0</v>
      </c>
      <c r="AS287" s="538">
        <f>+Assumptions!$N$13*$BC287*1000</f>
        <v>0</v>
      </c>
      <c r="AT287" s="607">
        <f t="shared" si="1344"/>
        <v>7</v>
      </c>
      <c r="AU287" s="607">
        <f t="shared" si="1334"/>
        <v>0</v>
      </c>
      <c r="AV287" s="538">
        <f>+Assumptions!$N$13*$BC287*1000</f>
        <v>0</v>
      </c>
      <c r="AW287" s="607">
        <f t="shared" si="1345"/>
        <v>7</v>
      </c>
      <c r="AX287" s="607">
        <f t="shared" si="1335"/>
        <v>0</v>
      </c>
      <c r="AY287" s="538">
        <f>+Assumptions!$N$13*$BC287*1000</f>
        <v>0</v>
      </c>
      <c r="AZ287" s="607">
        <f t="shared" si="1346"/>
        <v>7</v>
      </c>
      <c r="BA287" s="607">
        <f t="shared" si="1336"/>
        <v>0</v>
      </c>
      <c r="BC287" s="710">
        <v>0</v>
      </c>
      <c r="BJ287" s="529">
        <f t="shared" si="1297"/>
        <v>0</v>
      </c>
      <c r="BK287" s="529">
        <f t="shared" si="1298"/>
        <v>0</v>
      </c>
      <c r="BL287" s="529">
        <f t="shared" si="1299"/>
        <v>0</v>
      </c>
      <c r="BM287" s="529">
        <f t="shared" si="1300"/>
        <v>0</v>
      </c>
      <c r="BN287" s="529">
        <f t="shared" si="1301"/>
        <v>0</v>
      </c>
      <c r="BO287" s="529">
        <f t="shared" si="1302"/>
        <v>0</v>
      </c>
      <c r="BP287" s="529">
        <f t="shared" si="1303"/>
        <v>0</v>
      </c>
      <c r="BQ287" s="529">
        <f t="shared" si="1304"/>
        <v>0</v>
      </c>
      <c r="BR287" s="529">
        <f t="shared" si="1305"/>
        <v>0</v>
      </c>
      <c r="BS287" s="529">
        <f t="shared" si="1306"/>
        <v>0</v>
      </c>
      <c r="BT287" s="529">
        <f t="shared" si="1307"/>
        <v>0</v>
      </c>
      <c r="BU287" s="529">
        <f t="shared" si="1308"/>
        <v>0</v>
      </c>
      <c r="BV287" s="529">
        <f t="shared" si="1309"/>
        <v>0</v>
      </c>
      <c r="BW287" s="529">
        <f t="shared" si="1310"/>
        <v>0</v>
      </c>
      <c r="BX287" s="529">
        <f t="shared" si="1311"/>
        <v>0</v>
      </c>
      <c r="BY287" s="529">
        <f t="shared" si="1312"/>
        <v>0</v>
      </c>
      <c r="BZ287" s="529">
        <f t="shared" si="1313"/>
        <v>0</v>
      </c>
      <c r="CB287" s="529">
        <f t="shared" si="1314"/>
        <v>0</v>
      </c>
      <c r="CC287" s="529">
        <f t="shared" si="1315"/>
        <v>0</v>
      </c>
      <c r="CD287" s="529">
        <f t="shared" si="1316"/>
        <v>0</v>
      </c>
      <c r="CE287" s="529">
        <f t="shared" si="1317"/>
        <v>0</v>
      </c>
      <c r="CF287" s="529">
        <f t="shared" si="1318"/>
        <v>0</v>
      </c>
      <c r="CG287" s="529">
        <f t="shared" si="1319"/>
        <v>0</v>
      </c>
      <c r="CH287" s="529">
        <f t="shared" si="1320"/>
        <v>0</v>
      </c>
      <c r="CI287" s="529">
        <f t="shared" si="1321"/>
        <v>0</v>
      </c>
      <c r="CJ287" s="529">
        <f t="shared" si="1322"/>
        <v>0</v>
      </c>
      <c r="CK287" s="529">
        <f t="shared" si="1323"/>
        <v>0</v>
      </c>
      <c r="CL287" s="529">
        <f t="shared" si="1324"/>
        <v>0</v>
      </c>
      <c r="CM287" s="529">
        <f t="shared" si="1325"/>
        <v>0</v>
      </c>
      <c r="CN287" s="529">
        <f t="shared" si="1326"/>
        <v>0</v>
      </c>
      <c r="CO287" s="529">
        <f t="shared" si="1327"/>
        <v>0</v>
      </c>
      <c r="CP287" s="529">
        <f t="shared" si="1253"/>
        <v>0</v>
      </c>
      <c r="CQ287" s="529">
        <f t="shared" si="1254"/>
        <v>0</v>
      </c>
      <c r="CR287" s="529">
        <f t="shared" si="1255"/>
        <v>0</v>
      </c>
    </row>
    <row r="288" spans="1:96" x14ac:dyDescent="0.2">
      <c r="A288" s="765"/>
      <c r="B288" s="611"/>
      <c r="C288" s="543"/>
      <c r="D288" s="609"/>
      <c r="E288" s="544"/>
      <c r="F288" s="543"/>
      <c r="G288" s="609"/>
      <c r="H288" s="544"/>
      <c r="I288" s="543"/>
      <c r="J288" s="609"/>
      <c r="K288" s="544"/>
      <c r="L288" s="543"/>
      <c r="M288" s="609"/>
      <c r="N288" s="544"/>
      <c r="O288" s="543"/>
      <c r="P288" s="609"/>
      <c r="Q288" s="544"/>
      <c r="R288" s="543"/>
      <c r="S288" s="609"/>
      <c r="T288" s="544"/>
      <c r="U288" s="543"/>
      <c r="V288" s="638"/>
      <c r="W288" s="544"/>
      <c r="X288" s="543"/>
      <c r="Y288" s="609"/>
      <c r="Z288" s="609"/>
      <c r="AA288" s="543"/>
      <c r="AB288" s="609"/>
      <c r="AC288" s="609"/>
      <c r="AD288" s="543"/>
      <c r="AE288" s="609"/>
      <c r="AF288" s="609"/>
      <c r="AG288" s="543"/>
      <c r="AH288" s="609"/>
      <c r="AI288" s="609"/>
      <c r="AJ288" s="543"/>
      <c r="AK288" s="609"/>
      <c r="AL288" s="609"/>
      <c r="AM288" s="543"/>
      <c r="AN288" s="609"/>
      <c r="AO288" s="609"/>
      <c r="AP288" s="543"/>
      <c r="AQ288" s="609"/>
      <c r="AR288" s="609"/>
      <c r="AS288" s="543"/>
      <c r="AT288" s="609"/>
      <c r="AU288" s="609"/>
      <c r="AV288" s="543"/>
      <c r="AW288" s="609"/>
      <c r="AX288" s="609"/>
      <c r="AY288" s="543"/>
      <c r="AZ288" s="609"/>
      <c r="BA288" s="609"/>
      <c r="BC288" s="710" t="e">
        <v>#N/A</v>
      </c>
      <c r="BJ288" s="529">
        <f t="shared" si="1297"/>
        <v>0</v>
      </c>
      <c r="BK288" s="529">
        <f t="shared" si="1298"/>
        <v>0</v>
      </c>
      <c r="BL288" s="529">
        <f t="shared" si="1299"/>
        <v>0</v>
      </c>
      <c r="BM288" s="529">
        <f t="shared" si="1300"/>
        <v>0</v>
      </c>
      <c r="BN288" s="529">
        <f t="shared" si="1301"/>
        <v>0</v>
      </c>
      <c r="BO288" s="529">
        <f t="shared" si="1302"/>
        <v>0</v>
      </c>
      <c r="BP288" s="529">
        <f t="shared" si="1303"/>
        <v>0</v>
      </c>
      <c r="BQ288" s="529">
        <f t="shared" si="1304"/>
        <v>0</v>
      </c>
      <c r="BR288" s="529">
        <f t="shared" si="1305"/>
        <v>0</v>
      </c>
      <c r="BS288" s="529">
        <f t="shared" si="1306"/>
        <v>0</v>
      </c>
      <c r="BT288" s="529">
        <f t="shared" si="1307"/>
        <v>0</v>
      </c>
      <c r="BU288" s="529">
        <f t="shared" si="1308"/>
        <v>0</v>
      </c>
      <c r="BV288" s="529">
        <f t="shared" si="1309"/>
        <v>0</v>
      </c>
      <c r="BW288" s="529">
        <f t="shared" si="1310"/>
        <v>0</v>
      </c>
      <c r="BX288" s="529">
        <f t="shared" si="1311"/>
        <v>0</v>
      </c>
      <c r="BY288" s="529">
        <f t="shared" si="1312"/>
        <v>0</v>
      </c>
      <c r="BZ288" s="529">
        <f t="shared" si="1313"/>
        <v>0</v>
      </c>
      <c r="CB288" s="529">
        <f t="shared" si="1314"/>
        <v>0</v>
      </c>
      <c r="CC288" s="529">
        <f t="shared" si="1315"/>
        <v>0</v>
      </c>
      <c r="CD288" s="529">
        <f t="shared" si="1316"/>
        <v>0</v>
      </c>
      <c r="CE288" s="529">
        <f t="shared" si="1317"/>
        <v>0</v>
      </c>
      <c r="CF288" s="529">
        <f t="shared" si="1318"/>
        <v>0</v>
      </c>
      <c r="CG288" s="529">
        <f t="shared" si="1319"/>
        <v>0</v>
      </c>
      <c r="CH288" s="529">
        <f t="shared" si="1320"/>
        <v>0</v>
      </c>
      <c r="CI288" s="529">
        <f t="shared" si="1321"/>
        <v>0</v>
      </c>
      <c r="CJ288" s="529">
        <f t="shared" si="1322"/>
        <v>0</v>
      </c>
      <c r="CK288" s="529">
        <f t="shared" si="1323"/>
        <v>0</v>
      </c>
      <c r="CL288" s="529">
        <f t="shared" si="1324"/>
        <v>0</v>
      </c>
      <c r="CM288" s="529">
        <f t="shared" si="1325"/>
        <v>0</v>
      </c>
      <c r="CN288" s="529">
        <f t="shared" si="1326"/>
        <v>0</v>
      </c>
      <c r="CO288" s="529">
        <f t="shared" si="1327"/>
        <v>0</v>
      </c>
      <c r="CP288" s="529">
        <f t="shared" si="1253"/>
        <v>0</v>
      </c>
      <c r="CQ288" s="529">
        <f t="shared" si="1254"/>
        <v>0</v>
      </c>
      <c r="CR288" s="529">
        <f t="shared" si="1255"/>
        <v>0</v>
      </c>
    </row>
    <row r="289" spans="1:96" x14ac:dyDescent="0.2">
      <c r="A289" s="762" t="s">
        <v>728</v>
      </c>
      <c r="B289" s="610" t="str">
        <f>+B282</f>
        <v>NPK 15-15-15</v>
      </c>
      <c r="C289" s="605"/>
      <c r="D289" s="603"/>
      <c r="E289" s="604"/>
      <c r="F289" s="605"/>
      <c r="G289" s="603"/>
      <c r="H289" s="604"/>
      <c r="I289" s="605"/>
      <c r="J289" s="603"/>
      <c r="K289" s="604"/>
      <c r="L289" s="605"/>
      <c r="M289" s="603"/>
      <c r="N289" s="604"/>
      <c r="O289" s="605"/>
      <c r="P289" s="603"/>
      <c r="Q289" s="604"/>
      <c r="R289" s="605"/>
      <c r="S289" s="603"/>
      <c r="T289" s="604"/>
      <c r="U289" s="605"/>
      <c r="V289" s="636"/>
      <c r="W289" s="604"/>
      <c r="X289" s="605"/>
      <c r="Y289" s="603"/>
      <c r="Z289" s="603"/>
      <c r="AA289" s="605">
        <f>+Assumptions!$I$13*$BC289*1000</f>
        <v>0</v>
      </c>
      <c r="AB289" s="603">
        <f>+AB282</f>
        <v>322</v>
      </c>
      <c r="AC289" s="603">
        <f t="shared" ref="AC289:AC294" si="1347">+AB289*AA289</f>
        <v>0</v>
      </c>
      <c r="AD289" s="605">
        <f>+Assumptions!$J$13*$BC289*1000</f>
        <v>0</v>
      </c>
      <c r="AE289" s="603">
        <f>+AE282</f>
        <v>331</v>
      </c>
      <c r="AF289" s="603">
        <f t="shared" ref="AF289:AF294" si="1348">+AE289*AD289</f>
        <v>0</v>
      </c>
      <c r="AG289" s="605">
        <f>+Assumptions!$K$13*$BC289*1000</f>
        <v>0</v>
      </c>
      <c r="AH289" s="603">
        <f>+AH282</f>
        <v>341</v>
      </c>
      <c r="AI289" s="603">
        <f t="shared" ref="AI289:AI294" si="1349">+AH289*AG289</f>
        <v>0</v>
      </c>
      <c r="AJ289" s="605">
        <f>+Assumptions!$L$13*$BC289*1000</f>
        <v>0</v>
      </c>
      <c r="AK289" s="603">
        <f>+AK282</f>
        <v>351</v>
      </c>
      <c r="AL289" s="603">
        <f t="shared" ref="AL289:AL294" si="1350">+AK289*AJ289</f>
        <v>0</v>
      </c>
      <c r="AM289" s="605">
        <f>+Assumptions!$M$13*$BC289*1000</f>
        <v>0</v>
      </c>
      <c r="AN289" s="603">
        <f>+AN282</f>
        <v>361</v>
      </c>
      <c r="AO289" s="603">
        <f t="shared" ref="AO289:AO294" si="1351">+AN289*AM289</f>
        <v>0</v>
      </c>
      <c r="AP289" s="605">
        <f>+Assumptions!$N$13*$BC289*1000</f>
        <v>0</v>
      </c>
      <c r="AQ289" s="603">
        <f>+AQ282</f>
        <v>372</v>
      </c>
      <c r="AR289" s="603">
        <f t="shared" ref="AR289:AR294" si="1352">+AQ289*AP289</f>
        <v>0</v>
      </c>
      <c r="AS289" s="605">
        <f>+Assumptions!$N$13*$BC289*1000</f>
        <v>0</v>
      </c>
      <c r="AT289" s="603">
        <f>+AT282</f>
        <v>383</v>
      </c>
      <c r="AU289" s="603">
        <f t="shared" ref="AU289:AU294" si="1353">+AT289*AS289</f>
        <v>0</v>
      </c>
      <c r="AV289" s="605">
        <f>+Assumptions!$N$13*$BC289*1000</f>
        <v>0</v>
      </c>
      <c r="AW289" s="603">
        <f>+AW282</f>
        <v>394</v>
      </c>
      <c r="AX289" s="603">
        <f t="shared" ref="AX289:AX294" si="1354">+AW289*AV289</f>
        <v>0</v>
      </c>
      <c r="AY289" s="605">
        <f>+Assumptions!$N$13*$BC289*1000</f>
        <v>0</v>
      </c>
      <c r="AZ289" s="603">
        <f>+AZ282</f>
        <v>406</v>
      </c>
      <c r="BA289" s="603">
        <f t="shared" ref="BA289:BA294" si="1355">+AZ289*AY289</f>
        <v>0</v>
      </c>
      <c r="BC289" s="710">
        <v>0</v>
      </c>
      <c r="BJ289" s="529">
        <f t="shared" si="1297"/>
        <v>0</v>
      </c>
      <c r="BK289" s="529">
        <f t="shared" si="1298"/>
        <v>0</v>
      </c>
      <c r="BL289" s="529">
        <f t="shared" si="1299"/>
        <v>0</v>
      </c>
      <c r="BM289" s="529">
        <f t="shared" si="1300"/>
        <v>0</v>
      </c>
      <c r="BN289" s="529">
        <f t="shared" si="1301"/>
        <v>0</v>
      </c>
      <c r="BO289" s="529">
        <f t="shared" si="1302"/>
        <v>0</v>
      </c>
      <c r="BP289" s="529">
        <f t="shared" si="1303"/>
        <v>0</v>
      </c>
      <c r="BQ289" s="529">
        <f t="shared" si="1304"/>
        <v>0</v>
      </c>
      <c r="BR289" s="529">
        <f t="shared" si="1305"/>
        <v>0</v>
      </c>
      <c r="BS289" s="529">
        <f t="shared" si="1306"/>
        <v>0</v>
      </c>
      <c r="BT289" s="529">
        <f t="shared" si="1307"/>
        <v>0</v>
      </c>
      <c r="BU289" s="529">
        <f t="shared" si="1308"/>
        <v>0</v>
      </c>
      <c r="BV289" s="529">
        <f t="shared" si="1309"/>
        <v>0</v>
      </c>
      <c r="BW289" s="529">
        <f t="shared" si="1310"/>
        <v>0</v>
      </c>
      <c r="BX289" s="529">
        <f t="shared" si="1311"/>
        <v>0</v>
      </c>
      <c r="BY289" s="529">
        <f t="shared" si="1312"/>
        <v>0</v>
      </c>
      <c r="BZ289" s="529">
        <f t="shared" si="1313"/>
        <v>0</v>
      </c>
      <c r="CB289" s="529">
        <f t="shared" si="1314"/>
        <v>0</v>
      </c>
      <c r="CC289" s="529">
        <f t="shared" si="1315"/>
        <v>0</v>
      </c>
      <c r="CD289" s="529">
        <f t="shared" si="1316"/>
        <v>0</v>
      </c>
      <c r="CE289" s="529">
        <f t="shared" si="1317"/>
        <v>0</v>
      </c>
      <c r="CF289" s="529">
        <f t="shared" si="1318"/>
        <v>0</v>
      </c>
      <c r="CG289" s="529">
        <f t="shared" si="1319"/>
        <v>0</v>
      </c>
      <c r="CH289" s="529">
        <f t="shared" si="1320"/>
        <v>0</v>
      </c>
      <c r="CI289" s="529">
        <f t="shared" si="1321"/>
        <v>0</v>
      </c>
      <c r="CJ289" s="529">
        <f t="shared" si="1322"/>
        <v>0</v>
      </c>
      <c r="CK289" s="529">
        <f t="shared" si="1323"/>
        <v>0</v>
      </c>
      <c r="CL289" s="529">
        <f t="shared" si="1324"/>
        <v>0</v>
      </c>
      <c r="CM289" s="529">
        <f t="shared" si="1325"/>
        <v>0</v>
      </c>
      <c r="CN289" s="529">
        <f t="shared" si="1326"/>
        <v>0</v>
      </c>
      <c r="CO289" s="529">
        <f t="shared" si="1327"/>
        <v>0</v>
      </c>
      <c r="CP289" s="529">
        <f t="shared" si="1253"/>
        <v>0</v>
      </c>
      <c r="CQ289" s="529">
        <f t="shared" si="1254"/>
        <v>0</v>
      </c>
      <c r="CR289" s="529">
        <f t="shared" si="1255"/>
        <v>0</v>
      </c>
    </row>
    <row r="290" spans="1:96" x14ac:dyDescent="0.2">
      <c r="A290" s="763"/>
      <c r="B290" s="537" t="str">
        <f>+B283</f>
        <v>NPK 16-16-16</v>
      </c>
      <c r="C290" s="538"/>
      <c r="D290" s="607"/>
      <c r="E290" s="539"/>
      <c r="F290" s="538"/>
      <c r="G290" s="607"/>
      <c r="H290" s="539"/>
      <c r="I290" s="538"/>
      <c r="J290" s="607"/>
      <c r="K290" s="539"/>
      <c r="L290" s="538"/>
      <c r="M290" s="607"/>
      <c r="N290" s="539"/>
      <c r="O290" s="538"/>
      <c r="P290" s="607"/>
      <c r="Q290" s="539"/>
      <c r="R290" s="538"/>
      <c r="S290" s="607"/>
      <c r="T290" s="539"/>
      <c r="U290" s="538"/>
      <c r="V290" s="637"/>
      <c r="W290" s="539"/>
      <c r="X290" s="538"/>
      <c r="Y290" s="607"/>
      <c r="Z290" s="607"/>
      <c r="AA290" s="538">
        <f>+Assumptions!$I$13*$BC290*1000</f>
        <v>0</v>
      </c>
      <c r="AB290" s="607">
        <f>+AB283</f>
        <v>344</v>
      </c>
      <c r="AC290" s="607">
        <f t="shared" si="1347"/>
        <v>0</v>
      </c>
      <c r="AD290" s="538">
        <f>+Assumptions!$J$13*$BC290*1000</f>
        <v>0</v>
      </c>
      <c r="AE290" s="607">
        <f>+AE283</f>
        <v>354</v>
      </c>
      <c r="AF290" s="607">
        <f t="shared" si="1348"/>
        <v>0</v>
      </c>
      <c r="AG290" s="538">
        <f>+Assumptions!$K$13*$BC290*1000</f>
        <v>0</v>
      </c>
      <c r="AH290" s="607">
        <f>+AH283</f>
        <v>364</v>
      </c>
      <c r="AI290" s="607">
        <f t="shared" si="1349"/>
        <v>0</v>
      </c>
      <c r="AJ290" s="538">
        <f>+Assumptions!$L$13*$BC290*1000</f>
        <v>0</v>
      </c>
      <c r="AK290" s="607">
        <f>+AK283</f>
        <v>375</v>
      </c>
      <c r="AL290" s="607">
        <f t="shared" si="1350"/>
        <v>0</v>
      </c>
      <c r="AM290" s="538">
        <f>+Assumptions!$M$13*$BC290*1000</f>
        <v>0</v>
      </c>
      <c r="AN290" s="607">
        <f>+AN283</f>
        <v>386</v>
      </c>
      <c r="AO290" s="607">
        <f t="shared" si="1351"/>
        <v>0</v>
      </c>
      <c r="AP290" s="538">
        <f>+Assumptions!$N$13*$BC290*1000</f>
        <v>0</v>
      </c>
      <c r="AQ290" s="607">
        <f>+AQ283</f>
        <v>397</v>
      </c>
      <c r="AR290" s="607">
        <f t="shared" si="1352"/>
        <v>0</v>
      </c>
      <c r="AS290" s="538">
        <f>+Assumptions!$N$13*$BC290*1000</f>
        <v>0</v>
      </c>
      <c r="AT290" s="607">
        <f>+AT283</f>
        <v>409</v>
      </c>
      <c r="AU290" s="607">
        <f t="shared" si="1353"/>
        <v>0</v>
      </c>
      <c r="AV290" s="538">
        <f>+Assumptions!$N$13*$BC290*1000</f>
        <v>0</v>
      </c>
      <c r="AW290" s="607">
        <f>+AW283</f>
        <v>421</v>
      </c>
      <c r="AX290" s="607">
        <f t="shared" si="1354"/>
        <v>0</v>
      </c>
      <c r="AY290" s="538">
        <f>+Assumptions!$N$13*$BC290*1000</f>
        <v>0</v>
      </c>
      <c r="AZ290" s="607">
        <f>+AZ283</f>
        <v>433</v>
      </c>
      <c r="BA290" s="607">
        <f t="shared" si="1355"/>
        <v>0</v>
      </c>
      <c r="BC290" s="710">
        <v>0</v>
      </c>
      <c r="BJ290" s="529">
        <f t="shared" si="1297"/>
        <v>0</v>
      </c>
      <c r="BK290" s="529">
        <f t="shared" si="1298"/>
        <v>0</v>
      </c>
      <c r="BL290" s="529">
        <f t="shared" si="1299"/>
        <v>0</v>
      </c>
      <c r="BM290" s="529">
        <f t="shared" si="1300"/>
        <v>0</v>
      </c>
      <c r="BN290" s="529">
        <f t="shared" si="1301"/>
        <v>0</v>
      </c>
      <c r="BO290" s="529">
        <f t="shared" si="1302"/>
        <v>0</v>
      </c>
      <c r="BP290" s="529">
        <f t="shared" si="1303"/>
        <v>0</v>
      </c>
      <c r="BQ290" s="529">
        <f t="shared" si="1304"/>
        <v>0</v>
      </c>
      <c r="BR290" s="529">
        <f t="shared" si="1305"/>
        <v>0</v>
      </c>
      <c r="BS290" s="529">
        <f t="shared" si="1306"/>
        <v>0</v>
      </c>
      <c r="BT290" s="529">
        <f t="shared" si="1307"/>
        <v>0</v>
      </c>
      <c r="BU290" s="529">
        <f t="shared" si="1308"/>
        <v>0</v>
      </c>
      <c r="BV290" s="529">
        <f t="shared" si="1309"/>
        <v>0</v>
      </c>
      <c r="BW290" s="529">
        <f t="shared" si="1310"/>
        <v>0</v>
      </c>
      <c r="BX290" s="529">
        <f t="shared" si="1311"/>
        <v>0</v>
      </c>
      <c r="BY290" s="529">
        <f t="shared" si="1312"/>
        <v>0</v>
      </c>
      <c r="BZ290" s="529">
        <f t="shared" si="1313"/>
        <v>0</v>
      </c>
      <c r="CB290" s="529">
        <f t="shared" si="1314"/>
        <v>0</v>
      </c>
      <c r="CC290" s="529">
        <f t="shared" si="1315"/>
        <v>0</v>
      </c>
      <c r="CD290" s="529">
        <f t="shared" si="1316"/>
        <v>0</v>
      </c>
      <c r="CE290" s="529">
        <f t="shared" si="1317"/>
        <v>0</v>
      </c>
      <c r="CF290" s="529">
        <f t="shared" si="1318"/>
        <v>0</v>
      </c>
      <c r="CG290" s="529">
        <f t="shared" si="1319"/>
        <v>0</v>
      </c>
      <c r="CH290" s="529">
        <f t="shared" si="1320"/>
        <v>0</v>
      </c>
      <c r="CI290" s="529">
        <f t="shared" si="1321"/>
        <v>0</v>
      </c>
      <c r="CJ290" s="529">
        <f t="shared" si="1322"/>
        <v>0</v>
      </c>
      <c r="CK290" s="529">
        <f t="shared" si="1323"/>
        <v>0</v>
      </c>
      <c r="CL290" s="529">
        <f t="shared" si="1324"/>
        <v>0</v>
      </c>
      <c r="CM290" s="529">
        <f t="shared" si="1325"/>
        <v>0</v>
      </c>
      <c r="CN290" s="529">
        <f t="shared" si="1326"/>
        <v>0</v>
      </c>
      <c r="CO290" s="529">
        <f t="shared" si="1327"/>
        <v>0</v>
      </c>
      <c r="CP290" s="529">
        <f t="shared" si="1253"/>
        <v>0</v>
      </c>
      <c r="CQ290" s="529">
        <f t="shared" si="1254"/>
        <v>0</v>
      </c>
      <c r="CR290" s="529">
        <f t="shared" si="1255"/>
        <v>0</v>
      </c>
    </row>
    <row r="291" spans="1:96" x14ac:dyDescent="0.2">
      <c r="A291" s="764"/>
      <c r="B291" s="537" t="str">
        <f>+B284</f>
        <v>NPK 10-26-26</v>
      </c>
      <c r="C291" s="538"/>
      <c r="D291" s="607"/>
      <c r="E291" s="539"/>
      <c r="F291" s="538"/>
      <c r="G291" s="607"/>
      <c r="H291" s="539"/>
      <c r="I291" s="538"/>
      <c r="J291" s="607"/>
      <c r="K291" s="539"/>
      <c r="L291" s="538"/>
      <c r="M291" s="607"/>
      <c r="N291" s="539"/>
      <c r="O291" s="538"/>
      <c r="P291" s="607"/>
      <c r="Q291" s="539"/>
      <c r="R291" s="538"/>
      <c r="S291" s="607"/>
      <c r="T291" s="539"/>
      <c r="U291" s="538"/>
      <c r="V291" s="637"/>
      <c r="W291" s="539"/>
      <c r="X291" s="538"/>
      <c r="Y291" s="607"/>
      <c r="Z291" s="607"/>
      <c r="AA291" s="538">
        <f>+Assumptions!$I$13*$BC291*1000</f>
        <v>0</v>
      </c>
      <c r="AB291" s="607">
        <f>+AB284</f>
        <v>441</v>
      </c>
      <c r="AC291" s="607">
        <f t="shared" si="1347"/>
        <v>0</v>
      </c>
      <c r="AD291" s="538">
        <f>+Assumptions!$J$13*$BC291*1000</f>
        <v>0</v>
      </c>
      <c r="AE291" s="607">
        <f>+AE284</f>
        <v>454</v>
      </c>
      <c r="AF291" s="607">
        <f t="shared" si="1348"/>
        <v>0</v>
      </c>
      <c r="AG291" s="538">
        <f>+Assumptions!$K$13*$BC291*1000</f>
        <v>0</v>
      </c>
      <c r="AH291" s="607">
        <f>+AH284</f>
        <v>467</v>
      </c>
      <c r="AI291" s="607">
        <f t="shared" si="1349"/>
        <v>0</v>
      </c>
      <c r="AJ291" s="538">
        <f>+Assumptions!$L$13*$BC291*1000</f>
        <v>0</v>
      </c>
      <c r="AK291" s="607">
        <f>+AK284</f>
        <v>481</v>
      </c>
      <c r="AL291" s="607">
        <f t="shared" si="1350"/>
        <v>0</v>
      </c>
      <c r="AM291" s="538">
        <f>+Assumptions!$M$13*$BC291*1000</f>
        <v>0</v>
      </c>
      <c r="AN291" s="607">
        <f>+AN284</f>
        <v>495</v>
      </c>
      <c r="AO291" s="607">
        <f t="shared" si="1351"/>
        <v>0</v>
      </c>
      <c r="AP291" s="538">
        <f>+Assumptions!$N$13*$BC291*1000</f>
        <v>0</v>
      </c>
      <c r="AQ291" s="607">
        <f>+AQ284</f>
        <v>510</v>
      </c>
      <c r="AR291" s="607">
        <f t="shared" si="1352"/>
        <v>0</v>
      </c>
      <c r="AS291" s="538">
        <f>+Assumptions!$N$13*$BC291*1000</f>
        <v>0</v>
      </c>
      <c r="AT291" s="607">
        <f>+AT284</f>
        <v>525</v>
      </c>
      <c r="AU291" s="607">
        <f t="shared" si="1353"/>
        <v>0</v>
      </c>
      <c r="AV291" s="538">
        <f>+Assumptions!$N$13*$BC291*1000</f>
        <v>0</v>
      </c>
      <c r="AW291" s="607">
        <f>+AW284</f>
        <v>541</v>
      </c>
      <c r="AX291" s="607">
        <f t="shared" si="1354"/>
        <v>0</v>
      </c>
      <c r="AY291" s="538">
        <f>+Assumptions!$N$13*$BC291*1000</f>
        <v>0</v>
      </c>
      <c r="AZ291" s="607">
        <f>+AZ284</f>
        <v>557</v>
      </c>
      <c r="BA291" s="607">
        <f t="shared" si="1355"/>
        <v>0</v>
      </c>
      <c r="BC291" s="710">
        <v>0</v>
      </c>
      <c r="BJ291" s="529">
        <f t="shared" si="1297"/>
        <v>0</v>
      </c>
      <c r="BK291" s="529">
        <f t="shared" si="1298"/>
        <v>0</v>
      </c>
      <c r="BL291" s="529">
        <f t="shared" si="1299"/>
        <v>0</v>
      </c>
      <c r="BM291" s="529">
        <f t="shared" si="1300"/>
        <v>0</v>
      </c>
      <c r="BN291" s="529">
        <f t="shared" si="1301"/>
        <v>0</v>
      </c>
      <c r="BO291" s="529">
        <f t="shared" si="1302"/>
        <v>0</v>
      </c>
      <c r="BP291" s="529">
        <f t="shared" si="1303"/>
        <v>0</v>
      </c>
      <c r="BQ291" s="529">
        <f t="shared" si="1304"/>
        <v>0</v>
      </c>
      <c r="BR291" s="529">
        <f t="shared" si="1305"/>
        <v>0</v>
      </c>
      <c r="BS291" s="529">
        <f t="shared" si="1306"/>
        <v>0</v>
      </c>
      <c r="BT291" s="529">
        <f t="shared" si="1307"/>
        <v>0</v>
      </c>
      <c r="BU291" s="529">
        <f t="shared" si="1308"/>
        <v>0</v>
      </c>
      <c r="BV291" s="529">
        <f t="shared" si="1309"/>
        <v>0</v>
      </c>
      <c r="BW291" s="529">
        <f t="shared" si="1310"/>
        <v>0</v>
      </c>
      <c r="BX291" s="529">
        <f t="shared" si="1311"/>
        <v>0</v>
      </c>
      <c r="BY291" s="529">
        <f t="shared" si="1312"/>
        <v>0</v>
      </c>
      <c r="BZ291" s="529">
        <f t="shared" si="1313"/>
        <v>0</v>
      </c>
      <c r="CB291" s="529">
        <f t="shared" si="1314"/>
        <v>0</v>
      </c>
      <c r="CC291" s="529">
        <f t="shared" si="1315"/>
        <v>0</v>
      </c>
      <c r="CD291" s="529">
        <f t="shared" si="1316"/>
        <v>0</v>
      </c>
      <c r="CE291" s="529">
        <f t="shared" si="1317"/>
        <v>0</v>
      </c>
      <c r="CF291" s="529">
        <f t="shared" si="1318"/>
        <v>0</v>
      </c>
      <c r="CG291" s="529">
        <f t="shared" si="1319"/>
        <v>0</v>
      </c>
      <c r="CH291" s="529">
        <f t="shared" si="1320"/>
        <v>0</v>
      </c>
      <c r="CI291" s="529">
        <f t="shared" si="1321"/>
        <v>0</v>
      </c>
      <c r="CJ291" s="529">
        <f t="shared" si="1322"/>
        <v>0</v>
      </c>
      <c r="CK291" s="529">
        <f t="shared" si="1323"/>
        <v>0</v>
      </c>
      <c r="CL291" s="529">
        <f t="shared" si="1324"/>
        <v>0</v>
      </c>
      <c r="CM291" s="529">
        <f t="shared" si="1325"/>
        <v>0</v>
      </c>
      <c r="CN291" s="529">
        <f t="shared" si="1326"/>
        <v>0</v>
      </c>
      <c r="CO291" s="529">
        <f t="shared" si="1327"/>
        <v>0</v>
      </c>
      <c r="CP291" s="529">
        <f t="shared" si="1253"/>
        <v>0</v>
      </c>
      <c r="CQ291" s="529">
        <f t="shared" si="1254"/>
        <v>0</v>
      </c>
      <c r="CR291" s="529">
        <f t="shared" si="1255"/>
        <v>0</v>
      </c>
    </row>
    <row r="292" spans="1:96" x14ac:dyDescent="0.2">
      <c r="A292" s="763"/>
      <c r="B292" s="537" t="str">
        <f>+B285</f>
        <v>NPK 10-20-20</v>
      </c>
      <c r="C292" s="538"/>
      <c r="D292" s="607"/>
      <c r="E292" s="539"/>
      <c r="F292" s="538"/>
      <c r="G292" s="607"/>
      <c r="H292" s="539"/>
      <c r="I292" s="538"/>
      <c r="J292" s="607"/>
      <c r="K292" s="539"/>
      <c r="L292" s="538"/>
      <c r="M292" s="607"/>
      <c r="N292" s="539"/>
      <c r="O292" s="538"/>
      <c r="P292" s="607"/>
      <c r="Q292" s="539"/>
      <c r="R292" s="538"/>
      <c r="S292" s="607"/>
      <c r="T292" s="539"/>
      <c r="U292" s="538"/>
      <c r="V292" s="637"/>
      <c r="W292" s="539"/>
      <c r="X292" s="538"/>
      <c r="Y292" s="607"/>
      <c r="Z292" s="607"/>
      <c r="AA292" s="538">
        <f>+Assumptions!$I$13*$BC292*1000</f>
        <v>0</v>
      </c>
      <c r="AB292" s="607">
        <f>+AB285</f>
        <v>357</v>
      </c>
      <c r="AC292" s="607">
        <f t="shared" si="1347"/>
        <v>0</v>
      </c>
      <c r="AD292" s="538">
        <f>+Assumptions!$J$13*$BC292*1000</f>
        <v>0</v>
      </c>
      <c r="AE292" s="607">
        <f>+AE285</f>
        <v>368</v>
      </c>
      <c r="AF292" s="607">
        <f t="shared" si="1348"/>
        <v>0</v>
      </c>
      <c r="AG292" s="538">
        <f>+Assumptions!$K$13*$BC292*1000</f>
        <v>0</v>
      </c>
      <c r="AH292" s="607">
        <f>+AH285</f>
        <v>379</v>
      </c>
      <c r="AI292" s="607">
        <f t="shared" si="1349"/>
        <v>0</v>
      </c>
      <c r="AJ292" s="538">
        <f>+Assumptions!$L$13*$BC292*1000</f>
        <v>0</v>
      </c>
      <c r="AK292" s="607">
        <f>+AK285</f>
        <v>390</v>
      </c>
      <c r="AL292" s="607">
        <f t="shared" si="1350"/>
        <v>0</v>
      </c>
      <c r="AM292" s="538">
        <f>+Assumptions!$M$13*$BC292*1000</f>
        <v>0</v>
      </c>
      <c r="AN292" s="607">
        <f>+AN285</f>
        <v>401</v>
      </c>
      <c r="AO292" s="607">
        <f t="shared" si="1351"/>
        <v>0</v>
      </c>
      <c r="AP292" s="538">
        <f>+Assumptions!$N$13*$BC292*1000</f>
        <v>0</v>
      </c>
      <c r="AQ292" s="607">
        <f>+AQ285</f>
        <v>413</v>
      </c>
      <c r="AR292" s="607">
        <f t="shared" si="1352"/>
        <v>0</v>
      </c>
      <c r="AS292" s="538">
        <f>+Assumptions!$N$13*$BC292*1000</f>
        <v>0</v>
      </c>
      <c r="AT292" s="607">
        <f>+AT285</f>
        <v>425</v>
      </c>
      <c r="AU292" s="607">
        <f t="shared" si="1353"/>
        <v>0</v>
      </c>
      <c r="AV292" s="538">
        <f>+Assumptions!$N$13*$BC292*1000</f>
        <v>0</v>
      </c>
      <c r="AW292" s="607">
        <f>+AW285</f>
        <v>438</v>
      </c>
      <c r="AX292" s="607">
        <f t="shared" si="1354"/>
        <v>0</v>
      </c>
      <c r="AY292" s="538">
        <f>+Assumptions!$N$13*$BC292*1000</f>
        <v>0</v>
      </c>
      <c r="AZ292" s="607">
        <f>+AZ285</f>
        <v>451</v>
      </c>
      <c r="BA292" s="607">
        <f t="shared" si="1355"/>
        <v>0</v>
      </c>
      <c r="BC292" s="710">
        <v>0</v>
      </c>
      <c r="BJ292" s="529">
        <f t="shared" si="1297"/>
        <v>0</v>
      </c>
      <c r="BK292" s="529">
        <f t="shared" si="1298"/>
        <v>0</v>
      </c>
      <c r="BL292" s="529">
        <f t="shared" si="1299"/>
        <v>0</v>
      </c>
      <c r="BM292" s="529">
        <f t="shared" si="1300"/>
        <v>0</v>
      </c>
      <c r="BN292" s="529">
        <f t="shared" si="1301"/>
        <v>0</v>
      </c>
      <c r="BO292" s="529">
        <f t="shared" si="1302"/>
        <v>0</v>
      </c>
      <c r="BP292" s="529">
        <f t="shared" si="1303"/>
        <v>0</v>
      </c>
      <c r="BQ292" s="529">
        <f t="shared" si="1304"/>
        <v>0</v>
      </c>
      <c r="BR292" s="529">
        <f t="shared" si="1305"/>
        <v>0</v>
      </c>
      <c r="BS292" s="529">
        <f t="shared" si="1306"/>
        <v>0</v>
      </c>
      <c r="BT292" s="529">
        <f t="shared" si="1307"/>
        <v>0</v>
      </c>
      <c r="BU292" s="529">
        <f t="shared" si="1308"/>
        <v>0</v>
      </c>
      <c r="BV292" s="529">
        <f t="shared" si="1309"/>
        <v>0</v>
      </c>
      <c r="BW292" s="529">
        <f t="shared" si="1310"/>
        <v>0</v>
      </c>
      <c r="BX292" s="529">
        <f t="shared" si="1311"/>
        <v>0</v>
      </c>
      <c r="BY292" s="529">
        <f t="shared" si="1312"/>
        <v>0</v>
      </c>
      <c r="BZ292" s="529">
        <f t="shared" si="1313"/>
        <v>0</v>
      </c>
      <c r="CB292" s="529">
        <f t="shared" si="1314"/>
        <v>0</v>
      </c>
      <c r="CC292" s="529">
        <f t="shared" si="1315"/>
        <v>0</v>
      </c>
      <c r="CD292" s="529">
        <f t="shared" si="1316"/>
        <v>0</v>
      </c>
      <c r="CE292" s="529">
        <f t="shared" si="1317"/>
        <v>0</v>
      </c>
      <c r="CF292" s="529">
        <f t="shared" si="1318"/>
        <v>0</v>
      </c>
      <c r="CG292" s="529">
        <f t="shared" si="1319"/>
        <v>0</v>
      </c>
      <c r="CH292" s="529">
        <f t="shared" si="1320"/>
        <v>0</v>
      </c>
      <c r="CI292" s="529">
        <f t="shared" si="1321"/>
        <v>0</v>
      </c>
      <c r="CJ292" s="529">
        <f t="shared" si="1322"/>
        <v>0</v>
      </c>
      <c r="CK292" s="529">
        <f t="shared" si="1323"/>
        <v>0</v>
      </c>
      <c r="CL292" s="529">
        <f t="shared" si="1324"/>
        <v>0</v>
      </c>
      <c r="CM292" s="529">
        <f t="shared" si="1325"/>
        <v>0</v>
      </c>
      <c r="CN292" s="529">
        <f t="shared" si="1326"/>
        <v>0</v>
      </c>
      <c r="CO292" s="529">
        <f t="shared" si="1327"/>
        <v>0</v>
      </c>
      <c r="CP292" s="529">
        <f t="shared" si="1253"/>
        <v>0</v>
      </c>
      <c r="CQ292" s="529">
        <f t="shared" si="1254"/>
        <v>0</v>
      </c>
      <c r="CR292" s="529">
        <f t="shared" si="1255"/>
        <v>0</v>
      </c>
    </row>
    <row r="293" spans="1:96" x14ac:dyDescent="0.2">
      <c r="A293" s="763"/>
      <c r="B293" s="537" t="str">
        <f t="shared" ref="B293:B294" si="1356">+B286</f>
        <v>NPK 13-13-21</v>
      </c>
      <c r="C293" s="538"/>
      <c r="D293" s="607"/>
      <c r="E293" s="539"/>
      <c r="F293" s="538"/>
      <c r="G293" s="607"/>
      <c r="H293" s="539"/>
      <c r="I293" s="538"/>
      <c r="J293" s="607"/>
      <c r="K293" s="539"/>
      <c r="L293" s="538"/>
      <c r="M293" s="607"/>
      <c r="N293" s="539"/>
      <c r="O293" s="538"/>
      <c r="P293" s="607"/>
      <c r="Q293" s="539"/>
      <c r="R293" s="538"/>
      <c r="S293" s="607"/>
      <c r="T293" s="539"/>
      <c r="U293" s="538"/>
      <c r="V293" s="637"/>
      <c r="W293" s="539"/>
      <c r="X293" s="538"/>
      <c r="Y293" s="607"/>
      <c r="Z293" s="607"/>
      <c r="AA293" s="538">
        <f>+Assumptions!$I$13*$BC293*1000</f>
        <v>0</v>
      </c>
      <c r="AB293" s="607">
        <f t="shared" ref="AB293:AB294" si="1357">+AB286</f>
        <v>336</v>
      </c>
      <c r="AC293" s="607">
        <f t="shared" si="1347"/>
        <v>0</v>
      </c>
      <c r="AD293" s="538">
        <f>+Assumptions!$J$13*$BC293*1000</f>
        <v>0</v>
      </c>
      <c r="AE293" s="607">
        <f t="shared" ref="AE293:AE294" si="1358">+AE286</f>
        <v>346</v>
      </c>
      <c r="AF293" s="607">
        <f t="shared" si="1348"/>
        <v>0</v>
      </c>
      <c r="AG293" s="538">
        <f>+Assumptions!$K$13*$BC293*1000</f>
        <v>0</v>
      </c>
      <c r="AH293" s="607">
        <f t="shared" ref="AH293:AH294" si="1359">+AH286</f>
        <v>356</v>
      </c>
      <c r="AI293" s="607">
        <f t="shared" si="1349"/>
        <v>0</v>
      </c>
      <c r="AJ293" s="538">
        <f>+Assumptions!$L$13*$BC293*1000</f>
        <v>0</v>
      </c>
      <c r="AK293" s="607">
        <f t="shared" ref="AK293:AK294" si="1360">+AK286</f>
        <v>366</v>
      </c>
      <c r="AL293" s="607">
        <f t="shared" si="1350"/>
        <v>0</v>
      </c>
      <c r="AM293" s="538">
        <f>+Assumptions!$M$13*$BC293*1000</f>
        <v>0</v>
      </c>
      <c r="AN293" s="607">
        <f t="shared" ref="AN293:AN294" si="1361">+AN286</f>
        <v>377</v>
      </c>
      <c r="AO293" s="607">
        <f t="shared" si="1351"/>
        <v>0</v>
      </c>
      <c r="AP293" s="538">
        <f>+Assumptions!$N$13*$BC293*1000</f>
        <v>0</v>
      </c>
      <c r="AQ293" s="607">
        <f t="shared" ref="AQ293:AQ294" si="1362">+AQ286</f>
        <v>388</v>
      </c>
      <c r="AR293" s="607">
        <f t="shared" si="1352"/>
        <v>0</v>
      </c>
      <c r="AS293" s="538">
        <f>+Assumptions!$N$13*$BC293*1000</f>
        <v>0</v>
      </c>
      <c r="AT293" s="607">
        <f t="shared" ref="AT293:AT294" si="1363">+AT286</f>
        <v>399</v>
      </c>
      <c r="AU293" s="607">
        <f t="shared" si="1353"/>
        <v>0</v>
      </c>
      <c r="AV293" s="538">
        <f>+Assumptions!$N$13*$BC293*1000</f>
        <v>0</v>
      </c>
      <c r="AW293" s="607">
        <f t="shared" ref="AW293:AW294" si="1364">+AW286</f>
        <v>411</v>
      </c>
      <c r="AX293" s="607">
        <f t="shared" si="1354"/>
        <v>0</v>
      </c>
      <c r="AY293" s="538">
        <f>+Assumptions!$N$13*$BC293*1000</f>
        <v>0</v>
      </c>
      <c r="AZ293" s="607">
        <f t="shared" ref="AZ293:AZ294" si="1365">+AZ286</f>
        <v>423</v>
      </c>
      <c r="BA293" s="607">
        <f t="shared" si="1355"/>
        <v>0</v>
      </c>
      <c r="BC293" s="710">
        <v>0</v>
      </c>
      <c r="BJ293" s="529">
        <f t="shared" si="1297"/>
        <v>0</v>
      </c>
      <c r="BK293" s="529">
        <f t="shared" si="1298"/>
        <v>0</v>
      </c>
      <c r="BL293" s="529">
        <f t="shared" si="1299"/>
        <v>0</v>
      </c>
      <c r="BM293" s="529">
        <f t="shared" si="1300"/>
        <v>0</v>
      </c>
      <c r="BN293" s="529">
        <f t="shared" si="1301"/>
        <v>0</v>
      </c>
      <c r="BO293" s="529">
        <f t="shared" si="1302"/>
        <v>0</v>
      </c>
      <c r="BP293" s="529">
        <f t="shared" si="1303"/>
        <v>0</v>
      </c>
      <c r="BQ293" s="529">
        <f t="shared" si="1304"/>
        <v>0</v>
      </c>
      <c r="BR293" s="529">
        <f t="shared" si="1305"/>
        <v>0</v>
      </c>
      <c r="BS293" s="529">
        <f t="shared" si="1306"/>
        <v>0</v>
      </c>
      <c r="BT293" s="529">
        <f t="shared" si="1307"/>
        <v>0</v>
      </c>
      <c r="BU293" s="529">
        <f t="shared" si="1308"/>
        <v>0</v>
      </c>
      <c r="BV293" s="529">
        <f t="shared" si="1309"/>
        <v>0</v>
      </c>
      <c r="BW293" s="529">
        <f t="shared" si="1310"/>
        <v>0</v>
      </c>
      <c r="BX293" s="529">
        <f t="shared" si="1311"/>
        <v>0</v>
      </c>
      <c r="BY293" s="529">
        <f t="shared" si="1312"/>
        <v>0</v>
      </c>
      <c r="BZ293" s="529">
        <f t="shared" si="1313"/>
        <v>0</v>
      </c>
      <c r="CB293" s="529">
        <f t="shared" si="1314"/>
        <v>0</v>
      </c>
      <c r="CC293" s="529">
        <f t="shared" si="1315"/>
        <v>0</v>
      </c>
      <c r="CD293" s="529">
        <f t="shared" si="1316"/>
        <v>0</v>
      </c>
      <c r="CE293" s="529">
        <f t="shared" si="1317"/>
        <v>0</v>
      </c>
      <c r="CF293" s="529">
        <f t="shared" si="1318"/>
        <v>0</v>
      </c>
      <c r="CG293" s="529">
        <f t="shared" si="1319"/>
        <v>0</v>
      </c>
      <c r="CH293" s="529">
        <f t="shared" si="1320"/>
        <v>0</v>
      </c>
      <c r="CI293" s="529">
        <f t="shared" si="1321"/>
        <v>0</v>
      </c>
      <c r="CJ293" s="529">
        <f t="shared" si="1322"/>
        <v>0</v>
      </c>
      <c r="CK293" s="529">
        <f t="shared" si="1323"/>
        <v>0</v>
      </c>
      <c r="CL293" s="529">
        <f t="shared" si="1324"/>
        <v>0</v>
      </c>
      <c r="CM293" s="529">
        <f t="shared" si="1325"/>
        <v>0</v>
      </c>
      <c r="CN293" s="529">
        <f t="shared" si="1326"/>
        <v>0</v>
      </c>
      <c r="CO293" s="529">
        <f t="shared" si="1327"/>
        <v>0</v>
      </c>
      <c r="CP293" s="529">
        <f t="shared" si="1253"/>
        <v>0</v>
      </c>
      <c r="CQ293" s="529">
        <f t="shared" si="1254"/>
        <v>0</v>
      </c>
      <c r="CR293" s="529">
        <f t="shared" si="1255"/>
        <v>0</v>
      </c>
    </row>
    <row r="294" spans="1:96" x14ac:dyDescent="0.2">
      <c r="A294" s="763"/>
      <c r="B294" s="537" t="str">
        <f t="shared" si="1356"/>
        <v>NPK 00-00-00</v>
      </c>
      <c r="C294" s="538"/>
      <c r="D294" s="607"/>
      <c r="E294" s="539"/>
      <c r="F294" s="538"/>
      <c r="G294" s="607"/>
      <c r="H294" s="539"/>
      <c r="I294" s="538"/>
      <c r="J294" s="607"/>
      <c r="K294" s="539"/>
      <c r="L294" s="538"/>
      <c r="M294" s="607"/>
      <c r="N294" s="539"/>
      <c r="O294" s="538"/>
      <c r="P294" s="607"/>
      <c r="Q294" s="539"/>
      <c r="R294" s="538"/>
      <c r="S294" s="607"/>
      <c r="T294" s="539"/>
      <c r="U294" s="538"/>
      <c r="V294" s="637"/>
      <c r="W294" s="539"/>
      <c r="X294" s="538"/>
      <c r="Y294" s="607"/>
      <c r="Z294" s="607"/>
      <c r="AA294" s="538">
        <f>+Assumptions!$I$13*$BC294*1000</f>
        <v>0</v>
      </c>
      <c r="AB294" s="607">
        <f t="shared" si="1357"/>
        <v>7</v>
      </c>
      <c r="AC294" s="607">
        <f t="shared" si="1347"/>
        <v>0</v>
      </c>
      <c r="AD294" s="538">
        <f>+Assumptions!$J$13*$BC294*1000</f>
        <v>0</v>
      </c>
      <c r="AE294" s="607">
        <f t="shared" si="1358"/>
        <v>7</v>
      </c>
      <c r="AF294" s="607">
        <f t="shared" si="1348"/>
        <v>0</v>
      </c>
      <c r="AG294" s="538">
        <f>+Assumptions!$K$13*$BC294*1000</f>
        <v>0</v>
      </c>
      <c r="AH294" s="607">
        <f t="shared" si="1359"/>
        <v>7</v>
      </c>
      <c r="AI294" s="607">
        <f t="shared" si="1349"/>
        <v>0</v>
      </c>
      <c r="AJ294" s="538">
        <f>+Assumptions!$L$13*$BC294*1000</f>
        <v>0</v>
      </c>
      <c r="AK294" s="607">
        <f t="shared" si="1360"/>
        <v>7</v>
      </c>
      <c r="AL294" s="607">
        <f t="shared" si="1350"/>
        <v>0</v>
      </c>
      <c r="AM294" s="538">
        <f>+Assumptions!$M$13*$BC294*1000</f>
        <v>0</v>
      </c>
      <c r="AN294" s="607">
        <f t="shared" si="1361"/>
        <v>7</v>
      </c>
      <c r="AO294" s="607">
        <f t="shared" si="1351"/>
        <v>0</v>
      </c>
      <c r="AP294" s="538">
        <f>+Assumptions!$N$13*$BC294*1000</f>
        <v>0</v>
      </c>
      <c r="AQ294" s="607">
        <f t="shared" si="1362"/>
        <v>7</v>
      </c>
      <c r="AR294" s="607">
        <f t="shared" si="1352"/>
        <v>0</v>
      </c>
      <c r="AS294" s="538">
        <f>+Assumptions!$N$13*$BC294*1000</f>
        <v>0</v>
      </c>
      <c r="AT294" s="607">
        <f t="shared" si="1363"/>
        <v>7</v>
      </c>
      <c r="AU294" s="607">
        <f t="shared" si="1353"/>
        <v>0</v>
      </c>
      <c r="AV294" s="538">
        <f>+Assumptions!$N$13*$BC294*1000</f>
        <v>0</v>
      </c>
      <c r="AW294" s="607">
        <f t="shared" si="1364"/>
        <v>7</v>
      </c>
      <c r="AX294" s="607">
        <f t="shared" si="1354"/>
        <v>0</v>
      </c>
      <c r="AY294" s="538">
        <f>+Assumptions!$N$13*$BC294*1000</f>
        <v>0</v>
      </c>
      <c r="AZ294" s="607">
        <f t="shared" si="1365"/>
        <v>7</v>
      </c>
      <c r="BA294" s="607">
        <f t="shared" si="1355"/>
        <v>0</v>
      </c>
      <c r="BC294" s="710">
        <v>0</v>
      </c>
      <c r="BJ294" s="529">
        <f t="shared" si="1297"/>
        <v>0</v>
      </c>
      <c r="BK294" s="529">
        <f t="shared" si="1298"/>
        <v>0</v>
      </c>
      <c r="BL294" s="529">
        <f t="shared" si="1299"/>
        <v>0</v>
      </c>
      <c r="BM294" s="529">
        <f t="shared" si="1300"/>
        <v>0</v>
      </c>
      <c r="BN294" s="529">
        <f t="shared" si="1301"/>
        <v>0</v>
      </c>
      <c r="BO294" s="529">
        <f t="shared" si="1302"/>
        <v>0</v>
      </c>
      <c r="BP294" s="529">
        <f t="shared" si="1303"/>
        <v>0</v>
      </c>
      <c r="BQ294" s="529">
        <f t="shared" si="1304"/>
        <v>0</v>
      </c>
      <c r="BR294" s="529">
        <f t="shared" si="1305"/>
        <v>0</v>
      </c>
      <c r="BS294" s="529">
        <f t="shared" si="1306"/>
        <v>0</v>
      </c>
      <c r="BT294" s="529">
        <f t="shared" si="1307"/>
        <v>0</v>
      </c>
      <c r="BU294" s="529">
        <f t="shared" si="1308"/>
        <v>0</v>
      </c>
      <c r="BV294" s="529">
        <f t="shared" si="1309"/>
        <v>0</v>
      </c>
      <c r="BW294" s="529">
        <f t="shared" si="1310"/>
        <v>0</v>
      </c>
      <c r="BX294" s="529">
        <f t="shared" si="1311"/>
        <v>0</v>
      </c>
      <c r="BY294" s="529">
        <f t="shared" si="1312"/>
        <v>0</v>
      </c>
      <c r="BZ294" s="529">
        <f t="shared" si="1313"/>
        <v>0</v>
      </c>
      <c r="CB294" s="529">
        <f t="shared" si="1314"/>
        <v>0</v>
      </c>
      <c r="CC294" s="529">
        <f t="shared" si="1315"/>
        <v>0</v>
      </c>
      <c r="CD294" s="529">
        <f t="shared" si="1316"/>
        <v>0</v>
      </c>
      <c r="CE294" s="529">
        <f t="shared" si="1317"/>
        <v>0</v>
      </c>
      <c r="CF294" s="529">
        <f t="shared" si="1318"/>
        <v>0</v>
      </c>
      <c r="CG294" s="529">
        <f t="shared" si="1319"/>
        <v>0</v>
      </c>
      <c r="CH294" s="529">
        <f t="shared" si="1320"/>
        <v>0</v>
      </c>
      <c r="CI294" s="529">
        <f t="shared" si="1321"/>
        <v>0</v>
      </c>
      <c r="CJ294" s="529">
        <f t="shared" si="1322"/>
        <v>0</v>
      </c>
      <c r="CK294" s="529">
        <f t="shared" si="1323"/>
        <v>0</v>
      </c>
      <c r="CL294" s="529">
        <f t="shared" si="1324"/>
        <v>0</v>
      </c>
      <c r="CM294" s="529">
        <f t="shared" si="1325"/>
        <v>0</v>
      </c>
      <c r="CN294" s="529">
        <f t="shared" si="1326"/>
        <v>0</v>
      </c>
      <c r="CO294" s="529">
        <f t="shared" si="1327"/>
        <v>0</v>
      </c>
      <c r="CP294" s="529">
        <f t="shared" si="1253"/>
        <v>0</v>
      </c>
      <c r="CQ294" s="529">
        <f t="shared" si="1254"/>
        <v>0</v>
      </c>
      <c r="CR294" s="529">
        <f t="shared" si="1255"/>
        <v>0</v>
      </c>
    </row>
    <row r="295" spans="1:96" x14ac:dyDescent="0.2">
      <c r="A295" s="765"/>
      <c r="B295" s="611"/>
      <c r="C295" s="543"/>
      <c r="D295" s="609"/>
      <c r="E295" s="544"/>
      <c r="F295" s="543"/>
      <c r="G295" s="609"/>
      <c r="H295" s="544"/>
      <c r="I295" s="543"/>
      <c r="J295" s="609"/>
      <c r="K295" s="544"/>
      <c r="L295" s="543"/>
      <c r="M295" s="609"/>
      <c r="N295" s="544"/>
      <c r="O295" s="543"/>
      <c r="P295" s="609"/>
      <c r="Q295" s="544"/>
      <c r="R295" s="543"/>
      <c r="S295" s="609"/>
      <c r="T295" s="544"/>
      <c r="U295" s="543"/>
      <c r="V295" s="638"/>
      <c r="W295" s="544"/>
      <c r="X295" s="543"/>
      <c r="Y295" s="609"/>
      <c r="Z295" s="609"/>
      <c r="AA295" s="543"/>
      <c r="AB295" s="609"/>
      <c r="AC295" s="609"/>
      <c r="AD295" s="543"/>
      <c r="AE295" s="609"/>
      <c r="AF295" s="609"/>
      <c r="AG295" s="543"/>
      <c r="AH295" s="609"/>
      <c r="AI295" s="609"/>
      <c r="AJ295" s="543"/>
      <c r="AK295" s="609"/>
      <c r="AL295" s="609"/>
      <c r="AM295" s="543"/>
      <c r="AN295" s="609"/>
      <c r="AO295" s="609"/>
      <c r="AP295" s="543"/>
      <c r="AQ295" s="609"/>
      <c r="AR295" s="609"/>
      <c r="AS295" s="543"/>
      <c r="AT295" s="609"/>
      <c r="AU295" s="609"/>
      <c r="AV295" s="543"/>
      <c r="AW295" s="609"/>
      <c r="AX295" s="609"/>
      <c r="AY295" s="543"/>
      <c r="AZ295" s="609"/>
      <c r="BA295" s="609"/>
      <c r="BC295" s="710" t="e">
        <v>#N/A</v>
      </c>
      <c r="BJ295" s="529">
        <f t="shared" si="1297"/>
        <v>0</v>
      </c>
      <c r="BK295" s="529">
        <f t="shared" si="1298"/>
        <v>0</v>
      </c>
      <c r="BL295" s="529">
        <f t="shared" si="1299"/>
        <v>0</v>
      </c>
      <c r="BM295" s="529">
        <f t="shared" si="1300"/>
        <v>0</v>
      </c>
      <c r="BN295" s="529">
        <f t="shared" si="1301"/>
        <v>0</v>
      </c>
      <c r="BO295" s="529">
        <f t="shared" si="1302"/>
        <v>0</v>
      </c>
      <c r="BP295" s="529">
        <f t="shared" si="1303"/>
        <v>0</v>
      </c>
      <c r="BQ295" s="529">
        <f t="shared" si="1304"/>
        <v>0</v>
      </c>
      <c r="BR295" s="529">
        <f t="shared" si="1305"/>
        <v>0</v>
      </c>
      <c r="BS295" s="529">
        <f t="shared" si="1306"/>
        <v>0</v>
      </c>
      <c r="BT295" s="529">
        <f t="shared" si="1307"/>
        <v>0</v>
      </c>
      <c r="BU295" s="529">
        <f t="shared" si="1308"/>
        <v>0</v>
      </c>
      <c r="BV295" s="529">
        <f t="shared" si="1309"/>
        <v>0</v>
      </c>
      <c r="BW295" s="529">
        <f t="shared" si="1310"/>
        <v>0</v>
      </c>
      <c r="BX295" s="529">
        <f t="shared" si="1311"/>
        <v>0</v>
      </c>
      <c r="BY295" s="529">
        <f t="shared" si="1312"/>
        <v>0</v>
      </c>
      <c r="BZ295" s="529">
        <f t="shared" si="1313"/>
        <v>0</v>
      </c>
      <c r="CB295" s="529">
        <f t="shared" si="1314"/>
        <v>0</v>
      </c>
      <c r="CC295" s="529">
        <f t="shared" si="1315"/>
        <v>0</v>
      </c>
      <c r="CD295" s="529">
        <f t="shared" si="1316"/>
        <v>0</v>
      </c>
      <c r="CE295" s="529">
        <f t="shared" si="1317"/>
        <v>0</v>
      </c>
      <c r="CF295" s="529">
        <f t="shared" si="1318"/>
        <v>0</v>
      </c>
      <c r="CG295" s="529">
        <f t="shared" si="1319"/>
        <v>0</v>
      </c>
      <c r="CH295" s="529">
        <f t="shared" si="1320"/>
        <v>0</v>
      </c>
      <c r="CI295" s="529">
        <f t="shared" si="1321"/>
        <v>0</v>
      </c>
      <c r="CJ295" s="529">
        <f t="shared" si="1322"/>
        <v>0</v>
      </c>
      <c r="CK295" s="529">
        <f t="shared" si="1323"/>
        <v>0</v>
      </c>
      <c r="CL295" s="529">
        <f t="shared" si="1324"/>
        <v>0</v>
      </c>
      <c r="CM295" s="529">
        <f t="shared" si="1325"/>
        <v>0</v>
      </c>
      <c r="CN295" s="529">
        <f t="shared" si="1326"/>
        <v>0</v>
      </c>
      <c r="CO295" s="529">
        <f t="shared" si="1327"/>
        <v>0</v>
      </c>
      <c r="CP295" s="529">
        <f t="shared" si="1253"/>
        <v>0</v>
      </c>
      <c r="CQ295" s="529">
        <f t="shared" si="1254"/>
        <v>0</v>
      </c>
      <c r="CR295" s="529">
        <f t="shared" si="1255"/>
        <v>0</v>
      </c>
    </row>
    <row r="296" spans="1:96" x14ac:dyDescent="0.2">
      <c r="A296" s="766"/>
      <c r="B296" s="610" t="str">
        <f>+B205</f>
        <v>NPK 15-15-15</v>
      </c>
      <c r="C296" s="605"/>
      <c r="D296" s="603"/>
      <c r="E296" s="604"/>
      <c r="F296" s="605"/>
      <c r="G296" s="603"/>
      <c r="H296" s="604"/>
      <c r="I296" s="605"/>
      <c r="J296" s="603"/>
      <c r="K296" s="604"/>
      <c r="L296" s="605"/>
      <c r="M296" s="603"/>
      <c r="N296" s="604"/>
      <c r="O296" s="605"/>
      <c r="P296" s="603"/>
      <c r="Q296" s="604"/>
      <c r="R296" s="605"/>
      <c r="S296" s="603"/>
      <c r="T296" s="604"/>
      <c r="U296" s="605"/>
      <c r="V296" s="636"/>
      <c r="W296" s="604"/>
      <c r="X296" s="605"/>
      <c r="Y296" s="603"/>
      <c r="Z296" s="603"/>
      <c r="AA296" s="605">
        <f>+Assumptions!$I$13*$BC296*1000</f>
        <v>0</v>
      </c>
      <c r="AB296" s="603">
        <f>+AB205</f>
        <v>323</v>
      </c>
      <c r="AC296" s="603">
        <f t="shared" si="1086"/>
        <v>0</v>
      </c>
      <c r="AD296" s="605">
        <f>+Assumptions!$J$13*$BC296*1000</f>
        <v>0</v>
      </c>
      <c r="AE296" s="603">
        <f>+AE205</f>
        <v>332</v>
      </c>
      <c r="AF296" s="603">
        <f t="shared" si="1087"/>
        <v>0</v>
      </c>
      <c r="AG296" s="605">
        <f>+Assumptions!$K$13*$BC296*1000</f>
        <v>0</v>
      </c>
      <c r="AH296" s="603">
        <f>+AH205</f>
        <v>342</v>
      </c>
      <c r="AI296" s="603">
        <f t="shared" si="1088"/>
        <v>0</v>
      </c>
      <c r="AJ296" s="605">
        <f>+Assumptions!$L$13*$BC296*1000</f>
        <v>0</v>
      </c>
      <c r="AK296" s="603">
        <f>+AK205</f>
        <v>352</v>
      </c>
      <c r="AL296" s="603">
        <f t="shared" si="1089"/>
        <v>0</v>
      </c>
      <c r="AM296" s="605">
        <f>+Assumptions!$M$13*$BC296*1000</f>
        <v>0</v>
      </c>
      <c r="AN296" s="603">
        <f>+AN205</f>
        <v>362</v>
      </c>
      <c r="AO296" s="603">
        <f t="shared" si="1090"/>
        <v>0</v>
      </c>
      <c r="AP296" s="605">
        <f>+Assumptions!$N$13*$BC296*1000</f>
        <v>0</v>
      </c>
      <c r="AQ296" s="603">
        <f>+AQ205</f>
        <v>373</v>
      </c>
      <c r="AR296" s="603">
        <f t="shared" si="1091"/>
        <v>0</v>
      </c>
      <c r="AS296" s="605">
        <f>+Assumptions!$N$13*$BC296*1000</f>
        <v>0</v>
      </c>
      <c r="AT296" s="603">
        <f>+AT205</f>
        <v>384</v>
      </c>
      <c r="AU296" s="603">
        <f t="shared" ref="AU296:AU301" si="1366">+AT296*AS296</f>
        <v>0</v>
      </c>
      <c r="AV296" s="605">
        <f>+Assumptions!$N$13*$BC296*1000</f>
        <v>0</v>
      </c>
      <c r="AW296" s="603">
        <f>+AW205</f>
        <v>395</v>
      </c>
      <c r="AX296" s="603">
        <f t="shared" ref="AX296:AX301" si="1367">+AW296*AV296</f>
        <v>0</v>
      </c>
      <c r="AY296" s="605">
        <f>+Assumptions!$N$13*$BC296*1000</f>
        <v>0</v>
      </c>
      <c r="AZ296" s="603">
        <f>+AZ205</f>
        <v>407</v>
      </c>
      <c r="BA296" s="603">
        <f t="shared" ref="BA296:BA301" si="1368">+AZ296*AY296</f>
        <v>0</v>
      </c>
      <c r="BC296" s="710">
        <v>0</v>
      </c>
      <c r="BJ296" s="529">
        <f t="shared" si="1297"/>
        <v>0</v>
      </c>
      <c r="BK296" s="529">
        <f t="shared" si="1298"/>
        <v>0</v>
      </c>
      <c r="BL296" s="529">
        <f t="shared" si="1299"/>
        <v>0</v>
      </c>
      <c r="BM296" s="529">
        <f t="shared" si="1300"/>
        <v>0</v>
      </c>
      <c r="BN296" s="529">
        <f t="shared" si="1301"/>
        <v>0</v>
      </c>
      <c r="BO296" s="529">
        <f t="shared" si="1302"/>
        <v>0</v>
      </c>
      <c r="BP296" s="529">
        <f t="shared" si="1303"/>
        <v>0</v>
      </c>
      <c r="BQ296" s="529">
        <f t="shared" si="1304"/>
        <v>0</v>
      </c>
      <c r="BR296" s="529">
        <f t="shared" si="1305"/>
        <v>0</v>
      </c>
      <c r="BS296" s="529">
        <f t="shared" si="1306"/>
        <v>0</v>
      </c>
      <c r="BT296" s="529">
        <f t="shared" si="1307"/>
        <v>0</v>
      </c>
      <c r="BU296" s="529">
        <f t="shared" si="1308"/>
        <v>0</v>
      </c>
      <c r="BV296" s="529">
        <f t="shared" si="1309"/>
        <v>0</v>
      </c>
      <c r="BW296" s="529">
        <f t="shared" si="1310"/>
        <v>0</v>
      </c>
      <c r="BX296" s="529">
        <f t="shared" si="1311"/>
        <v>0</v>
      </c>
      <c r="BY296" s="529">
        <f t="shared" si="1312"/>
        <v>0</v>
      </c>
      <c r="BZ296" s="529">
        <f t="shared" si="1313"/>
        <v>0</v>
      </c>
      <c r="CB296" s="529">
        <f t="shared" si="1314"/>
        <v>0</v>
      </c>
      <c r="CC296" s="529">
        <f t="shared" si="1315"/>
        <v>0</v>
      </c>
      <c r="CD296" s="529">
        <f t="shared" si="1316"/>
        <v>0</v>
      </c>
      <c r="CE296" s="529">
        <f t="shared" si="1317"/>
        <v>0</v>
      </c>
      <c r="CF296" s="529">
        <f t="shared" si="1318"/>
        <v>0</v>
      </c>
      <c r="CG296" s="529">
        <f t="shared" si="1319"/>
        <v>0</v>
      </c>
      <c r="CH296" s="529">
        <f t="shared" si="1320"/>
        <v>0</v>
      </c>
      <c r="CI296" s="529">
        <f t="shared" si="1321"/>
        <v>0</v>
      </c>
      <c r="CJ296" s="529">
        <f t="shared" si="1322"/>
        <v>0</v>
      </c>
      <c r="CK296" s="529">
        <f t="shared" si="1323"/>
        <v>0</v>
      </c>
      <c r="CL296" s="529">
        <f t="shared" si="1324"/>
        <v>0</v>
      </c>
      <c r="CM296" s="529">
        <f t="shared" si="1325"/>
        <v>0</v>
      </c>
      <c r="CN296" s="529">
        <f t="shared" si="1326"/>
        <v>0</v>
      </c>
      <c r="CO296" s="529">
        <f t="shared" si="1327"/>
        <v>0</v>
      </c>
      <c r="CP296" s="529">
        <f t="shared" si="1253"/>
        <v>0</v>
      </c>
      <c r="CQ296" s="529">
        <f t="shared" si="1254"/>
        <v>0</v>
      </c>
      <c r="CR296" s="529">
        <f t="shared" si="1255"/>
        <v>0</v>
      </c>
    </row>
    <row r="297" spans="1:96" x14ac:dyDescent="0.2">
      <c r="A297" s="767"/>
      <c r="B297" s="537" t="str">
        <f>+B206</f>
        <v>NPK 16-16-16</v>
      </c>
      <c r="C297" s="538"/>
      <c r="D297" s="607"/>
      <c r="E297" s="539"/>
      <c r="F297" s="538"/>
      <c r="G297" s="607"/>
      <c r="H297" s="539"/>
      <c r="I297" s="538"/>
      <c r="J297" s="607"/>
      <c r="K297" s="539"/>
      <c r="L297" s="538"/>
      <c r="M297" s="607"/>
      <c r="N297" s="539"/>
      <c r="O297" s="538"/>
      <c r="P297" s="607"/>
      <c r="Q297" s="539"/>
      <c r="R297" s="538"/>
      <c r="S297" s="607"/>
      <c r="T297" s="539"/>
      <c r="U297" s="538"/>
      <c r="V297" s="637"/>
      <c r="W297" s="539"/>
      <c r="X297" s="538"/>
      <c r="Y297" s="607"/>
      <c r="Z297" s="607"/>
      <c r="AA297" s="538">
        <f>+Assumptions!$I$13*$BC297*1000</f>
        <v>0</v>
      </c>
      <c r="AB297" s="607">
        <f>+AB206</f>
        <v>345</v>
      </c>
      <c r="AC297" s="607">
        <f t="shared" si="1086"/>
        <v>0</v>
      </c>
      <c r="AD297" s="538">
        <f>+Assumptions!$J$13*$BC297*1000</f>
        <v>0</v>
      </c>
      <c r="AE297" s="607">
        <f>+AE206</f>
        <v>355</v>
      </c>
      <c r="AF297" s="607">
        <f t="shared" si="1087"/>
        <v>0</v>
      </c>
      <c r="AG297" s="538">
        <f>+Assumptions!$K$13*$BC297*1000</f>
        <v>0</v>
      </c>
      <c r="AH297" s="607">
        <f>+AH206</f>
        <v>365</v>
      </c>
      <c r="AI297" s="607">
        <f t="shared" si="1088"/>
        <v>0</v>
      </c>
      <c r="AJ297" s="538">
        <f>+Assumptions!$L$13*$BC297*1000</f>
        <v>0</v>
      </c>
      <c r="AK297" s="607">
        <f>+AK206</f>
        <v>376</v>
      </c>
      <c r="AL297" s="607">
        <f t="shared" si="1089"/>
        <v>0</v>
      </c>
      <c r="AM297" s="538">
        <f>+Assumptions!$M$13*$BC297*1000</f>
        <v>0</v>
      </c>
      <c r="AN297" s="607">
        <f>+AN206</f>
        <v>387</v>
      </c>
      <c r="AO297" s="607">
        <f t="shared" si="1090"/>
        <v>0</v>
      </c>
      <c r="AP297" s="538">
        <f>+Assumptions!$N$13*$BC297*1000</f>
        <v>0</v>
      </c>
      <c r="AQ297" s="607">
        <f>+AQ206</f>
        <v>398</v>
      </c>
      <c r="AR297" s="607">
        <f t="shared" si="1091"/>
        <v>0</v>
      </c>
      <c r="AS297" s="538">
        <f>+Assumptions!$N$13*$BC297*1000</f>
        <v>0</v>
      </c>
      <c r="AT297" s="607">
        <f>+AT206</f>
        <v>410</v>
      </c>
      <c r="AU297" s="607">
        <f t="shared" si="1366"/>
        <v>0</v>
      </c>
      <c r="AV297" s="538">
        <f>+Assumptions!$N$13*$BC297*1000</f>
        <v>0</v>
      </c>
      <c r="AW297" s="607">
        <f>+AW206</f>
        <v>422</v>
      </c>
      <c r="AX297" s="607">
        <f t="shared" si="1367"/>
        <v>0</v>
      </c>
      <c r="AY297" s="538">
        <f>+Assumptions!$N$13*$BC297*1000</f>
        <v>0</v>
      </c>
      <c r="AZ297" s="607">
        <f>+AZ206</f>
        <v>434</v>
      </c>
      <c r="BA297" s="607">
        <f t="shared" si="1368"/>
        <v>0</v>
      </c>
      <c r="BC297" s="710">
        <v>0</v>
      </c>
      <c r="BJ297" s="529">
        <f t="shared" si="1297"/>
        <v>0</v>
      </c>
      <c r="BK297" s="529">
        <f t="shared" si="1298"/>
        <v>0</v>
      </c>
      <c r="BL297" s="529">
        <f t="shared" si="1299"/>
        <v>0</v>
      </c>
      <c r="BM297" s="529">
        <f t="shared" si="1300"/>
        <v>0</v>
      </c>
      <c r="BN297" s="529">
        <f t="shared" si="1301"/>
        <v>0</v>
      </c>
      <c r="BO297" s="529">
        <f t="shared" si="1302"/>
        <v>0</v>
      </c>
      <c r="BP297" s="529">
        <f t="shared" si="1303"/>
        <v>0</v>
      </c>
      <c r="BQ297" s="529">
        <f t="shared" si="1304"/>
        <v>0</v>
      </c>
      <c r="BR297" s="529">
        <f t="shared" si="1305"/>
        <v>0</v>
      </c>
      <c r="BS297" s="529">
        <f t="shared" si="1306"/>
        <v>0</v>
      </c>
      <c r="BT297" s="529">
        <f t="shared" si="1307"/>
        <v>0</v>
      </c>
      <c r="BU297" s="529">
        <f t="shared" si="1308"/>
        <v>0</v>
      </c>
      <c r="BV297" s="529">
        <f t="shared" si="1309"/>
        <v>0</v>
      </c>
      <c r="BW297" s="529">
        <f t="shared" si="1310"/>
        <v>0</v>
      </c>
      <c r="BX297" s="529">
        <f t="shared" si="1311"/>
        <v>0</v>
      </c>
      <c r="BY297" s="529">
        <f t="shared" si="1312"/>
        <v>0</v>
      </c>
      <c r="BZ297" s="529">
        <f t="shared" si="1313"/>
        <v>0</v>
      </c>
      <c r="CB297" s="529">
        <f t="shared" si="1314"/>
        <v>0</v>
      </c>
      <c r="CC297" s="529">
        <f t="shared" si="1315"/>
        <v>0</v>
      </c>
      <c r="CD297" s="529">
        <f t="shared" si="1316"/>
        <v>0</v>
      </c>
      <c r="CE297" s="529">
        <f t="shared" si="1317"/>
        <v>0</v>
      </c>
      <c r="CF297" s="529">
        <f t="shared" si="1318"/>
        <v>0</v>
      </c>
      <c r="CG297" s="529">
        <f t="shared" si="1319"/>
        <v>0</v>
      </c>
      <c r="CH297" s="529">
        <f t="shared" si="1320"/>
        <v>0</v>
      </c>
      <c r="CI297" s="529">
        <f t="shared" si="1321"/>
        <v>0</v>
      </c>
      <c r="CJ297" s="529">
        <f t="shared" si="1322"/>
        <v>0</v>
      </c>
      <c r="CK297" s="529">
        <f t="shared" si="1323"/>
        <v>0</v>
      </c>
      <c r="CL297" s="529">
        <f t="shared" si="1324"/>
        <v>0</v>
      </c>
      <c r="CM297" s="529">
        <f t="shared" si="1325"/>
        <v>0</v>
      </c>
      <c r="CN297" s="529">
        <f t="shared" si="1326"/>
        <v>0</v>
      </c>
      <c r="CO297" s="529">
        <f t="shared" si="1327"/>
        <v>0</v>
      </c>
      <c r="CP297" s="529">
        <f t="shared" si="1253"/>
        <v>0</v>
      </c>
      <c r="CQ297" s="529">
        <f t="shared" si="1254"/>
        <v>0</v>
      </c>
      <c r="CR297" s="529">
        <f t="shared" si="1255"/>
        <v>0</v>
      </c>
    </row>
    <row r="298" spans="1:96" x14ac:dyDescent="0.2">
      <c r="A298" s="768"/>
      <c r="B298" s="537" t="str">
        <f>+B207</f>
        <v>NPK 10-26-26</v>
      </c>
      <c r="C298" s="538"/>
      <c r="D298" s="607"/>
      <c r="E298" s="539"/>
      <c r="F298" s="538"/>
      <c r="G298" s="607"/>
      <c r="H298" s="539"/>
      <c r="I298" s="538"/>
      <c r="J298" s="607"/>
      <c r="K298" s="539"/>
      <c r="L298" s="538"/>
      <c r="M298" s="607"/>
      <c r="N298" s="539"/>
      <c r="O298" s="538"/>
      <c r="P298" s="607"/>
      <c r="Q298" s="539"/>
      <c r="R298" s="538"/>
      <c r="S298" s="607"/>
      <c r="T298" s="539"/>
      <c r="U298" s="538"/>
      <c r="V298" s="637"/>
      <c r="W298" s="539"/>
      <c r="X298" s="538"/>
      <c r="Y298" s="607"/>
      <c r="Z298" s="607"/>
      <c r="AA298" s="538">
        <f>+Assumptions!$I$13*$BC298*1000</f>
        <v>0</v>
      </c>
      <c r="AB298" s="607">
        <f>+AB207</f>
        <v>442</v>
      </c>
      <c r="AC298" s="607">
        <f t="shared" si="1086"/>
        <v>0</v>
      </c>
      <c r="AD298" s="538">
        <f>+Assumptions!$J$13*$BC298*1000</f>
        <v>0</v>
      </c>
      <c r="AE298" s="607">
        <f>+AE207</f>
        <v>455</v>
      </c>
      <c r="AF298" s="607">
        <f t="shared" si="1087"/>
        <v>0</v>
      </c>
      <c r="AG298" s="538">
        <f>+Assumptions!$K$13*$BC298*1000</f>
        <v>0</v>
      </c>
      <c r="AH298" s="607">
        <f>+AH207</f>
        <v>468</v>
      </c>
      <c r="AI298" s="607">
        <f t="shared" si="1088"/>
        <v>0</v>
      </c>
      <c r="AJ298" s="538">
        <f>+Assumptions!$L$13*$BC298*1000</f>
        <v>0</v>
      </c>
      <c r="AK298" s="607">
        <f>+AK207</f>
        <v>482</v>
      </c>
      <c r="AL298" s="607">
        <f t="shared" si="1089"/>
        <v>0</v>
      </c>
      <c r="AM298" s="538">
        <f>+Assumptions!$M$13*$BC298*1000</f>
        <v>0</v>
      </c>
      <c r="AN298" s="607">
        <f>+AN207</f>
        <v>496</v>
      </c>
      <c r="AO298" s="607">
        <f t="shared" si="1090"/>
        <v>0</v>
      </c>
      <c r="AP298" s="538">
        <f>+Assumptions!$N$13*$BC298*1000</f>
        <v>0</v>
      </c>
      <c r="AQ298" s="607">
        <f>+AQ207</f>
        <v>511</v>
      </c>
      <c r="AR298" s="607">
        <f t="shared" si="1091"/>
        <v>0</v>
      </c>
      <c r="AS298" s="538">
        <f>+Assumptions!$N$13*$BC298*1000</f>
        <v>0</v>
      </c>
      <c r="AT298" s="607">
        <f>+AT207</f>
        <v>526</v>
      </c>
      <c r="AU298" s="607">
        <f t="shared" si="1366"/>
        <v>0</v>
      </c>
      <c r="AV298" s="538">
        <f>+Assumptions!$N$13*$BC298*1000</f>
        <v>0</v>
      </c>
      <c r="AW298" s="607">
        <f>+AW207</f>
        <v>542</v>
      </c>
      <c r="AX298" s="607">
        <f t="shared" si="1367"/>
        <v>0</v>
      </c>
      <c r="AY298" s="538">
        <f>+Assumptions!$N$13*$BC298*1000</f>
        <v>0</v>
      </c>
      <c r="AZ298" s="607">
        <f>+AZ207</f>
        <v>558</v>
      </c>
      <c r="BA298" s="607">
        <f t="shared" si="1368"/>
        <v>0</v>
      </c>
      <c r="BC298" s="710">
        <v>0</v>
      </c>
      <c r="BJ298" s="529">
        <f t="shared" si="1297"/>
        <v>0</v>
      </c>
      <c r="BK298" s="529">
        <f t="shared" si="1298"/>
        <v>0</v>
      </c>
      <c r="BL298" s="529">
        <f t="shared" si="1299"/>
        <v>0</v>
      </c>
      <c r="BM298" s="529">
        <f t="shared" si="1300"/>
        <v>0</v>
      </c>
      <c r="BN298" s="529">
        <f t="shared" si="1301"/>
        <v>0</v>
      </c>
      <c r="BO298" s="529">
        <f t="shared" si="1302"/>
        <v>0</v>
      </c>
      <c r="BP298" s="529">
        <f t="shared" si="1303"/>
        <v>0</v>
      </c>
      <c r="BQ298" s="529">
        <f t="shared" si="1304"/>
        <v>0</v>
      </c>
      <c r="BR298" s="529">
        <f t="shared" si="1305"/>
        <v>0</v>
      </c>
      <c r="BS298" s="529">
        <f t="shared" si="1306"/>
        <v>0</v>
      </c>
      <c r="BT298" s="529">
        <f t="shared" si="1307"/>
        <v>0</v>
      </c>
      <c r="BU298" s="529">
        <f t="shared" si="1308"/>
        <v>0</v>
      </c>
      <c r="BV298" s="529">
        <f t="shared" si="1309"/>
        <v>0</v>
      </c>
      <c r="BW298" s="529">
        <f t="shared" si="1310"/>
        <v>0</v>
      </c>
      <c r="BX298" s="529">
        <f t="shared" si="1311"/>
        <v>0</v>
      </c>
      <c r="BY298" s="529">
        <f t="shared" si="1312"/>
        <v>0</v>
      </c>
      <c r="BZ298" s="529">
        <f t="shared" si="1313"/>
        <v>0</v>
      </c>
      <c r="CB298" s="529">
        <f t="shared" si="1314"/>
        <v>0</v>
      </c>
      <c r="CC298" s="529">
        <f t="shared" si="1315"/>
        <v>0</v>
      </c>
      <c r="CD298" s="529">
        <f t="shared" si="1316"/>
        <v>0</v>
      </c>
      <c r="CE298" s="529">
        <f t="shared" si="1317"/>
        <v>0</v>
      </c>
      <c r="CF298" s="529">
        <f t="shared" si="1318"/>
        <v>0</v>
      </c>
      <c r="CG298" s="529">
        <f t="shared" si="1319"/>
        <v>0</v>
      </c>
      <c r="CH298" s="529">
        <f t="shared" si="1320"/>
        <v>0</v>
      </c>
      <c r="CI298" s="529">
        <f t="shared" si="1321"/>
        <v>0</v>
      </c>
      <c r="CJ298" s="529">
        <f t="shared" si="1322"/>
        <v>0</v>
      </c>
      <c r="CK298" s="529">
        <f t="shared" si="1323"/>
        <v>0</v>
      </c>
      <c r="CL298" s="529">
        <f t="shared" si="1324"/>
        <v>0</v>
      </c>
      <c r="CM298" s="529">
        <f t="shared" si="1325"/>
        <v>0</v>
      </c>
      <c r="CN298" s="529">
        <f t="shared" si="1326"/>
        <v>0</v>
      </c>
      <c r="CO298" s="529">
        <f t="shared" si="1327"/>
        <v>0</v>
      </c>
      <c r="CP298" s="529">
        <f t="shared" si="1253"/>
        <v>0</v>
      </c>
      <c r="CQ298" s="529">
        <f t="shared" si="1254"/>
        <v>0</v>
      </c>
      <c r="CR298" s="529">
        <f t="shared" si="1255"/>
        <v>0</v>
      </c>
    </row>
    <row r="299" spans="1:96" x14ac:dyDescent="0.2">
      <c r="A299" s="767"/>
      <c r="B299" s="537" t="str">
        <f>+B208</f>
        <v>NPK 10-20-20</v>
      </c>
      <c r="C299" s="538"/>
      <c r="D299" s="607"/>
      <c r="E299" s="539"/>
      <c r="F299" s="538"/>
      <c r="G299" s="607"/>
      <c r="H299" s="539"/>
      <c r="I299" s="538"/>
      <c r="J299" s="607"/>
      <c r="K299" s="539"/>
      <c r="L299" s="538"/>
      <c r="M299" s="607"/>
      <c r="N299" s="539"/>
      <c r="O299" s="538"/>
      <c r="P299" s="607"/>
      <c r="Q299" s="539"/>
      <c r="R299" s="538"/>
      <c r="S299" s="607"/>
      <c r="T299" s="539"/>
      <c r="U299" s="538"/>
      <c r="V299" s="637"/>
      <c r="W299" s="539"/>
      <c r="X299" s="538"/>
      <c r="Y299" s="607"/>
      <c r="Z299" s="607"/>
      <c r="AA299" s="538">
        <f>+Assumptions!$I$13*$BC299*1000</f>
        <v>0</v>
      </c>
      <c r="AB299" s="607">
        <f>+AB208</f>
        <v>358</v>
      </c>
      <c r="AC299" s="607">
        <f t="shared" si="1086"/>
        <v>0</v>
      </c>
      <c r="AD299" s="538">
        <f>+Assumptions!$J$13*$BC299*1000</f>
        <v>0</v>
      </c>
      <c r="AE299" s="607">
        <f>+AE208</f>
        <v>369</v>
      </c>
      <c r="AF299" s="607">
        <f t="shared" si="1087"/>
        <v>0</v>
      </c>
      <c r="AG299" s="538">
        <f>+Assumptions!$K$13*$BC299*1000</f>
        <v>0</v>
      </c>
      <c r="AH299" s="607">
        <f>+AH208</f>
        <v>380</v>
      </c>
      <c r="AI299" s="607">
        <f t="shared" si="1088"/>
        <v>0</v>
      </c>
      <c r="AJ299" s="538">
        <f>+Assumptions!$L$13*$BC299*1000</f>
        <v>0</v>
      </c>
      <c r="AK299" s="607">
        <f>+AK208</f>
        <v>391</v>
      </c>
      <c r="AL299" s="607">
        <f t="shared" si="1089"/>
        <v>0</v>
      </c>
      <c r="AM299" s="538">
        <f>+Assumptions!$M$13*$BC299*1000</f>
        <v>0</v>
      </c>
      <c r="AN299" s="607">
        <f>+AN208</f>
        <v>402</v>
      </c>
      <c r="AO299" s="607">
        <f t="shared" si="1090"/>
        <v>0</v>
      </c>
      <c r="AP299" s="538">
        <f>+Assumptions!$N$13*$BC299*1000</f>
        <v>0</v>
      </c>
      <c r="AQ299" s="607">
        <f>+AQ208</f>
        <v>414</v>
      </c>
      <c r="AR299" s="607">
        <f t="shared" si="1091"/>
        <v>0</v>
      </c>
      <c r="AS299" s="538">
        <f>+Assumptions!$N$13*$BC299*1000</f>
        <v>0</v>
      </c>
      <c r="AT299" s="607">
        <f>+AT208</f>
        <v>426</v>
      </c>
      <c r="AU299" s="607">
        <f t="shared" si="1366"/>
        <v>0</v>
      </c>
      <c r="AV299" s="538">
        <f>+Assumptions!$N$13*$BC299*1000</f>
        <v>0</v>
      </c>
      <c r="AW299" s="607">
        <f>+AW208</f>
        <v>439</v>
      </c>
      <c r="AX299" s="607">
        <f t="shared" si="1367"/>
        <v>0</v>
      </c>
      <c r="AY299" s="538">
        <f>+Assumptions!$N$13*$BC299*1000</f>
        <v>0</v>
      </c>
      <c r="AZ299" s="607">
        <f>+AZ208</f>
        <v>452</v>
      </c>
      <c r="BA299" s="607">
        <f t="shared" si="1368"/>
        <v>0</v>
      </c>
      <c r="BC299" s="710">
        <v>0</v>
      </c>
      <c r="BJ299" s="529">
        <f t="shared" si="1297"/>
        <v>0</v>
      </c>
      <c r="BK299" s="529">
        <f t="shared" si="1298"/>
        <v>0</v>
      </c>
      <c r="BL299" s="529">
        <f t="shared" si="1299"/>
        <v>0</v>
      </c>
      <c r="BM299" s="529">
        <f t="shared" si="1300"/>
        <v>0</v>
      </c>
      <c r="BN299" s="529">
        <f t="shared" si="1301"/>
        <v>0</v>
      </c>
      <c r="BO299" s="529">
        <f t="shared" si="1302"/>
        <v>0</v>
      </c>
      <c r="BP299" s="529">
        <f t="shared" si="1303"/>
        <v>0</v>
      </c>
      <c r="BQ299" s="529">
        <f t="shared" si="1304"/>
        <v>0</v>
      </c>
      <c r="BR299" s="529">
        <f t="shared" si="1305"/>
        <v>0</v>
      </c>
      <c r="BS299" s="529">
        <f t="shared" si="1306"/>
        <v>0</v>
      </c>
      <c r="BT299" s="529">
        <f t="shared" si="1307"/>
        <v>0</v>
      </c>
      <c r="BU299" s="529">
        <f t="shared" si="1308"/>
        <v>0</v>
      </c>
      <c r="BV299" s="529">
        <f t="shared" si="1309"/>
        <v>0</v>
      </c>
      <c r="BW299" s="529">
        <f t="shared" si="1310"/>
        <v>0</v>
      </c>
      <c r="BX299" s="529">
        <f t="shared" si="1311"/>
        <v>0</v>
      </c>
      <c r="BY299" s="529">
        <f t="shared" si="1312"/>
        <v>0</v>
      </c>
      <c r="BZ299" s="529">
        <f t="shared" si="1313"/>
        <v>0</v>
      </c>
      <c r="CB299" s="529">
        <f t="shared" si="1314"/>
        <v>0</v>
      </c>
      <c r="CC299" s="529">
        <f t="shared" si="1315"/>
        <v>0</v>
      </c>
      <c r="CD299" s="529">
        <f t="shared" si="1316"/>
        <v>0</v>
      </c>
      <c r="CE299" s="529">
        <f t="shared" si="1317"/>
        <v>0</v>
      </c>
      <c r="CF299" s="529">
        <f t="shared" si="1318"/>
        <v>0</v>
      </c>
      <c r="CG299" s="529">
        <f t="shared" si="1319"/>
        <v>0</v>
      </c>
      <c r="CH299" s="529">
        <f t="shared" si="1320"/>
        <v>0</v>
      </c>
      <c r="CI299" s="529">
        <f t="shared" si="1321"/>
        <v>0</v>
      </c>
      <c r="CJ299" s="529">
        <f t="shared" si="1322"/>
        <v>0</v>
      </c>
      <c r="CK299" s="529">
        <f t="shared" si="1323"/>
        <v>0</v>
      </c>
      <c r="CL299" s="529">
        <f t="shared" si="1324"/>
        <v>0</v>
      </c>
      <c r="CM299" s="529">
        <f t="shared" si="1325"/>
        <v>0</v>
      </c>
      <c r="CN299" s="529">
        <f t="shared" si="1326"/>
        <v>0</v>
      </c>
      <c r="CO299" s="529">
        <f t="shared" si="1327"/>
        <v>0</v>
      </c>
      <c r="CP299" s="529">
        <f t="shared" si="1253"/>
        <v>0</v>
      </c>
      <c r="CQ299" s="529">
        <f t="shared" si="1254"/>
        <v>0</v>
      </c>
      <c r="CR299" s="529">
        <f t="shared" si="1255"/>
        <v>0</v>
      </c>
    </row>
    <row r="300" spans="1:96" x14ac:dyDescent="0.2">
      <c r="A300" s="767"/>
      <c r="B300" s="537" t="str">
        <f t="shared" ref="B300:B301" si="1369">+B209</f>
        <v>NPK 13-13-21</v>
      </c>
      <c r="C300" s="538"/>
      <c r="D300" s="607"/>
      <c r="E300" s="539"/>
      <c r="F300" s="538"/>
      <c r="G300" s="607"/>
      <c r="H300" s="539"/>
      <c r="I300" s="538"/>
      <c r="J300" s="607"/>
      <c r="K300" s="539"/>
      <c r="L300" s="538"/>
      <c r="M300" s="607"/>
      <c r="N300" s="539"/>
      <c r="O300" s="538"/>
      <c r="P300" s="607"/>
      <c r="Q300" s="539"/>
      <c r="R300" s="538"/>
      <c r="S300" s="607"/>
      <c r="T300" s="539"/>
      <c r="U300" s="538"/>
      <c r="V300" s="637"/>
      <c r="W300" s="539"/>
      <c r="X300" s="538"/>
      <c r="Y300" s="607"/>
      <c r="Z300" s="607"/>
      <c r="AA300" s="538">
        <f>+Assumptions!$I$13*$BC300*1000</f>
        <v>0</v>
      </c>
      <c r="AB300" s="607">
        <f t="shared" ref="AB300:AB301" si="1370">+AB209</f>
        <v>337</v>
      </c>
      <c r="AC300" s="607">
        <f t="shared" ref="AC300:AC301" si="1371">+AB300*AA300</f>
        <v>0</v>
      </c>
      <c r="AD300" s="538">
        <f>+Assumptions!$J$13*$BC300*1000</f>
        <v>0</v>
      </c>
      <c r="AE300" s="607">
        <f t="shared" ref="AE300:AE301" si="1372">+AE209</f>
        <v>347</v>
      </c>
      <c r="AF300" s="607">
        <f t="shared" ref="AF300:AF301" si="1373">+AE300*AD300</f>
        <v>0</v>
      </c>
      <c r="AG300" s="538">
        <f>+Assumptions!$K$13*$BC300*1000</f>
        <v>0</v>
      </c>
      <c r="AH300" s="607">
        <f t="shared" ref="AH300:AH301" si="1374">+AH209</f>
        <v>357</v>
      </c>
      <c r="AI300" s="607">
        <f t="shared" ref="AI300:AI301" si="1375">+AH300*AG300</f>
        <v>0</v>
      </c>
      <c r="AJ300" s="538">
        <f>+Assumptions!$L$13*$BC300*1000</f>
        <v>0</v>
      </c>
      <c r="AK300" s="607">
        <f t="shared" ref="AK300:AK301" si="1376">+AK209</f>
        <v>367</v>
      </c>
      <c r="AL300" s="607">
        <f t="shared" ref="AL300:AL301" si="1377">+AK300*AJ300</f>
        <v>0</v>
      </c>
      <c r="AM300" s="538">
        <f>+Assumptions!$M$13*$BC300*1000</f>
        <v>0</v>
      </c>
      <c r="AN300" s="607">
        <f t="shared" ref="AN300:AN301" si="1378">+AN209</f>
        <v>378</v>
      </c>
      <c r="AO300" s="607">
        <f t="shared" ref="AO300:AO301" si="1379">+AN300*AM300</f>
        <v>0</v>
      </c>
      <c r="AP300" s="538">
        <f>+Assumptions!$N$13*$BC300*1000</f>
        <v>0</v>
      </c>
      <c r="AQ300" s="607">
        <f t="shared" ref="AQ300:AQ301" si="1380">+AQ209</f>
        <v>389</v>
      </c>
      <c r="AR300" s="607">
        <f t="shared" ref="AR300:AR301" si="1381">+AQ300*AP300</f>
        <v>0</v>
      </c>
      <c r="AS300" s="538">
        <f>+Assumptions!$N$13*$BC300*1000</f>
        <v>0</v>
      </c>
      <c r="AT300" s="607">
        <f t="shared" ref="AT300:AT301" si="1382">+AT209</f>
        <v>400</v>
      </c>
      <c r="AU300" s="607">
        <f t="shared" si="1366"/>
        <v>0</v>
      </c>
      <c r="AV300" s="538">
        <f>+Assumptions!$N$13*$BC300*1000</f>
        <v>0</v>
      </c>
      <c r="AW300" s="607">
        <f t="shared" ref="AW300:AW301" si="1383">+AW209</f>
        <v>412</v>
      </c>
      <c r="AX300" s="607">
        <f t="shared" si="1367"/>
        <v>0</v>
      </c>
      <c r="AY300" s="538">
        <f>+Assumptions!$N$13*$BC300*1000</f>
        <v>0</v>
      </c>
      <c r="AZ300" s="607">
        <f t="shared" ref="AZ300:AZ301" si="1384">+AZ209</f>
        <v>424</v>
      </c>
      <c r="BA300" s="607">
        <f t="shared" si="1368"/>
        <v>0</v>
      </c>
      <c r="BC300" s="710">
        <v>0</v>
      </c>
      <c r="BJ300" s="529">
        <f t="shared" si="1297"/>
        <v>0</v>
      </c>
      <c r="BK300" s="529">
        <f t="shared" si="1298"/>
        <v>0</v>
      </c>
      <c r="BL300" s="529">
        <f t="shared" si="1299"/>
        <v>0</v>
      </c>
      <c r="BM300" s="529">
        <f t="shared" si="1300"/>
        <v>0</v>
      </c>
      <c r="BN300" s="529">
        <f t="shared" si="1301"/>
        <v>0</v>
      </c>
      <c r="BO300" s="529">
        <f t="shared" si="1302"/>
        <v>0</v>
      </c>
      <c r="BP300" s="529">
        <f t="shared" si="1303"/>
        <v>0</v>
      </c>
      <c r="BQ300" s="529">
        <f t="shared" si="1304"/>
        <v>0</v>
      </c>
      <c r="BR300" s="529">
        <f t="shared" si="1305"/>
        <v>0</v>
      </c>
      <c r="BS300" s="529">
        <f t="shared" si="1306"/>
        <v>0</v>
      </c>
      <c r="BT300" s="529">
        <f t="shared" si="1307"/>
        <v>0</v>
      </c>
      <c r="BU300" s="529">
        <f t="shared" si="1308"/>
        <v>0</v>
      </c>
      <c r="BV300" s="529">
        <f t="shared" si="1309"/>
        <v>0</v>
      </c>
      <c r="BW300" s="529">
        <f t="shared" si="1310"/>
        <v>0</v>
      </c>
      <c r="BX300" s="529">
        <f t="shared" si="1311"/>
        <v>0</v>
      </c>
      <c r="BY300" s="529">
        <f t="shared" si="1312"/>
        <v>0</v>
      </c>
      <c r="BZ300" s="529">
        <f t="shared" si="1313"/>
        <v>0</v>
      </c>
      <c r="CB300" s="529">
        <f t="shared" si="1314"/>
        <v>0</v>
      </c>
      <c r="CC300" s="529">
        <f t="shared" si="1315"/>
        <v>0</v>
      </c>
      <c r="CD300" s="529">
        <f t="shared" si="1316"/>
        <v>0</v>
      </c>
      <c r="CE300" s="529">
        <f t="shared" si="1317"/>
        <v>0</v>
      </c>
      <c r="CF300" s="529">
        <f t="shared" si="1318"/>
        <v>0</v>
      </c>
      <c r="CG300" s="529">
        <f t="shared" si="1319"/>
        <v>0</v>
      </c>
      <c r="CH300" s="529">
        <f t="shared" si="1320"/>
        <v>0</v>
      </c>
      <c r="CI300" s="529">
        <f t="shared" si="1321"/>
        <v>0</v>
      </c>
      <c r="CJ300" s="529">
        <f t="shared" si="1322"/>
        <v>0</v>
      </c>
      <c r="CK300" s="529">
        <f t="shared" si="1323"/>
        <v>0</v>
      </c>
      <c r="CL300" s="529">
        <f t="shared" si="1324"/>
        <v>0</v>
      </c>
      <c r="CM300" s="529">
        <f t="shared" si="1325"/>
        <v>0</v>
      </c>
      <c r="CN300" s="529">
        <f t="shared" si="1326"/>
        <v>0</v>
      </c>
      <c r="CO300" s="529">
        <f t="shared" si="1327"/>
        <v>0</v>
      </c>
      <c r="CP300" s="529">
        <f t="shared" si="1253"/>
        <v>0</v>
      </c>
      <c r="CQ300" s="529">
        <f t="shared" si="1254"/>
        <v>0</v>
      </c>
      <c r="CR300" s="529">
        <f t="shared" si="1255"/>
        <v>0</v>
      </c>
    </row>
    <row r="301" spans="1:96" x14ac:dyDescent="0.2">
      <c r="A301" s="767"/>
      <c r="B301" s="537" t="str">
        <f t="shared" si="1369"/>
        <v>NPK 00-00-00</v>
      </c>
      <c r="C301" s="538"/>
      <c r="D301" s="607"/>
      <c r="E301" s="539"/>
      <c r="F301" s="538"/>
      <c r="G301" s="607"/>
      <c r="H301" s="539"/>
      <c r="I301" s="538"/>
      <c r="J301" s="607"/>
      <c r="K301" s="539"/>
      <c r="L301" s="538"/>
      <c r="M301" s="607"/>
      <c r="N301" s="539"/>
      <c r="O301" s="538"/>
      <c r="P301" s="607"/>
      <c r="Q301" s="539"/>
      <c r="R301" s="538"/>
      <c r="S301" s="607"/>
      <c r="T301" s="539"/>
      <c r="U301" s="538"/>
      <c r="V301" s="637"/>
      <c r="W301" s="539"/>
      <c r="X301" s="538"/>
      <c r="Y301" s="607"/>
      <c r="Z301" s="607"/>
      <c r="AA301" s="538">
        <f>+Assumptions!$I$13*$BC301*1000</f>
        <v>0</v>
      </c>
      <c r="AB301" s="607">
        <f t="shared" si="1370"/>
        <v>8</v>
      </c>
      <c r="AC301" s="607">
        <f t="shared" si="1371"/>
        <v>0</v>
      </c>
      <c r="AD301" s="538">
        <f>+Assumptions!$J$13*$BC301*1000</f>
        <v>0</v>
      </c>
      <c r="AE301" s="607">
        <f t="shared" si="1372"/>
        <v>8</v>
      </c>
      <c r="AF301" s="607">
        <f t="shared" si="1373"/>
        <v>0</v>
      </c>
      <c r="AG301" s="538">
        <f>+Assumptions!$K$13*$BC301*1000</f>
        <v>0</v>
      </c>
      <c r="AH301" s="607">
        <f t="shared" si="1374"/>
        <v>8</v>
      </c>
      <c r="AI301" s="607">
        <f t="shared" si="1375"/>
        <v>0</v>
      </c>
      <c r="AJ301" s="538">
        <f>+Assumptions!$L$13*$BC301*1000</f>
        <v>0</v>
      </c>
      <c r="AK301" s="607">
        <f t="shared" si="1376"/>
        <v>8</v>
      </c>
      <c r="AL301" s="607">
        <f t="shared" si="1377"/>
        <v>0</v>
      </c>
      <c r="AM301" s="538">
        <f>+Assumptions!$M$13*$BC301*1000</f>
        <v>0</v>
      </c>
      <c r="AN301" s="607">
        <f t="shared" si="1378"/>
        <v>8</v>
      </c>
      <c r="AO301" s="607">
        <f t="shared" si="1379"/>
        <v>0</v>
      </c>
      <c r="AP301" s="538">
        <f>+Assumptions!$N$13*$BC301*1000</f>
        <v>0</v>
      </c>
      <c r="AQ301" s="607">
        <f t="shared" si="1380"/>
        <v>8</v>
      </c>
      <c r="AR301" s="607">
        <f t="shared" si="1381"/>
        <v>0</v>
      </c>
      <c r="AS301" s="538">
        <f>+Assumptions!$N$13*$BC301*1000</f>
        <v>0</v>
      </c>
      <c r="AT301" s="607">
        <f t="shared" si="1382"/>
        <v>8</v>
      </c>
      <c r="AU301" s="607">
        <f t="shared" si="1366"/>
        <v>0</v>
      </c>
      <c r="AV301" s="538">
        <f>+Assumptions!$N$13*$BC301*1000</f>
        <v>0</v>
      </c>
      <c r="AW301" s="607">
        <f t="shared" si="1383"/>
        <v>8</v>
      </c>
      <c r="AX301" s="607">
        <f t="shared" si="1367"/>
        <v>0</v>
      </c>
      <c r="AY301" s="538">
        <f>+Assumptions!$N$13*$BC301*1000</f>
        <v>0</v>
      </c>
      <c r="AZ301" s="607">
        <f t="shared" si="1384"/>
        <v>8</v>
      </c>
      <c r="BA301" s="607">
        <f t="shared" si="1368"/>
        <v>0</v>
      </c>
      <c r="BC301" s="710">
        <v>0</v>
      </c>
      <c r="BJ301" s="529">
        <f t="shared" si="1297"/>
        <v>0</v>
      </c>
      <c r="BK301" s="529">
        <f t="shared" si="1298"/>
        <v>0</v>
      </c>
      <c r="BL301" s="529">
        <f t="shared" si="1299"/>
        <v>0</v>
      </c>
      <c r="BM301" s="529">
        <f t="shared" si="1300"/>
        <v>0</v>
      </c>
      <c r="BN301" s="529">
        <f t="shared" si="1301"/>
        <v>0</v>
      </c>
      <c r="BO301" s="529">
        <f t="shared" si="1302"/>
        <v>0</v>
      </c>
      <c r="BP301" s="529">
        <f t="shared" si="1303"/>
        <v>0</v>
      </c>
      <c r="BQ301" s="529">
        <f t="shared" si="1304"/>
        <v>0</v>
      </c>
      <c r="BR301" s="529">
        <f t="shared" si="1305"/>
        <v>0</v>
      </c>
      <c r="BS301" s="529">
        <f t="shared" si="1306"/>
        <v>0</v>
      </c>
      <c r="BT301" s="529">
        <f t="shared" si="1307"/>
        <v>0</v>
      </c>
      <c r="BU301" s="529">
        <f t="shared" si="1308"/>
        <v>0</v>
      </c>
      <c r="BV301" s="529">
        <f t="shared" si="1309"/>
        <v>0</v>
      </c>
      <c r="BW301" s="529">
        <f t="shared" si="1310"/>
        <v>0</v>
      </c>
      <c r="BX301" s="529">
        <f t="shared" si="1311"/>
        <v>0</v>
      </c>
      <c r="BY301" s="529">
        <f t="shared" si="1312"/>
        <v>0</v>
      </c>
      <c r="BZ301" s="529">
        <f t="shared" si="1313"/>
        <v>0</v>
      </c>
      <c r="CB301" s="529">
        <f t="shared" si="1314"/>
        <v>0</v>
      </c>
      <c r="CC301" s="529">
        <f t="shared" si="1315"/>
        <v>0</v>
      </c>
      <c r="CD301" s="529">
        <f t="shared" si="1316"/>
        <v>0</v>
      </c>
      <c r="CE301" s="529">
        <f t="shared" si="1317"/>
        <v>0</v>
      </c>
      <c r="CF301" s="529">
        <f t="shared" si="1318"/>
        <v>0</v>
      </c>
      <c r="CG301" s="529">
        <f t="shared" si="1319"/>
        <v>0</v>
      </c>
      <c r="CH301" s="529">
        <f t="shared" si="1320"/>
        <v>0</v>
      </c>
      <c r="CI301" s="529">
        <f t="shared" si="1321"/>
        <v>0</v>
      </c>
      <c r="CJ301" s="529">
        <f t="shared" si="1322"/>
        <v>0</v>
      </c>
      <c r="CK301" s="529">
        <f t="shared" si="1323"/>
        <v>0</v>
      </c>
      <c r="CL301" s="529">
        <f t="shared" si="1324"/>
        <v>0</v>
      </c>
      <c r="CM301" s="529">
        <f t="shared" si="1325"/>
        <v>0</v>
      </c>
      <c r="CN301" s="529">
        <f t="shared" si="1326"/>
        <v>0</v>
      </c>
      <c r="CO301" s="529">
        <f t="shared" si="1327"/>
        <v>0</v>
      </c>
      <c r="CP301" s="529">
        <f t="shared" si="1253"/>
        <v>0</v>
      </c>
      <c r="CQ301" s="529">
        <f t="shared" si="1254"/>
        <v>0</v>
      </c>
      <c r="CR301" s="529">
        <f t="shared" si="1255"/>
        <v>0</v>
      </c>
    </row>
    <row r="302" spans="1:96" x14ac:dyDescent="0.2">
      <c r="A302" s="769"/>
      <c r="B302" s="611"/>
      <c r="C302" s="543"/>
      <c r="D302" s="609"/>
      <c r="E302" s="544"/>
      <c r="F302" s="543"/>
      <c r="G302" s="609"/>
      <c r="H302" s="544"/>
      <c r="I302" s="543"/>
      <c r="J302" s="609"/>
      <c r="K302" s="544"/>
      <c r="L302" s="543"/>
      <c r="M302" s="609"/>
      <c r="N302" s="544"/>
      <c r="O302" s="543"/>
      <c r="P302" s="609"/>
      <c r="Q302" s="544"/>
      <c r="R302" s="543"/>
      <c r="S302" s="609"/>
      <c r="T302" s="544"/>
      <c r="U302" s="543"/>
      <c r="V302" s="638"/>
      <c r="W302" s="544"/>
      <c r="X302" s="543"/>
      <c r="Y302" s="609"/>
      <c r="Z302" s="609"/>
      <c r="AA302" s="543"/>
      <c r="AB302" s="609"/>
      <c r="AC302" s="609"/>
      <c r="AD302" s="543"/>
      <c r="AE302" s="609"/>
      <c r="AF302" s="609"/>
      <c r="AG302" s="543"/>
      <c r="AH302" s="609"/>
      <c r="AI302" s="609"/>
      <c r="AJ302" s="543"/>
      <c r="AK302" s="609"/>
      <c r="AL302" s="609"/>
      <c r="AM302" s="543"/>
      <c r="AN302" s="609"/>
      <c r="AO302" s="609"/>
      <c r="AP302" s="543"/>
      <c r="AQ302" s="609"/>
      <c r="AR302" s="609"/>
      <c r="AS302" s="543"/>
      <c r="AT302" s="609"/>
      <c r="AU302" s="609"/>
      <c r="AV302" s="543"/>
      <c r="AW302" s="609"/>
      <c r="AX302" s="609"/>
      <c r="AY302" s="543"/>
      <c r="AZ302" s="609"/>
      <c r="BA302" s="609"/>
      <c r="BC302" s="710" t="e">
        <v>#N/A</v>
      </c>
      <c r="BJ302" s="529">
        <f t="shared" si="1297"/>
        <v>0</v>
      </c>
      <c r="BK302" s="529">
        <f t="shared" si="1298"/>
        <v>0</v>
      </c>
      <c r="BL302" s="529">
        <f t="shared" si="1299"/>
        <v>0</v>
      </c>
      <c r="BM302" s="529">
        <f t="shared" si="1300"/>
        <v>0</v>
      </c>
      <c r="BN302" s="529">
        <f t="shared" si="1301"/>
        <v>0</v>
      </c>
      <c r="BO302" s="529">
        <f t="shared" si="1302"/>
        <v>0</v>
      </c>
      <c r="BP302" s="529">
        <f t="shared" si="1303"/>
        <v>0</v>
      </c>
      <c r="BQ302" s="529">
        <f t="shared" si="1304"/>
        <v>0</v>
      </c>
      <c r="BR302" s="529">
        <f t="shared" si="1305"/>
        <v>0</v>
      </c>
      <c r="BS302" s="529">
        <f t="shared" si="1306"/>
        <v>0</v>
      </c>
      <c r="BT302" s="529">
        <f t="shared" si="1307"/>
        <v>0</v>
      </c>
      <c r="BU302" s="529">
        <f t="shared" si="1308"/>
        <v>0</v>
      </c>
      <c r="BV302" s="529">
        <f t="shared" si="1309"/>
        <v>0</v>
      </c>
      <c r="BW302" s="529">
        <f t="shared" si="1310"/>
        <v>0</v>
      </c>
      <c r="BX302" s="529">
        <f t="shared" si="1311"/>
        <v>0</v>
      </c>
      <c r="BY302" s="529">
        <f t="shared" si="1312"/>
        <v>0</v>
      </c>
      <c r="BZ302" s="529">
        <f t="shared" si="1313"/>
        <v>0</v>
      </c>
      <c r="CB302" s="529">
        <f t="shared" si="1314"/>
        <v>0</v>
      </c>
      <c r="CC302" s="529">
        <f t="shared" si="1315"/>
        <v>0</v>
      </c>
      <c r="CD302" s="529">
        <f t="shared" si="1316"/>
        <v>0</v>
      </c>
      <c r="CE302" s="529">
        <f t="shared" si="1317"/>
        <v>0</v>
      </c>
      <c r="CF302" s="529">
        <f t="shared" si="1318"/>
        <v>0</v>
      </c>
      <c r="CG302" s="529">
        <f t="shared" si="1319"/>
        <v>0</v>
      </c>
      <c r="CH302" s="529">
        <f t="shared" si="1320"/>
        <v>0</v>
      </c>
      <c r="CI302" s="529">
        <f t="shared" si="1321"/>
        <v>0</v>
      </c>
      <c r="CJ302" s="529">
        <f t="shared" si="1322"/>
        <v>0</v>
      </c>
      <c r="CK302" s="529">
        <f t="shared" si="1323"/>
        <v>0</v>
      </c>
      <c r="CL302" s="529">
        <f t="shared" si="1324"/>
        <v>0</v>
      </c>
      <c r="CM302" s="529">
        <f t="shared" si="1325"/>
        <v>0</v>
      </c>
      <c r="CN302" s="529">
        <f t="shared" si="1326"/>
        <v>0</v>
      </c>
      <c r="CO302" s="529">
        <f t="shared" si="1327"/>
        <v>0</v>
      </c>
      <c r="CP302" s="529">
        <f t="shared" si="1253"/>
        <v>0</v>
      </c>
      <c r="CQ302" s="529">
        <f t="shared" si="1254"/>
        <v>0</v>
      </c>
      <c r="CR302" s="529">
        <f t="shared" si="1255"/>
        <v>0</v>
      </c>
    </row>
    <row r="303" spans="1:96" x14ac:dyDescent="0.2">
      <c r="C303" s="537"/>
      <c r="D303" s="537"/>
      <c r="E303" s="537"/>
      <c r="F303" s="537"/>
      <c r="G303" s="537"/>
      <c r="H303" s="537"/>
      <c r="I303" s="537"/>
      <c r="J303" s="537"/>
      <c r="K303" s="537"/>
      <c r="L303" s="537"/>
      <c r="M303" s="537"/>
      <c r="N303" s="537"/>
      <c r="O303" s="537"/>
      <c r="P303" s="537"/>
      <c r="Q303" s="537"/>
      <c r="R303" s="537"/>
      <c r="S303" s="537"/>
      <c r="T303" s="537"/>
      <c r="U303" s="537"/>
      <c r="W303" s="537"/>
      <c r="X303" s="537"/>
      <c r="Y303" s="537"/>
      <c r="Z303" s="537"/>
      <c r="AA303" s="537"/>
      <c r="AB303" s="537"/>
      <c r="AC303" s="537"/>
      <c r="AD303" s="537"/>
      <c r="AE303" s="537"/>
      <c r="AF303" s="537"/>
      <c r="AG303" s="537"/>
      <c r="AH303" s="537"/>
      <c r="AI303" s="537"/>
      <c r="AJ303" s="537"/>
      <c r="AK303" s="537"/>
      <c r="AL303" s="537"/>
      <c r="AM303" s="537"/>
      <c r="AN303" s="537"/>
      <c r="AO303" s="537"/>
      <c r="AP303" s="537"/>
      <c r="AQ303" s="537"/>
      <c r="AR303" s="537"/>
      <c r="AS303" s="537"/>
      <c r="AT303" s="537"/>
      <c r="AU303" s="537"/>
      <c r="AV303" s="537"/>
      <c r="AW303" s="537"/>
      <c r="AX303" s="537"/>
      <c r="AY303" s="537"/>
      <c r="AZ303" s="537"/>
      <c r="BA303" s="537"/>
      <c r="CP303" s="529">
        <f t="shared" ref="CP303:CP311" si="1385">AS303</f>
        <v>0</v>
      </c>
      <c r="CQ303" s="529">
        <f t="shared" ref="CQ303:CQ311" si="1386">AV303</f>
        <v>0</v>
      </c>
      <c r="CR303" s="529">
        <f t="shared" ref="CR303:CR311" si="1387">AY303</f>
        <v>0</v>
      </c>
    </row>
    <row r="304" spans="1:96" ht="20.25" x14ac:dyDescent="0.3">
      <c r="B304" s="612" t="s">
        <v>150</v>
      </c>
      <c r="C304" s="613">
        <v>2006</v>
      </c>
      <c r="D304" s="614"/>
      <c r="E304" s="614"/>
      <c r="F304" s="613">
        <v>2007</v>
      </c>
      <c r="G304" s="614"/>
      <c r="H304" s="614"/>
      <c r="I304" s="613">
        <v>2008</v>
      </c>
      <c r="J304" s="615"/>
      <c r="K304" s="615"/>
      <c r="L304" s="613">
        <v>2009</v>
      </c>
      <c r="M304" s="616"/>
      <c r="N304" s="617"/>
      <c r="O304" s="613">
        <v>2010</v>
      </c>
      <c r="P304" s="616"/>
      <c r="Q304" s="617"/>
      <c r="R304" s="613">
        <v>2011</v>
      </c>
      <c r="S304" s="616"/>
      <c r="T304" s="617"/>
      <c r="U304" s="613">
        <v>2012</v>
      </c>
      <c r="V304" s="627"/>
      <c r="W304" s="617"/>
      <c r="X304" s="613">
        <v>2013</v>
      </c>
      <c r="Y304" s="616"/>
      <c r="Z304" s="617"/>
      <c r="AA304" s="613">
        <v>2014</v>
      </c>
      <c r="AB304" s="616"/>
      <c r="AC304" s="617"/>
      <c r="AD304" s="613">
        <v>2015</v>
      </c>
      <c r="AE304" s="616"/>
      <c r="AF304" s="617"/>
      <c r="AG304" s="613">
        <v>2016</v>
      </c>
      <c r="AH304" s="616"/>
      <c r="AI304" s="617"/>
      <c r="AJ304" s="613">
        <v>2017</v>
      </c>
      <c r="AK304" s="616"/>
      <c r="AL304" s="617"/>
      <c r="AM304" s="613">
        <v>2018</v>
      </c>
      <c r="AN304" s="616"/>
      <c r="AO304" s="617"/>
      <c r="AP304" s="613">
        <v>2019</v>
      </c>
      <c r="AQ304" s="616"/>
      <c r="AR304" s="617"/>
      <c r="AS304" s="613">
        <v>2020</v>
      </c>
      <c r="AT304" s="616"/>
      <c r="AU304" s="617"/>
      <c r="AV304" s="613">
        <v>2021</v>
      </c>
      <c r="AW304" s="616"/>
      <c r="AX304" s="617"/>
      <c r="AY304" s="613">
        <v>2022</v>
      </c>
      <c r="AZ304" s="616"/>
      <c r="BA304" s="617"/>
      <c r="BC304" s="728"/>
      <c r="BJ304" s="529">
        <f>CB304</f>
        <v>2006</v>
      </c>
      <c r="BK304" s="529">
        <f t="shared" ref="BK304:BW304" si="1388">CC304</f>
        <v>2007</v>
      </c>
      <c r="BL304" s="529">
        <f t="shared" si="1388"/>
        <v>2008</v>
      </c>
      <c r="BM304" s="529">
        <f t="shared" si="1388"/>
        <v>2009</v>
      </c>
      <c r="BN304" s="529">
        <f t="shared" si="1388"/>
        <v>2010</v>
      </c>
      <c r="BO304" s="529">
        <f t="shared" si="1388"/>
        <v>2011</v>
      </c>
      <c r="BP304" s="529">
        <f t="shared" si="1388"/>
        <v>2012</v>
      </c>
      <c r="BQ304" s="529">
        <f t="shared" si="1388"/>
        <v>2013</v>
      </c>
      <c r="BR304" s="529">
        <f t="shared" si="1388"/>
        <v>2014</v>
      </c>
      <c r="BS304" s="529">
        <f t="shared" si="1388"/>
        <v>2015</v>
      </c>
      <c r="BT304" s="529">
        <f t="shared" si="1388"/>
        <v>2016</v>
      </c>
      <c r="BU304" s="529">
        <f t="shared" si="1388"/>
        <v>2017</v>
      </c>
      <c r="BV304" s="529">
        <f t="shared" si="1388"/>
        <v>2018</v>
      </c>
      <c r="BW304" s="529">
        <f t="shared" si="1388"/>
        <v>2019</v>
      </c>
      <c r="BX304" s="529">
        <f>CP304</f>
        <v>2020</v>
      </c>
      <c r="BY304" s="529">
        <f>CQ304</f>
        <v>2021</v>
      </c>
      <c r="BZ304" s="529">
        <f>CR304</f>
        <v>2022</v>
      </c>
      <c r="CB304" s="529">
        <f t="shared" ref="CB304:CB311" si="1389">C304</f>
        <v>2006</v>
      </c>
      <c r="CC304" s="529">
        <f t="shared" ref="CC304:CC311" si="1390">F304</f>
        <v>2007</v>
      </c>
      <c r="CD304" s="529">
        <f t="shared" ref="CD304:CD311" si="1391">I304</f>
        <v>2008</v>
      </c>
      <c r="CE304" s="529">
        <f t="shared" ref="CE304:CE311" si="1392">L304</f>
        <v>2009</v>
      </c>
      <c r="CF304" s="529">
        <f t="shared" ref="CF304:CF311" si="1393">O304</f>
        <v>2010</v>
      </c>
      <c r="CG304" s="529">
        <f t="shared" ref="CG304:CG311" si="1394">R304</f>
        <v>2011</v>
      </c>
      <c r="CH304" s="529">
        <f t="shared" ref="CH304:CH311" si="1395">U304</f>
        <v>2012</v>
      </c>
      <c r="CI304" s="529">
        <f t="shared" ref="CI304:CI311" si="1396">X304</f>
        <v>2013</v>
      </c>
      <c r="CJ304" s="529">
        <f t="shared" ref="CJ304:CJ311" si="1397">AA304</f>
        <v>2014</v>
      </c>
      <c r="CK304" s="529">
        <f t="shared" ref="CK304:CK311" si="1398">AD304</f>
        <v>2015</v>
      </c>
      <c r="CL304" s="529">
        <f t="shared" ref="CL304:CL311" si="1399">AG304</f>
        <v>2016</v>
      </c>
      <c r="CM304" s="529">
        <f t="shared" ref="CM304:CM311" si="1400">AJ304</f>
        <v>2017</v>
      </c>
      <c r="CN304" s="529">
        <f t="shared" ref="CN304:CN311" si="1401">AM304</f>
        <v>2018</v>
      </c>
      <c r="CO304" s="529">
        <f t="shared" ref="CO304:CO311" si="1402">AP304</f>
        <v>2019</v>
      </c>
      <c r="CP304" s="529">
        <f t="shared" si="1385"/>
        <v>2020</v>
      </c>
      <c r="CQ304" s="529">
        <f t="shared" si="1386"/>
        <v>2021</v>
      </c>
      <c r="CR304" s="529">
        <f t="shared" si="1387"/>
        <v>2022</v>
      </c>
    </row>
    <row r="305" spans="1:96" x14ac:dyDescent="0.2">
      <c r="A305" s="622">
        <f>+Assumptions!R52</f>
        <v>0.15</v>
      </c>
      <c r="B305" s="618" t="str">
        <f>+Assumptions!A36</f>
        <v>NPK 15-15-15</v>
      </c>
      <c r="C305" s="619">
        <f>SUMIF($B$4:$B$302,$B305,C$4:C$302)</f>
        <v>0</v>
      </c>
      <c r="D305" s="620" t="e">
        <f>+E305/C305</f>
        <v>#DIV/0!</v>
      </c>
      <c r="E305" s="619">
        <f t="shared" ref="E305:F310" si="1403">SUMIF($B$4:$B$302,$B305,E$4:E$302)</f>
        <v>0</v>
      </c>
      <c r="F305" s="619">
        <f>SUMIF($B$4:$B$302,$B305,F$4:F$302)</f>
        <v>0</v>
      </c>
      <c r="G305" s="620" t="e">
        <f>+H305/F305</f>
        <v>#DIV/0!</v>
      </c>
      <c r="H305" s="619">
        <f t="shared" ref="H305:I310" si="1404">SUMIF($B$4:$B$302,$B305,H$4:H$302)</f>
        <v>0</v>
      </c>
      <c r="I305" s="619">
        <f>SUMIF($B$4:$B$302,$B305,I$4:I$302)</f>
        <v>0</v>
      </c>
      <c r="J305" s="620" t="e">
        <f>+K305/I305</f>
        <v>#DIV/0!</v>
      </c>
      <c r="K305" s="619">
        <f t="shared" ref="K305:L310" si="1405">SUMIF($B$4:$B$302,$B305,K$4:K$302)</f>
        <v>0</v>
      </c>
      <c r="L305" s="619">
        <f>SUMIF($B$4:$B$302,$B305,L$4:L$302)</f>
        <v>0</v>
      </c>
      <c r="M305" s="620" t="e">
        <f>+N305/L305</f>
        <v>#DIV/0!</v>
      </c>
      <c r="N305" s="619">
        <f t="shared" ref="N305:O310" si="1406">SUMIF($B$4:$B$302,$B305,N$4:N$302)</f>
        <v>0</v>
      </c>
      <c r="O305" s="619">
        <f t="shared" si="1406"/>
        <v>0</v>
      </c>
      <c r="P305" s="620" t="e">
        <f>+Q305/O305</f>
        <v>#DIV/0!</v>
      </c>
      <c r="Q305" s="619">
        <f t="shared" ref="Q305:R310" si="1407">SUMIF($B$4:$B$302,$B305,Q$4:Q$302)</f>
        <v>0</v>
      </c>
      <c r="R305" s="619">
        <f t="shared" si="1407"/>
        <v>0</v>
      </c>
      <c r="S305" s="620" t="e">
        <f>+T305/R305</f>
        <v>#DIV/0!</v>
      </c>
      <c r="T305" s="619">
        <f t="shared" ref="T305:U310" si="1408">SUMIF($B$4:$B$302,$B305,T$4:T$302)</f>
        <v>0</v>
      </c>
      <c r="U305" s="619">
        <f t="shared" si="1408"/>
        <v>0</v>
      </c>
      <c r="V305" s="639" t="e">
        <f>+W305/U305</f>
        <v>#DIV/0!</v>
      </c>
      <c r="W305" s="619">
        <f t="shared" ref="W305:X310" si="1409">SUMIF($B$4:$B$302,$B305,W$4:W$302)</f>
        <v>0</v>
      </c>
      <c r="X305" s="619">
        <f t="shared" si="1409"/>
        <v>0</v>
      </c>
      <c r="Y305" s="620" t="e">
        <f>+Z305/X305</f>
        <v>#DIV/0!</v>
      </c>
      <c r="Z305" s="619">
        <f t="shared" ref="Z305:AA310" si="1410">SUMIF($B$4:$B$302,$B305,Z$4:Z$302)</f>
        <v>0</v>
      </c>
      <c r="AA305" s="619">
        <f t="shared" si="1410"/>
        <v>8000.0000000000009</v>
      </c>
      <c r="AB305" s="620">
        <f>+AC305/AA305</f>
        <v>318.07500000000005</v>
      </c>
      <c r="AC305" s="619">
        <f t="shared" ref="AC305:AD310" si="1411">SUMIF($B$4:$B$302,$B305,AC$4:AC$302)</f>
        <v>2544600.0000000005</v>
      </c>
      <c r="AD305" s="619">
        <f t="shared" si="1411"/>
        <v>16000.000000000002</v>
      </c>
      <c r="AE305" s="620">
        <f>+AF305/AD305</f>
        <v>327.16499999999996</v>
      </c>
      <c r="AF305" s="619">
        <f t="shared" ref="AF305:AG310" si="1412">SUMIF($B$4:$B$302,$B305,AF$4:AF$302)</f>
        <v>5234640</v>
      </c>
      <c r="AG305" s="619">
        <f t="shared" si="1412"/>
        <v>16000.000000000002</v>
      </c>
      <c r="AH305" s="620">
        <f>+AI305/AG305</f>
        <v>337.26499999999999</v>
      </c>
      <c r="AI305" s="619">
        <f t="shared" ref="AI305:AJ310" si="1413">SUMIF($B$4:$B$302,$B305,AI$4:AI$302)</f>
        <v>5396240</v>
      </c>
      <c r="AJ305" s="619">
        <f t="shared" si="1413"/>
        <v>16000.000000000002</v>
      </c>
      <c r="AK305" s="620">
        <f>+AL305/AJ305</f>
        <v>347.36499999999995</v>
      </c>
      <c r="AL305" s="619">
        <f t="shared" ref="AL305:AM310" si="1414">SUMIF($B$4:$B$302,$B305,AL$4:AL$302)</f>
        <v>5557840</v>
      </c>
      <c r="AM305" s="619">
        <f t="shared" si="1414"/>
        <v>16000.000000000002</v>
      </c>
      <c r="AN305" s="620">
        <f>+AO305/AM305</f>
        <v>357.46499999999997</v>
      </c>
      <c r="AO305" s="619">
        <f t="shared" ref="AO305:AP310" si="1415">SUMIF($B$4:$B$302,$B305,AO$4:AO$302)</f>
        <v>5719440</v>
      </c>
      <c r="AP305" s="619">
        <f t="shared" si="1415"/>
        <v>16000.000000000002</v>
      </c>
      <c r="AQ305" s="620">
        <f>+AR305/AP305</f>
        <v>368.57499999999993</v>
      </c>
      <c r="AR305" s="619">
        <f>SUMIF($B$4:$B$302,$B305,AR$4:AR$302)</f>
        <v>5897200</v>
      </c>
      <c r="AS305" s="619">
        <f t="shared" ref="AS305:AV310" si="1416">SUMIF($B$4:$B$302,$B305,AS$4:AS$302)</f>
        <v>16000.000000000002</v>
      </c>
      <c r="AT305" s="620">
        <f>+AU305/AS305</f>
        <v>379.68499999999995</v>
      </c>
      <c r="AU305" s="619">
        <f>SUMIF($B$4:$B$302,$B305,AU$4:AU$302)</f>
        <v>6074960</v>
      </c>
      <c r="AV305" s="619">
        <f t="shared" si="1416"/>
        <v>16000.000000000002</v>
      </c>
      <c r="AW305" s="620">
        <f>+AX305/AV305</f>
        <v>390.79500000000002</v>
      </c>
      <c r="AX305" s="619">
        <f>SUMIF($B$4:$B$302,$B305,AX$4:AX$302)</f>
        <v>6252720.0000000009</v>
      </c>
      <c r="AY305" s="619">
        <f t="shared" ref="AY305:AY310" si="1417">SUMIF($B$4:$B$302,$B305,AY$4:AY$302)</f>
        <v>16000.000000000002</v>
      </c>
      <c r="AZ305" s="620">
        <f>+BA305/AY305</f>
        <v>402.91500000000002</v>
      </c>
      <c r="BA305" s="619">
        <f>SUMIF($B$4:$B$302,$B305,BA$4:BA$302)</f>
        <v>6446640.0000000009</v>
      </c>
      <c r="BC305" s="730"/>
      <c r="BD305" s="730"/>
      <c r="BJ305" s="529">
        <f t="shared" ref="BJ305:BJ311" si="1418">E305</f>
        <v>0</v>
      </c>
      <c r="BK305" s="529">
        <f t="shared" ref="BK305:BK311" si="1419">H305</f>
        <v>0</v>
      </c>
      <c r="BL305" s="529">
        <f t="shared" ref="BL305:BL311" si="1420">K305</f>
        <v>0</v>
      </c>
      <c r="BM305" s="529">
        <f t="shared" ref="BM305:BM311" si="1421">N305</f>
        <v>0</v>
      </c>
      <c r="BN305" s="529">
        <f t="shared" ref="BN305:BN311" si="1422">Q305</f>
        <v>0</v>
      </c>
      <c r="BO305" s="529">
        <f t="shared" ref="BO305:BO311" si="1423">T305</f>
        <v>0</v>
      </c>
      <c r="BP305" s="529">
        <f t="shared" ref="BP305:BP311" si="1424">W305</f>
        <v>0</v>
      </c>
      <c r="BQ305" s="529">
        <f t="shared" ref="BQ305:BQ311" si="1425">Z305</f>
        <v>0</v>
      </c>
      <c r="BR305" s="529">
        <f t="shared" ref="BR305:BR311" si="1426">AC305/1000000</f>
        <v>2.5446000000000004</v>
      </c>
      <c r="BS305" s="529">
        <f t="shared" ref="BS305:BS311" si="1427">AF305/1000000</f>
        <v>5.2346399999999997</v>
      </c>
      <c r="BT305" s="529">
        <f t="shared" ref="BT305:BT311" si="1428">AI305/1000000</f>
        <v>5.3962399999999997</v>
      </c>
      <c r="BU305" s="529">
        <f t="shared" ref="BU305:BU311" si="1429">AL305/1000000</f>
        <v>5.5578399999999997</v>
      </c>
      <c r="BV305" s="529">
        <f t="shared" ref="BV305:BV311" si="1430">AO305/1000000</f>
        <v>5.7194399999999996</v>
      </c>
      <c r="BW305" s="529">
        <f t="shared" ref="BW305:BW311" si="1431">AR305/1000000</f>
        <v>5.8971999999999998</v>
      </c>
      <c r="BX305" s="529">
        <f t="shared" ref="BX305:BX341" si="1432">AU305/1000000</f>
        <v>6.0749599999999999</v>
      </c>
      <c r="BY305" s="529">
        <f t="shared" ref="BY305:BY341" si="1433">AX305/1000000</f>
        <v>6.2527200000000009</v>
      </c>
      <c r="BZ305" s="529">
        <f t="shared" ref="BZ305:BZ341" si="1434">BA305/1000000</f>
        <v>6.4466400000000013</v>
      </c>
      <c r="CB305" s="529">
        <f t="shared" si="1389"/>
        <v>0</v>
      </c>
      <c r="CC305" s="529">
        <f t="shared" si="1390"/>
        <v>0</v>
      </c>
      <c r="CD305" s="529">
        <f t="shared" si="1391"/>
        <v>0</v>
      </c>
      <c r="CE305" s="529">
        <f t="shared" si="1392"/>
        <v>0</v>
      </c>
      <c r="CF305" s="529">
        <f t="shared" si="1393"/>
        <v>0</v>
      </c>
      <c r="CG305" s="529">
        <f t="shared" si="1394"/>
        <v>0</v>
      </c>
      <c r="CH305" s="529">
        <f t="shared" si="1395"/>
        <v>0</v>
      </c>
      <c r="CI305" s="529">
        <f t="shared" si="1396"/>
        <v>0</v>
      </c>
      <c r="CJ305" s="529">
        <f t="shared" si="1397"/>
        <v>8000.0000000000009</v>
      </c>
      <c r="CK305" s="529">
        <f t="shared" si="1398"/>
        <v>16000.000000000002</v>
      </c>
      <c r="CL305" s="529">
        <f t="shared" si="1399"/>
        <v>16000.000000000002</v>
      </c>
      <c r="CM305" s="529">
        <f t="shared" si="1400"/>
        <v>16000.000000000002</v>
      </c>
      <c r="CN305" s="529">
        <f t="shared" si="1401"/>
        <v>16000.000000000002</v>
      </c>
      <c r="CO305" s="529">
        <f t="shared" si="1402"/>
        <v>16000.000000000002</v>
      </c>
      <c r="CP305" s="529">
        <f t="shared" si="1385"/>
        <v>16000.000000000002</v>
      </c>
      <c r="CQ305" s="529">
        <f t="shared" si="1386"/>
        <v>16000.000000000002</v>
      </c>
      <c r="CR305" s="529">
        <f t="shared" si="1387"/>
        <v>16000.000000000002</v>
      </c>
    </row>
    <row r="306" spans="1:96" x14ac:dyDescent="0.2">
      <c r="A306" s="622">
        <f>+Assumptions!R53</f>
        <v>0.16</v>
      </c>
      <c r="B306" s="618" t="str">
        <f>+Assumptions!A37</f>
        <v>NPK 16-16-16</v>
      </c>
      <c r="C306" s="619">
        <f>SUMIF($B$4:$B$302,$B306,C$4:C$302)</f>
        <v>0</v>
      </c>
      <c r="D306" s="620" t="e">
        <f>+E306/C306</f>
        <v>#DIV/0!</v>
      </c>
      <c r="E306" s="619">
        <f t="shared" si="1403"/>
        <v>0</v>
      </c>
      <c r="F306" s="619">
        <f>SUMIF($B$4:$B$302,$B306,F$4:F$302)</f>
        <v>0</v>
      </c>
      <c r="G306" s="620" t="e">
        <f>+H306/F306</f>
        <v>#DIV/0!</v>
      </c>
      <c r="H306" s="619">
        <f t="shared" si="1404"/>
        <v>0</v>
      </c>
      <c r="I306" s="619">
        <f>SUMIF($B$4:$B$302,$B306,I$4:I$302)</f>
        <v>0</v>
      </c>
      <c r="J306" s="620" t="e">
        <f>+K306/I306</f>
        <v>#DIV/0!</v>
      </c>
      <c r="K306" s="619">
        <f t="shared" si="1405"/>
        <v>0</v>
      </c>
      <c r="L306" s="619">
        <f>SUMIF($B$4:$B$302,$B306,L$4:L$302)</f>
        <v>0</v>
      </c>
      <c r="M306" s="620" t="e">
        <f>+N306/L306</f>
        <v>#DIV/0!</v>
      </c>
      <c r="N306" s="619">
        <f t="shared" si="1406"/>
        <v>0</v>
      </c>
      <c r="O306" s="619">
        <f t="shared" si="1406"/>
        <v>0</v>
      </c>
      <c r="P306" s="620" t="e">
        <f>+Q306/O306</f>
        <v>#DIV/0!</v>
      </c>
      <c r="Q306" s="619">
        <f t="shared" si="1407"/>
        <v>0</v>
      </c>
      <c r="R306" s="619">
        <f t="shared" si="1407"/>
        <v>0</v>
      </c>
      <c r="S306" s="620" t="e">
        <f>+T306/R306</f>
        <v>#DIV/0!</v>
      </c>
      <c r="T306" s="619">
        <f t="shared" si="1408"/>
        <v>0</v>
      </c>
      <c r="U306" s="619">
        <f t="shared" si="1408"/>
        <v>0</v>
      </c>
      <c r="V306" s="639" t="e">
        <f>+W306/U306</f>
        <v>#DIV/0!</v>
      </c>
      <c r="W306" s="619">
        <f t="shared" si="1409"/>
        <v>0</v>
      </c>
      <c r="X306" s="619">
        <f t="shared" si="1409"/>
        <v>0</v>
      </c>
      <c r="Y306" s="620" t="e">
        <f>+Z306/X306</f>
        <v>#DIV/0!</v>
      </c>
      <c r="Z306" s="619">
        <f t="shared" si="1410"/>
        <v>0</v>
      </c>
      <c r="AA306" s="619">
        <f t="shared" si="1410"/>
        <v>56000</v>
      </c>
      <c r="AB306" s="620">
        <f>+AC306/AA306</f>
        <v>341.69200000000001</v>
      </c>
      <c r="AC306" s="619">
        <f t="shared" si="1411"/>
        <v>19134752</v>
      </c>
      <c r="AD306" s="619">
        <f t="shared" si="1411"/>
        <v>112000</v>
      </c>
      <c r="AE306" s="620">
        <f>+AF306/AD306</f>
        <v>351.75200000000001</v>
      </c>
      <c r="AF306" s="619">
        <f t="shared" si="1412"/>
        <v>39396224</v>
      </c>
      <c r="AG306" s="619">
        <f t="shared" si="1412"/>
        <v>112000</v>
      </c>
      <c r="AH306" s="620">
        <f>+AI306/AG306</f>
        <v>361.81200000000001</v>
      </c>
      <c r="AI306" s="619">
        <f t="shared" si="1413"/>
        <v>40522944</v>
      </c>
      <c r="AJ306" s="619">
        <f t="shared" si="1413"/>
        <v>112000</v>
      </c>
      <c r="AK306" s="620">
        <f>+AL306/AJ306</f>
        <v>372.87799999999999</v>
      </c>
      <c r="AL306" s="619">
        <f t="shared" si="1414"/>
        <v>41762336</v>
      </c>
      <c r="AM306" s="619">
        <f t="shared" si="1414"/>
        <v>112000</v>
      </c>
      <c r="AN306" s="620">
        <f>+AO306/AM306</f>
        <v>383.94400000000002</v>
      </c>
      <c r="AO306" s="619">
        <f t="shared" si="1415"/>
        <v>43001728</v>
      </c>
      <c r="AP306" s="619">
        <f t="shared" si="1415"/>
        <v>112000</v>
      </c>
      <c r="AQ306" s="620">
        <f>+AR306/AP306</f>
        <v>395.01</v>
      </c>
      <c r="AR306" s="619">
        <f>SUMIF($B$4:$B$302,$B306,AR$4:AR$302)</f>
        <v>44241120</v>
      </c>
      <c r="AS306" s="619">
        <f t="shared" si="1416"/>
        <v>112000</v>
      </c>
      <c r="AT306" s="620">
        <f>+AU306/AS306</f>
        <v>407.08199999999999</v>
      </c>
      <c r="AU306" s="619">
        <f>SUMIF($B$4:$B$302,$B306,AU$4:AU$302)</f>
        <v>45593184</v>
      </c>
      <c r="AV306" s="619">
        <f t="shared" si="1416"/>
        <v>112000</v>
      </c>
      <c r="AW306" s="620">
        <f>+AX306/AV306</f>
        <v>419.154</v>
      </c>
      <c r="AX306" s="619">
        <f>SUMIF($B$4:$B$302,$B306,AX$4:AX$302)</f>
        <v>46945248</v>
      </c>
      <c r="AY306" s="619">
        <f t="shared" si="1417"/>
        <v>112000</v>
      </c>
      <c r="AZ306" s="620">
        <f>+BA306/AY306</f>
        <v>431.226</v>
      </c>
      <c r="BA306" s="619">
        <f>SUMIF($B$4:$B$302,$B306,BA$4:BA$302)</f>
        <v>48297312</v>
      </c>
      <c r="BC306" s="730"/>
      <c r="BD306" s="730"/>
      <c r="BJ306" s="529">
        <f t="shared" si="1418"/>
        <v>0</v>
      </c>
      <c r="BK306" s="529">
        <f t="shared" si="1419"/>
        <v>0</v>
      </c>
      <c r="BL306" s="529">
        <f t="shared" si="1420"/>
        <v>0</v>
      </c>
      <c r="BM306" s="529">
        <f t="shared" si="1421"/>
        <v>0</v>
      </c>
      <c r="BN306" s="529">
        <f t="shared" si="1422"/>
        <v>0</v>
      </c>
      <c r="BO306" s="529">
        <f t="shared" si="1423"/>
        <v>0</v>
      </c>
      <c r="BP306" s="529">
        <f t="shared" si="1424"/>
        <v>0</v>
      </c>
      <c r="BQ306" s="529">
        <f t="shared" si="1425"/>
        <v>0</v>
      </c>
      <c r="BR306" s="529">
        <f t="shared" si="1426"/>
        <v>19.134751999999999</v>
      </c>
      <c r="BS306" s="529">
        <f t="shared" si="1427"/>
        <v>39.396223999999997</v>
      </c>
      <c r="BT306" s="529">
        <f t="shared" si="1428"/>
        <v>40.522944000000003</v>
      </c>
      <c r="BU306" s="529">
        <f t="shared" si="1429"/>
        <v>41.762335999999998</v>
      </c>
      <c r="BV306" s="529">
        <f t="shared" si="1430"/>
        <v>43.001728</v>
      </c>
      <c r="BW306" s="529">
        <f t="shared" si="1431"/>
        <v>44.241120000000002</v>
      </c>
      <c r="BX306" s="529">
        <f t="shared" si="1432"/>
        <v>45.593184000000001</v>
      </c>
      <c r="BY306" s="529">
        <f t="shared" si="1433"/>
        <v>46.945247999999999</v>
      </c>
      <c r="BZ306" s="529">
        <f t="shared" si="1434"/>
        <v>48.297311999999998</v>
      </c>
      <c r="CB306" s="529">
        <f t="shared" si="1389"/>
        <v>0</v>
      </c>
      <c r="CC306" s="529">
        <f t="shared" si="1390"/>
        <v>0</v>
      </c>
      <c r="CD306" s="529">
        <f t="shared" si="1391"/>
        <v>0</v>
      </c>
      <c r="CE306" s="529">
        <f t="shared" si="1392"/>
        <v>0</v>
      </c>
      <c r="CF306" s="529">
        <f t="shared" si="1393"/>
        <v>0</v>
      </c>
      <c r="CG306" s="529">
        <f t="shared" si="1394"/>
        <v>0</v>
      </c>
      <c r="CH306" s="529">
        <f t="shared" si="1395"/>
        <v>0</v>
      </c>
      <c r="CI306" s="529">
        <f t="shared" si="1396"/>
        <v>0</v>
      </c>
      <c r="CJ306" s="529">
        <f t="shared" si="1397"/>
        <v>56000</v>
      </c>
      <c r="CK306" s="529">
        <f t="shared" si="1398"/>
        <v>112000</v>
      </c>
      <c r="CL306" s="529">
        <f t="shared" si="1399"/>
        <v>112000</v>
      </c>
      <c r="CM306" s="529">
        <f t="shared" si="1400"/>
        <v>112000</v>
      </c>
      <c r="CN306" s="529">
        <f t="shared" si="1401"/>
        <v>112000</v>
      </c>
      <c r="CO306" s="529">
        <f t="shared" si="1402"/>
        <v>112000</v>
      </c>
      <c r="CP306" s="529">
        <f t="shared" si="1385"/>
        <v>112000</v>
      </c>
      <c r="CQ306" s="529">
        <f t="shared" si="1386"/>
        <v>112000</v>
      </c>
      <c r="CR306" s="529">
        <f t="shared" si="1387"/>
        <v>112000</v>
      </c>
    </row>
    <row r="307" spans="1:96" x14ac:dyDescent="0.2">
      <c r="A307" s="622">
        <f>+Assumptions!R54</f>
        <v>0.26</v>
      </c>
      <c r="B307" s="618" t="str">
        <f>+Assumptions!A38</f>
        <v>NPK 10-26-26</v>
      </c>
      <c r="C307" s="619">
        <f>SUMIF($B$4:$B$302,$B307,C$4:C$302)</f>
        <v>0</v>
      </c>
      <c r="D307" s="620" t="e">
        <f>+E307/C307</f>
        <v>#DIV/0!</v>
      </c>
      <c r="E307" s="619">
        <f t="shared" si="1403"/>
        <v>0</v>
      </c>
      <c r="F307" s="619">
        <f>SUMIF($B$4:$B$302,$B307,F$4:F$302)</f>
        <v>0</v>
      </c>
      <c r="G307" s="620" t="e">
        <f>+H307/F307</f>
        <v>#DIV/0!</v>
      </c>
      <c r="H307" s="619">
        <f t="shared" si="1404"/>
        <v>0</v>
      </c>
      <c r="I307" s="619">
        <f>SUMIF($B$4:$B$302,$B307,I$4:I$302)</f>
        <v>0</v>
      </c>
      <c r="J307" s="620" t="e">
        <f>+K307/I307</f>
        <v>#DIV/0!</v>
      </c>
      <c r="K307" s="619">
        <f t="shared" si="1405"/>
        <v>0</v>
      </c>
      <c r="L307" s="619">
        <f>SUMIF($B$4:$B$302,$B307,L$4:L$302)</f>
        <v>0</v>
      </c>
      <c r="M307" s="620" t="e">
        <f>+N307/L307</f>
        <v>#DIV/0!</v>
      </c>
      <c r="N307" s="619">
        <f t="shared" si="1406"/>
        <v>0</v>
      </c>
      <c r="O307" s="619">
        <f t="shared" si="1406"/>
        <v>0</v>
      </c>
      <c r="P307" s="620" t="e">
        <f>+Q307/O307</f>
        <v>#DIV/0!</v>
      </c>
      <c r="Q307" s="619">
        <f t="shared" si="1407"/>
        <v>0</v>
      </c>
      <c r="R307" s="619">
        <f t="shared" si="1407"/>
        <v>0</v>
      </c>
      <c r="S307" s="620" t="e">
        <f>+T307/R307</f>
        <v>#DIV/0!</v>
      </c>
      <c r="T307" s="619">
        <f t="shared" si="1408"/>
        <v>0</v>
      </c>
      <c r="U307" s="619">
        <f t="shared" si="1408"/>
        <v>0</v>
      </c>
      <c r="V307" s="639" t="e">
        <f>+W307/U307</f>
        <v>#DIV/0!</v>
      </c>
      <c r="W307" s="619">
        <f t="shared" si="1409"/>
        <v>0</v>
      </c>
      <c r="X307" s="619">
        <f t="shared" si="1409"/>
        <v>0</v>
      </c>
      <c r="Y307" s="620" t="e">
        <f>+Z307/X307</f>
        <v>#DIV/0!</v>
      </c>
      <c r="Z307" s="619">
        <f t="shared" si="1410"/>
        <v>0</v>
      </c>
      <c r="AA307" s="619">
        <f t="shared" si="1410"/>
        <v>8500</v>
      </c>
      <c r="AB307" s="620">
        <f>+AC307/AA307</f>
        <v>444.81599999999997</v>
      </c>
      <c r="AC307" s="619">
        <f t="shared" si="1411"/>
        <v>3780936</v>
      </c>
      <c r="AD307" s="619">
        <f t="shared" si="1411"/>
        <v>17000</v>
      </c>
      <c r="AE307" s="620">
        <f>+AF307/AD307</f>
        <v>458.12799999999999</v>
      </c>
      <c r="AF307" s="619">
        <f t="shared" si="1412"/>
        <v>7788176</v>
      </c>
      <c r="AG307" s="619">
        <f t="shared" si="1412"/>
        <v>17000</v>
      </c>
      <c r="AH307" s="620">
        <f>+AI307/AG307</f>
        <v>471.44</v>
      </c>
      <c r="AI307" s="619">
        <f t="shared" si="1413"/>
        <v>8014480</v>
      </c>
      <c r="AJ307" s="619">
        <f t="shared" si="1413"/>
        <v>17000</v>
      </c>
      <c r="AK307" s="620">
        <f>+AL307/AJ307</f>
        <v>485.77600000000001</v>
      </c>
      <c r="AL307" s="619">
        <f t="shared" si="1414"/>
        <v>8258192</v>
      </c>
      <c r="AM307" s="619">
        <f t="shared" si="1414"/>
        <v>17000</v>
      </c>
      <c r="AN307" s="620">
        <f>+AO307/AM307</f>
        <v>500.11200000000002</v>
      </c>
      <c r="AO307" s="619">
        <f t="shared" si="1415"/>
        <v>8501904</v>
      </c>
      <c r="AP307" s="619">
        <f t="shared" si="1415"/>
        <v>17000</v>
      </c>
      <c r="AQ307" s="620">
        <f>+AR307/AP307</f>
        <v>515.47199999999998</v>
      </c>
      <c r="AR307" s="619">
        <f>SUMIF($B$4:$B$302,$B307,AR$4:AR$302)</f>
        <v>8763024</v>
      </c>
      <c r="AS307" s="619">
        <f t="shared" si="1416"/>
        <v>17000</v>
      </c>
      <c r="AT307" s="620">
        <f>+AU307/AS307</f>
        <v>530.83199999999999</v>
      </c>
      <c r="AU307" s="619">
        <f>SUMIF($B$4:$B$302,$B307,AU$4:AU$302)</f>
        <v>9024144</v>
      </c>
      <c r="AV307" s="619">
        <f t="shared" si="1416"/>
        <v>17000</v>
      </c>
      <c r="AW307" s="620">
        <f>+AX307/AV307</f>
        <v>547.21600000000001</v>
      </c>
      <c r="AX307" s="619">
        <f>SUMIF($B$4:$B$302,$B307,AX$4:AX$302)</f>
        <v>9302672</v>
      </c>
      <c r="AY307" s="619">
        <f t="shared" si="1417"/>
        <v>17000</v>
      </c>
      <c r="AZ307" s="620">
        <f>+BA307/AY307</f>
        <v>563.6</v>
      </c>
      <c r="BA307" s="619">
        <f>SUMIF($B$4:$B$302,$B307,BA$4:BA$302)</f>
        <v>9581200</v>
      </c>
      <c r="BC307" s="730"/>
      <c r="BD307" s="730"/>
      <c r="BJ307" s="529">
        <f t="shared" si="1418"/>
        <v>0</v>
      </c>
      <c r="BK307" s="529">
        <f t="shared" si="1419"/>
        <v>0</v>
      </c>
      <c r="BL307" s="529">
        <f t="shared" si="1420"/>
        <v>0</v>
      </c>
      <c r="BM307" s="529">
        <f t="shared" si="1421"/>
        <v>0</v>
      </c>
      <c r="BN307" s="529">
        <f t="shared" si="1422"/>
        <v>0</v>
      </c>
      <c r="BO307" s="529">
        <f t="shared" si="1423"/>
        <v>0</v>
      </c>
      <c r="BP307" s="529">
        <f t="shared" si="1424"/>
        <v>0</v>
      </c>
      <c r="BQ307" s="529">
        <f t="shared" si="1425"/>
        <v>0</v>
      </c>
      <c r="BR307" s="529">
        <f t="shared" si="1426"/>
        <v>3.7809360000000001</v>
      </c>
      <c r="BS307" s="529">
        <f t="shared" si="1427"/>
        <v>7.788176</v>
      </c>
      <c r="BT307" s="529">
        <f t="shared" si="1428"/>
        <v>8.0144800000000007</v>
      </c>
      <c r="BU307" s="529">
        <f t="shared" si="1429"/>
        <v>8.2581919999999993</v>
      </c>
      <c r="BV307" s="529">
        <f t="shared" si="1430"/>
        <v>8.5019039999999997</v>
      </c>
      <c r="BW307" s="529">
        <f t="shared" si="1431"/>
        <v>8.7630239999999997</v>
      </c>
      <c r="BX307" s="529">
        <f t="shared" si="1432"/>
        <v>9.0241439999999997</v>
      </c>
      <c r="BY307" s="529">
        <f t="shared" si="1433"/>
        <v>9.3026719999999994</v>
      </c>
      <c r="BZ307" s="529">
        <f t="shared" si="1434"/>
        <v>9.5812000000000008</v>
      </c>
      <c r="CB307" s="529">
        <f t="shared" si="1389"/>
        <v>0</v>
      </c>
      <c r="CC307" s="529">
        <f t="shared" si="1390"/>
        <v>0</v>
      </c>
      <c r="CD307" s="529">
        <f t="shared" si="1391"/>
        <v>0</v>
      </c>
      <c r="CE307" s="529">
        <f t="shared" si="1392"/>
        <v>0</v>
      </c>
      <c r="CF307" s="529">
        <f t="shared" si="1393"/>
        <v>0</v>
      </c>
      <c r="CG307" s="529">
        <f t="shared" si="1394"/>
        <v>0</v>
      </c>
      <c r="CH307" s="529">
        <f t="shared" si="1395"/>
        <v>0</v>
      </c>
      <c r="CI307" s="529">
        <f t="shared" si="1396"/>
        <v>0</v>
      </c>
      <c r="CJ307" s="529">
        <f t="shared" si="1397"/>
        <v>8500</v>
      </c>
      <c r="CK307" s="529">
        <f t="shared" si="1398"/>
        <v>17000</v>
      </c>
      <c r="CL307" s="529">
        <f t="shared" si="1399"/>
        <v>17000</v>
      </c>
      <c r="CM307" s="529">
        <f t="shared" si="1400"/>
        <v>17000</v>
      </c>
      <c r="CN307" s="529">
        <f t="shared" si="1401"/>
        <v>17000</v>
      </c>
      <c r="CO307" s="529">
        <f t="shared" si="1402"/>
        <v>17000</v>
      </c>
      <c r="CP307" s="529">
        <f t="shared" si="1385"/>
        <v>17000</v>
      </c>
      <c r="CQ307" s="529">
        <f t="shared" si="1386"/>
        <v>17000</v>
      </c>
      <c r="CR307" s="529">
        <f t="shared" si="1387"/>
        <v>17000</v>
      </c>
    </row>
    <row r="308" spans="1:96" x14ac:dyDescent="0.2">
      <c r="A308" s="622">
        <f>+Assumptions!R55</f>
        <v>0.2</v>
      </c>
      <c r="B308" s="618" t="str">
        <f>+Assumptions!A39</f>
        <v>NPK 10-20-20</v>
      </c>
      <c r="C308" s="619">
        <f>SUMIF($B$4:$B$302,$B308,C$4:C$302)</f>
        <v>0</v>
      </c>
      <c r="D308" s="620" t="e">
        <f>+E308/C308</f>
        <v>#DIV/0!</v>
      </c>
      <c r="E308" s="619">
        <f t="shared" si="1403"/>
        <v>0</v>
      </c>
      <c r="F308" s="619">
        <f>SUMIF($B$4:$B$302,$B308,F$4:F$302)</f>
        <v>0</v>
      </c>
      <c r="G308" s="620" t="e">
        <f>+H308/F308</f>
        <v>#DIV/0!</v>
      </c>
      <c r="H308" s="619">
        <f t="shared" si="1404"/>
        <v>0</v>
      </c>
      <c r="I308" s="619">
        <f>SUMIF($B$4:$B$302,$B308,I$4:I$302)</f>
        <v>0</v>
      </c>
      <c r="J308" s="620" t="e">
        <f>+K308/I308</f>
        <v>#DIV/0!</v>
      </c>
      <c r="K308" s="619">
        <f t="shared" si="1405"/>
        <v>0</v>
      </c>
      <c r="L308" s="619">
        <f>SUMIF($B$4:$B$302,$B308,L$4:L$302)</f>
        <v>0</v>
      </c>
      <c r="M308" s="620" t="e">
        <f>+N308/L308</f>
        <v>#DIV/0!</v>
      </c>
      <c r="N308" s="619">
        <f t="shared" si="1406"/>
        <v>0</v>
      </c>
      <c r="O308" s="619">
        <f t="shared" si="1406"/>
        <v>0</v>
      </c>
      <c r="P308" s="620" t="e">
        <f>+Q308/O308</f>
        <v>#DIV/0!</v>
      </c>
      <c r="Q308" s="619">
        <f t="shared" si="1407"/>
        <v>0</v>
      </c>
      <c r="R308" s="619">
        <f t="shared" si="1407"/>
        <v>0</v>
      </c>
      <c r="S308" s="620" t="e">
        <f>+T308/R308</f>
        <v>#DIV/0!</v>
      </c>
      <c r="T308" s="619">
        <f t="shared" si="1408"/>
        <v>0</v>
      </c>
      <c r="U308" s="619">
        <f t="shared" si="1408"/>
        <v>0</v>
      </c>
      <c r="V308" s="639" t="e">
        <f>+W308/U308</f>
        <v>#DIV/0!</v>
      </c>
      <c r="W308" s="619">
        <f t="shared" si="1409"/>
        <v>0</v>
      </c>
      <c r="X308" s="619">
        <f t="shared" si="1409"/>
        <v>0</v>
      </c>
      <c r="Y308" s="620" t="e">
        <f>+Z308/X308</f>
        <v>#DIV/0!</v>
      </c>
      <c r="Z308" s="619">
        <f t="shared" si="1410"/>
        <v>0</v>
      </c>
      <c r="AA308" s="619">
        <f t="shared" si="1410"/>
        <v>4500.0000000000009</v>
      </c>
      <c r="AB308" s="620">
        <f>+AC308/AA308</f>
        <v>343.7</v>
      </c>
      <c r="AC308" s="619">
        <f t="shared" si="1411"/>
        <v>1546650.0000000002</v>
      </c>
      <c r="AD308" s="619">
        <f t="shared" si="1411"/>
        <v>9000.0000000000018</v>
      </c>
      <c r="AE308" s="620">
        <f>+AF308/AD308</f>
        <v>354.7</v>
      </c>
      <c r="AF308" s="619">
        <f t="shared" si="1412"/>
        <v>3192300.0000000005</v>
      </c>
      <c r="AG308" s="619">
        <f t="shared" si="1412"/>
        <v>9000.0000000000018</v>
      </c>
      <c r="AH308" s="620">
        <f>+AI308/AG308</f>
        <v>365.7</v>
      </c>
      <c r="AI308" s="619">
        <f t="shared" si="1413"/>
        <v>3291300.0000000005</v>
      </c>
      <c r="AJ308" s="619">
        <f t="shared" si="1413"/>
        <v>9000.0000000000018</v>
      </c>
      <c r="AK308" s="620">
        <f>+AL308/AJ308</f>
        <v>376.7</v>
      </c>
      <c r="AL308" s="619">
        <f t="shared" si="1414"/>
        <v>3390300.0000000005</v>
      </c>
      <c r="AM308" s="619">
        <f t="shared" si="1414"/>
        <v>9000.0000000000018</v>
      </c>
      <c r="AN308" s="620">
        <f>+AO308/AM308</f>
        <v>387.7</v>
      </c>
      <c r="AO308" s="619">
        <f t="shared" si="1415"/>
        <v>3489300.0000000005</v>
      </c>
      <c r="AP308" s="619">
        <f t="shared" si="1415"/>
        <v>9000.0000000000018</v>
      </c>
      <c r="AQ308" s="620">
        <f>+AR308/AP308</f>
        <v>399.7</v>
      </c>
      <c r="AR308" s="619">
        <f>SUMIF($B$4:$B$302,$B308,AR$4:AR$302)</f>
        <v>3597300.0000000005</v>
      </c>
      <c r="AS308" s="619">
        <f t="shared" si="1416"/>
        <v>9000.0000000000018</v>
      </c>
      <c r="AT308" s="620">
        <f>+AU308/AS308</f>
        <v>411.7</v>
      </c>
      <c r="AU308" s="619">
        <f>SUMIF($B$4:$B$302,$B308,AU$4:AU$302)</f>
        <v>3705300.0000000005</v>
      </c>
      <c r="AV308" s="619">
        <f t="shared" si="1416"/>
        <v>9000.0000000000018</v>
      </c>
      <c r="AW308" s="620">
        <f>+AX308/AV308</f>
        <v>424.7</v>
      </c>
      <c r="AX308" s="619">
        <f>SUMIF($B$4:$B$302,$B308,AX$4:AX$302)</f>
        <v>3822300.0000000005</v>
      </c>
      <c r="AY308" s="619">
        <f t="shared" si="1417"/>
        <v>9000.0000000000018</v>
      </c>
      <c r="AZ308" s="620">
        <f>+BA308/AY308</f>
        <v>437.7</v>
      </c>
      <c r="BA308" s="619">
        <f>SUMIF($B$4:$B$302,$B308,BA$4:BA$302)</f>
        <v>3939300.0000000005</v>
      </c>
      <c r="BC308" s="730"/>
      <c r="BD308" s="730"/>
      <c r="BJ308" s="529">
        <f t="shared" si="1418"/>
        <v>0</v>
      </c>
      <c r="BK308" s="529">
        <f t="shared" si="1419"/>
        <v>0</v>
      </c>
      <c r="BL308" s="529">
        <f t="shared" si="1420"/>
        <v>0</v>
      </c>
      <c r="BM308" s="529">
        <f t="shared" si="1421"/>
        <v>0</v>
      </c>
      <c r="BN308" s="529">
        <f t="shared" si="1422"/>
        <v>0</v>
      </c>
      <c r="BO308" s="529">
        <f t="shared" si="1423"/>
        <v>0</v>
      </c>
      <c r="BP308" s="529">
        <f t="shared" si="1424"/>
        <v>0</v>
      </c>
      <c r="BQ308" s="529">
        <f t="shared" si="1425"/>
        <v>0</v>
      </c>
      <c r="BR308" s="529">
        <f t="shared" si="1426"/>
        <v>1.5466500000000003</v>
      </c>
      <c r="BS308" s="529">
        <f t="shared" si="1427"/>
        <v>3.1923000000000004</v>
      </c>
      <c r="BT308" s="529">
        <f t="shared" si="1428"/>
        <v>3.2913000000000006</v>
      </c>
      <c r="BU308" s="529">
        <f t="shared" si="1429"/>
        <v>3.3903000000000003</v>
      </c>
      <c r="BV308" s="529">
        <f t="shared" si="1430"/>
        <v>3.4893000000000005</v>
      </c>
      <c r="BW308" s="529">
        <f t="shared" si="1431"/>
        <v>3.5973000000000006</v>
      </c>
      <c r="BX308" s="529">
        <f t="shared" si="1432"/>
        <v>3.7053000000000003</v>
      </c>
      <c r="BY308" s="529">
        <f t="shared" si="1433"/>
        <v>3.8223000000000003</v>
      </c>
      <c r="BZ308" s="529">
        <f t="shared" si="1434"/>
        <v>3.9393000000000002</v>
      </c>
      <c r="CB308" s="529">
        <f t="shared" si="1389"/>
        <v>0</v>
      </c>
      <c r="CC308" s="529">
        <f t="shared" si="1390"/>
        <v>0</v>
      </c>
      <c r="CD308" s="529">
        <f t="shared" si="1391"/>
        <v>0</v>
      </c>
      <c r="CE308" s="529">
        <f t="shared" si="1392"/>
        <v>0</v>
      </c>
      <c r="CF308" s="529">
        <f t="shared" si="1393"/>
        <v>0</v>
      </c>
      <c r="CG308" s="529">
        <f t="shared" si="1394"/>
        <v>0</v>
      </c>
      <c r="CH308" s="529">
        <f t="shared" si="1395"/>
        <v>0</v>
      </c>
      <c r="CI308" s="529">
        <f t="shared" si="1396"/>
        <v>0</v>
      </c>
      <c r="CJ308" s="529">
        <f t="shared" si="1397"/>
        <v>4500.0000000000009</v>
      </c>
      <c r="CK308" s="529">
        <f t="shared" si="1398"/>
        <v>9000.0000000000018</v>
      </c>
      <c r="CL308" s="529">
        <f t="shared" si="1399"/>
        <v>9000.0000000000018</v>
      </c>
      <c r="CM308" s="529">
        <f t="shared" si="1400"/>
        <v>9000.0000000000018</v>
      </c>
      <c r="CN308" s="529">
        <f t="shared" si="1401"/>
        <v>9000.0000000000018</v>
      </c>
      <c r="CO308" s="529">
        <f t="shared" si="1402"/>
        <v>9000.0000000000018</v>
      </c>
      <c r="CP308" s="529">
        <f t="shared" si="1385"/>
        <v>9000.0000000000018</v>
      </c>
      <c r="CQ308" s="529">
        <f t="shared" si="1386"/>
        <v>9000.0000000000018</v>
      </c>
      <c r="CR308" s="529">
        <f t="shared" si="1387"/>
        <v>9000.0000000000018</v>
      </c>
    </row>
    <row r="309" spans="1:96" x14ac:dyDescent="0.2">
      <c r="A309" s="622">
        <f>+Assumptions!R56</f>
        <v>0.13</v>
      </c>
      <c r="B309" s="618" t="str">
        <f>+Assumptions!A40</f>
        <v>NPK 13-13-21</v>
      </c>
      <c r="C309" s="619">
        <f t="shared" ref="C309:C310" si="1435">SUMIF($B$4:$B$302,$B309,C$4:C$302)</f>
        <v>0</v>
      </c>
      <c r="D309" s="620" t="e">
        <f t="shared" ref="D309:D310" si="1436">+E309/C309</f>
        <v>#DIV/0!</v>
      </c>
      <c r="E309" s="619">
        <f t="shared" si="1403"/>
        <v>0</v>
      </c>
      <c r="F309" s="619">
        <f t="shared" si="1403"/>
        <v>0</v>
      </c>
      <c r="G309" s="620" t="e">
        <f t="shared" ref="G309:G310" si="1437">+H309/F309</f>
        <v>#DIV/0!</v>
      </c>
      <c r="H309" s="619">
        <f t="shared" si="1404"/>
        <v>0</v>
      </c>
      <c r="I309" s="619">
        <f t="shared" si="1404"/>
        <v>0</v>
      </c>
      <c r="J309" s="620" t="e">
        <f t="shared" ref="J309:J310" si="1438">+K309/I309</f>
        <v>#DIV/0!</v>
      </c>
      <c r="K309" s="619">
        <f t="shared" si="1405"/>
        <v>0</v>
      </c>
      <c r="L309" s="619">
        <f t="shared" si="1405"/>
        <v>0</v>
      </c>
      <c r="M309" s="620" t="e">
        <f t="shared" ref="M309:M310" si="1439">+N309/L309</f>
        <v>#DIV/0!</v>
      </c>
      <c r="N309" s="619">
        <f t="shared" si="1406"/>
        <v>0</v>
      </c>
      <c r="O309" s="619">
        <f t="shared" si="1406"/>
        <v>0</v>
      </c>
      <c r="P309" s="620" t="e">
        <f t="shared" ref="P309:P310" si="1440">+Q309/O309</f>
        <v>#DIV/0!</v>
      </c>
      <c r="Q309" s="619">
        <f t="shared" si="1407"/>
        <v>0</v>
      </c>
      <c r="R309" s="619">
        <f t="shared" si="1407"/>
        <v>0</v>
      </c>
      <c r="S309" s="620" t="e">
        <f t="shared" ref="S309:S310" si="1441">+T309/R309</f>
        <v>#DIV/0!</v>
      </c>
      <c r="T309" s="619">
        <f t="shared" si="1408"/>
        <v>0</v>
      </c>
      <c r="U309" s="619">
        <f t="shared" si="1408"/>
        <v>0</v>
      </c>
      <c r="V309" s="639" t="e">
        <f t="shared" ref="V309:V310" si="1442">+W309/U309</f>
        <v>#DIV/0!</v>
      </c>
      <c r="W309" s="619">
        <f t="shared" si="1409"/>
        <v>0</v>
      </c>
      <c r="X309" s="619">
        <f t="shared" si="1409"/>
        <v>0</v>
      </c>
      <c r="Y309" s="620" t="e">
        <f t="shared" ref="Y309:Y310" si="1443">+Z309/X309</f>
        <v>#DIV/0!</v>
      </c>
      <c r="Z309" s="619">
        <f t="shared" si="1410"/>
        <v>0</v>
      </c>
      <c r="AA309" s="619">
        <f t="shared" si="1410"/>
        <v>3000</v>
      </c>
      <c r="AB309" s="620">
        <f t="shared" ref="AB309:AB310" si="1444">+AC309/AA309</f>
        <v>328.5</v>
      </c>
      <c r="AC309" s="619">
        <f t="shared" si="1411"/>
        <v>985500</v>
      </c>
      <c r="AD309" s="619">
        <f t="shared" si="1411"/>
        <v>6000</v>
      </c>
      <c r="AE309" s="620">
        <f t="shared" ref="AE309:AE310" si="1445">+AF309/AD309</f>
        <v>338.5</v>
      </c>
      <c r="AF309" s="619">
        <f t="shared" si="1412"/>
        <v>2031000</v>
      </c>
      <c r="AG309" s="619">
        <f t="shared" si="1412"/>
        <v>6000</v>
      </c>
      <c r="AH309" s="620">
        <f t="shared" ref="AH309:AH310" si="1446">+AI309/AG309</f>
        <v>348.5</v>
      </c>
      <c r="AI309" s="619">
        <f t="shared" si="1413"/>
        <v>2091000</v>
      </c>
      <c r="AJ309" s="619">
        <f t="shared" si="1413"/>
        <v>6000</v>
      </c>
      <c r="AK309" s="620">
        <f t="shared" ref="AK309:AK310" si="1447">+AL309/AJ309</f>
        <v>358.5</v>
      </c>
      <c r="AL309" s="619">
        <f t="shared" si="1414"/>
        <v>2151000</v>
      </c>
      <c r="AM309" s="619">
        <f t="shared" si="1414"/>
        <v>6000</v>
      </c>
      <c r="AN309" s="620">
        <f t="shared" ref="AN309:AN310" si="1448">+AO309/AM309</f>
        <v>369.5</v>
      </c>
      <c r="AO309" s="619">
        <f t="shared" si="1415"/>
        <v>2217000</v>
      </c>
      <c r="AP309" s="619">
        <f t="shared" si="1415"/>
        <v>6000</v>
      </c>
      <c r="AQ309" s="620">
        <f t="shared" ref="AQ309:AQ310" si="1449">+AR309/AP309</f>
        <v>380.5</v>
      </c>
      <c r="AR309" s="619">
        <f t="shared" ref="AR309:AR310" si="1450">SUMIF($B$4:$B$302,$B309,AR$4:AR$302)</f>
        <v>2283000</v>
      </c>
      <c r="AS309" s="619">
        <f t="shared" si="1416"/>
        <v>6000</v>
      </c>
      <c r="AT309" s="620">
        <f t="shared" ref="AT309:AT310" si="1451">+AU309/AS309</f>
        <v>391.5</v>
      </c>
      <c r="AU309" s="619">
        <f t="shared" ref="AU309:AU310" si="1452">SUMIF($B$4:$B$302,$B309,AU$4:AU$302)</f>
        <v>2349000</v>
      </c>
      <c r="AV309" s="619">
        <f t="shared" si="1416"/>
        <v>6000</v>
      </c>
      <c r="AW309" s="620">
        <f t="shared" ref="AW309:AW310" si="1453">+AX309/AV309</f>
        <v>403.5</v>
      </c>
      <c r="AX309" s="619">
        <f t="shared" ref="AX309:AX310" si="1454">SUMIF($B$4:$B$302,$B309,AX$4:AX$302)</f>
        <v>2421000</v>
      </c>
      <c r="AY309" s="619">
        <f t="shared" si="1417"/>
        <v>6000</v>
      </c>
      <c r="AZ309" s="620">
        <f t="shared" ref="AZ309:AZ310" si="1455">+BA309/AY309</f>
        <v>415.5</v>
      </c>
      <c r="BA309" s="619">
        <f t="shared" ref="BA309:BA310" si="1456">SUMIF($B$4:$B$302,$B309,BA$4:BA$302)</f>
        <v>2493000</v>
      </c>
      <c r="BC309" s="730"/>
      <c r="BD309" s="730"/>
      <c r="BJ309" s="529">
        <f t="shared" si="1418"/>
        <v>0</v>
      </c>
      <c r="BK309" s="529">
        <f t="shared" si="1419"/>
        <v>0</v>
      </c>
      <c r="BL309" s="529">
        <f t="shared" si="1420"/>
        <v>0</v>
      </c>
      <c r="BM309" s="529">
        <f t="shared" si="1421"/>
        <v>0</v>
      </c>
      <c r="BN309" s="529">
        <f t="shared" si="1422"/>
        <v>0</v>
      </c>
      <c r="BO309" s="529">
        <f t="shared" si="1423"/>
        <v>0</v>
      </c>
      <c r="BP309" s="529">
        <f t="shared" si="1424"/>
        <v>0</v>
      </c>
      <c r="BQ309" s="529">
        <f t="shared" si="1425"/>
        <v>0</v>
      </c>
      <c r="BR309" s="529">
        <f t="shared" si="1426"/>
        <v>0.98550000000000004</v>
      </c>
      <c r="BS309" s="529">
        <f t="shared" si="1427"/>
        <v>2.0310000000000001</v>
      </c>
      <c r="BT309" s="529">
        <f t="shared" si="1428"/>
        <v>2.0910000000000002</v>
      </c>
      <c r="BU309" s="529">
        <f t="shared" si="1429"/>
        <v>2.1509999999999998</v>
      </c>
      <c r="BV309" s="529">
        <f t="shared" si="1430"/>
        <v>2.2170000000000001</v>
      </c>
      <c r="BW309" s="529">
        <f t="shared" si="1431"/>
        <v>2.2829999999999999</v>
      </c>
      <c r="BX309" s="529">
        <f t="shared" si="1432"/>
        <v>2.3490000000000002</v>
      </c>
      <c r="BY309" s="529">
        <f t="shared" si="1433"/>
        <v>2.4209999999999998</v>
      </c>
      <c r="BZ309" s="529">
        <f t="shared" si="1434"/>
        <v>2.4929999999999999</v>
      </c>
      <c r="CB309" s="529">
        <f t="shared" si="1389"/>
        <v>0</v>
      </c>
      <c r="CC309" s="529">
        <f t="shared" si="1390"/>
        <v>0</v>
      </c>
      <c r="CD309" s="529">
        <f t="shared" si="1391"/>
        <v>0</v>
      </c>
      <c r="CE309" s="529">
        <f t="shared" si="1392"/>
        <v>0</v>
      </c>
      <c r="CF309" s="529">
        <f t="shared" si="1393"/>
        <v>0</v>
      </c>
      <c r="CG309" s="529">
        <f t="shared" si="1394"/>
        <v>0</v>
      </c>
      <c r="CH309" s="529">
        <f t="shared" si="1395"/>
        <v>0</v>
      </c>
      <c r="CI309" s="529">
        <f t="shared" si="1396"/>
        <v>0</v>
      </c>
      <c r="CJ309" s="529">
        <f t="shared" si="1397"/>
        <v>3000</v>
      </c>
      <c r="CK309" s="529">
        <f t="shared" si="1398"/>
        <v>6000</v>
      </c>
      <c r="CL309" s="529">
        <f t="shared" si="1399"/>
        <v>6000</v>
      </c>
      <c r="CM309" s="529">
        <f t="shared" si="1400"/>
        <v>6000</v>
      </c>
      <c r="CN309" s="529">
        <f t="shared" si="1401"/>
        <v>6000</v>
      </c>
      <c r="CO309" s="529">
        <f t="shared" si="1402"/>
        <v>6000</v>
      </c>
      <c r="CP309" s="529">
        <f t="shared" si="1385"/>
        <v>6000</v>
      </c>
      <c r="CQ309" s="529">
        <f t="shared" si="1386"/>
        <v>6000</v>
      </c>
      <c r="CR309" s="529">
        <f t="shared" si="1387"/>
        <v>6000</v>
      </c>
    </row>
    <row r="310" spans="1:96" x14ac:dyDescent="0.2">
      <c r="A310" s="622">
        <f>+Assumptions!R57</f>
        <v>0</v>
      </c>
      <c r="B310" s="618" t="str">
        <f>+Assumptions!A41</f>
        <v>NPK 00-00-00</v>
      </c>
      <c r="C310" s="619">
        <f t="shared" si="1435"/>
        <v>0</v>
      </c>
      <c r="D310" s="620" t="e">
        <f t="shared" si="1436"/>
        <v>#DIV/0!</v>
      </c>
      <c r="E310" s="619">
        <f t="shared" si="1403"/>
        <v>0</v>
      </c>
      <c r="F310" s="619">
        <f t="shared" si="1403"/>
        <v>0</v>
      </c>
      <c r="G310" s="620" t="e">
        <f t="shared" si="1437"/>
        <v>#DIV/0!</v>
      </c>
      <c r="H310" s="619">
        <f t="shared" si="1404"/>
        <v>0</v>
      </c>
      <c r="I310" s="619">
        <f t="shared" si="1404"/>
        <v>0</v>
      </c>
      <c r="J310" s="620" t="e">
        <f t="shared" si="1438"/>
        <v>#DIV/0!</v>
      </c>
      <c r="K310" s="619">
        <f t="shared" si="1405"/>
        <v>0</v>
      </c>
      <c r="L310" s="619">
        <f t="shared" si="1405"/>
        <v>0</v>
      </c>
      <c r="M310" s="620" t="e">
        <f t="shared" si="1439"/>
        <v>#DIV/0!</v>
      </c>
      <c r="N310" s="619">
        <f t="shared" si="1406"/>
        <v>0</v>
      </c>
      <c r="O310" s="619">
        <f t="shared" si="1406"/>
        <v>0</v>
      </c>
      <c r="P310" s="620" t="e">
        <f t="shared" si="1440"/>
        <v>#DIV/0!</v>
      </c>
      <c r="Q310" s="619">
        <f t="shared" si="1407"/>
        <v>0</v>
      </c>
      <c r="R310" s="619">
        <f t="shared" si="1407"/>
        <v>0</v>
      </c>
      <c r="S310" s="620" t="e">
        <f t="shared" si="1441"/>
        <v>#DIV/0!</v>
      </c>
      <c r="T310" s="619">
        <f t="shared" si="1408"/>
        <v>0</v>
      </c>
      <c r="U310" s="619">
        <f t="shared" si="1408"/>
        <v>0</v>
      </c>
      <c r="V310" s="639" t="e">
        <f t="shared" si="1442"/>
        <v>#DIV/0!</v>
      </c>
      <c r="W310" s="619">
        <f t="shared" si="1409"/>
        <v>0</v>
      </c>
      <c r="X310" s="619">
        <f t="shared" si="1409"/>
        <v>0</v>
      </c>
      <c r="Y310" s="620" t="e">
        <f t="shared" si="1443"/>
        <v>#DIV/0!</v>
      </c>
      <c r="Z310" s="619">
        <f t="shared" si="1410"/>
        <v>0</v>
      </c>
      <c r="AA310" s="619">
        <f t="shared" si="1410"/>
        <v>0</v>
      </c>
      <c r="AB310" s="620" t="e">
        <f t="shared" si="1444"/>
        <v>#DIV/0!</v>
      </c>
      <c r="AC310" s="619">
        <f t="shared" si="1411"/>
        <v>0</v>
      </c>
      <c r="AD310" s="619">
        <f t="shared" si="1411"/>
        <v>0</v>
      </c>
      <c r="AE310" s="620" t="e">
        <f t="shared" si="1445"/>
        <v>#DIV/0!</v>
      </c>
      <c r="AF310" s="619">
        <f t="shared" si="1412"/>
        <v>0</v>
      </c>
      <c r="AG310" s="619">
        <f t="shared" si="1412"/>
        <v>0</v>
      </c>
      <c r="AH310" s="620" t="e">
        <f t="shared" si="1446"/>
        <v>#DIV/0!</v>
      </c>
      <c r="AI310" s="619">
        <f t="shared" si="1413"/>
        <v>0</v>
      </c>
      <c r="AJ310" s="619">
        <f t="shared" si="1413"/>
        <v>0</v>
      </c>
      <c r="AK310" s="620" t="e">
        <f t="shared" si="1447"/>
        <v>#DIV/0!</v>
      </c>
      <c r="AL310" s="619">
        <f t="shared" si="1414"/>
        <v>0</v>
      </c>
      <c r="AM310" s="619">
        <f t="shared" si="1414"/>
        <v>0</v>
      </c>
      <c r="AN310" s="620" t="e">
        <f t="shared" si="1448"/>
        <v>#DIV/0!</v>
      </c>
      <c r="AO310" s="619">
        <f t="shared" si="1415"/>
        <v>0</v>
      </c>
      <c r="AP310" s="619">
        <f t="shared" si="1415"/>
        <v>0</v>
      </c>
      <c r="AQ310" s="620" t="e">
        <f t="shared" si="1449"/>
        <v>#DIV/0!</v>
      </c>
      <c r="AR310" s="619">
        <f t="shared" si="1450"/>
        <v>0</v>
      </c>
      <c r="AS310" s="619">
        <f t="shared" si="1416"/>
        <v>0</v>
      </c>
      <c r="AT310" s="620" t="e">
        <f t="shared" si="1451"/>
        <v>#DIV/0!</v>
      </c>
      <c r="AU310" s="619">
        <f t="shared" si="1452"/>
        <v>0</v>
      </c>
      <c r="AV310" s="619">
        <f t="shared" si="1416"/>
        <v>0</v>
      </c>
      <c r="AW310" s="620" t="e">
        <f t="shared" si="1453"/>
        <v>#DIV/0!</v>
      </c>
      <c r="AX310" s="619">
        <f t="shared" si="1454"/>
        <v>0</v>
      </c>
      <c r="AY310" s="619">
        <f t="shared" si="1417"/>
        <v>0</v>
      </c>
      <c r="AZ310" s="620" t="e">
        <f t="shared" si="1455"/>
        <v>#DIV/0!</v>
      </c>
      <c r="BA310" s="619">
        <f t="shared" si="1456"/>
        <v>0</v>
      </c>
      <c r="BC310" s="730"/>
      <c r="BD310" s="730"/>
      <c r="BJ310" s="529">
        <f t="shared" si="1418"/>
        <v>0</v>
      </c>
      <c r="BK310" s="529">
        <f t="shared" si="1419"/>
        <v>0</v>
      </c>
      <c r="BL310" s="529">
        <f t="shared" si="1420"/>
        <v>0</v>
      </c>
      <c r="BM310" s="529">
        <f t="shared" si="1421"/>
        <v>0</v>
      </c>
      <c r="BN310" s="529">
        <f t="shared" si="1422"/>
        <v>0</v>
      </c>
      <c r="BO310" s="529">
        <f t="shared" si="1423"/>
        <v>0</v>
      </c>
      <c r="BP310" s="529">
        <f t="shared" si="1424"/>
        <v>0</v>
      </c>
      <c r="BQ310" s="529">
        <f t="shared" si="1425"/>
        <v>0</v>
      </c>
      <c r="BR310" s="529">
        <f t="shared" si="1426"/>
        <v>0</v>
      </c>
      <c r="BS310" s="529">
        <f t="shared" si="1427"/>
        <v>0</v>
      </c>
      <c r="BT310" s="529">
        <f t="shared" si="1428"/>
        <v>0</v>
      </c>
      <c r="BU310" s="529">
        <f t="shared" si="1429"/>
        <v>0</v>
      </c>
      <c r="BV310" s="529">
        <f t="shared" si="1430"/>
        <v>0</v>
      </c>
      <c r="BW310" s="529">
        <f t="shared" si="1431"/>
        <v>0</v>
      </c>
      <c r="BX310" s="529">
        <f t="shared" si="1432"/>
        <v>0</v>
      </c>
      <c r="BY310" s="529">
        <f t="shared" si="1433"/>
        <v>0</v>
      </c>
      <c r="BZ310" s="529">
        <f t="shared" si="1434"/>
        <v>0</v>
      </c>
      <c r="CB310" s="529">
        <f t="shared" si="1389"/>
        <v>0</v>
      </c>
      <c r="CC310" s="529">
        <f t="shared" si="1390"/>
        <v>0</v>
      </c>
      <c r="CD310" s="529">
        <f t="shared" si="1391"/>
        <v>0</v>
      </c>
      <c r="CE310" s="529">
        <f t="shared" si="1392"/>
        <v>0</v>
      </c>
      <c r="CF310" s="529">
        <f t="shared" si="1393"/>
        <v>0</v>
      </c>
      <c r="CG310" s="529">
        <f t="shared" si="1394"/>
        <v>0</v>
      </c>
      <c r="CH310" s="529">
        <f t="shared" si="1395"/>
        <v>0</v>
      </c>
      <c r="CI310" s="529">
        <f t="shared" si="1396"/>
        <v>0</v>
      </c>
      <c r="CJ310" s="529">
        <f t="shared" si="1397"/>
        <v>0</v>
      </c>
      <c r="CK310" s="529">
        <f t="shared" si="1398"/>
        <v>0</v>
      </c>
      <c r="CL310" s="529">
        <f t="shared" si="1399"/>
        <v>0</v>
      </c>
      <c r="CM310" s="529">
        <f t="shared" si="1400"/>
        <v>0</v>
      </c>
      <c r="CN310" s="529">
        <f t="shared" si="1401"/>
        <v>0</v>
      </c>
      <c r="CO310" s="529">
        <f t="shared" si="1402"/>
        <v>0</v>
      </c>
      <c r="CP310" s="529">
        <f t="shared" si="1385"/>
        <v>0</v>
      </c>
      <c r="CQ310" s="529">
        <f t="shared" si="1386"/>
        <v>0</v>
      </c>
      <c r="CR310" s="529">
        <f t="shared" si="1387"/>
        <v>0</v>
      </c>
    </row>
    <row r="311" spans="1:96" x14ac:dyDescent="0.2">
      <c r="B311" s="612" t="s">
        <v>501</v>
      </c>
      <c r="C311" s="619">
        <f>SUM(C305:C310)</f>
        <v>0</v>
      </c>
      <c r="D311" s="621"/>
      <c r="E311" s="619">
        <f>SUM(E305:E310)</f>
        <v>0</v>
      </c>
      <c r="F311" s="619">
        <f>SUM(F305:F310)</f>
        <v>0</v>
      </c>
      <c r="G311" s="621"/>
      <c r="H311" s="619">
        <f>SUM(H305:H310)</f>
        <v>0</v>
      </c>
      <c r="I311" s="619">
        <f>SUM(I305:I310)</f>
        <v>0</v>
      </c>
      <c r="J311" s="621"/>
      <c r="K311" s="619">
        <f>SUM(K305:K310)</f>
        <v>0</v>
      </c>
      <c r="L311" s="619">
        <f>SUM(L305:L310)</f>
        <v>0</v>
      </c>
      <c r="M311" s="621"/>
      <c r="N311" s="619">
        <f>SUM(N305:N310)</f>
        <v>0</v>
      </c>
      <c r="O311" s="619">
        <f>SUM(O305:O310)</f>
        <v>0</v>
      </c>
      <c r="P311" s="621"/>
      <c r="Q311" s="619">
        <f>SUM(Q305:Q310)</f>
        <v>0</v>
      </c>
      <c r="R311" s="619">
        <f>SUM(R305:R310)</f>
        <v>0</v>
      </c>
      <c r="S311" s="621"/>
      <c r="T311" s="619">
        <f>SUM(T305:T310)</f>
        <v>0</v>
      </c>
      <c r="U311" s="619">
        <f>SUM(U305:U310)</f>
        <v>0</v>
      </c>
      <c r="V311" s="640"/>
      <c r="W311" s="619">
        <f>SUM(W305:W310)</f>
        <v>0</v>
      </c>
      <c r="X311" s="619">
        <f>SUM(X305:X310)</f>
        <v>0</v>
      </c>
      <c r="Y311" s="621"/>
      <c r="Z311" s="619">
        <f>SUM(Z305:Z310)</f>
        <v>0</v>
      </c>
      <c r="AA311" s="619">
        <f>SUM(AA305:AA310)</f>
        <v>80000</v>
      </c>
      <c r="AB311" s="621"/>
      <c r="AC311" s="619">
        <f>SUM(AC305:AC310)</f>
        <v>27992438</v>
      </c>
      <c r="AD311" s="619">
        <f>SUM(AD305:AD310)</f>
        <v>160000</v>
      </c>
      <c r="AE311" s="621"/>
      <c r="AF311" s="619">
        <f>SUM(AF305:AF310)</f>
        <v>57642340</v>
      </c>
      <c r="AG311" s="619">
        <f>SUM(AG305:AG310)</f>
        <v>160000</v>
      </c>
      <c r="AH311" s="621"/>
      <c r="AI311" s="619">
        <f>SUM(AI305:AI310)</f>
        <v>59315964</v>
      </c>
      <c r="AJ311" s="619">
        <f>SUM(AJ305:AJ310)</f>
        <v>160000</v>
      </c>
      <c r="AK311" s="621"/>
      <c r="AL311" s="619">
        <f>SUM(AL305:AL310)</f>
        <v>61119668</v>
      </c>
      <c r="AM311" s="619">
        <f>SUM(AM305:AM310)</f>
        <v>160000</v>
      </c>
      <c r="AN311" s="621"/>
      <c r="AO311" s="619">
        <f>SUM(AO305:AO310)</f>
        <v>62929372</v>
      </c>
      <c r="AP311" s="619">
        <f>SUM(AP305:AP310)</f>
        <v>160000</v>
      </c>
      <c r="AQ311" s="621"/>
      <c r="AR311" s="619">
        <f>SUM(AR305:AR310)</f>
        <v>64781644</v>
      </c>
      <c r="AS311" s="619">
        <f>SUM(AS305:AS310)</f>
        <v>160000</v>
      </c>
      <c r="AT311" s="621"/>
      <c r="AU311" s="619">
        <f>SUM(AU305:AU310)</f>
        <v>66746588</v>
      </c>
      <c r="AV311" s="619">
        <f>SUM(AV305:AV310)</f>
        <v>160000</v>
      </c>
      <c r="AW311" s="621"/>
      <c r="AX311" s="619">
        <f>SUM(AX305:AX310)</f>
        <v>68743940</v>
      </c>
      <c r="AY311" s="619">
        <f>SUM(AY305:AY310)</f>
        <v>160000</v>
      </c>
      <c r="AZ311" s="621"/>
      <c r="BA311" s="619">
        <f>SUM(BA305:BA310)</f>
        <v>70757452</v>
      </c>
      <c r="BC311" s="730"/>
      <c r="BD311" s="730"/>
      <c r="BJ311" s="529">
        <f t="shared" si="1418"/>
        <v>0</v>
      </c>
      <c r="BK311" s="529">
        <f t="shared" si="1419"/>
        <v>0</v>
      </c>
      <c r="BL311" s="529">
        <f t="shared" si="1420"/>
        <v>0</v>
      </c>
      <c r="BM311" s="529">
        <f t="shared" si="1421"/>
        <v>0</v>
      </c>
      <c r="BN311" s="529">
        <f t="shared" si="1422"/>
        <v>0</v>
      </c>
      <c r="BO311" s="529">
        <f t="shared" si="1423"/>
        <v>0</v>
      </c>
      <c r="BP311" s="529">
        <f t="shared" si="1424"/>
        <v>0</v>
      </c>
      <c r="BQ311" s="529">
        <f t="shared" si="1425"/>
        <v>0</v>
      </c>
      <c r="BR311" s="529">
        <f t="shared" si="1426"/>
        <v>27.992438</v>
      </c>
      <c r="BS311" s="529">
        <f t="shared" si="1427"/>
        <v>57.642339999999997</v>
      </c>
      <c r="BT311" s="529">
        <f t="shared" si="1428"/>
        <v>59.315964000000001</v>
      </c>
      <c r="BU311" s="529">
        <f t="shared" si="1429"/>
        <v>61.119667999999997</v>
      </c>
      <c r="BV311" s="529">
        <f t="shared" si="1430"/>
        <v>62.929372000000001</v>
      </c>
      <c r="BW311" s="529">
        <f t="shared" si="1431"/>
        <v>64.781644</v>
      </c>
      <c r="BX311" s="529">
        <f t="shared" si="1432"/>
        <v>66.746588000000003</v>
      </c>
      <c r="BY311" s="529">
        <f t="shared" si="1433"/>
        <v>68.743939999999995</v>
      </c>
      <c r="BZ311" s="529">
        <f t="shared" si="1434"/>
        <v>70.757452000000001</v>
      </c>
      <c r="CB311" s="529">
        <f t="shared" si="1389"/>
        <v>0</v>
      </c>
      <c r="CC311" s="529">
        <f t="shared" si="1390"/>
        <v>0</v>
      </c>
      <c r="CD311" s="529">
        <f t="shared" si="1391"/>
        <v>0</v>
      </c>
      <c r="CE311" s="529">
        <f t="shared" si="1392"/>
        <v>0</v>
      </c>
      <c r="CF311" s="529">
        <f t="shared" si="1393"/>
        <v>0</v>
      </c>
      <c r="CG311" s="529">
        <f t="shared" si="1394"/>
        <v>0</v>
      </c>
      <c r="CH311" s="529">
        <f t="shared" si="1395"/>
        <v>0</v>
      </c>
      <c r="CI311" s="529">
        <f t="shared" si="1396"/>
        <v>0</v>
      </c>
      <c r="CJ311" s="529">
        <f t="shared" si="1397"/>
        <v>80000</v>
      </c>
      <c r="CK311" s="529">
        <f t="shared" si="1398"/>
        <v>160000</v>
      </c>
      <c r="CL311" s="529">
        <f t="shared" si="1399"/>
        <v>160000</v>
      </c>
      <c r="CM311" s="529">
        <f t="shared" si="1400"/>
        <v>160000</v>
      </c>
      <c r="CN311" s="529">
        <f t="shared" si="1401"/>
        <v>160000</v>
      </c>
      <c r="CO311" s="529">
        <f t="shared" si="1402"/>
        <v>160000</v>
      </c>
      <c r="CP311" s="529">
        <f t="shared" si="1385"/>
        <v>160000</v>
      </c>
      <c r="CQ311" s="529">
        <f t="shared" si="1386"/>
        <v>160000</v>
      </c>
      <c r="CR311" s="529">
        <f t="shared" si="1387"/>
        <v>160000</v>
      </c>
    </row>
    <row r="312" spans="1:96" x14ac:dyDescent="0.2">
      <c r="C312" s="537">
        <f>C311+C169</f>
        <v>33213.160000000003</v>
      </c>
      <c r="F312" s="537">
        <f>F311+F169</f>
        <v>114503.63999999998</v>
      </c>
      <c r="I312" s="537">
        <f>I311+I169</f>
        <v>131656.35999999999</v>
      </c>
      <c r="L312" s="537">
        <f>L311+L169</f>
        <v>47878.66</v>
      </c>
      <c r="O312" s="537">
        <f>O311+O169</f>
        <v>147820.90000000002</v>
      </c>
      <c r="R312" s="537">
        <f>R311+R169</f>
        <v>134232.25</v>
      </c>
      <c r="U312" s="537">
        <f>U311+U169</f>
        <v>166740</v>
      </c>
      <c r="X312" s="537">
        <f>X311+X169</f>
        <v>160358</v>
      </c>
      <c r="AA312" s="537">
        <f>AA311+AA169</f>
        <v>215933</v>
      </c>
      <c r="AD312" s="537">
        <f>AD311+AD169</f>
        <v>269207</v>
      </c>
      <c r="AG312" s="537">
        <f>AG311+AG169</f>
        <v>269207</v>
      </c>
      <c r="AJ312" s="537">
        <f>AJ311+AJ169</f>
        <v>269207</v>
      </c>
      <c r="AM312" s="537">
        <f>AM311+AM169</f>
        <v>269207</v>
      </c>
      <c r="AP312" s="537">
        <f>AP311+AP169</f>
        <v>269207</v>
      </c>
      <c r="AS312" s="537">
        <f>AS311+AS169</f>
        <v>269207</v>
      </c>
      <c r="AV312" s="537">
        <f>AV311+AV169</f>
        <v>269207</v>
      </c>
      <c r="AY312" s="537">
        <f>AY311+AY169</f>
        <v>269207</v>
      </c>
      <c r="BJ312" s="529">
        <f t="shared" ref="BJ312:BJ339" si="1457">E312</f>
        <v>0</v>
      </c>
      <c r="BK312" s="529">
        <f t="shared" ref="BK312:BK339" si="1458">H312</f>
        <v>0</v>
      </c>
      <c r="BL312" s="529">
        <f t="shared" ref="BL312:BL339" si="1459">K312</f>
        <v>0</v>
      </c>
      <c r="BM312" s="529">
        <f t="shared" ref="BM312:BM339" si="1460">N312</f>
        <v>0</v>
      </c>
      <c r="BN312" s="529">
        <f t="shared" ref="BN312:BN339" si="1461">Q312</f>
        <v>0</v>
      </c>
      <c r="BO312" s="529">
        <f t="shared" ref="BO312:BO339" si="1462">T312</f>
        <v>0</v>
      </c>
      <c r="BP312" s="529">
        <f t="shared" ref="BP312:BP339" si="1463">W312</f>
        <v>0</v>
      </c>
      <c r="BQ312" s="529">
        <f t="shared" ref="BQ312:BQ339" si="1464">Z312</f>
        <v>0</v>
      </c>
      <c r="BR312" s="529">
        <f t="shared" ref="BR312:BR339" si="1465">AC312/1000000</f>
        <v>0</v>
      </c>
      <c r="BS312" s="529">
        <f t="shared" ref="BS312:BS339" si="1466">AF312/1000000</f>
        <v>0</v>
      </c>
      <c r="BT312" s="529">
        <f t="shared" ref="BT312:BT339" si="1467">AI312/1000000</f>
        <v>0</v>
      </c>
      <c r="BU312" s="529">
        <f t="shared" ref="BU312:BU339" si="1468">AL312/1000000</f>
        <v>0</v>
      </c>
      <c r="BV312" s="529">
        <f t="shared" ref="BV312:BV339" si="1469">AO312/1000000</f>
        <v>0</v>
      </c>
      <c r="BW312" s="529">
        <f t="shared" ref="BW312:BW339" si="1470">AR312/1000000</f>
        <v>0</v>
      </c>
      <c r="BX312" s="529">
        <f t="shared" si="1432"/>
        <v>0</v>
      </c>
      <c r="BY312" s="529">
        <f t="shared" si="1433"/>
        <v>0</v>
      </c>
      <c r="BZ312" s="529">
        <f t="shared" si="1434"/>
        <v>0</v>
      </c>
    </row>
    <row r="313" spans="1:96" x14ac:dyDescent="0.2">
      <c r="O313" s="530" t="s">
        <v>742</v>
      </c>
      <c r="P313" s="530">
        <v>2012</v>
      </c>
      <c r="S313" s="622">
        <v>0</v>
      </c>
      <c r="V313" s="622">
        <v>0</v>
      </c>
      <c r="Y313" s="622">
        <f>+Assumptions!H10</f>
        <v>0.03</v>
      </c>
      <c r="AB313" s="622">
        <f>+Assumptions!I10</f>
        <v>0.03</v>
      </c>
      <c r="AE313" s="622">
        <f>+Assumptions!J10</f>
        <v>0.03</v>
      </c>
      <c r="AH313" s="622">
        <f>+Assumptions!K10</f>
        <v>0.03</v>
      </c>
      <c r="AK313" s="622">
        <f>+Assumptions!L10</f>
        <v>0.03</v>
      </c>
      <c r="AN313" s="622">
        <f>+Assumptions!M10</f>
        <v>0.03</v>
      </c>
      <c r="AQ313" s="622">
        <f>+Assumptions!N10</f>
        <v>0.03</v>
      </c>
      <c r="AT313" s="622">
        <f>+Assumptions!O10</f>
        <v>0.03</v>
      </c>
      <c r="AW313" s="622">
        <f>+Assumptions!P10</f>
        <v>0.03</v>
      </c>
      <c r="AZ313" s="622">
        <f>+Assumptions!Q10</f>
        <v>0.03</v>
      </c>
      <c r="BJ313" s="529">
        <f t="shared" si="1457"/>
        <v>0</v>
      </c>
      <c r="BK313" s="529">
        <f t="shared" si="1458"/>
        <v>0</v>
      </c>
      <c r="BL313" s="529">
        <f t="shared" si="1459"/>
        <v>0</v>
      </c>
      <c r="BM313" s="529">
        <f t="shared" si="1460"/>
        <v>0</v>
      </c>
      <c r="BN313" s="529">
        <f t="shared" si="1461"/>
        <v>0</v>
      </c>
      <c r="BO313" s="529">
        <f t="shared" si="1462"/>
        <v>0</v>
      </c>
      <c r="BP313" s="529">
        <f t="shared" si="1463"/>
        <v>0</v>
      </c>
      <c r="BQ313" s="529">
        <f t="shared" si="1464"/>
        <v>0</v>
      </c>
      <c r="BR313" s="529">
        <f t="shared" si="1465"/>
        <v>0</v>
      </c>
      <c r="BS313" s="529">
        <f t="shared" si="1466"/>
        <v>0</v>
      </c>
      <c r="BT313" s="529">
        <f t="shared" si="1467"/>
        <v>0</v>
      </c>
      <c r="BU313" s="529">
        <f t="shared" si="1468"/>
        <v>0</v>
      </c>
      <c r="BV313" s="529">
        <f t="shared" si="1469"/>
        <v>0</v>
      </c>
      <c r="BW313" s="529">
        <f t="shared" si="1470"/>
        <v>0</v>
      </c>
      <c r="BX313" s="529">
        <f t="shared" si="1432"/>
        <v>0</v>
      </c>
      <c r="BY313" s="529">
        <f t="shared" si="1433"/>
        <v>0</v>
      </c>
      <c r="BZ313" s="529">
        <f t="shared" si="1434"/>
        <v>0</v>
      </c>
    </row>
    <row r="314" spans="1:96" x14ac:dyDescent="0.2">
      <c r="A314" s="529">
        <f>+MID(B314,5,2)+MID(B314,8,2)+MID(B314,11,2)</f>
        <v>45</v>
      </c>
      <c r="B314" s="529" t="str">
        <f>+B305</f>
        <v>NPK 15-15-15</v>
      </c>
      <c r="P314" s="733">
        <v>297</v>
      </c>
      <c r="S314" s="529">
        <f>ROUND(P314*(1+S$313),0)</f>
        <v>297</v>
      </c>
      <c r="V314" s="626">
        <f>ROUND(S314*(1+V$313),0)</f>
        <v>297</v>
      </c>
      <c r="Y314" s="529">
        <f>ROUND(V314*(1+Y$313),0)</f>
        <v>306</v>
      </c>
      <c r="AB314" s="529">
        <f>ROUND(Y314*(1+AB$313),0)</f>
        <v>315</v>
      </c>
      <c r="AE314" s="529">
        <f>ROUND(AB314*(1+AE$313),0)</f>
        <v>324</v>
      </c>
      <c r="AH314" s="529">
        <f>ROUND(AE314*(1+AH$313),0)</f>
        <v>334</v>
      </c>
      <c r="AK314" s="529">
        <f>ROUND(AH314*(1+AK$313),0)</f>
        <v>344</v>
      </c>
      <c r="AN314" s="529">
        <f>ROUND(AK314*(1+AN$313),0)</f>
        <v>354</v>
      </c>
      <c r="AQ314" s="529">
        <f>ROUND(AN314*(1+AQ$313),0)</f>
        <v>365</v>
      </c>
      <c r="AT314" s="529">
        <f>ROUND(AQ314*(1+AT$313),0)</f>
        <v>376</v>
      </c>
      <c r="AW314" s="529">
        <f>ROUND(AT314*(1+AW$313),0)</f>
        <v>387</v>
      </c>
      <c r="AZ314" s="529">
        <f>ROUND(AW314*(1+AZ$313),0)</f>
        <v>399</v>
      </c>
      <c r="BJ314" s="529">
        <f t="shared" si="1457"/>
        <v>0</v>
      </c>
      <c r="BK314" s="529">
        <f t="shared" si="1458"/>
        <v>0</v>
      </c>
      <c r="BL314" s="529">
        <f t="shared" si="1459"/>
        <v>0</v>
      </c>
      <c r="BM314" s="529">
        <f t="shared" si="1460"/>
        <v>0</v>
      </c>
      <c r="BN314" s="529">
        <f t="shared" si="1461"/>
        <v>0</v>
      </c>
      <c r="BO314" s="529">
        <f t="shared" si="1462"/>
        <v>0</v>
      </c>
      <c r="BP314" s="529">
        <f t="shared" si="1463"/>
        <v>0</v>
      </c>
      <c r="BQ314" s="529">
        <f t="shared" si="1464"/>
        <v>0</v>
      </c>
      <c r="BR314" s="529">
        <f t="shared" si="1465"/>
        <v>0</v>
      </c>
      <c r="BS314" s="529">
        <f t="shared" si="1466"/>
        <v>0</v>
      </c>
      <c r="BT314" s="529">
        <f t="shared" si="1467"/>
        <v>0</v>
      </c>
      <c r="BU314" s="529">
        <f t="shared" si="1468"/>
        <v>0</v>
      </c>
      <c r="BV314" s="529">
        <f t="shared" si="1469"/>
        <v>0</v>
      </c>
      <c r="BW314" s="529">
        <f t="shared" si="1470"/>
        <v>0</v>
      </c>
      <c r="BX314" s="529">
        <f t="shared" si="1432"/>
        <v>0</v>
      </c>
      <c r="BY314" s="529">
        <f t="shared" si="1433"/>
        <v>0</v>
      </c>
      <c r="BZ314" s="529">
        <f t="shared" si="1434"/>
        <v>0</v>
      </c>
    </row>
    <row r="315" spans="1:96" x14ac:dyDescent="0.2">
      <c r="A315" s="529">
        <f t="shared" ref="A315:A319" si="1471">+MID(B315,5,2)+MID(B315,8,2)+MID(B315,11,2)</f>
        <v>48</v>
      </c>
      <c r="B315" s="529" t="str">
        <f>+B306</f>
        <v>NPK 16-16-16</v>
      </c>
      <c r="P315" s="623">
        <f>+$P$314/$A$314*A315</f>
        <v>316.79999999999995</v>
      </c>
      <c r="S315" s="529">
        <f>ROUND(P315*(1+S$313),0)</f>
        <v>317</v>
      </c>
      <c r="V315" s="626">
        <f>ROUND(S315*(1+V$313),0)</f>
        <v>317</v>
      </c>
      <c r="Y315" s="529">
        <f>ROUND(V315*(1+Y$313),0)</f>
        <v>327</v>
      </c>
      <c r="AB315" s="529">
        <f>ROUND(Y315*(1+AB$313),0)</f>
        <v>337</v>
      </c>
      <c r="AE315" s="529">
        <f>ROUND(AB315*(1+AE$313),0)</f>
        <v>347</v>
      </c>
      <c r="AH315" s="529">
        <f>ROUND(AE315*(1+AH$313),0)</f>
        <v>357</v>
      </c>
      <c r="AK315" s="529">
        <f>ROUND(AH315*(1+AK$313),0)</f>
        <v>368</v>
      </c>
      <c r="AN315" s="529">
        <f>ROUND(AK315*(1+AN$313),0)</f>
        <v>379</v>
      </c>
      <c r="AQ315" s="529">
        <f>ROUND(AN315*(1+AQ$313),0)</f>
        <v>390</v>
      </c>
      <c r="AT315" s="529">
        <f>ROUND(AQ315*(1+AT$313),0)</f>
        <v>402</v>
      </c>
      <c r="AW315" s="529">
        <f>ROUND(AT315*(1+AW$313),0)</f>
        <v>414</v>
      </c>
      <c r="AZ315" s="529">
        <f>ROUND(AW315*(1+AZ$313),0)</f>
        <v>426</v>
      </c>
      <c r="BJ315" s="529">
        <f t="shared" si="1457"/>
        <v>0</v>
      </c>
      <c r="BK315" s="529">
        <f t="shared" si="1458"/>
        <v>0</v>
      </c>
      <c r="BL315" s="529">
        <f t="shared" si="1459"/>
        <v>0</v>
      </c>
      <c r="BM315" s="529">
        <f t="shared" si="1460"/>
        <v>0</v>
      </c>
      <c r="BN315" s="529">
        <f t="shared" si="1461"/>
        <v>0</v>
      </c>
      <c r="BO315" s="529">
        <f t="shared" si="1462"/>
        <v>0</v>
      </c>
      <c r="BP315" s="529">
        <f t="shared" si="1463"/>
        <v>0</v>
      </c>
      <c r="BQ315" s="529">
        <f t="shared" si="1464"/>
        <v>0</v>
      </c>
      <c r="BR315" s="529">
        <f t="shared" si="1465"/>
        <v>0</v>
      </c>
      <c r="BS315" s="529">
        <f t="shared" si="1466"/>
        <v>0</v>
      </c>
      <c r="BT315" s="529">
        <f t="shared" si="1467"/>
        <v>0</v>
      </c>
      <c r="BU315" s="529">
        <f t="shared" si="1468"/>
        <v>0</v>
      </c>
      <c r="BV315" s="529">
        <f t="shared" si="1469"/>
        <v>0</v>
      </c>
      <c r="BW315" s="529">
        <f t="shared" si="1470"/>
        <v>0</v>
      </c>
      <c r="BX315" s="529">
        <f t="shared" si="1432"/>
        <v>0</v>
      </c>
      <c r="BY315" s="529">
        <f t="shared" si="1433"/>
        <v>0</v>
      </c>
      <c r="BZ315" s="529">
        <f t="shared" si="1434"/>
        <v>0</v>
      </c>
    </row>
    <row r="316" spans="1:96" x14ac:dyDescent="0.2">
      <c r="A316" s="529">
        <f t="shared" si="1471"/>
        <v>62</v>
      </c>
      <c r="B316" s="529" t="str">
        <f>+B307</f>
        <v>NPK 10-26-26</v>
      </c>
      <c r="P316" s="623">
        <f t="shared" ref="P316:P319" si="1472">+$P$314/$A$314*A316</f>
        <v>409.2</v>
      </c>
      <c r="S316" s="529">
        <f>ROUND(P316*(1+S$313),0)</f>
        <v>409</v>
      </c>
      <c r="V316" s="626">
        <f>ROUND(S316*(1+V$313),0)</f>
        <v>409</v>
      </c>
      <c r="Y316" s="529">
        <f>ROUND(V316*(1+Y$313),0)</f>
        <v>421</v>
      </c>
      <c r="AB316" s="529">
        <f>ROUND(Y316*(1+AB$313),0)</f>
        <v>434</v>
      </c>
      <c r="AE316" s="529">
        <f>ROUND(AB316*(1+AE$313),0)</f>
        <v>447</v>
      </c>
      <c r="AH316" s="529">
        <f>ROUND(AE316*(1+AH$313),0)</f>
        <v>460</v>
      </c>
      <c r="AK316" s="529">
        <f>ROUND(AH316*(1+AK$313),0)</f>
        <v>474</v>
      </c>
      <c r="AN316" s="529">
        <f>ROUND(AK316*(1+AN$313),0)</f>
        <v>488</v>
      </c>
      <c r="AP316" s="537">
        <f>AP315+AP179</f>
        <v>0</v>
      </c>
      <c r="AQ316" s="529">
        <f>ROUND(AN316*(1+AQ$313),0)</f>
        <v>503</v>
      </c>
      <c r="AS316" s="537">
        <f>AS315+AS179</f>
        <v>0</v>
      </c>
      <c r="AT316" s="529">
        <f>ROUND(AQ316*(1+AT$313),0)</f>
        <v>518</v>
      </c>
      <c r="AV316" s="537">
        <f>AV315+AV179</f>
        <v>0</v>
      </c>
      <c r="AW316" s="529">
        <f>ROUND(AT316*(1+AW$313),0)</f>
        <v>534</v>
      </c>
      <c r="AY316" s="537">
        <f>AY315+AY179</f>
        <v>0</v>
      </c>
      <c r="AZ316" s="529">
        <f>ROUND(AW316*(1+AZ$313),0)</f>
        <v>550</v>
      </c>
      <c r="BJ316" s="529">
        <f t="shared" si="1457"/>
        <v>0</v>
      </c>
      <c r="BK316" s="529">
        <f t="shared" si="1458"/>
        <v>0</v>
      </c>
      <c r="BL316" s="529">
        <f t="shared" si="1459"/>
        <v>0</v>
      </c>
      <c r="BM316" s="529">
        <f t="shared" si="1460"/>
        <v>0</v>
      </c>
      <c r="BN316" s="529">
        <f t="shared" si="1461"/>
        <v>0</v>
      </c>
      <c r="BO316" s="529">
        <f t="shared" si="1462"/>
        <v>0</v>
      </c>
      <c r="BP316" s="529">
        <f t="shared" si="1463"/>
        <v>0</v>
      </c>
      <c r="BQ316" s="529">
        <f t="shared" si="1464"/>
        <v>0</v>
      </c>
      <c r="BR316" s="529">
        <f t="shared" si="1465"/>
        <v>0</v>
      </c>
      <c r="BS316" s="529">
        <f t="shared" si="1466"/>
        <v>0</v>
      </c>
      <c r="BT316" s="529">
        <f t="shared" si="1467"/>
        <v>0</v>
      </c>
      <c r="BU316" s="529">
        <f t="shared" si="1468"/>
        <v>0</v>
      </c>
      <c r="BV316" s="529">
        <f t="shared" si="1469"/>
        <v>0</v>
      </c>
      <c r="BW316" s="529">
        <f t="shared" si="1470"/>
        <v>0</v>
      </c>
      <c r="BX316" s="529">
        <f t="shared" si="1432"/>
        <v>0</v>
      </c>
      <c r="BY316" s="529">
        <f t="shared" si="1433"/>
        <v>0</v>
      </c>
      <c r="BZ316" s="529">
        <f t="shared" si="1434"/>
        <v>0</v>
      </c>
    </row>
    <row r="317" spans="1:96" x14ac:dyDescent="0.2">
      <c r="A317" s="529">
        <f t="shared" si="1471"/>
        <v>50</v>
      </c>
      <c r="B317" s="529" t="str">
        <f>+B308</f>
        <v>NPK 10-20-20</v>
      </c>
      <c r="P317" s="623">
        <f t="shared" si="1472"/>
        <v>330</v>
      </c>
      <c r="S317" s="529">
        <f>ROUND(P317*(1+S$313),0)</f>
        <v>330</v>
      </c>
      <c r="V317" s="626">
        <f>ROUND(S317*(1+V$313),0)</f>
        <v>330</v>
      </c>
      <c r="Y317" s="529">
        <f>ROUND(V317*(1+Y$313),0)</f>
        <v>340</v>
      </c>
      <c r="AB317" s="529">
        <f>ROUND(Y317*(1+AB$313),0)</f>
        <v>350</v>
      </c>
      <c r="AE317" s="529">
        <f>ROUND(AB317*(1+AE$313),0)</f>
        <v>361</v>
      </c>
      <c r="AH317" s="529">
        <f>ROUND(AE317*(1+AH$313),0)</f>
        <v>372</v>
      </c>
      <c r="AK317" s="529">
        <f>ROUND(AH317*(1+AK$313),0)</f>
        <v>383</v>
      </c>
      <c r="AN317" s="529">
        <f>ROUND(AK317*(1+AN$313),0)</f>
        <v>394</v>
      </c>
      <c r="AQ317" s="529">
        <f>ROUND(AN317*(1+AQ$313),0)</f>
        <v>406</v>
      </c>
      <c r="AT317" s="529">
        <f>ROUND(AQ317*(1+AT$313),0)</f>
        <v>418</v>
      </c>
      <c r="AW317" s="529">
        <f>ROUND(AT317*(1+AW$313),0)</f>
        <v>431</v>
      </c>
      <c r="AZ317" s="529">
        <f>ROUND(AW317*(1+AZ$313),0)</f>
        <v>444</v>
      </c>
      <c r="BJ317" s="529">
        <f t="shared" si="1457"/>
        <v>0</v>
      </c>
      <c r="BK317" s="529">
        <f t="shared" si="1458"/>
        <v>0</v>
      </c>
      <c r="BL317" s="529">
        <f t="shared" si="1459"/>
        <v>0</v>
      </c>
      <c r="BM317" s="529">
        <f t="shared" si="1460"/>
        <v>0</v>
      </c>
      <c r="BN317" s="529">
        <f t="shared" si="1461"/>
        <v>0</v>
      </c>
      <c r="BO317" s="529">
        <f t="shared" si="1462"/>
        <v>0</v>
      </c>
      <c r="BP317" s="529">
        <f t="shared" si="1463"/>
        <v>0</v>
      </c>
      <c r="BQ317" s="529">
        <f t="shared" si="1464"/>
        <v>0</v>
      </c>
      <c r="BR317" s="529">
        <f t="shared" si="1465"/>
        <v>0</v>
      </c>
      <c r="BS317" s="529">
        <f t="shared" si="1466"/>
        <v>0</v>
      </c>
      <c r="BT317" s="529">
        <f t="shared" si="1467"/>
        <v>0</v>
      </c>
      <c r="BU317" s="529">
        <f t="shared" si="1468"/>
        <v>0</v>
      </c>
      <c r="BV317" s="529">
        <f t="shared" si="1469"/>
        <v>0</v>
      </c>
      <c r="BW317" s="529">
        <f t="shared" si="1470"/>
        <v>0</v>
      </c>
      <c r="BX317" s="529">
        <f t="shared" si="1432"/>
        <v>0</v>
      </c>
      <c r="BY317" s="529">
        <f t="shared" si="1433"/>
        <v>0</v>
      </c>
      <c r="BZ317" s="529">
        <f t="shared" si="1434"/>
        <v>0</v>
      </c>
    </row>
    <row r="318" spans="1:96" x14ac:dyDescent="0.2">
      <c r="A318" s="529">
        <f t="shared" si="1471"/>
        <v>47</v>
      </c>
      <c r="B318" s="529" t="str">
        <f t="shared" ref="B318:B319" si="1473">+B309</f>
        <v>NPK 13-13-21</v>
      </c>
      <c r="P318" s="623">
        <f t="shared" si="1472"/>
        <v>310.2</v>
      </c>
      <c r="S318" s="529">
        <f t="shared" ref="S318:S319" si="1474">ROUND(P318*(1+S$313),0)</f>
        <v>310</v>
      </c>
      <c r="V318" s="626">
        <f t="shared" ref="V318:V319" si="1475">ROUND(S318*(1+V$313),0)</f>
        <v>310</v>
      </c>
      <c r="Y318" s="529">
        <f t="shared" ref="Y318:Y319" si="1476">ROUND(V318*(1+Y$313),0)</f>
        <v>319</v>
      </c>
      <c r="AB318" s="529">
        <f t="shared" ref="AB318:AB319" si="1477">ROUND(Y318*(1+AB$313),0)</f>
        <v>329</v>
      </c>
      <c r="AE318" s="529">
        <f t="shared" ref="AE318:AE319" si="1478">ROUND(AB318*(1+AE$313),0)</f>
        <v>339</v>
      </c>
      <c r="AH318" s="529">
        <f t="shared" ref="AH318:AH319" si="1479">ROUND(AE318*(1+AH$313),0)</f>
        <v>349</v>
      </c>
      <c r="AK318" s="529">
        <f t="shared" ref="AK318:AK319" si="1480">ROUND(AH318*(1+AK$313),0)</f>
        <v>359</v>
      </c>
      <c r="AN318" s="529">
        <f t="shared" ref="AN318:AN319" si="1481">ROUND(AK318*(1+AN$313),0)</f>
        <v>370</v>
      </c>
      <c r="AQ318" s="529">
        <f t="shared" ref="AQ318:AQ319" si="1482">ROUND(AN318*(1+AQ$313),0)</f>
        <v>381</v>
      </c>
      <c r="AT318" s="529">
        <f t="shared" ref="AT318:AT319" si="1483">ROUND(AQ318*(1+AT$313),0)</f>
        <v>392</v>
      </c>
      <c r="AW318" s="529">
        <f t="shared" ref="AW318:AW319" si="1484">ROUND(AT318*(1+AW$313),0)</f>
        <v>404</v>
      </c>
      <c r="AZ318" s="529">
        <f t="shared" ref="AZ318:AZ319" si="1485">ROUND(AW318*(1+AZ$313),0)</f>
        <v>416</v>
      </c>
      <c r="BJ318" s="529">
        <f t="shared" si="1457"/>
        <v>0</v>
      </c>
      <c r="BK318" s="529">
        <f t="shared" si="1458"/>
        <v>0</v>
      </c>
      <c r="BL318" s="529">
        <f t="shared" si="1459"/>
        <v>0</v>
      </c>
      <c r="BM318" s="529">
        <f t="shared" si="1460"/>
        <v>0</v>
      </c>
      <c r="BN318" s="529">
        <f t="shared" si="1461"/>
        <v>0</v>
      </c>
      <c r="BO318" s="529">
        <f t="shared" si="1462"/>
        <v>0</v>
      </c>
      <c r="BP318" s="529">
        <f t="shared" si="1463"/>
        <v>0</v>
      </c>
      <c r="BQ318" s="529">
        <f t="shared" si="1464"/>
        <v>0</v>
      </c>
      <c r="BR318" s="529">
        <f t="shared" si="1465"/>
        <v>0</v>
      </c>
      <c r="BS318" s="529">
        <f t="shared" si="1466"/>
        <v>0</v>
      </c>
      <c r="BT318" s="529">
        <f t="shared" si="1467"/>
        <v>0</v>
      </c>
      <c r="BU318" s="529">
        <f t="shared" si="1468"/>
        <v>0</v>
      </c>
      <c r="BV318" s="529">
        <f t="shared" si="1469"/>
        <v>0</v>
      </c>
      <c r="BW318" s="529">
        <f t="shared" si="1470"/>
        <v>0</v>
      </c>
      <c r="BX318" s="529">
        <f t="shared" si="1432"/>
        <v>0</v>
      </c>
      <c r="BY318" s="529">
        <f t="shared" si="1433"/>
        <v>0</v>
      </c>
      <c r="BZ318" s="529">
        <f t="shared" si="1434"/>
        <v>0</v>
      </c>
    </row>
    <row r="319" spans="1:96" x14ac:dyDescent="0.2">
      <c r="A319" s="529">
        <f t="shared" si="1471"/>
        <v>0</v>
      </c>
      <c r="B319" s="529" t="str">
        <f t="shared" si="1473"/>
        <v>NPK 00-00-00</v>
      </c>
      <c r="P319" s="623">
        <f t="shared" si="1472"/>
        <v>0</v>
      </c>
      <c r="S319" s="529">
        <f t="shared" si="1474"/>
        <v>0</v>
      </c>
      <c r="V319" s="626">
        <f t="shared" si="1475"/>
        <v>0</v>
      </c>
      <c r="Y319" s="529">
        <f t="shared" si="1476"/>
        <v>0</v>
      </c>
      <c r="AB319" s="529">
        <f t="shared" si="1477"/>
        <v>0</v>
      </c>
      <c r="AE319" s="529">
        <f t="shared" si="1478"/>
        <v>0</v>
      </c>
      <c r="AH319" s="529">
        <f t="shared" si="1479"/>
        <v>0</v>
      </c>
      <c r="AK319" s="529">
        <f t="shared" si="1480"/>
        <v>0</v>
      </c>
      <c r="AN319" s="529">
        <f t="shared" si="1481"/>
        <v>0</v>
      </c>
      <c r="AQ319" s="529">
        <f t="shared" si="1482"/>
        <v>0</v>
      </c>
      <c r="AT319" s="529">
        <f t="shared" si="1483"/>
        <v>0</v>
      </c>
      <c r="AW319" s="529">
        <f t="shared" si="1484"/>
        <v>0</v>
      </c>
      <c r="AZ319" s="529">
        <f t="shared" si="1485"/>
        <v>0</v>
      </c>
      <c r="BJ319" s="529">
        <f t="shared" si="1457"/>
        <v>0</v>
      </c>
      <c r="BK319" s="529">
        <f t="shared" si="1458"/>
        <v>0</v>
      </c>
      <c r="BL319" s="529">
        <f t="shared" si="1459"/>
        <v>0</v>
      </c>
      <c r="BM319" s="529">
        <f t="shared" si="1460"/>
        <v>0</v>
      </c>
      <c r="BN319" s="529">
        <f t="shared" si="1461"/>
        <v>0</v>
      </c>
      <c r="BO319" s="529">
        <f t="shared" si="1462"/>
        <v>0</v>
      </c>
      <c r="BP319" s="529">
        <f t="shared" si="1463"/>
        <v>0</v>
      </c>
      <c r="BQ319" s="529">
        <f t="shared" si="1464"/>
        <v>0</v>
      </c>
      <c r="BR319" s="529">
        <f t="shared" si="1465"/>
        <v>0</v>
      </c>
      <c r="BS319" s="529">
        <f t="shared" si="1466"/>
        <v>0</v>
      </c>
      <c r="BT319" s="529">
        <f t="shared" si="1467"/>
        <v>0</v>
      </c>
      <c r="BU319" s="529">
        <f t="shared" si="1468"/>
        <v>0</v>
      </c>
      <c r="BV319" s="529">
        <f t="shared" si="1469"/>
        <v>0</v>
      </c>
      <c r="BW319" s="529">
        <f t="shared" si="1470"/>
        <v>0</v>
      </c>
      <c r="BX319" s="529">
        <f t="shared" si="1432"/>
        <v>0</v>
      </c>
      <c r="BY319" s="529">
        <f t="shared" si="1433"/>
        <v>0</v>
      </c>
      <c r="BZ319" s="529">
        <f t="shared" si="1434"/>
        <v>0</v>
      </c>
    </row>
    <row r="320" spans="1:96" x14ac:dyDescent="0.2">
      <c r="BJ320" s="529">
        <f t="shared" si="1457"/>
        <v>0</v>
      </c>
      <c r="BK320" s="529">
        <f t="shared" si="1458"/>
        <v>0</v>
      </c>
      <c r="BL320" s="529">
        <f t="shared" si="1459"/>
        <v>0</v>
      </c>
      <c r="BM320" s="529">
        <f t="shared" si="1460"/>
        <v>0</v>
      </c>
      <c r="BN320" s="529">
        <f t="shared" si="1461"/>
        <v>0</v>
      </c>
      <c r="BO320" s="529">
        <f t="shared" si="1462"/>
        <v>0</v>
      </c>
      <c r="BP320" s="529">
        <f t="shared" si="1463"/>
        <v>0</v>
      </c>
      <c r="BQ320" s="529">
        <f t="shared" si="1464"/>
        <v>0</v>
      </c>
      <c r="BR320" s="529">
        <f t="shared" si="1465"/>
        <v>0</v>
      </c>
      <c r="BS320" s="529">
        <f t="shared" si="1466"/>
        <v>0</v>
      </c>
      <c r="BT320" s="529">
        <f t="shared" si="1467"/>
        <v>0</v>
      </c>
      <c r="BU320" s="529">
        <f t="shared" si="1468"/>
        <v>0</v>
      </c>
      <c r="BV320" s="529">
        <f t="shared" si="1469"/>
        <v>0</v>
      </c>
      <c r="BW320" s="529">
        <f t="shared" si="1470"/>
        <v>0</v>
      </c>
      <c r="BX320" s="529">
        <f t="shared" si="1432"/>
        <v>0</v>
      </c>
      <c r="BY320" s="529">
        <f t="shared" si="1433"/>
        <v>0</v>
      </c>
      <c r="BZ320" s="529">
        <f t="shared" si="1434"/>
        <v>0</v>
      </c>
    </row>
    <row r="321" spans="1:78" x14ac:dyDescent="0.2">
      <c r="BJ321" s="529">
        <f t="shared" si="1457"/>
        <v>0</v>
      </c>
      <c r="BK321" s="529">
        <f t="shared" si="1458"/>
        <v>0</v>
      </c>
      <c r="BL321" s="529">
        <f t="shared" si="1459"/>
        <v>0</v>
      </c>
      <c r="BM321" s="529">
        <f t="shared" si="1460"/>
        <v>0</v>
      </c>
      <c r="BN321" s="529">
        <f t="shared" si="1461"/>
        <v>0</v>
      </c>
      <c r="BO321" s="529">
        <f t="shared" si="1462"/>
        <v>0</v>
      </c>
      <c r="BP321" s="529">
        <f t="shared" si="1463"/>
        <v>0</v>
      </c>
      <c r="BQ321" s="529">
        <f t="shared" si="1464"/>
        <v>0</v>
      </c>
      <c r="BR321" s="529">
        <f t="shared" si="1465"/>
        <v>0</v>
      </c>
      <c r="BS321" s="529">
        <f t="shared" si="1466"/>
        <v>0</v>
      </c>
      <c r="BT321" s="529">
        <f t="shared" si="1467"/>
        <v>0</v>
      </c>
      <c r="BU321" s="529">
        <f t="shared" si="1468"/>
        <v>0</v>
      </c>
      <c r="BV321" s="529">
        <f t="shared" si="1469"/>
        <v>0</v>
      </c>
      <c r="BW321" s="529">
        <f t="shared" si="1470"/>
        <v>0</v>
      </c>
      <c r="BX321" s="529">
        <f t="shared" si="1432"/>
        <v>0</v>
      </c>
      <c r="BY321" s="529">
        <f t="shared" si="1433"/>
        <v>0</v>
      </c>
      <c r="BZ321" s="529">
        <f t="shared" si="1434"/>
        <v>0</v>
      </c>
    </row>
    <row r="322" spans="1:78" x14ac:dyDescent="0.2">
      <c r="BJ322" s="529">
        <f t="shared" si="1457"/>
        <v>0</v>
      </c>
      <c r="BK322" s="529">
        <f t="shared" si="1458"/>
        <v>0</v>
      </c>
      <c r="BL322" s="529">
        <f t="shared" si="1459"/>
        <v>0</v>
      </c>
      <c r="BM322" s="529">
        <f t="shared" si="1460"/>
        <v>0</v>
      </c>
      <c r="BN322" s="529">
        <f t="shared" si="1461"/>
        <v>0</v>
      </c>
      <c r="BO322" s="529">
        <f t="shared" si="1462"/>
        <v>0</v>
      </c>
      <c r="BP322" s="529">
        <f t="shared" si="1463"/>
        <v>0</v>
      </c>
      <c r="BQ322" s="529">
        <f t="shared" si="1464"/>
        <v>0</v>
      </c>
      <c r="BR322" s="529">
        <f t="shared" si="1465"/>
        <v>0</v>
      </c>
      <c r="BS322" s="529">
        <f t="shared" si="1466"/>
        <v>0</v>
      </c>
      <c r="BT322" s="529">
        <f t="shared" si="1467"/>
        <v>0</v>
      </c>
      <c r="BU322" s="529">
        <f t="shared" si="1468"/>
        <v>0</v>
      </c>
      <c r="BV322" s="529">
        <f t="shared" si="1469"/>
        <v>0</v>
      </c>
      <c r="BW322" s="529">
        <f t="shared" si="1470"/>
        <v>0</v>
      </c>
      <c r="BX322" s="529">
        <f t="shared" si="1432"/>
        <v>0</v>
      </c>
      <c r="BY322" s="529">
        <f t="shared" si="1433"/>
        <v>0</v>
      </c>
      <c r="BZ322" s="529">
        <f t="shared" si="1434"/>
        <v>0</v>
      </c>
    </row>
    <row r="323" spans="1:78" x14ac:dyDescent="0.2">
      <c r="BJ323" s="529">
        <f t="shared" si="1457"/>
        <v>0</v>
      </c>
      <c r="BK323" s="529">
        <f t="shared" si="1458"/>
        <v>0</v>
      </c>
      <c r="BL323" s="529">
        <f t="shared" si="1459"/>
        <v>0</v>
      </c>
      <c r="BM323" s="529">
        <f t="shared" si="1460"/>
        <v>0</v>
      </c>
      <c r="BN323" s="529">
        <f t="shared" si="1461"/>
        <v>0</v>
      </c>
      <c r="BO323" s="529">
        <f t="shared" si="1462"/>
        <v>0</v>
      </c>
      <c r="BP323" s="529">
        <f t="shared" si="1463"/>
        <v>0</v>
      </c>
      <c r="BQ323" s="529">
        <f t="shared" si="1464"/>
        <v>0</v>
      </c>
      <c r="BR323" s="529">
        <f t="shared" si="1465"/>
        <v>0</v>
      </c>
      <c r="BS323" s="529">
        <f t="shared" si="1466"/>
        <v>0</v>
      </c>
      <c r="BT323" s="529">
        <f t="shared" si="1467"/>
        <v>0</v>
      </c>
      <c r="BU323" s="529">
        <f t="shared" si="1468"/>
        <v>0</v>
      </c>
      <c r="BV323" s="529">
        <f t="shared" si="1469"/>
        <v>0</v>
      </c>
      <c r="BW323" s="529">
        <f t="shared" si="1470"/>
        <v>0</v>
      </c>
      <c r="BX323" s="529">
        <f t="shared" si="1432"/>
        <v>0</v>
      </c>
      <c r="BY323" s="529">
        <f t="shared" si="1433"/>
        <v>0</v>
      </c>
      <c r="BZ323" s="529">
        <f t="shared" si="1434"/>
        <v>0</v>
      </c>
    </row>
    <row r="324" spans="1:78" x14ac:dyDescent="0.2">
      <c r="BJ324" s="529">
        <f t="shared" si="1457"/>
        <v>0</v>
      </c>
      <c r="BK324" s="529">
        <f t="shared" si="1458"/>
        <v>0</v>
      </c>
      <c r="BL324" s="529">
        <f t="shared" si="1459"/>
        <v>0</v>
      </c>
      <c r="BM324" s="529">
        <f t="shared" si="1460"/>
        <v>0</v>
      </c>
      <c r="BN324" s="529">
        <f t="shared" si="1461"/>
        <v>0</v>
      </c>
      <c r="BO324" s="529">
        <f t="shared" si="1462"/>
        <v>0</v>
      </c>
      <c r="BP324" s="529">
        <f t="shared" si="1463"/>
        <v>0</v>
      </c>
      <c r="BQ324" s="529">
        <f t="shared" si="1464"/>
        <v>0</v>
      </c>
      <c r="BR324" s="529">
        <f t="shared" si="1465"/>
        <v>0</v>
      </c>
      <c r="BS324" s="529">
        <f t="shared" si="1466"/>
        <v>0</v>
      </c>
      <c r="BT324" s="529">
        <f t="shared" si="1467"/>
        <v>0</v>
      </c>
      <c r="BU324" s="529">
        <f t="shared" si="1468"/>
        <v>0</v>
      </c>
      <c r="BV324" s="529">
        <f t="shared" si="1469"/>
        <v>0</v>
      </c>
      <c r="BW324" s="529">
        <f t="shared" si="1470"/>
        <v>0</v>
      </c>
      <c r="BX324" s="529">
        <f t="shared" si="1432"/>
        <v>0</v>
      </c>
      <c r="BY324" s="529">
        <f t="shared" si="1433"/>
        <v>0</v>
      </c>
      <c r="BZ324" s="529">
        <f t="shared" si="1434"/>
        <v>0</v>
      </c>
    </row>
    <row r="325" spans="1:78" x14ac:dyDescent="0.2">
      <c r="BJ325" s="529">
        <f t="shared" si="1457"/>
        <v>0</v>
      </c>
      <c r="BK325" s="529">
        <f t="shared" si="1458"/>
        <v>0</v>
      </c>
      <c r="BL325" s="529">
        <f t="shared" si="1459"/>
        <v>0</v>
      </c>
      <c r="BM325" s="529">
        <f t="shared" si="1460"/>
        <v>0</v>
      </c>
      <c r="BN325" s="529">
        <f t="shared" si="1461"/>
        <v>0</v>
      </c>
      <c r="BO325" s="529">
        <f t="shared" si="1462"/>
        <v>0</v>
      </c>
      <c r="BP325" s="529">
        <f t="shared" si="1463"/>
        <v>0</v>
      </c>
      <c r="BQ325" s="529">
        <f t="shared" si="1464"/>
        <v>0</v>
      </c>
      <c r="BR325" s="529">
        <f t="shared" si="1465"/>
        <v>0</v>
      </c>
      <c r="BS325" s="529">
        <f t="shared" si="1466"/>
        <v>0</v>
      </c>
      <c r="BT325" s="529">
        <f t="shared" si="1467"/>
        <v>0</v>
      </c>
      <c r="BU325" s="529">
        <f t="shared" si="1468"/>
        <v>0</v>
      </c>
      <c r="BV325" s="529">
        <f t="shared" si="1469"/>
        <v>0</v>
      </c>
      <c r="BW325" s="529">
        <f t="shared" si="1470"/>
        <v>0</v>
      </c>
      <c r="BX325" s="529">
        <f t="shared" si="1432"/>
        <v>0</v>
      </c>
      <c r="BY325" s="529">
        <f t="shared" si="1433"/>
        <v>0</v>
      </c>
      <c r="BZ325" s="529">
        <f t="shared" si="1434"/>
        <v>0</v>
      </c>
    </row>
    <row r="326" spans="1:78" x14ac:dyDescent="0.2">
      <c r="A326" s="537" t="str">
        <f>A184</f>
        <v>UKRAINE</v>
      </c>
      <c r="E326" s="537">
        <f>SUM(E184:E189)</f>
        <v>0</v>
      </c>
      <c r="F326" s="537">
        <f t="shared" ref="F326:AR326" si="1486">SUM(F184:F189)</f>
        <v>0</v>
      </c>
      <c r="G326" s="537">
        <f t="shared" si="1486"/>
        <v>0</v>
      </c>
      <c r="H326" s="537">
        <f t="shared" si="1486"/>
        <v>0</v>
      </c>
      <c r="I326" s="537">
        <f t="shared" si="1486"/>
        <v>0</v>
      </c>
      <c r="J326" s="537">
        <f t="shared" si="1486"/>
        <v>0</v>
      </c>
      <c r="K326" s="537">
        <f t="shared" si="1486"/>
        <v>0</v>
      </c>
      <c r="L326" s="537">
        <f t="shared" si="1486"/>
        <v>0</v>
      </c>
      <c r="M326" s="537">
        <f t="shared" si="1486"/>
        <v>0</v>
      </c>
      <c r="N326" s="537">
        <f t="shared" si="1486"/>
        <v>0</v>
      </c>
      <c r="O326" s="537">
        <f t="shared" si="1486"/>
        <v>0</v>
      </c>
      <c r="P326" s="537">
        <f t="shared" si="1486"/>
        <v>0</v>
      </c>
      <c r="Q326" s="537">
        <f t="shared" si="1486"/>
        <v>0</v>
      </c>
      <c r="R326" s="537">
        <f t="shared" si="1486"/>
        <v>0</v>
      </c>
      <c r="S326" s="537">
        <f t="shared" si="1486"/>
        <v>0</v>
      </c>
      <c r="T326" s="537">
        <f t="shared" si="1486"/>
        <v>0</v>
      </c>
      <c r="U326" s="537">
        <f t="shared" si="1486"/>
        <v>0</v>
      </c>
      <c r="V326" s="537">
        <f t="shared" si="1486"/>
        <v>0</v>
      </c>
      <c r="W326" s="537">
        <f t="shared" si="1486"/>
        <v>0</v>
      </c>
      <c r="X326" s="537">
        <f t="shared" si="1486"/>
        <v>0</v>
      </c>
      <c r="Y326" s="537">
        <f t="shared" si="1486"/>
        <v>0</v>
      </c>
      <c r="Z326" s="537">
        <f t="shared" si="1486"/>
        <v>0</v>
      </c>
      <c r="AA326" s="537">
        <f t="shared" si="1486"/>
        <v>19300</v>
      </c>
      <c r="AB326" s="537">
        <f t="shared" si="1486"/>
        <v>1783</v>
      </c>
      <c r="AC326" s="537">
        <f t="shared" si="1486"/>
        <v>6709300</v>
      </c>
      <c r="AD326" s="537">
        <f t="shared" si="1486"/>
        <v>38600</v>
      </c>
      <c r="AE326" s="537">
        <f t="shared" si="1486"/>
        <v>1836</v>
      </c>
      <c r="AF326" s="537">
        <f t="shared" si="1486"/>
        <v>13813200</v>
      </c>
      <c r="AG326" s="537">
        <f t="shared" si="1486"/>
        <v>38600</v>
      </c>
      <c r="AH326" s="537">
        <f t="shared" si="1486"/>
        <v>1890</v>
      </c>
      <c r="AI326" s="537">
        <f t="shared" si="1486"/>
        <v>14209400</v>
      </c>
      <c r="AJ326" s="537">
        <f t="shared" si="1486"/>
        <v>38600</v>
      </c>
      <c r="AK326" s="537">
        <f t="shared" si="1486"/>
        <v>1946</v>
      </c>
      <c r="AL326" s="537">
        <f t="shared" si="1486"/>
        <v>14642600</v>
      </c>
      <c r="AM326" s="537">
        <f t="shared" si="1486"/>
        <v>38600</v>
      </c>
      <c r="AN326" s="537">
        <f t="shared" si="1486"/>
        <v>2003</v>
      </c>
      <c r="AO326" s="537">
        <f t="shared" si="1486"/>
        <v>15075800</v>
      </c>
      <c r="AP326" s="537">
        <f t="shared" si="1486"/>
        <v>38600</v>
      </c>
      <c r="AQ326" s="537">
        <f t="shared" si="1486"/>
        <v>2063</v>
      </c>
      <c r="AR326" s="537">
        <f t="shared" si="1486"/>
        <v>15514000</v>
      </c>
      <c r="AS326" s="537">
        <f t="shared" ref="AS326:AU326" si="1487">SUM(AS184:AS189)</f>
        <v>38600</v>
      </c>
      <c r="AT326" s="537">
        <f t="shared" si="1487"/>
        <v>2124</v>
      </c>
      <c r="AU326" s="537">
        <f t="shared" si="1487"/>
        <v>15985800</v>
      </c>
      <c r="AV326" s="537">
        <f t="shared" ref="AV326:AX326" si="1488">SUM(AV184:AV189)</f>
        <v>38600</v>
      </c>
      <c r="AW326" s="537">
        <f t="shared" si="1488"/>
        <v>2188</v>
      </c>
      <c r="AX326" s="537">
        <f t="shared" si="1488"/>
        <v>16461000</v>
      </c>
      <c r="AY326" s="537">
        <f t="shared" ref="AY326:BA326" si="1489">SUM(AY184:AY189)</f>
        <v>38600</v>
      </c>
      <c r="AZ326" s="537">
        <f t="shared" si="1489"/>
        <v>2253</v>
      </c>
      <c r="BA326" s="537">
        <f t="shared" si="1489"/>
        <v>16937800</v>
      </c>
      <c r="BB326" s="537"/>
      <c r="BC326" s="537"/>
      <c r="BD326" s="537"/>
      <c r="BE326" s="537"/>
      <c r="BF326" s="537"/>
      <c r="BG326" s="537"/>
      <c r="BH326" s="537"/>
      <c r="BJ326" s="529">
        <f t="shared" si="1457"/>
        <v>0</v>
      </c>
      <c r="BK326" s="529">
        <f t="shared" si="1458"/>
        <v>0</v>
      </c>
      <c r="BL326" s="529">
        <f t="shared" si="1459"/>
        <v>0</v>
      </c>
      <c r="BM326" s="529">
        <f t="shared" si="1460"/>
        <v>0</v>
      </c>
      <c r="BN326" s="529">
        <f t="shared" si="1461"/>
        <v>0</v>
      </c>
      <c r="BO326" s="529">
        <f t="shared" si="1462"/>
        <v>0</v>
      </c>
      <c r="BP326" s="529">
        <f t="shared" si="1463"/>
        <v>0</v>
      </c>
      <c r="BQ326" s="529">
        <f t="shared" si="1464"/>
        <v>0</v>
      </c>
      <c r="BR326" s="529">
        <f t="shared" si="1465"/>
        <v>6.7092999999999998</v>
      </c>
      <c r="BS326" s="529">
        <f t="shared" si="1466"/>
        <v>13.8132</v>
      </c>
      <c r="BT326" s="529">
        <f t="shared" si="1467"/>
        <v>14.2094</v>
      </c>
      <c r="BU326" s="529">
        <f t="shared" si="1468"/>
        <v>14.6426</v>
      </c>
      <c r="BV326" s="529">
        <f t="shared" si="1469"/>
        <v>15.075799999999999</v>
      </c>
      <c r="BW326" s="529">
        <f t="shared" si="1470"/>
        <v>15.513999999999999</v>
      </c>
      <c r="BX326" s="529">
        <f t="shared" si="1432"/>
        <v>15.985799999999999</v>
      </c>
      <c r="BY326" s="529">
        <f t="shared" si="1433"/>
        <v>16.460999999999999</v>
      </c>
      <c r="BZ326" s="529">
        <f t="shared" si="1434"/>
        <v>16.937799999999999</v>
      </c>
    </row>
    <row r="327" spans="1:78" x14ac:dyDescent="0.2">
      <c r="A327" s="537" t="str">
        <f>A191</f>
        <v>CHINA</v>
      </c>
      <c r="E327" s="537">
        <f>SUM(E191:E196)</f>
        <v>0</v>
      </c>
      <c r="F327" s="537">
        <f t="shared" ref="F327:AR327" si="1490">SUM(F191:F196)</f>
        <v>0</v>
      </c>
      <c r="G327" s="537">
        <f t="shared" si="1490"/>
        <v>0</v>
      </c>
      <c r="H327" s="537">
        <f t="shared" si="1490"/>
        <v>0</v>
      </c>
      <c r="I327" s="537">
        <f t="shared" si="1490"/>
        <v>0</v>
      </c>
      <c r="J327" s="537">
        <f t="shared" si="1490"/>
        <v>0</v>
      </c>
      <c r="K327" s="537">
        <f t="shared" si="1490"/>
        <v>0</v>
      </c>
      <c r="L327" s="537">
        <f t="shared" si="1490"/>
        <v>0</v>
      </c>
      <c r="M327" s="537">
        <f t="shared" si="1490"/>
        <v>0</v>
      </c>
      <c r="N327" s="537">
        <f t="shared" si="1490"/>
        <v>0</v>
      </c>
      <c r="O327" s="537">
        <f t="shared" si="1490"/>
        <v>0</v>
      </c>
      <c r="P327" s="537">
        <f t="shared" si="1490"/>
        <v>0</v>
      </c>
      <c r="Q327" s="537">
        <f t="shared" si="1490"/>
        <v>0</v>
      </c>
      <c r="R327" s="537">
        <f t="shared" si="1490"/>
        <v>0</v>
      </c>
      <c r="S327" s="537">
        <f t="shared" si="1490"/>
        <v>0</v>
      </c>
      <c r="T327" s="537">
        <f t="shared" si="1490"/>
        <v>0</v>
      </c>
      <c r="U327" s="537">
        <f t="shared" si="1490"/>
        <v>0</v>
      </c>
      <c r="V327" s="537">
        <f t="shared" si="1490"/>
        <v>0</v>
      </c>
      <c r="W327" s="537">
        <f t="shared" si="1490"/>
        <v>0</v>
      </c>
      <c r="X327" s="537">
        <f t="shared" si="1490"/>
        <v>0</v>
      </c>
      <c r="Y327" s="537">
        <f t="shared" si="1490"/>
        <v>0</v>
      </c>
      <c r="Z327" s="537">
        <f t="shared" si="1490"/>
        <v>0</v>
      </c>
      <c r="AA327" s="537">
        <f t="shared" si="1490"/>
        <v>8400</v>
      </c>
      <c r="AB327" s="537">
        <f t="shared" si="1490"/>
        <v>1735</v>
      </c>
      <c r="AC327" s="537">
        <f t="shared" si="1490"/>
        <v>2788800</v>
      </c>
      <c r="AD327" s="537">
        <f t="shared" si="1490"/>
        <v>16800</v>
      </c>
      <c r="AE327" s="537">
        <f t="shared" si="1490"/>
        <v>1788</v>
      </c>
      <c r="AF327" s="537">
        <f t="shared" si="1490"/>
        <v>5745600</v>
      </c>
      <c r="AG327" s="537">
        <f t="shared" si="1490"/>
        <v>16800</v>
      </c>
      <c r="AH327" s="537">
        <f t="shared" si="1490"/>
        <v>1842</v>
      </c>
      <c r="AI327" s="537">
        <f t="shared" si="1490"/>
        <v>5913600</v>
      </c>
      <c r="AJ327" s="537">
        <f t="shared" si="1490"/>
        <v>16800</v>
      </c>
      <c r="AK327" s="537">
        <f t="shared" si="1490"/>
        <v>1898</v>
      </c>
      <c r="AL327" s="537">
        <f t="shared" si="1490"/>
        <v>6098400</v>
      </c>
      <c r="AM327" s="537">
        <f t="shared" si="1490"/>
        <v>16800</v>
      </c>
      <c r="AN327" s="537">
        <f t="shared" si="1490"/>
        <v>1955</v>
      </c>
      <c r="AO327" s="537">
        <f t="shared" si="1490"/>
        <v>6283200</v>
      </c>
      <c r="AP327" s="537">
        <f t="shared" si="1490"/>
        <v>16800</v>
      </c>
      <c r="AQ327" s="537">
        <f t="shared" si="1490"/>
        <v>2015</v>
      </c>
      <c r="AR327" s="537">
        <f t="shared" si="1490"/>
        <v>6468000</v>
      </c>
      <c r="AS327" s="537">
        <f t="shared" ref="AS327:AU327" si="1491">SUM(AS191:AS196)</f>
        <v>16800</v>
      </c>
      <c r="AT327" s="537">
        <f t="shared" si="1491"/>
        <v>2076</v>
      </c>
      <c r="AU327" s="537">
        <f t="shared" si="1491"/>
        <v>6669600</v>
      </c>
      <c r="AV327" s="537">
        <f t="shared" ref="AV327:AX327" si="1492">SUM(AV191:AV196)</f>
        <v>16800</v>
      </c>
      <c r="AW327" s="537">
        <f t="shared" si="1492"/>
        <v>2140</v>
      </c>
      <c r="AX327" s="537">
        <f t="shared" si="1492"/>
        <v>6871200</v>
      </c>
      <c r="AY327" s="537">
        <f t="shared" ref="AY327:BA327" si="1493">SUM(AY191:AY196)</f>
        <v>16800</v>
      </c>
      <c r="AZ327" s="537">
        <f t="shared" si="1493"/>
        <v>2205</v>
      </c>
      <c r="BA327" s="537">
        <f t="shared" si="1493"/>
        <v>7072800</v>
      </c>
      <c r="BB327" s="537"/>
      <c r="BC327" s="537"/>
      <c r="BD327" s="537"/>
      <c r="BE327" s="537"/>
      <c r="BF327" s="537"/>
      <c r="BG327" s="537"/>
      <c r="BH327" s="537"/>
      <c r="BJ327" s="529">
        <f t="shared" si="1457"/>
        <v>0</v>
      </c>
      <c r="BK327" s="529">
        <f t="shared" si="1458"/>
        <v>0</v>
      </c>
      <c r="BL327" s="529">
        <f t="shared" si="1459"/>
        <v>0</v>
      </c>
      <c r="BM327" s="529">
        <f t="shared" si="1460"/>
        <v>0</v>
      </c>
      <c r="BN327" s="529">
        <f t="shared" si="1461"/>
        <v>0</v>
      </c>
      <c r="BO327" s="529">
        <f t="shared" si="1462"/>
        <v>0</v>
      </c>
      <c r="BP327" s="529">
        <f t="shared" si="1463"/>
        <v>0</v>
      </c>
      <c r="BQ327" s="529">
        <f t="shared" si="1464"/>
        <v>0</v>
      </c>
      <c r="BR327" s="529">
        <f t="shared" si="1465"/>
        <v>2.7888000000000002</v>
      </c>
      <c r="BS327" s="529">
        <f t="shared" si="1466"/>
        <v>5.7455999999999996</v>
      </c>
      <c r="BT327" s="529">
        <f t="shared" si="1467"/>
        <v>5.9135999999999997</v>
      </c>
      <c r="BU327" s="529">
        <f t="shared" si="1468"/>
        <v>6.0983999999999998</v>
      </c>
      <c r="BV327" s="529">
        <f t="shared" si="1469"/>
        <v>6.2831999999999999</v>
      </c>
      <c r="BW327" s="529">
        <f t="shared" si="1470"/>
        <v>6.468</v>
      </c>
      <c r="BX327" s="529">
        <f t="shared" si="1432"/>
        <v>6.6696</v>
      </c>
      <c r="BY327" s="529">
        <f t="shared" si="1433"/>
        <v>6.8712</v>
      </c>
      <c r="BZ327" s="529">
        <f t="shared" si="1434"/>
        <v>7.0728</v>
      </c>
    </row>
    <row r="328" spans="1:78" x14ac:dyDescent="0.2">
      <c r="A328" s="537" t="str">
        <f>A198</f>
        <v>THAILAND</v>
      </c>
      <c r="E328" s="537">
        <f>SUM(E198:E203)</f>
        <v>0</v>
      </c>
      <c r="F328" s="537">
        <f t="shared" ref="F328:AR328" si="1494">SUM(F198:F203)</f>
        <v>0</v>
      </c>
      <c r="G328" s="537">
        <f t="shared" si="1494"/>
        <v>0</v>
      </c>
      <c r="H328" s="537">
        <f t="shared" si="1494"/>
        <v>0</v>
      </c>
      <c r="I328" s="537">
        <f t="shared" si="1494"/>
        <v>0</v>
      </c>
      <c r="J328" s="537">
        <f t="shared" si="1494"/>
        <v>0</v>
      </c>
      <c r="K328" s="537">
        <f t="shared" si="1494"/>
        <v>0</v>
      </c>
      <c r="L328" s="537">
        <f t="shared" si="1494"/>
        <v>0</v>
      </c>
      <c r="M328" s="537">
        <f t="shared" si="1494"/>
        <v>0</v>
      </c>
      <c r="N328" s="537">
        <f t="shared" si="1494"/>
        <v>0</v>
      </c>
      <c r="O328" s="537">
        <f t="shared" si="1494"/>
        <v>0</v>
      </c>
      <c r="P328" s="537">
        <f t="shared" si="1494"/>
        <v>0</v>
      </c>
      <c r="Q328" s="537">
        <f t="shared" si="1494"/>
        <v>0</v>
      </c>
      <c r="R328" s="537">
        <f t="shared" si="1494"/>
        <v>0</v>
      </c>
      <c r="S328" s="537">
        <f t="shared" si="1494"/>
        <v>0</v>
      </c>
      <c r="T328" s="537">
        <f t="shared" si="1494"/>
        <v>0</v>
      </c>
      <c r="U328" s="537">
        <f t="shared" si="1494"/>
        <v>0</v>
      </c>
      <c r="V328" s="537">
        <f t="shared" si="1494"/>
        <v>0</v>
      </c>
      <c r="W328" s="537">
        <f t="shared" si="1494"/>
        <v>0</v>
      </c>
      <c r="X328" s="537">
        <f t="shared" si="1494"/>
        <v>0</v>
      </c>
      <c r="Y328" s="537">
        <f t="shared" si="1494"/>
        <v>0</v>
      </c>
      <c r="Z328" s="537">
        <f t="shared" si="1494"/>
        <v>0</v>
      </c>
      <c r="AA328" s="537">
        <f t="shared" si="1494"/>
        <v>15925</v>
      </c>
      <c r="AB328" s="537">
        <f t="shared" si="1494"/>
        <v>1813</v>
      </c>
      <c r="AC328" s="537">
        <f t="shared" si="1494"/>
        <v>5523350</v>
      </c>
      <c r="AD328" s="537">
        <f t="shared" si="1494"/>
        <v>31850</v>
      </c>
      <c r="AE328" s="537">
        <f t="shared" si="1494"/>
        <v>1866</v>
      </c>
      <c r="AF328" s="537">
        <f t="shared" si="1494"/>
        <v>11367750</v>
      </c>
      <c r="AG328" s="537">
        <f t="shared" si="1494"/>
        <v>31850</v>
      </c>
      <c r="AH328" s="537">
        <f t="shared" si="1494"/>
        <v>1920</v>
      </c>
      <c r="AI328" s="537">
        <f t="shared" si="1494"/>
        <v>11688800</v>
      </c>
      <c r="AJ328" s="537">
        <f t="shared" si="1494"/>
        <v>31850</v>
      </c>
      <c r="AK328" s="537">
        <f t="shared" si="1494"/>
        <v>1976</v>
      </c>
      <c r="AL328" s="537">
        <f t="shared" si="1494"/>
        <v>12038700</v>
      </c>
      <c r="AM328" s="537">
        <f t="shared" si="1494"/>
        <v>31850</v>
      </c>
      <c r="AN328" s="537">
        <f t="shared" si="1494"/>
        <v>2033</v>
      </c>
      <c r="AO328" s="537">
        <f t="shared" si="1494"/>
        <v>12391600</v>
      </c>
      <c r="AP328" s="537">
        <f t="shared" si="1494"/>
        <v>31850</v>
      </c>
      <c r="AQ328" s="537">
        <f t="shared" si="1494"/>
        <v>2093</v>
      </c>
      <c r="AR328" s="537">
        <f t="shared" si="1494"/>
        <v>12745350</v>
      </c>
      <c r="AS328" s="537">
        <f t="shared" ref="AS328:AU328" si="1495">SUM(AS198:AS203)</f>
        <v>31850</v>
      </c>
      <c r="AT328" s="537">
        <f t="shared" si="1495"/>
        <v>2154</v>
      </c>
      <c r="AU328" s="537">
        <f t="shared" si="1495"/>
        <v>13127100</v>
      </c>
      <c r="AV328" s="537">
        <f t="shared" ref="AV328:AX328" si="1496">SUM(AV198:AV203)</f>
        <v>31850</v>
      </c>
      <c r="AW328" s="537">
        <f t="shared" si="1496"/>
        <v>2218</v>
      </c>
      <c r="AX328" s="537">
        <f t="shared" si="1496"/>
        <v>13512700</v>
      </c>
      <c r="AY328" s="537">
        <f t="shared" ref="AY328:BA328" si="1497">SUM(AY198:AY203)</f>
        <v>31850</v>
      </c>
      <c r="AZ328" s="537">
        <f t="shared" si="1497"/>
        <v>2283</v>
      </c>
      <c r="BA328" s="537">
        <f t="shared" si="1497"/>
        <v>13898300</v>
      </c>
      <c r="BB328" s="537"/>
      <c r="BC328" s="537"/>
      <c r="BD328" s="537"/>
      <c r="BE328" s="537"/>
      <c r="BF328" s="537"/>
      <c r="BG328" s="537"/>
      <c r="BH328" s="537"/>
      <c r="BJ328" s="529">
        <f t="shared" si="1457"/>
        <v>0</v>
      </c>
      <c r="BK328" s="529">
        <f t="shared" si="1458"/>
        <v>0</v>
      </c>
      <c r="BL328" s="529">
        <f t="shared" si="1459"/>
        <v>0</v>
      </c>
      <c r="BM328" s="529">
        <f t="shared" si="1460"/>
        <v>0</v>
      </c>
      <c r="BN328" s="529">
        <f t="shared" si="1461"/>
        <v>0</v>
      </c>
      <c r="BO328" s="529">
        <f t="shared" si="1462"/>
        <v>0</v>
      </c>
      <c r="BP328" s="529">
        <f t="shared" si="1463"/>
        <v>0</v>
      </c>
      <c r="BQ328" s="529">
        <f t="shared" si="1464"/>
        <v>0</v>
      </c>
      <c r="BR328" s="529">
        <f t="shared" si="1465"/>
        <v>5.5233499999999998</v>
      </c>
      <c r="BS328" s="529">
        <f t="shared" si="1466"/>
        <v>11.367749999999999</v>
      </c>
      <c r="BT328" s="529">
        <f t="shared" si="1467"/>
        <v>11.688800000000001</v>
      </c>
      <c r="BU328" s="529">
        <f t="shared" si="1468"/>
        <v>12.0387</v>
      </c>
      <c r="BV328" s="529">
        <f t="shared" si="1469"/>
        <v>12.3916</v>
      </c>
      <c r="BW328" s="529">
        <f t="shared" si="1470"/>
        <v>12.74535</v>
      </c>
      <c r="BX328" s="529">
        <f t="shared" si="1432"/>
        <v>13.1271</v>
      </c>
      <c r="BY328" s="529">
        <f t="shared" si="1433"/>
        <v>13.512700000000001</v>
      </c>
      <c r="BZ328" s="529">
        <f t="shared" si="1434"/>
        <v>13.898300000000001</v>
      </c>
    </row>
    <row r="329" spans="1:78" x14ac:dyDescent="0.2">
      <c r="A329" s="537" t="str">
        <f>A205</f>
        <v>MALASYA</v>
      </c>
      <c r="E329" s="537">
        <f>SUM(E205:E210)</f>
        <v>0</v>
      </c>
      <c r="F329" s="537">
        <f t="shared" ref="F329:AR329" si="1498">SUM(F205:F210)</f>
        <v>0</v>
      </c>
      <c r="G329" s="537">
        <f t="shared" si="1498"/>
        <v>0</v>
      </c>
      <c r="H329" s="537">
        <f t="shared" si="1498"/>
        <v>0</v>
      </c>
      <c r="I329" s="537">
        <f t="shared" si="1498"/>
        <v>0</v>
      </c>
      <c r="J329" s="537">
        <f t="shared" si="1498"/>
        <v>0</v>
      </c>
      <c r="K329" s="537">
        <f t="shared" si="1498"/>
        <v>0</v>
      </c>
      <c r="L329" s="537">
        <f t="shared" si="1498"/>
        <v>0</v>
      </c>
      <c r="M329" s="537">
        <f t="shared" si="1498"/>
        <v>0</v>
      </c>
      <c r="N329" s="537">
        <f t="shared" si="1498"/>
        <v>0</v>
      </c>
      <c r="O329" s="537">
        <f t="shared" si="1498"/>
        <v>0</v>
      </c>
      <c r="P329" s="537">
        <f t="shared" si="1498"/>
        <v>0</v>
      </c>
      <c r="Q329" s="537">
        <f t="shared" si="1498"/>
        <v>0</v>
      </c>
      <c r="R329" s="537">
        <f t="shared" si="1498"/>
        <v>0</v>
      </c>
      <c r="S329" s="537">
        <f t="shared" si="1498"/>
        <v>0</v>
      </c>
      <c r="T329" s="537">
        <f t="shared" si="1498"/>
        <v>0</v>
      </c>
      <c r="U329" s="537">
        <f t="shared" si="1498"/>
        <v>0</v>
      </c>
      <c r="V329" s="537">
        <f t="shared" si="1498"/>
        <v>0</v>
      </c>
      <c r="W329" s="537">
        <f t="shared" si="1498"/>
        <v>0</v>
      </c>
      <c r="X329" s="537">
        <f t="shared" si="1498"/>
        <v>0</v>
      </c>
      <c r="Y329" s="537">
        <f t="shared" si="1498"/>
        <v>0</v>
      </c>
      <c r="Z329" s="537">
        <f t="shared" si="1498"/>
        <v>0</v>
      </c>
      <c r="AA329" s="537">
        <f t="shared" si="1498"/>
        <v>1119.9999999999998</v>
      </c>
      <c r="AB329" s="537">
        <f t="shared" si="1498"/>
        <v>1813</v>
      </c>
      <c r="AC329" s="537">
        <f t="shared" si="1498"/>
        <v>386399.99999999994</v>
      </c>
      <c r="AD329" s="537">
        <f t="shared" si="1498"/>
        <v>2239.9999999999995</v>
      </c>
      <c r="AE329" s="537">
        <f t="shared" si="1498"/>
        <v>1866</v>
      </c>
      <c r="AF329" s="537">
        <f t="shared" si="1498"/>
        <v>795199.99999999988</v>
      </c>
      <c r="AG329" s="537">
        <f t="shared" si="1498"/>
        <v>2239.9999999999995</v>
      </c>
      <c r="AH329" s="537">
        <f t="shared" si="1498"/>
        <v>1920</v>
      </c>
      <c r="AI329" s="537">
        <f t="shared" si="1498"/>
        <v>817599.99999999988</v>
      </c>
      <c r="AJ329" s="537">
        <f t="shared" si="1498"/>
        <v>2239.9999999999995</v>
      </c>
      <c r="AK329" s="537">
        <f t="shared" si="1498"/>
        <v>1976</v>
      </c>
      <c r="AL329" s="537">
        <f t="shared" si="1498"/>
        <v>842239.99999999988</v>
      </c>
      <c r="AM329" s="537">
        <f t="shared" si="1498"/>
        <v>2239.9999999999995</v>
      </c>
      <c r="AN329" s="537">
        <f t="shared" si="1498"/>
        <v>2033</v>
      </c>
      <c r="AO329" s="537">
        <f t="shared" si="1498"/>
        <v>866879.99999999977</v>
      </c>
      <c r="AP329" s="537">
        <f t="shared" si="1498"/>
        <v>2239.9999999999995</v>
      </c>
      <c r="AQ329" s="537">
        <f t="shared" si="1498"/>
        <v>2093</v>
      </c>
      <c r="AR329" s="537">
        <f t="shared" si="1498"/>
        <v>891519.99999999977</v>
      </c>
      <c r="AS329" s="537">
        <f t="shared" ref="AS329:AU329" si="1499">SUM(AS205:AS210)</f>
        <v>2239.9999999999995</v>
      </c>
      <c r="AT329" s="537">
        <f t="shared" si="1499"/>
        <v>2154</v>
      </c>
      <c r="AU329" s="537">
        <f t="shared" si="1499"/>
        <v>918399.99999999977</v>
      </c>
      <c r="AV329" s="537">
        <f t="shared" ref="AV329:AX329" si="1500">SUM(AV205:AV210)</f>
        <v>2239.9999999999995</v>
      </c>
      <c r="AW329" s="537">
        <f t="shared" si="1500"/>
        <v>2218</v>
      </c>
      <c r="AX329" s="537">
        <f t="shared" si="1500"/>
        <v>945279.99999999977</v>
      </c>
      <c r="AY329" s="537">
        <f t="shared" ref="AY329:BA329" si="1501">SUM(AY205:AY210)</f>
        <v>2239.9999999999995</v>
      </c>
      <c r="AZ329" s="537">
        <f t="shared" si="1501"/>
        <v>2283</v>
      </c>
      <c r="BA329" s="537">
        <f t="shared" si="1501"/>
        <v>972159.99999999977</v>
      </c>
      <c r="BB329" s="537"/>
      <c r="BC329" s="537"/>
      <c r="BD329" s="537"/>
      <c r="BE329" s="537"/>
      <c r="BF329" s="537"/>
      <c r="BG329" s="537"/>
      <c r="BH329" s="537"/>
      <c r="BJ329" s="529">
        <f t="shared" si="1457"/>
        <v>0</v>
      </c>
      <c r="BK329" s="529">
        <f t="shared" si="1458"/>
        <v>0</v>
      </c>
      <c r="BL329" s="529">
        <f t="shared" si="1459"/>
        <v>0</v>
      </c>
      <c r="BM329" s="529">
        <f t="shared" si="1460"/>
        <v>0</v>
      </c>
      <c r="BN329" s="529">
        <f t="shared" si="1461"/>
        <v>0</v>
      </c>
      <c r="BO329" s="529">
        <f t="shared" si="1462"/>
        <v>0</v>
      </c>
      <c r="BP329" s="529">
        <f t="shared" si="1463"/>
        <v>0</v>
      </c>
      <c r="BQ329" s="529">
        <f t="shared" si="1464"/>
        <v>0</v>
      </c>
      <c r="BR329" s="529">
        <f t="shared" si="1465"/>
        <v>0.38639999999999997</v>
      </c>
      <c r="BS329" s="529">
        <f t="shared" si="1466"/>
        <v>0.79519999999999991</v>
      </c>
      <c r="BT329" s="529">
        <f t="shared" si="1467"/>
        <v>0.81759999999999988</v>
      </c>
      <c r="BU329" s="529">
        <f t="shared" si="1468"/>
        <v>0.84223999999999988</v>
      </c>
      <c r="BV329" s="529">
        <f t="shared" si="1469"/>
        <v>0.86687999999999976</v>
      </c>
      <c r="BW329" s="529">
        <f t="shared" si="1470"/>
        <v>0.89151999999999976</v>
      </c>
      <c r="BX329" s="529">
        <f t="shared" si="1432"/>
        <v>0.91839999999999977</v>
      </c>
      <c r="BY329" s="529">
        <f t="shared" si="1433"/>
        <v>0.94527999999999979</v>
      </c>
      <c r="BZ329" s="529">
        <f t="shared" si="1434"/>
        <v>0.9721599999999998</v>
      </c>
    </row>
    <row r="330" spans="1:78" x14ac:dyDescent="0.2">
      <c r="A330" s="537" t="str">
        <f>A212</f>
        <v>VIETNAM</v>
      </c>
      <c r="E330" s="537">
        <f>SUM(E212:E217)</f>
        <v>0</v>
      </c>
      <c r="F330" s="537">
        <f t="shared" ref="F330:AR330" si="1502">SUM(F212:F217)</f>
        <v>0</v>
      </c>
      <c r="G330" s="537">
        <f t="shared" si="1502"/>
        <v>0</v>
      </c>
      <c r="H330" s="537">
        <f t="shared" si="1502"/>
        <v>0</v>
      </c>
      <c r="I330" s="537">
        <f t="shared" si="1502"/>
        <v>0</v>
      </c>
      <c r="J330" s="537">
        <f t="shared" si="1502"/>
        <v>0</v>
      </c>
      <c r="K330" s="537">
        <f t="shared" si="1502"/>
        <v>0</v>
      </c>
      <c r="L330" s="537">
        <f t="shared" si="1502"/>
        <v>0</v>
      </c>
      <c r="M330" s="537">
        <f t="shared" si="1502"/>
        <v>0</v>
      </c>
      <c r="N330" s="537">
        <f t="shared" si="1502"/>
        <v>0</v>
      </c>
      <c r="O330" s="537">
        <f t="shared" si="1502"/>
        <v>0</v>
      </c>
      <c r="P330" s="537">
        <f t="shared" si="1502"/>
        <v>0</v>
      </c>
      <c r="Q330" s="537">
        <f t="shared" si="1502"/>
        <v>0</v>
      </c>
      <c r="R330" s="537">
        <f t="shared" si="1502"/>
        <v>0</v>
      </c>
      <c r="S330" s="537">
        <f t="shared" si="1502"/>
        <v>0</v>
      </c>
      <c r="T330" s="537">
        <f t="shared" si="1502"/>
        <v>0</v>
      </c>
      <c r="U330" s="537">
        <f t="shared" si="1502"/>
        <v>0</v>
      </c>
      <c r="V330" s="537">
        <f t="shared" si="1502"/>
        <v>0</v>
      </c>
      <c r="W330" s="537">
        <f t="shared" si="1502"/>
        <v>0</v>
      </c>
      <c r="X330" s="537">
        <f t="shared" si="1502"/>
        <v>0</v>
      </c>
      <c r="Y330" s="537">
        <f t="shared" si="1502"/>
        <v>0</v>
      </c>
      <c r="Z330" s="537">
        <f t="shared" si="1502"/>
        <v>0</v>
      </c>
      <c r="AA330" s="537">
        <f t="shared" si="1502"/>
        <v>2800</v>
      </c>
      <c r="AB330" s="537">
        <f t="shared" si="1502"/>
        <v>1831</v>
      </c>
      <c r="AC330" s="537">
        <f t="shared" si="1502"/>
        <v>974400</v>
      </c>
      <c r="AD330" s="537">
        <f t="shared" si="1502"/>
        <v>5600</v>
      </c>
      <c r="AE330" s="537">
        <f t="shared" si="1502"/>
        <v>1884</v>
      </c>
      <c r="AF330" s="537">
        <f t="shared" si="1502"/>
        <v>2004800</v>
      </c>
      <c r="AG330" s="537">
        <f t="shared" si="1502"/>
        <v>5600</v>
      </c>
      <c r="AH330" s="537">
        <f t="shared" si="1502"/>
        <v>1938</v>
      </c>
      <c r="AI330" s="537">
        <f t="shared" si="1502"/>
        <v>2060800</v>
      </c>
      <c r="AJ330" s="537">
        <f t="shared" si="1502"/>
        <v>5600</v>
      </c>
      <c r="AK330" s="537">
        <f t="shared" si="1502"/>
        <v>1994</v>
      </c>
      <c r="AL330" s="537">
        <f t="shared" si="1502"/>
        <v>2122400</v>
      </c>
      <c r="AM330" s="537">
        <f t="shared" si="1502"/>
        <v>5600</v>
      </c>
      <c r="AN330" s="537">
        <f t="shared" si="1502"/>
        <v>2051</v>
      </c>
      <c r="AO330" s="537">
        <f t="shared" si="1502"/>
        <v>2184000</v>
      </c>
      <c r="AP330" s="537">
        <f t="shared" si="1502"/>
        <v>5600</v>
      </c>
      <c r="AQ330" s="537">
        <f t="shared" si="1502"/>
        <v>2111</v>
      </c>
      <c r="AR330" s="537">
        <f t="shared" si="1502"/>
        <v>2245600</v>
      </c>
      <c r="AS330" s="537">
        <f t="shared" ref="AS330:AU330" si="1503">SUM(AS212:AS217)</f>
        <v>5600</v>
      </c>
      <c r="AT330" s="537">
        <f t="shared" si="1503"/>
        <v>2172</v>
      </c>
      <c r="AU330" s="537">
        <f t="shared" si="1503"/>
        <v>2312800</v>
      </c>
      <c r="AV330" s="537">
        <f t="shared" ref="AV330:AX330" si="1504">SUM(AV212:AV217)</f>
        <v>5600</v>
      </c>
      <c r="AW330" s="537">
        <f t="shared" si="1504"/>
        <v>2236</v>
      </c>
      <c r="AX330" s="537">
        <f t="shared" si="1504"/>
        <v>2380000</v>
      </c>
      <c r="AY330" s="537">
        <f t="shared" ref="AY330:BA330" si="1505">SUM(AY212:AY217)</f>
        <v>5600</v>
      </c>
      <c r="AZ330" s="537">
        <f t="shared" si="1505"/>
        <v>2301</v>
      </c>
      <c r="BA330" s="537">
        <f t="shared" si="1505"/>
        <v>2447200</v>
      </c>
      <c r="BB330" s="537"/>
      <c r="BC330" s="537"/>
      <c r="BD330" s="537"/>
      <c r="BE330" s="537"/>
      <c r="BF330" s="537"/>
      <c r="BG330" s="537"/>
      <c r="BH330" s="537"/>
      <c r="BJ330" s="529">
        <f t="shared" si="1457"/>
        <v>0</v>
      </c>
      <c r="BK330" s="529">
        <f t="shared" si="1458"/>
        <v>0</v>
      </c>
      <c r="BL330" s="529">
        <f t="shared" si="1459"/>
        <v>0</v>
      </c>
      <c r="BM330" s="529">
        <f t="shared" si="1460"/>
        <v>0</v>
      </c>
      <c r="BN330" s="529">
        <f t="shared" si="1461"/>
        <v>0</v>
      </c>
      <c r="BO330" s="529">
        <f t="shared" si="1462"/>
        <v>0</v>
      </c>
      <c r="BP330" s="529">
        <f t="shared" si="1463"/>
        <v>0</v>
      </c>
      <c r="BQ330" s="529">
        <f t="shared" si="1464"/>
        <v>0</v>
      </c>
      <c r="BR330" s="529">
        <f t="shared" si="1465"/>
        <v>0.97440000000000004</v>
      </c>
      <c r="BS330" s="529">
        <f t="shared" si="1466"/>
        <v>2.0047999999999999</v>
      </c>
      <c r="BT330" s="529">
        <f t="shared" si="1467"/>
        <v>2.0608</v>
      </c>
      <c r="BU330" s="529">
        <f t="shared" si="1468"/>
        <v>2.1223999999999998</v>
      </c>
      <c r="BV330" s="529">
        <f t="shared" si="1469"/>
        <v>2.1840000000000002</v>
      </c>
      <c r="BW330" s="529">
        <f t="shared" si="1470"/>
        <v>2.2456</v>
      </c>
      <c r="BX330" s="529">
        <f t="shared" si="1432"/>
        <v>2.3128000000000002</v>
      </c>
      <c r="BY330" s="529">
        <f t="shared" si="1433"/>
        <v>2.38</v>
      </c>
      <c r="BZ330" s="529">
        <f t="shared" si="1434"/>
        <v>2.4472</v>
      </c>
    </row>
    <row r="331" spans="1:78" x14ac:dyDescent="0.2">
      <c r="A331" s="537" t="str">
        <f>A219</f>
        <v>REST OF SOUTH EAST ASIA</v>
      </c>
      <c r="E331" s="537">
        <f>SUM(E219:E224)</f>
        <v>0</v>
      </c>
      <c r="F331" s="537">
        <f t="shared" ref="F331:AR331" si="1506">SUM(F219:F224)</f>
        <v>0</v>
      </c>
      <c r="G331" s="537">
        <f t="shared" si="1506"/>
        <v>0</v>
      </c>
      <c r="H331" s="537">
        <f t="shared" si="1506"/>
        <v>0</v>
      </c>
      <c r="I331" s="537">
        <f t="shared" si="1506"/>
        <v>0</v>
      </c>
      <c r="J331" s="537">
        <f t="shared" si="1506"/>
        <v>0</v>
      </c>
      <c r="K331" s="537">
        <f t="shared" si="1506"/>
        <v>0</v>
      </c>
      <c r="L331" s="537">
        <f t="shared" si="1506"/>
        <v>0</v>
      </c>
      <c r="M331" s="537">
        <f t="shared" si="1506"/>
        <v>0</v>
      </c>
      <c r="N331" s="537">
        <f t="shared" si="1506"/>
        <v>0</v>
      </c>
      <c r="O331" s="537">
        <f t="shared" si="1506"/>
        <v>0</v>
      </c>
      <c r="P331" s="537">
        <f t="shared" si="1506"/>
        <v>0</v>
      </c>
      <c r="Q331" s="537">
        <f t="shared" si="1506"/>
        <v>0</v>
      </c>
      <c r="R331" s="537">
        <f t="shared" si="1506"/>
        <v>0</v>
      </c>
      <c r="S331" s="537">
        <f t="shared" si="1506"/>
        <v>0</v>
      </c>
      <c r="T331" s="537">
        <f t="shared" si="1506"/>
        <v>0</v>
      </c>
      <c r="U331" s="537">
        <f t="shared" si="1506"/>
        <v>0</v>
      </c>
      <c r="V331" s="537">
        <f t="shared" si="1506"/>
        <v>0</v>
      </c>
      <c r="W331" s="537">
        <f t="shared" si="1506"/>
        <v>0</v>
      </c>
      <c r="X331" s="537">
        <f t="shared" si="1506"/>
        <v>0</v>
      </c>
      <c r="Y331" s="537">
        <f t="shared" si="1506"/>
        <v>0</v>
      </c>
      <c r="Z331" s="537">
        <f t="shared" si="1506"/>
        <v>0</v>
      </c>
      <c r="AA331" s="537">
        <f t="shared" si="1506"/>
        <v>0</v>
      </c>
      <c r="AB331" s="537">
        <f t="shared" si="1506"/>
        <v>1837</v>
      </c>
      <c r="AC331" s="537">
        <f t="shared" si="1506"/>
        <v>0</v>
      </c>
      <c r="AD331" s="537">
        <f t="shared" si="1506"/>
        <v>0</v>
      </c>
      <c r="AE331" s="537">
        <f t="shared" si="1506"/>
        <v>1890</v>
      </c>
      <c r="AF331" s="537">
        <f t="shared" si="1506"/>
        <v>0</v>
      </c>
      <c r="AG331" s="537">
        <f t="shared" si="1506"/>
        <v>0</v>
      </c>
      <c r="AH331" s="537">
        <f t="shared" si="1506"/>
        <v>1944</v>
      </c>
      <c r="AI331" s="537">
        <f t="shared" si="1506"/>
        <v>0</v>
      </c>
      <c r="AJ331" s="537">
        <f t="shared" si="1506"/>
        <v>0</v>
      </c>
      <c r="AK331" s="537">
        <f t="shared" si="1506"/>
        <v>2000</v>
      </c>
      <c r="AL331" s="537">
        <f t="shared" si="1506"/>
        <v>0</v>
      </c>
      <c r="AM331" s="537">
        <f t="shared" si="1506"/>
        <v>0</v>
      </c>
      <c r="AN331" s="537">
        <f t="shared" si="1506"/>
        <v>2057</v>
      </c>
      <c r="AO331" s="537">
        <f t="shared" si="1506"/>
        <v>0</v>
      </c>
      <c r="AP331" s="537">
        <f t="shared" si="1506"/>
        <v>0</v>
      </c>
      <c r="AQ331" s="537">
        <f t="shared" si="1506"/>
        <v>2117</v>
      </c>
      <c r="AR331" s="537">
        <f t="shared" si="1506"/>
        <v>0</v>
      </c>
      <c r="AS331" s="537">
        <f t="shared" ref="AS331:AU331" si="1507">SUM(AS219:AS224)</f>
        <v>0</v>
      </c>
      <c r="AT331" s="537">
        <f t="shared" si="1507"/>
        <v>2178</v>
      </c>
      <c r="AU331" s="537">
        <f t="shared" si="1507"/>
        <v>0</v>
      </c>
      <c r="AV331" s="537">
        <f t="shared" ref="AV331:AX331" si="1508">SUM(AV219:AV224)</f>
        <v>0</v>
      </c>
      <c r="AW331" s="537">
        <f t="shared" si="1508"/>
        <v>2242</v>
      </c>
      <c r="AX331" s="537">
        <f t="shared" si="1508"/>
        <v>0</v>
      </c>
      <c r="AY331" s="537">
        <f t="shared" ref="AY331:BA331" si="1509">SUM(AY219:AY224)</f>
        <v>0</v>
      </c>
      <c r="AZ331" s="537">
        <f t="shared" si="1509"/>
        <v>2307</v>
      </c>
      <c r="BA331" s="537">
        <f t="shared" si="1509"/>
        <v>0</v>
      </c>
      <c r="BB331" s="537"/>
      <c r="BC331" s="537"/>
      <c r="BD331" s="537"/>
      <c r="BE331" s="537"/>
      <c r="BF331" s="537"/>
      <c r="BG331" s="537"/>
      <c r="BH331" s="537"/>
      <c r="BJ331" s="529">
        <f t="shared" si="1457"/>
        <v>0</v>
      </c>
      <c r="BK331" s="529">
        <f t="shared" si="1458"/>
        <v>0</v>
      </c>
      <c r="BL331" s="529">
        <f t="shared" si="1459"/>
        <v>0</v>
      </c>
      <c r="BM331" s="529">
        <f t="shared" si="1460"/>
        <v>0</v>
      </c>
      <c r="BN331" s="529">
        <f t="shared" si="1461"/>
        <v>0</v>
      </c>
      <c r="BO331" s="529">
        <f t="shared" si="1462"/>
        <v>0</v>
      </c>
      <c r="BP331" s="529">
        <f t="shared" si="1463"/>
        <v>0</v>
      </c>
      <c r="BQ331" s="529">
        <f t="shared" si="1464"/>
        <v>0</v>
      </c>
      <c r="BR331" s="529">
        <f t="shared" si="1465"/>
        <v>0</v>
      </c>
      <c r="BS331" s="529">
        <f t="shared" si="1466"/>
        <v>0</v>
      </c>
      <c r="BT331" s="529">
        <f t="shared" si="1467"/>
        <v>0</v>
      </c>
      <c r="BU331" s="529">
        <f t="shared" si="1468"/>
        <v>0</v>
      </c>
      <c r="BV331" s="529">
        <f t="shared" si="1469"/>
        <v>0</v>
      </c>
      <c r="BW331" s="529">
        <f t="shared" si="1470"/>
        <v>0</v>
      </c>
      <c r="BX331" s="529">
        <f t="shared" si="1432"/>
        <v>0</v>
      </c>
      <c r="BY331" s="529">
        <f t="shared" si="1433"/>
        <v>0</v>
      </c>
      <c r="BZ331" s="529">
        <f t="shared" si="1434"/>
        <v>0</v>
      </c>
    </row>
    <row r="332" spans="1:78" x14ac:dyDescent="0.2">
      <c r="A332" s="537" t="str">
        <f>A226</f>
        <v>INDIA</v>
      </c>
      <c r="E332" s="537">
        <f>SUM(E226:E231)</f>
        <v>0</v>
      </c>
      <c r="F332" s="537">
        <f t="shared" ref="F332:AR332" si="1510">SUM(F226:F231)</f>
        <v>0</v>
      </c>
      <c r="G332" s="537">
        <f t="shared" si="1510"/>
        <v>0</v>
      </c>
      <c r="H332" s="537">
        <f t="shared" si="1510"/>
        <v>0</v>
      </c>
      <c r="I332" s="537">
        <f t="shared" si="1510"/>
        <v>0</v>
      </c>
      <c r="J332" s="537">
        <f t="shared" si="1510"/>
        <v>0</v>
      </c>
      <c r="K332" s="537">
        <f t="shared" si="1510"/>
        <v>0</v>
      </c>
      <c r="L332" s="537">
        <f t="shared" si="1510"/>
        <v>0</v>
      </c>
      <c r="M332" s="537">
        <f t="shared" si="1510"/>
        <v>0</v>
      </c>
      <c r="N332" s="537">
        <f t="shared" si="1510"/>
        <v>0</v>
      </c>
      <c r="O332" s="537">
        <f t="shared" si="1510"/>
        <v>0</v>
      </c>
      <c r="P332" s="537">
        <f t="shared" si="1510"/>
        <v>0</v>
      </c>
      <c r="Q332" s="537">
        <f t="shared" si="1510"/>
        <v>0</v>
      </c>
      <c r="R332" s="537">
        <f t="shared" si="1510"/>
        <v>0</v>
      </c>
      <c r="S332" s="537">
        <f t="shared" si="1510"/>
        <v>0</v>
      </c>
      <c r="T332" s="537">
        <f t="shared" si="1510"/>
        <v>0</v>
      </c>
      <c r="U332" s="537">
        <f t="shared" si="1510"/>
        <v>0</v>
      </c>
      <c r="V332" s="537">
        <f t="shared" si="1510"/>
        <v>0</v>
      </c>
      <c r="W332" s="537">
        <f t="shared" si="1510"/>
        <v>0</v>
      </c>
      <c r="X332" s="537">
        <f t="shared" si="1510"/>
        <v>0</v>
      </c>
      <c r="Y332" s="537">
        <f t="shared" si="1510"/>
        <v>0</v>
      </c>
      <c r="Z332" s="537">
        <f t="shared" si="1510"/>
        <v>0</v>
      </c>
      <c r="AA332" s="537">
        <f t="shared" si="1510"/>
        <v>13500</v>
      </c>
      <c r="AB332" s="537">
        <f t="shared" si="1510"/>
        <v>1795.8400000000001</v>
      </c>
      <c r="AC332" s="537">
        <f t="shared" si="1510"/>
        <v>5245968</v>
      </c>
      <c r="AD332" s="537">
        <f t="shared" si="1510"/>
        <v>27000</v>
      </c>
      <c r="AE332" s="537">
        <f t="shared" si="1510"/>
        <v>1849.76</v>
      </c>
      <c r="AF332" s="537">
        <f t="shared" si="1510"/>
        <v>10804560</v>
      </c>
      <c r="AG332" s="537">
        <f t="shared" si="1510"/>
        <v>27000</v>
      </c>
      <c r="AH332" s="537">
        <f t="shared" si="1510"/>
        <v>1904.68</v>
      </c>
      <c r="AI332" s="537">
        <f t="shared" si="1510"/>
        <v>11117184</v>
      </c>
      <c r="AJ332" s="537">
        <f t="shared" si="1510"/>
        <v>27000</v>
      </c>
      <c r="AK332" s="537">
        <f t="shared" si="1510"/>
        <v>1961.68</v>
      </c>
      <c r="AL332" s="537">
        <f t="shared" si="1510"/>
        <v>11457888</v>
      </c>
      <c r="AM332" s="537">
        <f t="shared" si="1510"/>
        <v>27000</v>
      </c>
      <c r="AN332" s="537">
        <f t="shared" si="1510"/>
        <v>2019.68</v>
      </c>
      <c r="AO332" s="537">
        <f t="shared" si="1510"/>
        <v>11798592</v>
      </c>
      <c r="AP332" s="537">
        <f t="shared" si="1510"/>
        <v>27000</v>
      </c>
      <c r="AQ332" s="537">
        <f t="shared" si="1510"/>
        <v>2080.7200000000003</v>
      </c>
      <c r="AR332" s="537">
        <f t="shared" si="1510"/>
        <v>12149904</v>
      </c>
      <c r="AS332" s="537">
        <f t="shared" ref="AS332:AU332" si="1511">SUM(AS226:AS231)</f>
        <v>27000</v>
      </c>
      <c r="AT332" s="537">
        <f t="shared" si="1511"/>
        <v>2142.8000000000002</v>
      </c>
      <c r="AU332" s="537">
        <f t="shared" si="1511"/>
        <v>12518688</v>
      </c>
      <c r="AV332" s="537">
        <f t="shared" ref="AV332:AX332" si="1512">SUM(AV226:AV231)</f>
        <v>27000</v>
      </c>
      <c r="AW332" s="537">
        <f t="shared" si="1512"/>
        <v>2207.92</v>
      </c>
      <c r="AX332" s="537">
        <f t="shared" si="1512"/>
        <v>12898080</v>
      </c>
      <c r="AY332" s="537">
        <f t="shared" ref="AY332:BA332" si="1513">SUM(AY226:AY231)</f>
        <v>27000</v>
      </c>
      <c r="AZ332" s="537">
        <f t="shared" si="1513"/>
        <v>2274.04</v>
      </c>
      <c r="BA332" s="537">
        <f t="shared" si="1513"/>
        <v>13277472</v>
      </c>
      <c r="BB332" s="537"/>
      <c r="BC332" s="537"/>
      <c r="BD332" s="537"/>
      <c r="BE332" s="537"/>
      <c r="BF332" s="537"/>
      <c r="BG332" s="537"/>
      <c r="BH332" s="537"/>
      <c r="BJ332" s="529">
        <f t="shared" si="1457"/>
        <v>0</v>
      </c>
      <c r="BK332" s="529">
        <f t="shared" si="1458"/>
        <v>0</v>
      </c>
      <c r="BL332" s="529">
        <f t="shared" si="1459"/>
        <v>0</v>
      </c>
      <c r="BM332" s="529">
        <f t="shared" si="1460"/>
        <v>0</v>
      </c>
      <c r="BN332" s="529">
        <f t="shared" si="1461"/>
        <v>0</v>
      </c>
      <c r="BO332" s="529">
        <f t="shared" si="1462"/>
        <v>0</v>
      </c>
      <c r="BP332" s="529">
        <f t="shared" si="1463"/>
        <v>0</v>
      </c>
      <c r="BQ332" s="529">
        <f t="shared" si="1464"/>
        <v>0</v>
      </c>
      <c r="BR332" s="529">
        <f t="shared" si="1465"/>
        <v>5.2459680000000004</v>
      </c>
      <c r="BS332" s="529">
        <f t="shared" si="1466"/>
        <v>10.80456</v>
      </c>
      <c r="BT332" s="529">
        <f t="shared" si="1467"/>
        <v>11.117184</v>
      </c>
      <c r="BU332" s="529">
        <f t="shared" si="1468"/>
        <v>11.457888000000001</v>
      </c>
      <c r="BV332" s="529">
        <f t="shared" si="1469"/>
        <v>11.798591999999999</v>
      </c>
      <c r="BW332" s="529">
        <f t="shared" si="1470"/>
        <v>12.149903999999999</v>
      </c>
      <c r="BX332" s="529">
        <f t="shared" si="1432"/>
        <v>12.518687999999999</v>
      </c>
      <c r="BY332" s="529">
        <f t="shared" si="1433"/>
        <v>12.89808</v>
      </c>
      <c r="BZ332" s="529">
        <f t="shared" si="1434"/>
        <v>13.277471999999999</v>
      </c>
    </row>
    <row r="333" spans="1:78" x14ac:dyDescent="0.2">
      <c r="A333" s="537" t="str">
        <f>A233</f>
        <v>PAKISTAN</v>
      </c>
      <c r="E333" s="537">
        <f>SUM(E233:E238)</f>
        <v>0</v>
      </c>
      <c r="F333" s="537">
        <f t="shared" ref="F333:AR333" si="1514">SUM(F233:F238)</f>
        <v>0</v>
      </c>
      <c r="G333" s="537">
        <f t="shared" si="1514"/>
        <v>0</v>
      </c>
      <c r="H333" s="537">
        <f t="shared" si="1514"/>
        <v>0</v>
      </c>
      <c r="I333" s="537">
        <f t="shared" si="1514"/>
        <v>0</v>
      </c>
      <c r="J333" s="537">
        <f t="shared" si="1514"/>
        <v>0</v>
      </c>
      <c r="K333" s="537">
        <f t="shared" si="1514"/>
        <v>0</v>
      </c>
      <c r="L333" s="537">
        <f t="shared" si="1514"/>
        <v>0</v>
      </c>
      <c r="M333" s="537">
        <f t="shared" si="1514"/>
        <v>0</v>
      </c>
      <c r="N333" s="537">
        <f t="shared" si="1514"/>
        <v>0</v>
      </c>
      <c r="O333" s="537">
        <f t="shared" si="1514"/>
        <v>0</v>
      </c>
      <c r="P333" s="537">
        <f t="shared" si="1514"/>
        <v>0</v>
      </c>
      <c r="Q333" s="537">
        <f t="shared" si="1514"/>
        <v>0</v>
      </c>
      <c r="R333" s="537">
        <f t="shared" si="1514"/>
        <v>0</v>
      </c>
      <c r="S333" s="537">
        <f t="shared" si="1514"/>
        <v>0</v>
      </c>
      <c r="T333" s="537">
        <f t="shared" si="1514"/>
        <v>0</v>
      </c>
      <c r="U333" s="537">
        <f t="shared" si="1514"/>
        <v>0</v>
      </c>
      <c r="V333" s="537">
        <f t="shared" si="1514"/>
        <v>0</v>
      </c>
      <c r="W333" s="537">
        <f t="shared" si="1514"/>
        <v>0</v>
      </c>
      <c r="X333" s="537">
        <f t="shared" si="1514"/>
        <v>0</v>
      </c>
      <c r="Y333" s="537">
        <f t="shared" si="1514"/>
        <v>0</v>
      </c>
      <c r="Z333" s="537">
        <f t="shared" si="1514"/>
        <v>0</v>
      </c>
      <c r="AA333" s="537">
        <f t="shared" si="1514"/>
        <v>1000</v>
      </c>
      <c r="AB333" s="537">
        <f t="shared" si="1514"/>
        <v>1906.2000000000003</v>
      </c>
      <c r="AC333" s="537">
        <f t="shared" si="1514"/>
        <v>340200.00000000006</v>
      </c>
      <c r="AD333" s="537">
        <f t="shared" si="1514"/>
        <v>2000</v>
      </c>
      <c r="AE333" s="537">
        <f t="shared" si="1514"/>
        <v>1963.44</v>
      </c>
      <c r="AF333" s="537">
        <f t="shared" si="1514"/>
        <v>699840</v>
      </c>
      <c r="AG333" s="537">
        <f t="shared" si="1514"/>
        <v>2000</v>
      </c>
      <c r="AH333" s="537">
        <f t="shared" si="1514"/>
        <v>2021.76</v>
      </c>
      <c r="AI333" s="537">
        <f t="shared" si="1514"/>
        <v>721440</v>
      </c>
      <c r="AJ333" s="537">
        <f t="shared" si="1514"/>
        <v>2000</v>
      </c>
      <c r="AK333" s="537">
        <f t="shared" si="1514"/>
        <v>2082.2400000000002</v>
      </c>
      <c r="AL333" s="537">
        <f t="shared" si="1514"/>
        <v>743040.00000000012</v>
      </c>
      <c r="AM333" s="537">
        <f t="shared" si="1514"/>
        <v>2000</v>
      </c>
      <c r="AN333" s="537">
        <f t="shared" si="1514"/>
        <v>2143.8000000000002</v>
      </c>
      <c r="AO333" s="537">
        <f t="shared" si="1514"/>
        <v>764640.00000000012</v>
      </c>
      <c r="AP333" s="537">
        <f t="shared" si="1514"/>
        <v>2000</v>
      </c>
      <c r="AQ333" s="537">
        <f t="shared" si="1514"/>
        <v>2208.6000000000004</v>
      </c>
      <c r="AR333" s="537">
        <f t="shared" si="1514"/>
        <v>788400.00000000012</v>
      </c>
      <c r="AS333" s="537">
        <f t="shared" ref="AS333:AU333" si="1515">SUM(AS233:AS238)</f>
        <v>2000</v>
      </c>
      <c r="AT333" s="537">
        <f t="shared" si="1515"/>
        <v>2274.48</v>
      </c>
      <c r="AU333" s="537">
        <f t="shared" si="1515"/>
        <v>812160.00000000012</v>
      </c>
      <c r="AV333" s="537">
        <f t="shared" ref="AV333:AX333" si="1516">SUM(AV233:AV238)</f>
        <v>2000</v>
      </c>
      <c r="AW333" s="537">
        <f t="shared" si="1516"/>
        <v>2343.6000000000004</v>
      </c>
      <c r="AX333" s="537">
        <f t="shared" si="1516"/>
        <v>835920.00000000012</v>
      </c>
      <c r="AY333" s="537">
        <f t="shared" ref="AY333:BA333" si="1517">SUM(AY233:AY238)</f>
        <v>2000</v>
      </c>
      <c r="AZ333" s="537">
        <f t="shared" si="1517"/>
        <v>2413.8000000000002</v>
      </c>
      <c r="BA333" s="537">
        <f t="shared" si="1517"/>
        <v>861840</v>
      </c>
      <c r="BB333" s="537"/>
      <c r="BC333" s="537"/>
      <c r="BD333" s="537"/>
      <c r="BE333" s="537"/>
      <c r="BF333" s="537"/>
      <c r="BG333" s="537"/>
      <c r="BH333" s="537"/>
      <c r="BJ333" s="529">
        <f t="shared" si="1457"/>
        <v>0</v>
      </c>
      <c r="BK333" s="529">
        <f t="shared" si="1458"/>
        <v>0</v>
      </c>
      <c r="BL333" s="529">
        <f t="shared" si="1459"/>
        <v>0</v>
      </c>
      <c r="BM333" s="529">
        <f t="shared" si="1460"/>
        <v>0</v>
      </c>
      <c r="BN333" s="529">
        <f t="shared" si="1461"/>
        <v>0</v>
      </c>
      <c r="BO333" s="529">
        <f t="shared" si="1462"/>
        <v>0</v>
      </c>
      <c r="BP333" s="529">
        <f t="shared" si="1463"/>
        <v>0</v>
      </c>
      <c r="BQ333" s="529">
        <f t="shared" si="1464"/>
        <v>0</v>
      </c>
      <c r="BR333" s="529">
        <f t="shared" si="1465"/>
        <v>0.34020000000000006</v>
      </c>
      <c r="BS333" s="529">
        <f t="shared" si="1466"/>
        <v>0.69984000000000002</v>
      </c>
      <c r="BT333" s="529">
        <f t="shared" si="1467"/>
        <v>0.72143999999999997</v>
      </c>
      <c r="BU333" s="529">
        <f t="shared" si="1468"/>
        <v>0.74304000000000014</v>
      </c>
      <c r="BV333" s="529">
        <f t="shared" si="1469"/>
        <v>0.7646400000000001</v>
      </c>
      <c r="BW333" s="529">
        <f t="shared" si="1470"/>
        <v>0.7884000000000001</v>
      </c>
      <c r="BX333" s="529">
        <f t="shared" si="1432"/>
        <v>0.8121600000000001</v>
      </c>
      <c r="BY333" s="529">
        <f t="shared" si="1433"/>
        <v>0.83592000000000011</v>
      </c>
      <c r="BZ333" s="529">
        <f t="shared" si="1434"/>
        <v>0.86184000000000005</v>
      </c>
    </row>
    <row r="334" spans="1:78" x14ac:dyDescent="0.2">
      <c r="A334" s="537" t="str">
        <f>A240</f>
        <v>REST OF SOUTH ASIA</v>
      </c>
      <c r="E334" s="537">
        <f>SUM(E240:E245)</f>
        <v>0</v>
      </c>
      <c r="F334" s="537">
        <f t="shared" ref="F334:AR334" si="1518">SUM(F240:F245)</f>
        <v>0</v>
      </c>
      <c r="G334" s="537">
        <f t="shared" si="1518"/>
        <v>0</v>
      </c>
      <c r="H334" s="537">
        <f t="shared" si="1518"/>
        <v>0</v>
      </c>
      <c r="I334" s="537">
        <f t="shared" si="1518"/>
        <v>0</v>
      </c>
      <c r="J334" s="537">
        <f t="shared" si="1518"/>
        <v>0</v>
      </c>
      <c r="K334" s="537">
        <f t="shared" si="1518"/>
        <v>0</v>
      </c>
      <c r="L334" s="537">
        <f t="shared" si="1518"/>
        <v>0</v>
      </c>
      <c r="M334" s="537">
        <f t="shared" si="1518"/>
        <v>0</v>
      </c>
      <c r="N334" s="537">
        <f t="shared" si="1518"/>
        <v>0</v>
      </c>
      <c r="O334" s="537">
        <f t="shared" si="1518"/>
        <v>0</v>
      </c>
      <c r="P334" s="537">
        <f t="shared" si="1518"/>
        <v>0</v>
      </c>
      <c r="Q334" s="537">
        <f t="shared" si="1518"/>
        <v>0</v>
      </c>
      <c r="R334" s="537">
        <f t="shared" si="1518"/>
        <v>0</v>
      </c>
      <c r="S334" s="537">
        <f t="shared" si="1518"/>
        <v>0</v>
      </c>
      <c r="T334" s="537">
        <f t="shared" si="1518"/>
        <v>0</v>
      </c>
      <c r="U334" s="537">
        <f t="shared" si="1518"/>
        <v>0</v>
      </c>
      <c r="V334" s="537">
        <f t="shared" si="1518"/>
        <v>0</v>
      </c>
      <c r="W334" s="537">
        <f t="shared" si="1518"/>
        <v>0</v>
      </c>
      <c r="X334" s="537">
        <f t="shared" si="1518"/>
        <v>0</v>
      </c>
      <c r="Y334" s="537">
        <f t="shared" si="1518"/>
        <v>0</v>
      </c>
      <c r="Z334" s="537">
        <f t="shared" si="1518"/>
        <v>0</v>
      </c>
      <c r="AA334" s="537">
        <f t="shared" si="1518"/>
        <v>0</v>
      </c>
      <c r="AB334" s="537">
        <f t="shared" si="1518"/>
        <v>1941.5000000000002</v>
      </c>
      <c r="AC334" s="537">
        <f t="shared" si="1518"/>
        <v>0</v>
      </c>
      <c r="AD334" s="537">
        <f t="shared" si="1518"/>
        <v>0</v>
      </c>
      <c r="AE334" s="537">
        <f t="shared" si="1518"/>
        <v>1999.8000000000002</v>
      </c>
      <c r="AF334" s="537">
        <f t="shared" si="1518"/>
        <v>0</v>
      </c>
      <c r="AG334" s="537">
        <f t="shared" si="1518"/>
        <v>0</v>
      </c>
      <c r="AH334" s="537">
        <f t="shared" si="1518"/>
        <v>2059.2000000000003</v>
      </c>
      <c r="AI334" s="537">
        <f t="shared" si="1518"/>
        <v>0</v>
      </c>
      <c r="AJ334" s="537">
        <f t="shared" si="1518"/>
        <v>0</v>
      </c>
      <c r="AK334" s="537">
        <f t="shared" si="1518"/>
        <v>2120.8000000000002</v>
      </c>
      <c r="AL334" s="537">
        <f t="shared" si="1518"/>
        <v>0</v>
      </c>
      <c r="AM334" s="537">
        <f t="shared" si="1518"/>
        <v>0</v>
      </c>
      <c r="AN334" s="537">
        <f t="shared" si="1518"/>
        <v>2183.5000000000005</v>
      </c>
      <c r="AO334" s="537">
        <f t="shared" si="1518"/>
        <v>0</v>
      </c>
      <c r="AP334" s="537">
        <f t="shared" si="1518"/>
        <v>0</v>
      </c>
      <c r="AQ334" s="537">
        <f t="shared" si="1518"/>
        <v>2249.5</v>
      </c>
      <c r="AR334" s="537">
        <f t="shared" si="1518"/>
        <v>0</v>
      </c>
      <c r="AS334" s="537">
        <f t="shared" ref="AS334:AU334" si="1519">SUM(AS240:AS245)</f>
        <v>0</v>
      </c>
      <c r="AT334" s="537">
        <f t="shared" si="1519"/>
        <v>2316.6000000000004</v>
      </c>
      <c r="AU334" s="537">
        <f t="shared" si="1519"/>
        <v>0</v>
      </c>
      <c r="AV334" s="537">
        <f t="shared" ref="AV334:AX334" si="1520">SUM(AV240:AV245)</f>
        <v>0</v>
      </c>
      <c r="AW334" s="537">
        <f t="shared" si="1520"/>
        <v>2387.0000000000005</v>
      </c>
      <c r="AX334" s="537">
        <f t="shared" si="1520"/>
        <v>0</v>
      </c>
      <c r="AY334" s="537">
        <f t="shared" ref="AY334:BA334" si="1521">SUM(AY240:AY245)</f>
        <v>0</v>
      </c>
      <c r="AZ334" s="537">
        <f t="shared" si="1521"/>
        <v>2458.5</v>
      </c>
      <c r="BA334" s="537">
        <f t="shared" si="1521"/>
        <v>0</v>
      </c>
      <c r="BB334" s="537"/>
      <c r="BC334" s="537"/>
      <c r="BD334" s="537"/>
      <c r="BE334" s="537"/>
      <c r="BF334" s="537"/>
      <c r="BG334" s="537"/>
      <c r="BH334" s="537"/>
      <c r="BJ334" s="529">
        <f t="shared" si="1457"/>
        <v>0</v>
      </c>
      <c r="BK334" s="529">
        <f t="shared" si="1458"/>
        <v>0</v>
      </c>
      <c r="BL334" s="529">
        <f t="shared" si="1459"/>
        <v>0</v>
      </c>
      <c r="BM334" s="529">
        <f t="shared" si="1460"/>
        <v>0</v>
      </c>
      <c r="BN334" s="529">
        <f t="shared" si="1461"/>
        <v>0</v>
      </c>
      <c r="BO334" s="529">
        <f t="shared" si="1462"/>
        <v>0</v>
      </c>
      <c r="BP334" s="529">
        <f t="shared" si="1463"/>
        <v>0</v>
      </c>
      <c r="BQ334" s="529">
        <f t="shared" si="1464"/>
        <v>0</v>
      </c>
      <c r="BR334" s="529">
        <f t="shared" si="1465"/>
        <v>0</v>
      </c>
      <c r="BS334" s="529">
        <f t="shared" si="1466"/>
        <v>0</v>
      </c>
      <c r="BT334" s="529">
        <f t="shared" si="1467"/>
        <v>0</v>
      </c>
      <c r="BU334" s="529">
        <f t="shared" si="1468"/>
        <v>0</v>
      </c>
      <c r="BV334" s="529">
        <f t="shared" si="1469"/>
        <v>0</v>
      </c>
      <c r="BW334" s="529">
        <f t="shared" si="1470"/>
        <v>0</v>
      </c>
      <c r="BX334" s="529">
        <f t="shared" si="1432"/>
        <v>0</v>
      </c>
      <c r="BY334" s="529">
        <f t="shared" si="1433"/>
        <v>0</v>
      </c>
      <c r="BZ334" s="529">
        <f t="shared" si="1434"/>
        <v>0</v>
      </c>
    </row>
    <row r="335" spans="1:78" x14ac:dyDescent="0.2">
      <c r="A335" s="537" t="str">
        <f>A247</f>
        <v>LITUANIA</v>
      </c>
      <c r="E335" s="537">
        <f>SUM(E247:E252)</f>
        <v>0</v>
      </c>
      <c r="F335" s="537">
        <f t="shared" ref="F335:AR335" si="1522">SUM(F247:F252)</f>
        <v>0</v>
      </c>
      <c r="G335" s="537">
        <f t="shared" si="1522"/>
        <v>0</v>
      </c>
      <c r="H335" s="537">
        <f t="shared" si="1522"/>
        <v>0</v>
      </c>
      <c r="I335" s="537">
        <f t="shared" si="1522"/>
        <v>0</v>
      </c>
      <c r="J335" s="537">
        <f t="shared" si="1522"/>
        <v>0</v>
      </c>
      <c r="K335" s="537">
        <f t="shared" si="1522"/>
        <v>0</v>
      </c>
      <c r="L335" s="537">
        <f t="shared" si="1522"/>
        <v>0</v>
      </c>
      <c r="M335" s="537">
        <f t="shared" si="1522"/>
        <v>0</v>
      </c>
      <c r="N335" s="537">
        <f t="shared" si="1522"/>
        <v>0</v>
      </c>
      <c r="O335" s="537">
        <f t="shared" si="1522"/>
        <v>0</v>
      </c>
      <c r="P335" s="537">
        <f t="shared" si="1522"/>
        <v>0</v>
      </c>
      <c r="Q335" s="537">
        <f t="shared" si="1522"/>
        <v>0</v>
      </c>
      <c r="R335" s="537">
        <f t="shared" si="1522"/>
        <v>0</v>
      </c>
      <c r="S335" s="537">
        <f t="shared" si="1522"/>
        <v>0</v>
      </c>
      <c r="T335" s="537">
        <f t="shared" si="1522"/>
        <v>0</v>
      </c>
      <c r="U335" s="537">
        <f t="shared" si="1522"/>
        <v>0</v>
      </c>
      <c r="V335" s="537">
        <f t="shared" si="1522"/>
        <v>0</v>
      </c>
      <c r="W335" s="537">
        <f t="shared" si="1522"/>
        <v>0</v>
      </c>
      <c r="X335" s="537">
        <f t="shared" si="1522"/>
        <v>0</v>
      </c>
      <c r="Y335" s="537">
        <f t="shared" si="1522"/>
        <v>0</v>
      </c>
      <c r="Z335" s="537">
        <f t="shared" si="1522"/>
        <v>0</v>
      </c>
      <c r="AA335" s="537">
        <f t="shared" si="1522"/>
        <v>6925</v>
      </c>
      <c r="AB335" s="537">
        <f t="shared" si="1522"/>
        <v>1711</v>
      </c>
      <c r="AC335" s="537">
        <f t="shared" si="1522"/>
        <v>2316625</v>
      </c>
      <c r="AD335" s="537">
        <f t="shared" si="1522"/>
        <v>13850</v>
      </c>
      <c r="AE335" s="537">
        <f t="shared" si="1522"/>
        <v>1764</v>
      </c>
      <c r="AF335" s="537">
        <f t="shared" si="1522"/>
        <v>4778700</v>
      </c>
      <c r="AG335" s="537">
        <f t="shared" si="1522"/>
        <v>13850</v>
      </c>
      <c r="AH335" s="537">
        <f t="shared" si="1522"/>
        <v>1818</v>
      </c>
      <c r="AI335" s="537">
        <f t="shared" si="1522"/>
        <v>4926950</v>
      </c>
      <c r="AJ335" s="537">
        <f t="shared" si="1522"/>
        <v>13850</v>
      </c>
      <c r="AK335" s="537">
        <f t="shared" si="1522"/>
        <v>1874</v>
      </c>
      <c r="AL335" s="537">
        <f t="shared" si="1522"/>
        <v>5076050</v>
      </c>
      <c r="AM335" s="537">
        <f t="shared" si="1522"/>
        <v>13850</v>
      </c>
      <c r="AN335" s="537">
        <f t="shared" si="1522"/>
        <v>1931</v>
      </c>
      <c r="AO335" s="537">
        <f t="shared" si="1522"/>
        <v>5228150</v>
      </c>
      <c r="AP335" s="537">
        <f t="shared" si="1522"/>
        <v>13850</v>
      </c>
      <c r="AQ335" s="537">
        <f t="shared" si="1522"/>
        <v>1991</v>
      </c>
      <c r="AR335" s="537">
        <f t="shared" si="1522"/>
        <v>5391100</v>
      </c>
      <c r="AS335" s="537">
        <f t="shared" ref="AS335:AU335" si="1523">SUM(AS247:AS252)</f>
        <v>13850</v>
      </c>
      <c r="AT335" s="537">
        <f t="shared" si="1523"/>
        <v>2052</v>
      </c>
      <c r="AU335" s="537">
        <f t="shared" si="1523"/>
        <v>5554050</v>
      </c>
      <c r="AV335" s="537">
        <f t="shared" ref="AV335:AX335" si="1524">SUM(AV247:AV252)</f>
        <v>13850</v>
      </c>
      <c r="AW335" s="537">
        <f t="shared" si="1524"/>
        <v>2116</v>
      </c>
      <c r="AX335" s="537">
        <f t="shared" si="1524"/>
        <v>5728050</v>
      </c>
      <c r="AY335" s="537">
        <f t="shared" ref="AY335:BA335" si="1525">SUM(AY247:AY252)</f>
        <v>13850</v>
      </c>
      <c r="AZ335" s="537">
        <f t="shared" si="1525"/>
        <v>2181</v>
      </c>
      <c r="BA335" s="537">
        <f t="shared" si="1525"/>
        <v>5904850</v>
      </c>
      <c r="BB335" s="537"/>
      <c r="BC335" s="537"/>
      <c r="BD335" s="537"/>
      <c r="BE335" s="537"/>
      <c r="BF335" s="537"/>
      <c r="BG335" s="537"/>
      <c r="BH335" s="537"/>
      <c r="BJ335" s="529">
        <f t="shared" si="1457"/>
        <v>0</v>
      </c>
      <c r="BK335" s="529">
        <f t="shared" si="1458"/>
        <v>0</v>
      </c>
      <c r="BL335" s="529">
        <f t="shared" si="1459"/>
        <v>0</v>
      </c>
      <c r="BM335" s="529">
        <f t="shared" si="1460"/>
        <v>0</v>
      </c>
      <c r="BN335" s="529">
        <f t="shared" si="1461"/>
        <v>0</v>
      </c>
      <c r="BO335" s="529">
        <f t="shared" si="1462"/>
        <v>0</v>
      </c>
      <c r="BP335" s="529">
        <f t="shared" si="1463"/>
        <v>0</v>
      </c>
      <c r="BQ335" s="529">
        <f t="shared" si="1464"/>
        <v>0</v>
      </c>
      <c r="BR335" s="529">
        <f t="shared" si="1465"/>
        <v>2.3166250000000002</v>
      </c>
      <c r="BS335" s="529">
        <f t="shared" si="1466"/>
        <v>4.7786999999999997</v>
      </c>
      <c r="BT335" s="529">
        <f t="shared" si="1467"/>
        <v>4.9269499999999997</v>
      </c>
      <c r="BU335" s="529">
        <f t="shared" si="1468"/>
        <v>5.0760500000000004</v>
      </c>
      <c r="BV335" s="529">
        <f t="shared" si="1469"/>
        <v>5.2281500000000003</v>
      </c>
      <c r="BW335" s="529">
        <f t="shared" si="1470"/>
        <v>5.3910999999999998</v>
      </c>
      <c r="BX335" s="529">
        <f t="shared" si="1432"/>
        <v>5.5540500000000002</v>
      </c>
      <c r="BY335" s="529">
        <f t="shared" si="1433"/>
        <v>5.7280499999999996</v>
      </c>
      <c r="BZ335" s="529">
        <f t="shared" si="1434"/>
        <v>5.9048499999999997</v>
      </c>
    </row>
    <row r="336" spans="1:78" x14ac:dyDescent="0.2">
      <c r="A336" s="537" t="str">
        <f>A254</f>
        <v>LATVIA</v>
      </c>
      <c r="E336" s="537">
        <f>SUM(E254:E259)</f>
        <v>0</v>
      </c>
      <c r="F336" s="537">
        <f t="shared" ref="F336:AR336" si="1526">SUM(F254:F259)</f>
        <v>0</v>
      </c>
      <c r="G336" s="537">
        <f t="shared" si="1526"/>
        <v>0</v>
      </c>
      <c r="H336" s="537">
        <f t="shared" si="1526"/>
        <v>0</v>
      </c>
      <c r="I336" s="537">
        <f t="shared" si="1526"/>
        <v>0</v>
      </c>
      <c r="J336" s="537">
        <f t="shared" si="1526"/>
        <v>0</v>
      </c>
      <c r="K336" s="537">
        <f t="shared" si="1526"/>
        <v>0</v>
      </c>
      <c r="L336" s="537">
        <f t="shared" si="1526"/>
        <v>0</v>
      </c>
      <c r="M336" s="537">
        <f t="shared" si="1526"/>
        <v>0</v>
      </c>
      <c r="N336" s="537">
        <f t="shared" si="1526"/>
        <v>0</v>
      </c>
      <c r="O336" s="537">
        <f t="shared" si="1526"/>
        <v>0</v>
      </c>
      <c r="P336" s="537">
        <f t="shared" si="1526"/>
        <v>0</v>
      </c>
      <c r="Q336" s="537">
        <f t="shared" si="1526"/>
        <v>0</v>
      </c>
      <c r="R336" s="537">
        <f t="shared" si="1526"/>
        <v>0</v>
      </c>
      <c r="S336" s="537">
        <f t="shared" si="1526"/>
        <v>0</v>
      </c>
      <c r="T336" s="537">
        <f t="shared" si="1526"/>
        <v>0</v>
      </c>
      <c r="U336" s="537">
        <f t="shared" si="1526"/>
        <v>0</v>
      </c>
      <c r="V336" s="537">
        <f t="shared" si="1526"/>
        <v>0</v>
      </c>
      <c r="W336" s="537">
        <f t="shared" si="1526"/>
        <v>0</v>
      </c>
      <c r="X336" s="537">
        <f t="shared" si="1526"/>
        <v>0</v>
      </c>
      <c r="Y336" s="537">
        <f t="shared" si="1526"/>
        <v>0</v>
      </c>
      <c r="Z336" s="537">
        <f t="shared" si="1526"/>
        <v>0</v>
      </c>
      <c r="AA336" s="537">
        <f t="shared" si="1526"/>
        <v>3225</v>
      </c>
      <c r="AB336" s="537">
        <f t="shared" si="1526"/>
        <v>1735</v>
      </c>
      <c r="AC336" s="537">
        <f t="shared" si="1526"/>
        <v>1111925</v>
      </c>
      <c r="AD336" s="537">
        <f t="shared" si="1526"/>
        <v>6450</v>
      </c>
      <c r="AE336" s="537">
        <f t="shared" si="1526"/>
        <v>1788</v>
      </c>
      <c r="AF336" s="537">
        <f t="shared" si="1526"/>
        <v>2290900</v>
      </c>
      <c r="AG336" s="537">
        <f t="shared" si="1526"/>
        <v>6450</v>
      </c>
      <c r="AH336" s="537">
        <f t="shared" si="1526"/>
        <v>1842</v>
      </c>
      <c r="AI336" s="537">
        <f t="shared" si="1526"/>
        <v>2357950</v>
      </c>
      <c r="AJ336" s="537">
        <f t="shared" si="1526"/>
        <v>6450</v>
      </c>
      <c r="AK336" s="537">
        <f t="shared" si="1526"/>
        <v>1898</v>
      </c>
      <c r="AL336" s="537">
        <f t="shared" si="1526"/>
        <v>2431450</v>
      </c>
      <c r="AM336" s="537">
        <f t="shared" si="1526"/>
        <v>6450</v>
      </c>
      <c r="AN336" s="537">
        <f t="shared" si="1526"/>
        <v>1955</v>
      </c>
      <c r="AO336" s="537">
        <f t="shared" si="1526"/>
        <v>2504950</v>
      </c>
      <c r="AP336" s="537">
        <f t="shared" si="1526"/>
        <v>6450</v>
      </c>
      <c r="AQ336" s="537">
        <f t="shared" si="1526"/>
        <v>2015</v>
      </c>
      <c r="AR336" s="537">
        <f t="shared" si="1526"/>
        <v>2579300</v>
      </c>
      <c r="AS336" s="537">
        <f t="shared" ref="AS336:AU336" si="1527">SUM(AS254:AS259)</f>
        <v>6450</v>
      </c>
      <c r="AT336" s="537">
        <f t="shared" si="1527"/>
        <v>2076</v>
      </c>
      <c r="AU336" s="537">
        <f t="shared" si="1527"/>
        <v>2659250</v>
      </c>
      <c r="AV336" s="537">
        <f t="shared" ref="AV336:AX336" si="1528">SUM(AV254:AV259)</f>
        <v>6450</v>
      </c>
      <c r="AW336" s="537">
        <f t="shared" si="1528"/>
        <v>2140</v>
      </c>
      <c r="AX336" s="537">
        <f t="shared" si="1528"/>
        <v>2740050</v>
      </c>
      <c r="AY336" s="537">
        <f t="shared" ref="AY336:BA336" si="1529">SUM(AY254:AY259)</f>
        <v>6450</v>
      </c>
      <c r="AZ336" s="537">
        <f t="shared" si="1529"/>
        <v>2205</v>
      </c>
      <c r="BA336" s="537">
        <f t="shared" si="1529"/>
        <v>2820850</v>
      </c>
      <c r="BB336" s="537"/>
      <c r="BC336" s="537"/>
      <c r="BD336" s="537"/>
      <c r="BE336" s="537"/>
      <c r="BF336" s="537"/>
      <c r="BG336" s="537"/>
      <c r="BH336" s="537"/>
      <c r="BJ336" s="529">
        <f t="shared" si="1457"/>
        <v>0</v>
      </c>
      <c r="BK336" s="529">
        <f t="shared" si="1458"/>
        <v>0</v>
      </c>
      <c r="BL336" s="529">
        <f t="shared" si="1459"/>
        <v>0</v>
      </c>
      <c r="BM336" s="529">
        <f t="shared" si="1460"/>
        <v>0</v>
      </c>
      <c r="BN336" s="529">
        <f t="shared" si="1461"/>
        <v>0</v>
      </c>
      <c r="BO336" s="529">
        <f t="shared" si="1462"/>
        <v>0</v>
      </c>
      <c r="BP336" s="529">
        <f t="shared" si="1463"/>
        <v>0</v>
      </c>
      <c r="BQ336" s="529">
        <f t="shared" si="1464"/>
        <v>0</v>
      </c>
      <c r="BR336" s="529">
        <f t="shared" si="1465"/>
        <v>1.1119250000000001</v>
      </c>
      <c r="BS336" s="529">
        <f t="shared" si="1466"/>
        <v>2.2909000000000002</v>
      </c>
      <c r="BT336" s="529">
        <f t="shared" si="1467"/>
        <v>2.3579500000000002</v>
      </c>
      <c r="BU336" s="529">
        <f t="shared" si="1468"/>
        <v>2.4314499999999999</v>
      </c>
      <c r="BV336" s="529">
        <f t="shared" si="1469"/>
        <v>2.50495</v>
      </c>
      <c r="BW336" s="529">
        <f t="shared" si="1470"/>
        <v>2.5792999999999999</v>
      </c>
      <c r="BX336" s="529">
        <f t="shared" si="1432"/>
        <v>2.6592500000000001</v>
      </c>
      <c r="BY336" s="529">
        <f t="shared" si="1433"/>
        <v>2.7400500000000001</v>
      </c>
      <c r="BZ336" s="529">
        <f t="shared" si="1434"/>
        <v>2.8208500000000001</v>
      </c>
    </row>
    <row r="337" spans="1:78" x14ac:dyDescent="0.2">
      <c r="A337" s="537" t="str">
        <f>A261</f>
        <v>ESTONIA</v>
      </c>
      <c r="E337" s="537">
        <f>SUM(E261:E266)</f>
        <v>0</v>
      </c>
      <c r="F337" s="537">
        <f t="shared" ref="F337:AR337" si="1530">SUM(F261:F266)</f>
        <v>0</v>
      </c>
      <c r="G337" s="537">
        <f t="shared" si="1530"/>
        <v>0</v>
      </c>
      <c r="H337" s="537">
        <f t="shared" si="1530"/>
        <v>0</v>
      </c>
      <c r="I337" s="537">
        <f t="shared" si="1530"/>
        <v>0</v>
      </c>
      <c r="J337" s="537">
        <f t="shared" si="1530"/>
        <v>0</v>
      </c>
      <c r="K337" s="537">
        <f t="shared" si="1530"/>
        <v>0</v>
      </c>
      <c r="L337" s="537">
        <f t="shared" si="1530"/>
        <v>0</v>
      </c>
      <c r="M337" s="537">
        <f t="shared" si="1530"/>
        <v>0</v>
      </c>
      <c r="N337" s="537">
        <f t="shared" si="1530"/>
        <v>0</v>
      </c>
      <c r="O337" s="537">
        <f t="shared" si="1530"/>
        <v>0</v>
      </c>
      <c r="P337" s="537">
        <f t="shared" si="1530"/>
        <v>0</v>
      </c>
      <c r="Q337" s="537">
        <f t="shared" si="1530"/>
        <v>0</v>
      </c>
      <c r="R337" s="537">
        <f t="shared" si="1530"/>
        <v>0</v>
      </c>
      <c r="S337" s="537">
        <f t="shared" si="1530"/>
        <v>0</v>
      </c>
      <c r="T337" s="537">
        <f t="shared" si="1530"/>
        <v>0</v>
      </c>
      <c r="U337" s="537">
        <f t="shared" si="1530"/>
        <v>0</v>
      </c>
      <c r="V337" s="537">
        <f t="shared" si="1530"/>
        <v>0</v>
      </c>
      <c r="W337" s="537">
        <f t="shared" si="1530"/>
        <v>0</v>
      </c>
      <c r="X337" s="537">
        <f t="shared" si="1530"/>
        <v>0</v>
      </c>
      <c r="Y337" s="537">
        <f t="shared" si="1530"/>
        <v>0</v>
      </c>
      <c r="Z337" s="537">
        <f t="shared" si="1530"/>
        <v>0</v>
      </c>
      <c r="AA337" s="537">
        <f t="shared" si="1530"/>
        <v>0</v>
      </c>
      <c r="AB337" s="537">
        <f t="shared" si="1530"/>
        <v>1747</v>
      </c>
      <c r="AC337" s="537">
        <f t="shared" si="1530"/>
        <v>0</v>
      </c>
      <c r="AD337" s="537">
        <f t="shared" si="1530"/>
        <v>0</v>
      </c>
      <c r="AE337" s="537">
        <f t="shared" si="1530"/>
        <v>1800</v>
      </c>
      <c r="AF337" s="537">
        <f t="shared" si="1530"/>
        <v>0</v>
      </c>
      <c r="AG337" s="537">
        <f t="shared" si="1530"/>
        <v>0</v>
      </c>
      <c r="AH337" s="537">
        <f t="shared" si="1530"/>
        <v>1854</v>
      </c>
      <c r="AI337" s="537">
        <f t="shared" si="1530"/>
        <v>0</v>
      </c>
      <c r="AJ337" s="537">
        <f t="shared" si="1530"/>
        <v>0</v>
      </c>
      <c r="AK337" s="537">
        <f t="shared" si="1530"/>
        <v>1910</v>
      </c>
      <c r="AL337" s="537">
        <f t="shared" si="1530"/>
        <v>0</v>
      </c>
      <c r="AM337" s="537">
        <f t="shared" si="1530"/>
        <v>0</v>
      </c>
      <c r="AN337" s="537">
        <f t="shared" si="1530"/>
        <v>1967</v>
      </c>
      <c r="AO337" s="537">
        <f t="shared" si="1530"/>
        <v>0</v>
      </c>
      <c r="AP337" s="537">
        <f t="shared" si="1530"/>
        <v>0</v>
      </c>
      <c r="AQ337" s="537">
        <f t="shared" si="1530"/>
        <v>2027</v>
      </c>
      <c r="AR337" s="537">
        <f t="shared" si="1530"/>
        <v>0</v>
      </c>
      <c r="AS337" s="537">
        <f t="shared" ref="AS337:AU337" si="1531">SUM(AS261:AS266)</f>
        <v>0</v>
      </c>
      <c r="AT337" s="537">
        <f t="shared" si="1531"/>
        <v>2088</v>
      </c>
      <c r="AU337" s="537">
        <f t="shared" si="1531"/>
        <v>0</v>
      </c>
      <c r="AV337" s="537">
        <f t="shared" ref="AV337:AX337" si="1532">SUM(AV261:AV266)</f>
        <v>0</v>
      </c>
      <c r="AW337" s="537">
        <f t="shared" si="1532"/>
        <v>2152</v>
      </c>
      <c r="AX337" s="537">
        <f t="shared" si="1532"/>
        <v>0</v>
      </c>
      <c r="AY337" s="537">
        <f t="shared" ref="AY337:BA337" si="1533">SUM(AY261:AY266)</f>
        <v>0</v>
      </c>
      <c r="AZ337" s="537">
        <f t="shared" si="1533"/>
        <v>2217</v>
      </c>
      <c r="BA337" s="537">
        <f t="shared" si="1533"/>
        <v>0</v>
      </c>
      <c r="BB337" s="537"/>
      <c r="BC337" s="537"/>
      <c r="BD337" s="537"/>
      <c r="BE337" s="537"/>
      <c r="BF337" s="537"/>
      <c r="BG337" s="537"/>
      <c r="BH337" s="537"/>
      <c r="BJ337" s="529">
        <f t="shared" si="1457"/>
        <v>0</v>
      </c>
      <c r="BK337" s="529">
        <f t="shared" si="1458"/>
        <v>0</v>
      </c>
      <c r="BL337" s="529">
        <f t="shared" si="1459"/>
        <v>0</v>
      </c>
      <c r="BM337" s="529">
        <f t="shared" si="1460"/>
        <v>0</v>
      </c>
      <c r="BN337" s="529">
        <f t="shared" si="1461"/>
        <v>0</v>
      </c>
      <c r="BO337" s="529">
        <f t="shared" si="1462"/>
        <v>0</v>
      </c>
      <c r="BP337" s="529">
        <f t="shared" si="1463"/>
        <v>0</v>
      </c>
      <c r="BQ337" s="529">
        <f t="shared" si="1464"/>
        <v>0</v>
      </c>
      <c r="BR337" s="529">
        <f t="shared" si="1465"/>
        <v>0</v>
      </c>
      <c r="BS337" s="529">
        <f t="shared" si="1466"/>
        <v>0</v>
      </c>
      <c r="BT337" s="529">
        <f t="shared" si="1467"/>
        <v>0</v>
      </c>
      <c r="BU337" s="529">
        <f t="shared" si="1468"/>
        <v>0</v>
      </c>
      <c r="BV337" s="529">
        <f t="shared" si="1469"/>
        <v>0</v>
      </c>
      <c r="BW337" s="529">
        <f t="shared" si="1470"/>
        <v>0</v>
      </c>
      <c r="BX337" s="529">
        <f t="shared" si="1432"/>
        <v>0</v>
      </c>
      <c r="BY337" s="529">
        <f t="shared" si="1433"/>
        <v>0</v>
      </c>
      <c r="BZ337" s="529">
        <f t="shared" si="1434"/>
        <v>0</v>
      </c>
    </row>
    <row r="338" spans="1:78" x14ac:dyDescent="0.2">
      <c r="A338" s="537" t="str">
        <f>A268</f>
        <v>EASTERN EUROPE</v>
      </c>
      <c r="E338" s="537">
        <f>SUM(E268:E273)</f>
        <v>0</v>
      </c>
      <c r="F338" s="537">
        <f t="shared" ref="F338:AR338" si="1534">SUM(F268:F273)</f>
        <v>0</v>
      </c>
      <c r="G338" s="537">
        <f t="shared" si="1534"/>
        <v>0</v>
      </c>
      <c r="H338" s="537">
        <f t="shared" si="1534"/>
        <v>0</v>
      </c>
      <c r="I338" s="537">
        <f t="shared" si="1534"/>
        <v>0</v>
      </c>
      <c r="J338" s="537">
        <f t="shared" si="1534"/>
        <v>0</v>
      </c>
      <c r="K338" s="537">
        <f t="shared" si="1534"/>
        <v>0</v>
      </c>
      <c r="L338" s="537">
        <f t="shared" si="1534"/>
        <v>0</v>
      </c>
      <c r="M338" s="537">
        <f t="shared" si="1534"/>
        <v>0</v>
      </c>
      <c r="N338" s="537">
        <f t="shared" si="1534"/>
        <v>0</v>
      </c>
      <c r="O338" s="537">
        <f t="shared" si="1534"/>
        <v>0</v>
      </c>
      <c r="P338" s="537">
        <f t="shared" si="1534"/>
        <v>0</v>
      </c>
      <c r="Q338" s="537">
        <f t="shared" si="1534"/>
        <v>0</v>
      </c>
      <c r="R338" s="537">
        <f t="shared" si="1534"/>
        <v>0</v>
      </c>
      <c r="S338" s="537">
        <f t="shared" si="1534"/>
        <v>0</v>
      </c>
      <c r="T338" s="537">
        <f t="shared" si="1534"/>
        <v>0</v>
      </c>
      <c r="U338" s="537">
        <f t="shared" si="1534"/>
        <v>0</v>
      </c>
      <c r="V338" s="537">
        <f t="shared" si="1534"/>
        <v>0</v>
      </c>
      <c r="W338" s="537">
        <f t="shared" si="1534"/>
        <v>0</v>
      </c>
      <c r="X338" s="537">
        <f t="shared" si="1534"/>
        <v>0</v>
      </c>
      <c r="Y338" s="537">
        <f t="shared" si="1534"/>
        <v>0</v>
      </c>
      <c r="Z338" s="537">
        <f t="shared" si="1534"/>
        <v>0</v>
      </c>
      <c r="AA338" s="537">
        <f t="shared" si="1534"/>
        <v>7355.0000000000009</v>
      </c>
      <c r="AB338" s="537">
        <f t="shared" si="1534"/>
        <v>1777</v>
      </c>
      <c r="AC338" s="537">
        <f t="shared" si="1534"/>
        <v>2434820</v>
      </c>
      <c r="AD338" s="537">
        <f t="shared" si="1534"/>
        <v>14710.000000000002</v>
      </c>
      <c r="AE338" s="537">
        <f t="shared" si="1534"/>
        <v>1830</v>
      </c>
      <c r="AF338" s="537">
        <f t="shared" si="1534"/>
        <v>5010590</v>
      </c>
      <c r="AG338" s="537">
        <f t="shared" si="1534"/>
        <v>14710.000000000002</v>
      </c>
      <c r="AH338" s="537">
        <f t="shared" si="1534"/>
        <v>1884</v>
      </c>
      <c r="AI338" s="537">
        <f t="shared" si="1534"/>
        <v>5161140</v>
      </c>
      <c r="AJ338" s="537">
        <f t="shared" si="1534"/>
        <v>14710.000000000002</v>
      </c>
      <c r="AK338" s="537">
        <f t="shared" si="1534"/>
        <v>1940</v>
      </c>
      <c r="AL338" s="537">
        <f t="shared" si="1534"/>
        <v>5315900</v>
      </c>
      <c r="AM338" s="537">
        <f t="shared" si="1534"/>
        <v>14710.000000000002</v>
      </c>
      <c r="AN338" s="537">
        <f t="shared" si="1534"/>
        <v>1997</v>
      </c>
      <c r="AO338" s="537">
        <f t="shared" si="1534"/>
        <v>5470660</v>
      </c>
      <c r="AP338" s="537">
        <f t="shared" si="1534"/>
        <v>14710.000000000002</v>
      </c>
      <c r="AQ338" s="537">
        <f t="shared" si="1534"/>
        <v>2057</v>
      </c>
      <c r="AR338" s="537">
        <f t="shared" si="1534"/>
        <v>5636770</v>
      </c>
      <c r="AS338" s="537">
        <f t="shared" ref="AS338:AU338" si="1535">SUM(AS268:AS273)</f>
        <v>14710.000000000002</v>
      </c>
      <c r="AT338" s="537">
        <f t="shared" si="1535"/>
        <v>2118</v>
      </c>
      <c r="AU338" s="537">
        <f t="shared" si="1535"/>
        <v>5806240</v>
      </c>
      <c r="AV338" s="537">
        <f t="shared" ref="AV338:AX338" si="1536">SUM(AV268:AV273)</f>
        <v>14710.000000000002</v>
      </c>
      <c r="AW338" s="537">
        <f t="shared" si="1536"/>
        <v>2182</v>
      </c>
      <c r="AX338" s="537">
        <f t="shared" si="1536"/>
        <v>5977460.0000000009</v>
      </c>
      <c r="AY338" s="537">
        <f t="shared" ref="AY338:BA338" si="1537">SUM(AY268:AY273)</f>
        <v>14710.000000000002</v>
      </c>
      <c r="AZ338" s="537">
        <f t="shared" si="1537"/>
        <v>2247</v>
      </c>
      <c r="BA338" s="537">
        <f t="shared" si="1537"/>
        <v>6158280.0000000009</v>
      </c>
      <c r="BB338" s="537"/>
      <c r="BC338" s="537"/>
      <c r="BD338" s="537"/>
      <c r="BE338" s="537"/>
      <c r="BF338" s="537"/>
      <c r="BG338" s="537"/>
      <c r="BH338" s="537"/>
      <c r="BJ338" s="529">
        <f t="shared" si="1457"/>
        <v>0</v>
      </c>
      <c r="BK338" s="529">
        <f t="shared" si="1458"/>
        <v>0</v>
      </c>
      <c r="BL338" s="529">
        <f t="shared" si="1459"/>
        <v>0</v>
      </c>
      <c r="BM338" s="529">
        <f t="shared" si="1460"/>
        <v>0</v>
      </c>
      <c r="BN338" s="529">
        <f t="shared" si="1461"/>
        <v>0</v>
      </c>
      <c r="BO338" s="529">
        <f t="shared" si="1462"/>
        <v>0</v>
      </c>
      <c r="BP338" s="529">
        <f t="shared" si="1463"/>
        <v>0</v>
      </c>
      <c r="BQ338" s="529">
        <f t="shared" si="1464"/>
        <v>0</v>
      </c>
      <c r="BR338" s="529">
        <f t="shared" si="1465"/>
        <v>2.4348200000000002</v>
      </c>
      <c r="BS338" s="529">
        <f t="shared" si="1466"/>
        <v>5.0105899999999997</v>
      </c>
      <c r="BT338" s="529">
        <f t="shared" si="1467"/>
        <v>5.1611399999999996</v>
      </c>
      <c r="BU338" s="529">
        <f t="shared" si="1468"/>
        <v>5.3159000000000001</v>
      </c>
      <c r="BV338" s="529">
        <f t="shared" si="1469"/>
        <v>5.4706599999999996</v>
      </c>
      <c r="BW338" s="529">
        <f t="shared" si="1470"/>
        <v>5.6367700000000003</v>
      </c>
      <c r="BX338" s="529">
        <f t="shared" si="1432"/>
        <v>5.8062399999999998</v>
      </c>
      <c r="BY338" s="529">
        <f t="shared" si="1433"/>
        <v>5.9774600000000007</v>
      </c>
      <c r="BZ338" s="529">
        <f t="shared" si="1434"/>
        <v>6.1582800000000013</v>
      </c>
    </row>
    <row r="339" spans="1:78" x14ac:dyDescent="0.2">
      <c r="A339" s="537" t="str">
        <f>A275</f>
        <v>CENTRAL &amp; WESTERN EUROPE</v>
      </c>
      <c r="E339" s="537">
        <f>SUM(E275:E280)</f>
        <v>0</v>
      </c>
      <c r="F339" s="537">
        <f t="shared" ref="F339:AR339" si="1538">SUM(F275:F280)</f>
        <v>0</v>
      </c>
      <c r="G339" s="537">
        <f t="shared" si="1538"/>
        <v>0</v>
      </c>
      <c r="H339" s="537">
        <f t="shared" si="1538"/>
        <v>0</v>
      </c>
      <c r="I339" s="537">
        <f t="shared" si="1538"/>
        <v>0</v>
      </c>
      <c r="J339" s="537">
        <f t="shared" si="1538"/>
        <v>0</v>
      </c>
      <c r="K339" s="537">
        <f t="shared" si="1538"/>
        <v>0</v>
      </c>
      <c r="L339" s="537">
        <f t="shared" si="1538"/>
        <v>0</v>
      </c>
      <c r="M339" s="537">
        <f t="shared" si="1538"/>
        <v>0</v>
      </c>
      <c r="N339" s="537">
        <f t="shared" si="1538"/>
        <v>0</v>
      </c>
      <c r="O339" s="537">
        <f t="shared" si="1538"/>
        <v>0</v>
      </c>
      <c r="P339" s="537">
        <f t="shared" si="1538"/>
        <v>0</v>
      </c>
      <c r="Q339" s="537">
        <f t="shared" si="1538"/>
        <v>0</v>
      </c>
      <c r="R339" s="537">
        <f t="shared" si="1538"/>
        <v>0</v>
      </c>
      <c r="S339" s="537">
        <f t="shared" si="1538"/>
        <v>0</v>
      </c>
      <c r="T339" s="537">
        <f t="shared" si="1538"/>
        <v>0</v>
      </c>
      <c r="U339" s="537">
        <f t="shared" si="1538"/>
        <v>0</v>
      </c>
      <c r="V339" s="537">
        <f t="shared" si="1538"/>
        <v>0</v>
      </c>
      <c r="W339" s="537">
        <f t="shared" si="1538"/>
        <v>0</v>
      </c>
      <c r="X339" s="537">
        <f t="shared" si="1538"/>
        <v>0</v>
      </c>
      <c r="Y339" s="537">
        <f t="shared" si="1538"/>
        <v>0</v>
      </c>
      <c r="Z339" s="537">
        <f t="shared" si="1538"/>
        <v>0</v>
      </c>
      <c r="AA339" s="537">
        <f t="shared" si="1538"/>
        <v>450.00000000000006</v>
      </c>
      <c r="AB339" s="537">
        <f t="shared" si="1538"/>
        <v>1807</v>
      </c>
      <c r="AC339" s="537">
        <f t="shared" si="1538"/>
        <v>160650.00000000003</v>
      </c>
      <c r="AD339" s="537">
        <f t="shared" si="1538"/>
        <v>900.00000000000011</v>
      </c>
      <c r="AE339" s="537">
        <f t="shared" si="1538"/>
        <v>1860</v>
      </c>
      <c r="AF339" s="537">
        <f t="shared" si="1538"/>
        <v>331200.00000000006</v>
      </c>
      <c r="AG339" s="537">
        <f t="shared" si="1538"/>
        <v>900.00000000000011</v>
      </c>
      <c r="AH339" s="537">
        <f t="shared" si="1538"/>
        <v>1914</v>
      </c>
      <c r="AI339" s="537">
        <f t="shared" si="1538"/>
        <v>341100.00000000006</v>
      </c>
      <c r="AJ339" s="537">
        <f t="shared" si="1538"/>
        <v>900.00000000000011</v>
      </c>
      <c r="AK339" s="537">
        <f t="shared" si="1538"/>
        <v>1970</v>
      </c>
      <c r="AL339" s="537">
        <f t="shared" si="1538"/>
        <v>351000.00000000006</v>
      </c>
      <c r="AM339" s="537">
        <f t="shared" si="1538"/>
        <v>900.00000000000011</v>
      </c>
      <c r="AN339" s="537">
        <f t="shared" si="1538"/>
        <v>2027</v>
      </c>
      <c r="AO339" s="537">
        <f t="shared" si="1538"/>
        <v>360900.00000000006</v>
      </c>
      <c r="AP339" s="537">
        <f t="shared" si="1538"/>
        <v>900.00000000000011</v>
      </c>
      <c r="AQ339" s="537">
        <f t="shared" si="1538"/>
        <v>2087</v>
      </c>
      <c r="AR339" s="537">
        <f t="shared" si="1538"/>
        <v>371700.00000000006</v>
      </c>
      <c r="AS339" s="537">
        <f t="shared" ref="AS339:AU339" si="1539">SUM(AS275:AS280)</f>
        <v>900.00000000000011</v>
      </c>
      <c r="AT339" s="537">
        <f t="shared" si="1539"/>
        <v>2148</v>
      </c>
      <c r="AU339" s="537">
        <f t="shared" si="1539"/>
        <v>382500.00000000006</v>
      </c>
      <c r="AV339" s="537">
        <f t="shared" ref="AV339:AX339" si="1540">SUM(AV275:AV280)</f>
        <v>900.00000000000011</v>
      </c>
      <c r="AW339" s="537">
        <f t="shared" si="1540"/>
        <v>2212</v>
      </c>
      <c r="AX339" s="537">
        <f t="shared" si="1540"/>
        <v>394200.00000000006</v>
      </c>
      <c r="AY339" s="537">
        <f t="shared" ref="AY339:BA339" si="1541">SUM(AY275:AY280)</f>
        <v>900.00000000000011</v>
      </c>
      <c r="AZ339" s="537">
        <f t="shared" si="1541"/>
        <v>2277</v>
      </c>
      <c r="BA339" s="537">
        <f t="shared" si="1541"/>
        <v>405900.00000000006</v>
      </c>
      <c r="BB339" s="537"/>
      <c r="BC339" s="537"/>
      <c r="BD339" s="537"/>
      <c r="BE339" s="537"/>
      <c r="BF339" s="537"/>
      <c r="BG339" s="537"/>
      <c r="BH339" s="537"/>
      <c r="BJ339" s="529">
        <f t="shared" si="1457"/>
        <v>0</v>
      </c>
      <c r="BK339" s="529">
        <f t="shared" si="1458"/>
        <v>0</v>
      </c>
      <c r="BL339" s="529">
        <f t="shared" si="1459"/>
        <v>0</v>
      </c>
      <c r="BM339" s="529">
        <f t="shared" si="1460"/>
        <v>0</v>
      </c>
      <c r="BN339" s="529">
        <f t="shared" si="1461"/>
        <v>0</v>
      </c>
      <c r="BO339" s="529">
        <f t="shared" si="1462"/>
        <v>0</v>
      </c>
      <c r="BP339" s="529">
        <f t="shared" si="1463"/>
        <v>0</v>
      </c>
      <c r="BQ339" s="529">
        <f t="shared" si="1464"/>
        <v>0</v>
      </c>
      <c r="BR339" s="529">
        <f t="shared" si="1465"/>
        <v>0.16065000000000004</v>
      </c>
      <c r="BS339" s="529">
        <f t="shared" si="1466"/>
        <v>0.33120000000000005</v>
      </c>
      <c r="BT339" s="529">
        <f t="shared" si="1467"/>
        <v>0.34110000000000007</v>
      </c>
      <c r="BU339" s="529">
        <f t="shared" si="1468"/>
        <v>0.35100000000000003</v>
      </c>
      <c r="BV339" s="529">
        <f t="shared" si="1469"/>
        <v>0.36090000000000005</v>
      </c>
      <c r="BW339" s="529">
        <f t="shared" si="1470"/>
        <v>0.37170000000000009</v>
      </c>
      <c r="BX339" s="529">
        <f t="shared" si="1432"/>
        <v>0.38250000000000006</v>
      </c>
      <c r="BY339" s="529">
        <f t="shared" si="1433"/>
        <v>0.39420000000000005</v>
      </c>
      <c r="BZ339" s="529">
        <f t="shared" si="1434"/>
        <v>0.40590000000000004</v>
      </c>
    </row>
    <row r="340" spans="1:78" x14ac:dyDescent="0.2">
      <c r="BJ340" s="529">
        <f t="shared" ref="BJ340:BJ341" si="1542">E340</f>
        <v>0</v>
      </c>
      <c r="BK340" s="529">
        <f t="shared" ref="BK340:BK341" si="1543">H340</f>
        <v>0</v>
      </c>
      <c r="BL340" s="529">
        <f t="shared" ref="BL340:BL341" si="1544">K340</f>
        <v>0</v>
      </c>
      <c r="BM340" s="529">
        <f t="shared" ref="BM340:BM341" si="1545">N340</f>
        <v>0</v>
      </c>
      <c r="BN340" s="529">
        <f t="shared" ref="BN340:BN341" si="1546">Q340</f>
        <v>0</v>
      </c>
      <c r="BO340" s="529">
        <f t="shared" ref="BO340:BO341" si="1547">T340</f>
        <v>0</v>
      </c>
      <c r="BP340" s="529">
        <f t="shared" ref="BP340:BP341" si="1548">W340</f>
        <v>0</v>
      </c>
      <c r="BQ340" s="529">
        <f t="shared" ref="BQ340:BQ341" si="1549">Z340</f>
        <v>0</v>
      </c>
      <c r="BR340" s="529">
        <f t="shared" ref="BR340:BR341" si="1550">AC340/1000000</f>
        <v>0</v>
      </c>
      <c r="BS340" s="529">
        <f t="shared" ref="BS340:BS341" si="1551">AF340/1000000</f>
        <v>0</v>
      </c>
      <c r="BT340" s="529">
        <f t="shared" ref="BT340:BT341" si="1552">AI340/1000000</f>
        <v>0</v>
      </c>
      <c r="BU340" s="529">
        <f t="shared" ref="BU340:BU341" si="1553">AL340/1000000</f>
        <v>0</v>
      </c>
      <c r="BV340" s="529">
        <f t="shared" ref="BV340:BV341" si="1554">AO340/1000000</f>
        <v>0</v>
      </c>
      <c r="BW340" s="529">
        <f t="shared" ref="BW340:BW341" si="1555">AR340/1000000</f>
        <v>0</v>
      </c>
      <c r="BX340" s="529">
        <f t="shared" si="1432"/>
        <v>0</v>
      </c>
      <c r="BY340" s="529">
        <f t="shared" si="1433"/>
        <v>0</v>
      </c>
      <c r="BZ340" s="529">
        <f t="shared" si="1434"/>
        <v>0</v>
      </c>
    </row>
    <row r="341" spans="1:78" x14ac:dyDescent="0.2">
      <c r="BJ341" s="529">
        <f t="shared" si="1542"/>
        <v>0</v>
      </c>
      <c r="BK341" s="529">
        <f t="shared" si="1543"/>
        <v>0</v>
      </c>
      <c r="BL341" s="529">
        <f t="shared" si="1544"/>
        <v>0</v>
      </c>
      <c r="BM341" s="529">
        <f t="shared" si="1545"/>
        <v>0</v>
      </c>
      <c r="BN341" s="529">
        <f t="shared" si="1546"/>
        <v>0</v>
      </c>
      <c r="BO341" s="529">
        <f t="shared" si="1547"/>
        <v>0</v>
      </c>
      <c r="BP341" s="529">
        <f t="shared" si="1548"/>
        <v>0</v>
      </c>
      <c r="BQ341" s="529">
        <f t="shared" si="1549"/>
        <v>0</v>
      </c>
      <c r="BR341" s="529">
        <f t="shared" si="1550"/>
        <v>0</v>
      </c>
      <c r="BS341" s="529">
        <f t="shared" si="1551"/>
        <v>0</v>
      </c>
      <c r="BT341" s="529">
        <f t="shared" si="1552"/>
        <v>0</v>
      </c>
      <c r="BU341" s="529">
        <f t="shared" si="1553"/>
        <v>0</v>
      </c>
      <c r="BV341" s="529">
        <f t="shared" si="1554"/>
        <v>0</v>
      </c>
      <c r="BW341" s="529">
        <f t="shared" si="1555"/>
        <v>0</v>
      </c>
      <c r="BX341" s="529">
        <f t="shared" si="1432"/>
        <v>0</v>
      </c>
      <c r="BY341" s="529">
        <f t="shared" si="1433"/>
        <v>0</v>
      </c>
      <c r="BZ341" s="529">
        <f t="shared" si="1434"/>
        <v>0</v>
      </c>
    </row>
  </sheetData>
  <mergeCells count="53">
    <mergeCell ref="A282:A288"/>
    <mergeCell ref="A289:A295"/>
    <mergeCell ref="A247:A253"/>
    <mergeCell ref="A254:A260"/>
    <mergeCell ref="A261:A267"/>
    <mergeCell ref="A268:A274"/>
    <mergeCell ref="A275:A281"/>
    <mergeCell ref="A191:A197"/>
    <mergeCell ref="A198:A204"/>
    <mergeCell ref="A205:A211"/>
    <mergeCell ref="A296:A302"/>
    <mergeCell ref="A142:A145"/>
    <mergeCell ref="A146:A149"/>
    <mergeCell ref="A150:A154"/>
    <mergeCell ref="A155:A160"/>
    <mergeCell ref="A162:A168"/>
    <mergeCell ref="A184:A190"/>
    <mergeCell ref="A170:B170"/>
    <mergeCell ref="A212:A218"/>
    <mergeCell ref="A219:A225"/>
    <mergeCell ref="A226:A232"/>
    <mergeCell ref="A233:A239"/>
    <mergeCell ref="A240:A246"/>
    <mergeCell ref="A138:A141"/>
    <mergeCell ref="A92:A95"/>
    <mergeCell ref="A96:A100"/>
    <mergeCell ref="A101:A104"/>
    <mergeCell ref="A105:A109"/>
    <mergeCell ref="A110:A113"/>
    <mergeCell ref="A114:A117"/>
    <mergeCell ref="A118:A121"/>
    <mergeCell ref="A122:A125"/>
    <mergeCell ref="A126:A129"/>
    <mergeCell ref="A130:A133"/>
    <mergeCell ref="A134:A137"/>
    <mergeCell ref="A87:A91"/>
    <mergeCell ref="A32:A36"/>
    <mergeCell ref="A37:A41"/>
    <mergeCell ref="A42:A46"/>
    <mergeCell ref="A47:A51"/>
    <mergeCell ref="A52:A56"/>
    <mergeCell ref="A57:A61"/>
    <mergeCell ref="A62:A66"/>
    <mergeCell ref="A67:A71"/>
    <mergeCell ref="A72:A76"/>
    <mergeCell ref="A77:A81"/>
    <mergeCell ref="A82:A86"/>
    <mergeCell ref="A27:A31"/>
    <mergeCell ref="A4:A8"/>
    <mergeCell ref="A9:A13"/>
    <mergeCell ref="A14:A18"/>
    <mergeCell ref="A19:A22"/>
    <mergeCell ref="A23:A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L61"/>
  <sheetViews>
    <sheetView workbookViewId="0"/>
  </sheetViews>
  <sheetFormatPr defaultRowHeight="15.75" x14ac:dyDescent="0.25"/>
  <cols>
    <col min="1" max="1" width="35.125" customWidth="1"/>
    <col min="5" max="5" width="10.375" bestFit="1" customWidth="1"/>
  </cols>
  <sheetData>
    <row r="1" spans="1:116" ht="16.5" thickBot="1" x14ac:dyDescent="0.3"/>
    <row r="2" spans="1:116" s="207" customFormat="1" ht="20.100000000000001" customHeight="1" x14ac:dyDescent="0.25">
      <c r="A2" s="663" t="s">
        <v>382</v>
      </c>
      <c r="B2" s="664">
        <v>2007</v>
      </c>
      <c r="C2" s="664">
        <f>+PL!C2</f>
        <v>2008</v>
      </c>
      <c r="D2" s="664">
        <f>+PL!D2</f>
        <v>2009</v>
      </c>
      <c r="E2" s="664">
        <f>+PL!E2</f>
        <v>2010</v>
      </c>
      <c r="F2" s="664">
        <f>+PL!F2</f>
        <v>2011</v>
      </c>
      <c r="G2" s="664">
        <f>+PL!G2</f>
        <v>2012</v>
      </c>
      <c r="H2" s="664">
        <f>+PL!H2</f>
        <v>2013</v>
      </c>
      <c r="I2" s="664">
        <f>+PL!I2</f>
        <v>2014</v>
      </c>
      <c r="J2" s="664">
        <f>+PL!J2</f>
        <v>2015</v>
      </c>
      <c r="K2" s="664">
        <f>+PL!K2</f>
        <v>2016</v>
      </c>
      <c r="L2" s="664">
        <f>+PL!L2</f>
        <v>2017</v>
      </c>
      <c r="M2" s="664">
        <f>+PL!M2</f>
        <v>2018</v>
      </c>
      <c r="N2" s="664">
        <f>+PL!N2</f>
        <v>2019</v>
      </c>
      <c r="O2" s="664">
        <f>+PL!O2</f>
        <v>2020</v>
      </c>
      <c r="P2" s="664">
        <f>+PL!P2</f>
        <v>2021</v>
      </c>
      <c r="Q2" s="664">
        <f>+PL!Q2</f>
        <v>2022</v>
      </c>
    </row>
    <row r="3" spans="1:116" s="142" customFormat="1" ht="18" customHeight="1" x14ac:dyDescent="0.25">
      <c r="A3" s="665" t="s">
        <v>383</v>
      </c>
      <c r="B3" s="666"/>
      <c r="C3" s="667"/>
      <c r="D3" s="668">
        <f>Sensitivity!E14</f>
        <v>7.0000000000000007E-2</v>
      </c>
      <c r="E3" s="668">
        <f>Sensitivity!F14</f>
        <v>7.0000000000000007E-2</v>
      </c>
      <c r="F3" s="668">
        <f>Sensitivity!G14</f>
        <v>7.0000000000000007E-2</v>
      </c>
      <c r="G3" s="668">
        <f>Sensitivity!H14</f>
        <v>7.2499999999999995E-2</v>
      </c>
      <c r="H3" s="668">
        <f>Sensitivity!I14</f>
        <v>7.4999999999999997E-2</v>
      </c>
      <c r="I3" s="668">
        <f>Sensitivity!J14</f>
        <v>7.7499999999999999E-2</v>
      </c>
      <c r="J3" s="668">
        <f>Sensitivity!K14</f>
        <v>0.08</v>
      </c>
      <c r="K3" s="668">
        <f>Sensitivity!L14</f>
        <v>8.2500000000000004E-2</v>
      </c>
      <c r="L3" s="668">
        <f>Sensitivity!M14</f>
        <v>8.5000000000000006E-2</v>
      </c>
      <c r="M3" s="668">
        <f>Sensitivity!N14</f>
        <v>8.7499999999999994E-2</v>
      </c>
      <c r="N3" s="668">
        <f>Sensitivity!O14</f>
        <v>0.09</v>
      </c>
      <c r="O3" s="668">
        <f>Sensitivity!P14</f>
        <v>0.09</v>
      </c>
      <c r="P3" s="668">
        <f>Sensitivity!Q14</f>
        <v>0.09</v>
      </c>
      <c r="Q3" s="668">
        <f>Sensitivity!R14</f>
        <v>0.09</v>
      </c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  <c r="AJ3" s="207"/>
      <c r="AK3" s="207"/>
      <c r="AL3" s="207"/>
      <c r="AM3" s="207"/>
      <c r="AN3" s="207"/>
      <c r="AO3" s="207"/>
      <c r="AP3" s="207"/>
      <c r="AQ3" s="207"/>
      <c r="AR3" s="207"/>
      <c r="AS3" s="207"/>
      <c r="AT3" s="207"/>
      <c r="AU3" s="207"/>
      <c r="AV3" s="207"/>
      <c r="AW3" s="207"/>
      <c r="AX3" s="207"/>
      <c r="AY3" s="207"/>
      <c r="AZ3" s="207"/>
      <c r="BA3" s="207"/>
      <c r="BB3" s="207"/>
      <c r="BC3" s="207"/>
      <c r="BD3" s="207"/>
      <c r="BE3" s="207"/>
      <c r="BF3" s="207"/>
      <c r="BG3" s="207"/>
      <c r="BH3" s="207"/>
      <c r="BI3" s="207"/>
      <c r="BJ3" s="207"/>
      <c r="BK3" s="207"/>
      <c r="BL3" s="207"/>
      <c r="BM3" s="207"/>
      <c r="BN3" s="207"/>
      <c r="BO3" s="207"/>
      <c r="BP3" s="207"/>
      <c r="BQ3" s="207"/>
      <c r="BR3" s="207"/>
      <c r="BS3" s="207"/>
      <c r="BT3" s="207"/>
      <c r="BU3" s="207"/>
      <c r="BV3" s="207"/>
      <c r="BW3" s="207"/>
      <c r="BX3" s="207"/>
      <c r="BY3" s="207"/>
      <c r="BZ3" s="207"/>
      <c r="CA3" s="207"/>
      <c r="CB3" s="207"/>
      <c r="CC3" s="207"/>
      <c r="CD3" s="207"/>
      <c r="CE3" s="207"/>
      <c r="CF3" s="207"/>
      <c r="CG3" s="207"/>
      <c r="CH3" s="207"/>
      <c r="CI3" s="207"/>
      <c r="CJ3" s="207"/>
      <c r="CK3" s="207"/>
      <c r="CL3" s="207"/>
      <c r="CM3" s="207"/>
      <c r="CN3" s="207"/>
      <c r="CO3" s="207"/>
      <c r="CP3" s="207"/>
      <c r="CQ3" s="207"/>
      <c r="CR3" s="207"/>
      <c r="CS3" s="207"/>
      <c r="CT3" s="207"/>
      <c r="CU3" s="207"/>
      <c r="CV3" s="207"/>
      <c r="CW3" s="207"/>
      <c r="CX3" s="207"/>
      <c r="CY3" s="207"/>
      <c r="CZ3" s="207"/>
      <c r="DA3" s="207"/>
      <c r="DB3" s="207"/>
      <c r="DC3" s="207"/>
      <c r="DD3" s="207"/>
      <c r="DE3" s="207"/>
      <c r="DF3" s="207"/>
      <c r="DG3" s="207"/>
      <c r="DH3" s="207"/>
      <c r="DI3" s="207"/>
      <c r="DJ3" s="207"/>
      <c r="DK3" s="207"/>
      <c r="DL3" s="207"/>
    </row>
    <row r="4" spans="1:116" s="478" customFormat="1" ht="18" customHeight="1" x14ac:dyDescent="0.25">
      <c r="A4" s="669" t="s">
        <v>384</v>
      </c>
      <c r="B4" s="476"/>
      <c r="C4" s="477"/>
      <c r="D4" s="670">
        <f>Sensitivity!E15</f>
        <v>0.18</v>
      </c>
      <c r="E4" s="670">
        <f>Sensitivity!F15</f>
        <v>0.18</v>
      </c>
      <c r="F4" s="670">
        <f>Sensitivity!G15</f>
        <v>0.18</v>
      </c>
      <c r="G4" s="670">
        <f>Sensitivity!H15</f>
        <v>0.18</v>
      </c>
      <c r="H4" s="670">
        <f>Sensitivity!I15</f>
        <v>0.18</v>
      </c>
      <c r="I4" s="670">
        <f>Sensitivity!J15</f>
        <v>0.18</v>
      </c>
      <c r="J4" s="670">
        <f>Sensitivity!K15</f>
        <v>0.18</v>
      </c>
      <c r="K4" s="670">
        <f>Sensitivity!L15</f>
        <v>0.18</v>
      </c>
      <c r="L4" s="670">
        <f>Sensitivity!M15</f>
        <v>0.18</v>
      </c>
      <c r="M4" s="670">
        <f>Sensitivity!N15</f>
        <v>0.18</v>
      </c>
      <c r="N4" s="670">
        <f>Sensitivity!O15</f>
        <v>0.18</v>
      </c>
      <c r="O4" s="670">
        <f>Sensitivity!P15</f>
        <v>0.18</v>
      </c>
      <c r="P4" s="670">
        <f>Sensitivity!Q15</f>
        <v>0.18</v>
      </c>
      <c r="Q4" s="670">
        <f>Sensitivity!R15</f>
        <v>0.18</v>
      </c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H4" s="207"/>
      <c r="AI4" s="207"/>
      <c r="AJ4" s="207"/>
      <c r="AK4" s="207"/>
      <c r="AL4" s="207"/>
      <c r="AM4" s="207"/>
      <c r="AN4" s="207"/>
      <c r="AO4" s="207"/>
      <c r="AP4" s="207"/>
      <c r="AQ4" s="207"/>
      <c r="AR4" s="207"/>
      <c r="AS4" s="207"/>
      <c r="AT4" s="207"/>
      <c r="AU4" s="207"/>
      <c r="AV4" s="207"/>
      <c r="AW4" s="207"/>
      <c r="AX4" s="207"/>
      <c r="AY4" s="207"/>
      <c r="AZ4" s="207"/>
      <c r="BA4" s="207"/>
      <c r="BB4" s="207"/>
      <c r="BC4" s="207"/>
      <c r="BD4" s="207"/>
      <c r="BE4" s="207"/>
      <c r="BF4" s="207"/>
      <c r="BG4" s="207"/>
      <c r="BH4" s="207"/>
      <c r="BI4" s="207"/>
      <c r="BJ4" s="207"/>
      <c r="BK4" s="207"/>
      <c r="BL4" s="207"/>
      <c r="BM4" s="207"/>
      <c r="BN4" s="207"/>
      <c r="BO4" s="207"/>
      <c r="BP4" s="207"/>
      <c r="BQ4" s="207"/>
      <c r="BR4" s="207"/>
      <c r="BS4" s="207"/>
      <c r="BT4" s="207"/>
      <c r="BU4" s="207"/>
      <c r="BV4" s="207"/>
      <c r="BW4" s="207"/>
      <c r="BX4" s="207"/>
      <c r="BY4" s="207"/>
      <c r="BZ4" s="207"/>
      <c r="CA4" s="207"/>
      <c r="CB4" s="207"/>
      <c r="CC4" s="207"/>
      <c r="CD4" s="207"/>
      <c r="CE4" s="207"/>
      <c r="CF4" s="207"/>
      <c r="CG4" s="207"/>
      <c r="CH4" s="207"/>
      <c r="CI4" s="207"/>
      <c r="CJ4" s="207"/>
      <c r="CK4" s="207"/>
      <c r="CL4" s="207"/>
      <c r="CM4" s="207"/>
      <c r="CN4" s="207"/>
      <c r="CO4" s="207"/>
      <c r="CP4" s="207"/>
      <c r="CQ4" s="207"/>
      <c r="CR4" s="207"/>
      <c r="CS4" s="207"/>
      <c r="CT4" s="207"/>
      <c r="CU4" s="207"/>
      <c r="CV4" s="207"/>
      <c r="CW4" s="207"/>
      <c r="CX4" s="207"/>
      <c r="CY4" s="207"/>
      <c r="CZ4" s="207"/>
      <c r="DA4" s="207"/>
      <c r="DB4" s="207"/>
      <c r="DC4" s="207"/>
      <c r="DD4" s="207"/>
      <c r="DE4" s="207"/>
      <c r="DF4" s="207"/>
      <c r="DG4" s="207"/>
      <c r="DH4" s="207"/>
      <c r="DI4" s="207"/>
      <c r="DJ4" s="207"/>
      <c r="DK4" s="207"/>
      <c r="DL4" s="207"/>
    </row>
    <row r="5" spans="1:116" s="287" customFormat="1" ht="18" customHeight="1" x14ac:dyDescent="0.25">
      <c r="A5" s="671" t="s">
        <v>385</v>
      </c>
      <c r="B5" s="466">
        <f>Sensitivity!C16</f>
        <v>0</v>
      </c>
      <c r="C5" s="466">
        <f>Sensitivity!D16</f>
        <v>0</v>
      </c>
      <c r="D5" s="466">
        <f>Sensitivity!E16</f>
        <v>0</v>
      </c>
      <c r="E5" s="466">
        <f>Sensitivity!F16</f>
        <v>0</v>
      </c>
      <c r="F5" s="482">
        <f>Sensitivity!G16</f>
        <v>6.5000000000000002E-2</v>
      </c>
      <c r="G5" s="482">
        <f>Sensitivity!H16</f>
        <v>6.5000000000000002E-2</v>
      </c>
      <c r="H5" s="482">
        <f>Sensitivity!I16</f>
        <v>6.8000000000000005E-2</v>
      </c>
      <c r="I5" s="482">
        <f>Sensitivity!J16</f>
        <v>6.8000000000000005E-2</v>
      </c>
      <c r="J5" s="482">
        <f>Sensitivity!K16</f>
        <v>6.8000000000000005E-2</v>
      </c>
      <c r="K5" s="482">
        <f>Sensitivity!L16</f>
        <v>6.8000000000000005E-2</v>
      </c>
      <c r="L5" s="482">
        <f>Sensitivity!M16</f>
        <v>6.8000000000000005E-2</v>
      </c>
      <c r="M5" s="482">
        <f>Sensitivity!N16</f>
        <v>6.8000000000000005E-2</v>
      </c>
      <c r="N5" s="482">
        <f>Sensitivity!O16</f>
        <v>6.8000000000000005E-2</v>
      </c>
      <c r="O5" s="482">
        <f>Sensitivity!P16</f>
        <v>6.8000000000000005E-2</v>
      </c>
      <c r="P5" s="482">
        <f>Sensitivity!Q16</f>
        <v>6.8000000000000005E-2</v>
      </c>
      <c r="Q5" s="482">
        <f>Sensitivity!R16</f>
        <v>6.8000000000000005E-2</v>
      </c>
      <c r="R5" s="207"/>
      <c r="S5" s="207"/>
      <c r="T5" s="207"/>
      <c r="U5" s="207"/>
      <c r="V5" s="207"/>
      <c r="W5" s="207"/>
      <c r="X5" s="207"/>
      <c r="Y5" s="207"/>
      <c r="Z5" s="207"/>
      <c r="AA5" s="207"/>
      <c r="AB5" s="207"/>
      <c r="AC5" s="207"/>
      <c r="AD5" s="207"/>
      <c r="AE5" s="207"/>
      <c r="AF5" s="207"/>
      <c r="AG5" s="207"/>
      <c r="AH5" s="207"/>
      <c r="AI5" s="207"/>
      <c r="AJ5" s="207"/>
      <c r="AK5" s="207"/>
      <c r="AL5" s="207"/>
      <c r="AM5" s="207"/>
      <c r="AN5" s="207"/>
      <c r="AO5" s="207"/>
      <c r="AP5" s="207"/>
      <c r="AQ5" s="207"/>
      <c r="AR5" s="207"/>
      <c r="AS5" s="207"/>
      <c r="AT5" s="207"/>
      <c r="AU5" s="207"/>
      <c r="AV5" s="207"/>
      <c r="AW5" s="207"/>
      <c r="AX5" s="207"/>
      <c r="AY5" s="207"/>
      <c r="AZ5" s="207"/>
      <c r="BA5" s="207"/>
      <c r="BB5" s="207"/>
      <c r="BC5" s="207"/>
      <c r="BD5" s="207"/>
      <c r="BE5" s="207"/>
      <c r="BF5" s="207"/>
      <c r="BG5" s="207"/>
      <c r="BH5" s="207"/>
      <c r="BI5" s="207"/>
      <c r="BJ5" s="207"/>
      <c r="BK5" s="207"/>
      <c r="BL5" s="207"/>
      <c r="BM5" s="207"/>
      <c r="BN5" s="207"/>
      <c r="BO5" s="207"/>
      <c r="BP5" s="207"/>
      <c r="BQ5" s="207"/>
      <c r="BR5" s="207"/>
      <c r="BS5" s="207"/>
      <c r="BT5" s="207"/>
      <c r="BU5" s="207"/>
      <c r="BV5" s="207"/>
      <c r="BW5" s="207"/>
      <c r="BX5" s="207"/>
      <c r="BY5" s="207"/>
      <c r="BZ5" s="207"/>
      <c r="CA5" s="207"/>
      <c r="CB5" s="207"/>
      <c r="CC5" s="207"/>
      <c r="CD5" s="207"/>
      <c r="CE5" s="207"/>
      <c r="CF5" s="207"/>
      <c r="CG5" s="207"/>
      <c r="CH5" s="207"/>
      <c r="CI5" s="207"/>
      <c r="CJ5" s="207"/>
      <c r="CK5" s="207"/>
      <c r="CL5" s="207"/>
      <c r="CM5" s="207"/>
      <c r="CN5" s="207"/>
      <c r="CO5" s="207"/>
      <c r="CP5" s="207"/>
      <c r="CQ5" s="207"/>
      <c r="CR5" s="207"/>
      <c r="CS5" s="207"/>
      <c r="CT5" s="207"/>
      <c r="CU5" s="207"/>
      <c r="CV5" s="207"/>
      <c r="CW5" s="207"/>
      <c r="CX5" s="207"/>
      <c r="CY5" s="207"/>
      <c r="CZ5" s="207"/>
      <c r="DA5" s="207"/>
      <c r="DB5" s="207"/>
      <c r="DC5" s="207"/>
      <c r="DD5" s="207"/>
      <c r="DE5" s="207"/>
      <c r="DF5" s="207"/>
      <c r="DG5" s="207"/>
      <c r="DH5" s="207"/>
      <c r="DI5" s="207"/>
      <c r="DJ5" s="207"/>
      <c r="DK5" s="207"/>
      <c r="DL5" s="207"/>
    </row>
    <row r="6" spans="1:116" s="287" customFormat="1" ht="18" customHeight="1" x14ac:dyDescent="0.25">
      <c r="A6" s="671" t="s">
        <v>386</v>
      </c>
      <c r="B6" s="479">
        <f>Sensitivity!C17</f>
        <v>1263.5</v>
      </c>
      <c r="C6" s="479">
        <f>Sensitivity!D17</f>
        <v>1319.6</v>
      </c>
      <c r="D6" s="479">
        <f>Sensitivity!E17</f>
        <v>1465.6</v>
      </c>
      <c r="E6" s="479">
        <f>Sensitivity!F17</f>
        <v>1587.5</v>
      </c>
      <c r="F6" s="479">
        <f>Sensitivity!G17</f>
        <v>1714</v>
      </c>
      <c r="G6" s="479">
        <f>Sensitivity!H17</f>
        <v>1890</v>
      </c>
      <c r="H6" s="479">
        <f>Sensitivity!I17</f>
        <v>2079</v>
      </c>
      <c r="I6" s="479">
        <f>Sensitivity!J17</f>
        <v>2286.9</v>
      </c>
      <c r="J6" s="479">
        <f>Sensitivity!K17</f>
        <v>2515.59</v>
      </c>
      <c r="K6" s="479">
        <f>Sensitivity!L17</f>
        <v>2767.1490000000003</v>
      </c>
      <c r="L6" s="479">
        <f>Sensitivity!M17</f>
        <v>3043.8639000000007</v>
      </c>
      <c r="M6" s="479">
        <f>Sensitivity!N17</f>
        <v>3348.2502900000009</v>
      </c>
      <c r="N6" s="479">
        <f>Sensitivity!O17</f>
        <v>3683.0753190000014</v>
      </c>
      <c r="O6" s="479">
        <f>Sensitivity!P17</f>
        <v>4051.3828509000018</v>
      </c>
      <c r="P6" s="479">
        <f>Sensitivity!Q17</f>
        <v>4456.5211359900022</v>
      </c>
      <c r="Q6" s="479">
        <f>Sensitivity!R17</f>
        <v>4902.1732495890028</v>
      </c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207"/>
      <c r="AG6" s="207"/>
      <c r="AH6" s="207"/>
      <c r="AI6" s="207"/>
      <c r="AJ6" s="207"/>
      <c r="AK6" s="207"/>
      <c r="AL6" s="207"/>
      <c r="AM6" s="207"/>
      <c r="AN6" s="207"/>
      <c r="AO6" s="207"/>
      <c r="AP6" s="207"/>
      <c r="AQ6" s="207"/>
      <c r="AR6" s="207"/>
      <c r="AS6" s="207"/>
      <c r="AT6" s="207"/>
      <c r="AU6" s="207"/>
      <c r="AV6" s="207"/>
      <c r="AW6" s="207"/>
      <c r="AX6" s="207"/>
      <c r="AY6" s="207"/>
      <c r="AZ6" s="207"/>
      <c r="BA6" s="207"/>
      <c r="BB6" s="207"/>
      <c r="BC6" s="207"/>
      <c r="BD6" s="207"/>
      <c r="BE6" s="207"/>
      <c r="BF6" s="207"/>
      <c r="BG6" s="207"/>
      <c r="BH6" s="207"/>
      <c r="BI6" s="207"/>
      <c r="BJ6" s="207"/>
      <c r="BK6" s="207"/>
      <c r="BL6" s="207"/>
      <c r="BM6" s="207"/>
      <c r="BN6" s="207"/>
      <c r="BO6" s="207"/>
      <c r="BP6" s="207"/>
      <c r="BQ6" s="207"/>
      <c r="BR6" s="207"/>
      <c r="BS6" s="207"/>
      <c r="BT6" s="207"/>
      <c r="BU6" s="207"/>
      <c r="BV6" s="207"/>
      <c r="BW6" s="207"/>
      <c r="BX6" s="207"/>
      <c r="BY6" s="207"/>
      <c r="BZ6" s="207"/>
      <c r="CA6" s="207"/>
      <c r="CB6" s="207"/>
      <c r="CC6" s="207"/>
      <c r="CD6" s="207"/>
      <c r="CE6" s="207"/>
      <c r="CF6" s="207"/>
      <c r="CG6" s="207"/>
      <c r="CH6" s="207"/>
      <c r="CI6" s="207"/>
      <c r="CJ6" s="207"/>
      <c r="CK6" s="207"/>
      <c r="CL6" s="207"/>
      <c r="CM6" s="207"/>
      <c r="CN6" s="207"/>
      <c r="CO6" s="207"/>
      <c r="CP6" s="207"/>
      <c r="CQ6" s="207"/>
      <c r="CR6" s="207"/>
      <c r="CS6" s="207"/>
      <c r="CT6" s="207"/>
      <c r="CU6" s="207"/>
      <c r="CV6" s="207"/>
      <c r="CW6" s="207"/>
      <c r="CX6" s="207"/>
      <c r="CY6" s="207"/>
      <c r="CZ6" s="207"/>
      <c r="DA6" s="207"/>
      <c r="DB6" s="207"/>
      <c r="DC6" s="207"/>
      <c r="DD6" s="207"/>
      <c r="DE6" s="207"/>
      <c r="DF6" s="207"/>
      <c r="DG6" s="207"/>
      <c r="DH6" s="207"/>
      <c r="DI6" s="207"/>
      <c r="DJ6" s="207"/>
      <c r="DK6" s="207"/>
      <c r="DL6" s="207"/>
    </row>
    <row r="7" spans="1:116" s="287" customFormat="1" ht="18" customHeight="1" x14ac:dyDescent="0.25">
      <c r="A7" s="671" t="s">
        <v>387</v>
      </c>
      <c r="B7" s="466">
        <f>Sensitivity!C18</f>
        <v>0.123</v>
      </c>
      <c r="C7" s="466">
        <f>Sensitivity!D18</f>
        <v>0.127</v>
      </c>
      <c r="D7" s="466">
        <f>Sensitivity!E18</f>
        <v>0.14000000000000001</v>
      </c>
      <c r="E7" s="466">
        <f>Sensitivity!F18</f>
        <v>9.4E-2</v>
      </c>
      <c r="F7" s="466">
        <f>Sensitivity!G18</f>
        <v>0.128</v>
      </c>
      <c r="G7" s="466">
        <f>Sensitivity!H18</f>
        <v>0.12271</v>
      </c>
      <c r="H7" s="466">
        <f>Sensitivity!I18</f>
        <v>0.109</v>
      </c>
      <c r="I7" s="466">
        <f>Sensitivity!J18</f>
        <v>0.11</v>
      </c>
      <c r="J7" s="466">
        <f>Sensitivity!K18</f>
        <v>0.11</v>
      </c>
      <c r="K7" s="466">
        <f>Sensitivity!L18</f>
        <v>0.11</v>
      </c>
      <c r="L7" s="466">
        <f>Sensitivity!M18</f>
        <v>0.11</v>
      </c>
      <c r="M7" s="466">
        <f>Sensitivity!N18</f>
        <v>0.11</v>
      </c>
      <c r="N7" s="466">
        <f>Sensitivity!O18</f>
        <v>0.11</v>
      </c>
      <c r="O7" s="466">
        <f>Sensitivity!P18</f>
        <v>0.11</v>
      </c>
      <c r="P7" s="466">
        <f>Sensitivity!Q18</f>
        <v>0.11</v>
      </c>
      <c r="Q7" s="466">
        <f>Sensitivity!R18</f>
        <v>0.11</v>
      </c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07"/>
      <c r="AJ7" s="207"/>
      <c r="AK7" s="207"/>
      <c r="AL7" s="207"/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7"/>
      <c r="BA7" s="207"/>
      <c r="BB7" s="207"/>
      <c r="BC7" s="207"/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7"/>
      <c r="BR7" s="207"/>
      <c r="BS7" s="207"/>
      <c r="BT7" s="207"/>
      <c r="BU7" s="207"/>
      <c r="BV7" s="207"/>
      <c r="BW7" s="207"/>
      <c r="BX7" s="207"/>
      <c r="BY7" s="207"/>
      <c r="BZ7" s="207"/>
      <c r="CA7" s="207"/>
      <c r="CB7" s="207"/>
      <c r="CC7" s="207"/>
      <c r="CD7" s="207"/>
      <c r="CE7" s="207"/>
      <c r="CF7" s="207"/>
      <c r="CG7" s="207"/>
      <c r="CH7" s="207"/>
      <c r="CI7" s="207"/>
      <c r="CJ7" s="207"/>
      <c r="CK7" s="207"/>
      <c r="CL7" s="207"/>
      <c r="CM7" s="207"/>
      <c r="CN7" s="207"/>
      <c r="CO7" s="207"/>
      <c r="CP7" s="207"/>
      <c r="CQ7" s="207"/>
      <c r="CR7" s="207"/>
      <c r="CS7" s="207"/>
      <c r="CT7" s="207"/>
      <c r="CU7" s="207"/>
      <c r="CV7" s="207"/>
      <c r="CW7" s="207"/>
      <c r="CX7" s="207"/>
      <c r="CY7" s="207"/>
      <c r="CZ7" s="207"/>
      <c r="DA7" s="207"/>
      <c r="DB7" s="207"/>
      <c r="DC7" s="207"/>
      <c r="DD7" s="207"/>
      <c r="DE7" s="207"/>
      <c r="DF7" s="207"/>
      <c r="DG7" s="207"/>
      <c r="DH7" s="207"/>
      <c r="DI7" s="207"/>
      <c r="DJ7" s="207"/>
      <c r="DK7" s="207"/>
      <c r="DL7" s="207"/>
    </row>
    <row r="8" spans="1:116" s="287" customFormat="1" ht="18" customHeight="1" thickBot="1" x14ac:dyDescent="0.3">
      <c r="A8" s="671" t="str">
        <f>+Sensitivity!A19</f>
        <v>personnel expenses increase</v>
      </c>
      <c r="B8" s="735">
        <f>Sensitivity!C19</f>
        <v>0</v>
      </c>
      <c r="C8" s="735">
        <f>Sensitivity!D19</f>
        <v>0</v>
      </c>
      <c r="D8" s="466">
        <f>Sensitivity!E19</f>
        <v>0.15</v>
      </c>
      <c r="E8" s="466">
        <f>Sensitivity!F19</f>
        <v>0.19</v>
      </c>
      <c r="F8" s="466">
        <f>Sensitivity!G19</f>
        <v>0.31</v>
      </c>
      <c r="G8" s="466">
        <f>Sensitivity!H19</f>
        <v>0.2</v>
      </c>
      <c r="H8" s="466">
        <f>Sensitivity!I19</f>
        <v>0.22</v>
      </c>
      <c r="I8" s="466">
        <f>Sensitivity!J19</f>
        <v>0.22</v>
      </c>
      <c r="J8" s="466">
        <f>Sensitivity!K19</f>
        <v>0.22</v>
      </c>
      <c r="K8" s="466">
        <f>Sensitivity!L19</f>
        <v>0.22</v>
      </c>
      <c r="L8" s="466">
        <f>Sensitivity!M19</f>
        <v>0.22</v>
      </c>
      <c r="M8" s="466">
        <f>Sensitivity!N19</f>
        <v>0.22</v>
      </c>
      <c r="N8" s="466">
        <f>Sensitivity!O19</f>
        <v>0.22</v>
      </c>
      <c r="O8" s="466">
        <f>Sensitivity!P19</f>
        <v>0.22</v>
      </c>
      <c r="P8" s="466">
        <f>Sensitivity!Q19</f>
        <v>0.22</v>
      </c>
      <c r="Q8" s="466">
        <f>Sensitivity!R19</f>
        <v>0.22</v>
      </c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207"/>
      <c r="AF8" s="207"/>
      <c r="AG8" s="207"/>
      <c r="AH8" s="207"/>
      <c r="AI8" s="207"/>
      <c r="AJ8" s="207"/>
      <c r="AK8" s="207"/>
      <c r="AL8" s="207"/>
      <c r="AM8" s="207"/>
      <c r="AN8" s="207"/>
      <c r="AO8" s="207"/>
      <c r="AP8" s="207"/>
      <c r="AQ8" s="207"/>
      <c r="AR8" s="207"/>
      <c r="AS8" s="207"/>
      <c r="AT8" s="207"/>
      <c r="AU8" s="207"/>
      <c r="AV8" s="207"/>
      <c r="AW8" s="207"/>
      <c r="AX8" s="207"/>
      <c r="AY8" s="207"/>
      <c r="AZ8" s="207"/>
      <c r="BA8" s="207"/>
      <c r="BB8" s="207"/>
      <c r="BC8" s="207"/>
      <c r="BD8" s="207"/>
      <c r="BE8" s="207"/>
      <c r="BF8" s="207"/>
      <c r="BG8" s="207"/>
      <c r="BH8" s="207"/>
      <c r="BI8" s="207"/>
      <c r="BJ8" s="207"/>
      <c r="BK8" s="207"/>
      <c r="BL8" s="207"/>
      <c r="BM8" s="207"/>
      <c r="BN8" s="207"/>
      <c r="BO8" s="207"/>
      <c r="BP8" s="207"/>
      <c r="BQ8" s="207"/>
      <c r="BR8" s="207"/>
      <c r="BS8" s="207"/>
      <c r="BT8" s="207"/>
      <c r="BU8" s="207"/>
      <c r="BV8" s="207"/>
      <c r="BW8" s="207"/>
      <c r="BX8" s="207"/>
      <c r="BY8" s="207"/>
      <c r="BZ8" s="207"/>
      <c r="CA8" s="207"/>
      <c r="CB8" s="207"/>
      <c r="CC8" s="207"/>
      <c r="CD8" s="207"/>
      <c r="CE8" s="207"/>
      <c r="CF8" s="207"/>
      <c r="CG8" s="207"/>
      <c r="CH8" s="207"/>
      <c r="CI8" s="207"/>
      <c r="CJ8" s="207"/>
      <c r="CK8" s="207"/>
      <c r="CL8" s="207"/>
      <c r="CM8" s="207"/>
      <c r="CN8" s="207"/>
      <c r="CO8" s="207"/>
      <c r="CP8" s="207"/>
      <c r="CQ8" s="207"/>
      <c r="CR8" s="207"/>
      <c r="CS8" s="207"/>
      <c r="CT8" s="207"/>
      <c r="CU8" s="207"/>
      <c r="CV8" s="207"/>
      <c r="CW8" s="207"/>
      <c r="CX8" s="207"/>
      <c r="CY8" s="207"/>
      <c r="CZ8" s="207"/>
      <c r="DA8" s="207"/>
      <c r="DB8" s="207"/>
      <c r="DC8" s="207"/>
      <c r="DD8" s="207"/>
      <c r="DE8" s="207"/>
      <c r="DF8" s="207"/>
      <c r="DG8" s="207"/>
      <c r="DH8" s="207"/>
      <c r="DI8" s="207"/>
      <c r="DJ8" s="207"/>
      <c r="DK8" s="207"/>
      <c r="DL8" s="207"/>
    </row>
    <row r="9" spans="1:116" s="287" customFormat="1" ht="18" customHeight="1" thickBot="1" x14ac:dyDescent="0.3">
      <c r="A9" s="671" t="s">
        <v>416</v>
      </c>
      <c r="B9" s="499">
        <v>0.6</v>
      </c>
      <c r="C9" s="214"/>
      <c r="D9" s="479">
        <f>MAX(+BS!C24*+Assumptions!$B$9*0,0)</f>
        <v>0</v>
      </c>
      <c r="E9" s="479">
        <f>MAX(+BS!D24*+Assumptions!$B$9*0,0)*0+2609</f>
        <v>2609</v>
      </c>
      <c r="F9" s="479">
        <f>MAX(+BS!E24*+Assumptions!$B$9,0)*0+14755</f>
        <v>14755</v>
      </c>
      <c r="G9" s="479">
        <f>MAX(+BS!F24*+Assumptions!$B$9,0)*0</f>
        <v>0</v>
      </c>
      <c r="H9" s="720">
        <f ca="1">MAX(+BS!G24*+Assumptions!$B$9,0)*0</f>
        <v>0</v>
      </c>
      <c r="I9" s="720">
        <f ca="1">MAX(+BS!H24*+Assumptions!$B$9,0)*0</f>
        <v>0</v>
      </c>
      <c r="J9" s="479">
        <f ca="1">MAX(+BS!I24*+Assumptions!$B$9,0)</f>
        <v>8350.5704824277746</v>
      </c>
      <c r="K9" s="479">
        <f ca="1">MAX(+BS!J24*+Assumptions!$B$9,0)</f>
        <v>16538.095824108346</v>
      </c>
      <c r="L9" s="479">
        <f ca="1">MAX(+BS!K24*+Assumptions!$B$9,0)</f>
        <v>20848.140428716164</v>
      </c>
      <c r="M9" s="479">
        <f ca="1">MAX(+BS!L24*+Assumptions!$B$9,0)</f>
        <v>25614.042836945799</v>
      </c>
      <c r="N9" s="479">
        <f ca="1">MAX(+BS!M24*+Assumptions!$B$9,0)</f>
        <v>30786.368740121252</v>
      </c>
      <c r="O9" s="479">
        <f ca="1">MAX(+BS!N24*+Assumptions!$B$9,0)</f>
        <v>36355.911611920114</v>
      </c>
      <c r="P9" s="479">
        <f ca="1">MAX(+BS!O24*+Assumptions!$B$9,0)</f>
        <v>42725.811130780952</v>
      </c>
      <c r="Q9" s="479">
        <f ca="1">MAX(+BS!P24*+Assumptions!$B$9,0)</f>
        <v>48713.802816736948</v>
      </c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207"/>
      <c r="AE9" s="207"/>
      <c r="AF9" s="207"/>
      <c r="AG9" s="207"/>
      <c r="AH9" s="207"/>
      <c r="AI9" s="207"/>
      <c r="AJ9" s="207"/>
      <c r="AK9" s="207"/>
      <c r="AL9" s="207"/>
      <c r="AM9" s="207"/>
      <c r="AN9" s="207"/>
      <c r="AO9" s="207"/>
      <c r="AP9" s="207"/>
      <c r="AQ9" s="207"/>
      <c r="AR9" s="207"/>
      <c r="AS9" s="207"/>
      <c r="AT9" s="207"/>
      <c r="AU9" s="207"/>
      <c r="AV9" s="207"/>
      <c r="AW9" s="207"/>
      <c r="AX9" s="207"/>
      <c r="AY9" s="207"/>
      <c r="AZ9" s="207"/>
      <c r="BA9" s="207"/>
      <c r="BB9" s="207"/>
      <c r="BC9" s="207"/>
      <c r="BD9" s="207"/>
      <c r="BE9" s="207"/>
      <c r="BF9" s="207"/>
      <c r="BG9" s="207"/>
      <c r="BH9" s="207"/>
      <c r="BI9" s="207"/>
      <c r="BJ9" s="207"/>
      <c r="BK9" s="207"/>
      <c r="BL9" s="207"/>
      <c r="BM9" s="207"/>
      <c r="BN9" s="207"/>
      <c r="BO9" s="207"/>
      <c r="BP9" s="207"/>
      <c r="BQ9" s="207"/>
      <c r="BR9" s="207"/>
      <c r="BS9" s="207"/>
      <c r="BT9" s="207"/>
      <c r="BU9" s="207"/>
      <c r="BV9" s="207"/>
      <c r="BW9" s="207"/>
      <c r="BX9" s="207"/>
      <c r="BY9" s="207"/>
      <c r="BZ9" s="207"/>
      <c r="CA9" s="207"/>
      <c r="CB9" s="207"/>
      <c r="CC9" s="207"/>
      <c r="CD9" s="207"/>
      <c r="CE9" s="207"/>
      <c r="CF9" s="207"/>
      <c r="CG9" s="207"/>
      <c r="CH9" s="207"/>
      <c r="CI9" s="207"/>
      <c r="CJ9" s="207"/>
      <c r="CK9" s="207"/>
      <c r="CL9" s="207"/>
      <c r="CM9" s="207"/>
      <c r="CN9" s="207"/>
      <c r="CO9" s="207"/>
      <c r="CP9" s="207"/>
      <c r="CQ9" s="207"/>
      <c r="CR9" s="207"/>
      <c r="CS9" s="207"/>
      <c r="CT9" s="207"/>
      <c r="CU9" s="207"/>
      <c r="CV9" s="207"/>
      <c r="CW9" s="207"/>
      <c r="CX9" s="207"/>
      <c r="CY9" s="207"/>
      <c r="CZ9" s="207"/>
      <c r="DA9" s="207"/>
      <c r="DB9" s="207"/>
      <c r="DC9" s="207"/>
      <c r="DD9" s="207"/>
      <c r="DE9" s="207"/>
      <c r="DF9" s="207"/>
      <c r="DG9" s="207"/>
      <c r="DH9" s="207"/>
      <c r="DI9" s="207"/>
      <c r="DJ9" s="207"/>
      <c r="DK9" s="207"/>
      <c r="DL9" s="207"/>
    </row>
    <row r="10" spans="1:116" s="287" customFormat="1" ht="18" customHeight="1" x14ac:dyDescent="0.25">
      <c r="A10" s="671" t="s">
        <v>649</v>
      </c>
      <c r="B10" s="214"/>
      <c r="C10" s="214"/>
      <c r="D10" s="479"/>
      <c r="E10" s="479"/>
      <c r="F10" s="479"/>
      <c r="G10" s="479"/>
      <c r="H10" s="466">
        <v>0.03</v>
      </c>
      <c r="I10" s="466">
        <v>0.03</v>
      </c>
      <c r="J10" s="466">
        <v>0.03</v>
      </c>
      <c r="K10" s="466">
        <v>0.03</v>
      </c>
      <c r="L10" s="466">
        <v>0.03</v>
      </c>
      <c r="M10" s="466">
        <v>0.03</v>
      </c>
      <c r="N10" s="466">
        <v>0.03</v>
      </c>
      <c r="O10" s="466">
        <v>0.03</v>
      </c>
      <c r="P10" s="466">
        <v>0.03</v>
      </c>
      <c r="Q10" s="466">
        <v>0.03</v>
      </c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207"/>
      <c r="AQ10" s="207"/>
      <c r="AR10" s="207"/>
      <c r="AS10" s="207"/>
      <c r="AT10" s="207"/>
      <c r="AU10" s="207"/>
      <c r="AV10" s="207"/>
      <c r="AW10" s="207"/>
      <c r="AX10" s="207"/>
      <c r="AY10" s="207"/>
      <c r="AZ10" s="207"/>
      <c r="BA10" s="207"/>
      <c r="BB10" s="207"/>
      <c r="BC10" s="207"/>
      <c r="BD10" s="207"/>
      <c r="BE10" s="207"/>
      <c r="BF10" s="207"/>
      <c r="BG10" s="207"/>
      <c r="BH10" s="207"/>
      <c r="BI10" s="207"/>
      <c r="BJ10" s="207"/>
      <c r="BK10" s="207"/>
      <c r="BL10" s="207"/>
      <c r="BM10" s="207"/>
      <c r="BN10" s="207"/>
      <c r="BO10" s="207"/>
      <c r="BP10" s="207"/>
      <c r="BQ10" s="207"/>
      <c r="BR10" s="207"/>
      <c r="BS10" s="207"/>
      <c r="BT10" s="207"/>
      <c r="BU10" s="207"/>
      <c r="BV10" s="207"/>
      <c r="BW10" s="207"/>
      <c r="BX10" s="207"/>
      <c r="BY10" s="207"/>
      <c r="BZ10" s="207"/>
      <c r="CA10" s="207"/>
      <c r="CB10" s="207"/>
      <c r="CC10" s="207"/>
      <c r="CD10" s="207"/>
      <c r="CE10" s="207"/>
      <c r="CF10" s="207"/>
      <c r="CG10" s="207"/>
      <c r="CH10" s="207"/>
      <c r="CI10" s="207"/>
      <c r="CJ10" s="207"/>
      <c r="CK10" s="207"/>
      <c r="CL10" s="207"/>
      <c r="CM10" s="207"/>
      <c r="CN10" s="207"/>
      <c r="CO10" s="207"/>
      <c r="CP10" s="207"/>
      <c r="CQ10" s="207"/>
      <c r="CR10" s="207"/>
      <c r="CS10" s="207"/>
      <c r="CT10" s="207"/>
      <c r="CU10" s="207"/>
      <c r="CV10" s="207"/>
      <c r="CW10" s="207"/>
      <c r="CX10" s="207"/>
      <c r="CY10" s="207"/>
      <c r="CZ10" s="207"/>
      <c r="DA10" s="207"/>
      <c r="DB10" s="207"/>
      <c r="DC10" s="207"/>
      <c r="DD10" s="207"/>
      <c r="DE10" s="207"/>
      <c r="DF10" s="207"/>
      <c r="DG10" s="207"/>
      <c r="DH10" s="207"/>
      <c r="DI10" s="207"/>
      <c r="DJ10" s="207"/>
      <c r="DK10" s="207"/>
      <c r="DL10" s="207"/>
    </row>
    <row r="11" spans="1:116" s="287" customFormat="1" ht="18" customHeight="1" x14ac:dyDescent="0.25">
      <c r="A11" s="671" t="s">
        <v>719</v>
      </c>
      <c r="B11" s="214"/>
      <c r="C11" s="214"/>
      <c r="D11" s="479"/>
      <c r="E11" s="479"/>
      <c r="F11" s="479"/>
      <c r="G11" s="479"/>
      <c r="H11" s="466">
        <v>0</v>
      </c>
      <c r="I11" s="466">
        <v>0.1</v>
      </c>
      <c r="J11" s="466">
        <v>0.1</v>
      </c>
      <c r="K11" s="466">
        <v>0.1</v>
      </c>
      <c r="L11" s="466">
        <v>0.1</v>
      </c>
      <c r="M11" s="466">
        <v>0.1</v>
      </c>
      <c r="N11" s="466">
        <v>0.1</v>
      </c>
      <c r="O11" s="466">
        <v>0.1</v>
      </c>
      <c r="P11" s="466">
        <v>0.1</v>
      </c>
      <c r="Q11" s="466">
        <v>0.1</v>
      </c>
      <c r="R11" s="207"/>
      <c r="S11" s="207"/>
      <c r="T11" s="207"/>
      <c r="U11" s="207"/>
      <c r="V11" s="207"/>
      <c r="W11" s="207"/>
      <c r="X11" s="207"/>
      <c r="Y11" s="207"/>
      <c r="Z11" s="207"/>
      <c r="AA11" s="207"/>
      <c r="AB11" s="207"/>
      <c r="AC11" s="207"/>
      <c r="AD11" s="207"/>
      <c r="AE11" s="207"/>
      <c r="AF11" s="207"/>
      <c r="AG11" s="207"/>
      <c r="AH11" s="207"/>
      <c r="AI11" s="207"/>
      <c r="AJ11" s="207"/>
      <c r="AK11" s="207"/>
      <c r="AL11" s="207"/>
      <c r="AM11" s="207"/>
      <c r="AN11" s="207"/>
      <c r="AO11" s="207"/>
      <c r="AP11" s="207"/>
      <c r="AQ11" s="207"/>
      <c r="AR11" s="207"/>
      <c r="AS11" s="207"/>
      <c r="AT11" s="207"/>
      <c r="AU11" s="207"/>
      <c r="AV11" s="207"/>
      <c r="AW11" s="207"/>
      <c r="AX11" s="207"/>
      <c r="AY11" s="207"/>
      <c r="AZ11" s="207"/>
      <c r="BA11" s="207"/>
      <c r="BB11" s="207"/>
      <c r="BC11" s="207"/>
      <c r="BD11" s="207"/>
      <c r="BE11" s="207"/>
      <c r="BF11" s="207"/>
      <c r="BG11" s="207"/>
      <c r="BH11" s="207"/>
      <c r="BI11" s="207"/>
      <c r="BJ11" s="207"/>
      <c r="BK11" s="207"/>
      <c r="BL11" s="207"/>
      <c r="BM11" s="207"/>
      <c r="BN11" s="207"/>
      <c r="BO11" s="207"/>
      <c r="BP11" s="207"/>
      <c r="BQ11" s="207"/>
      <c r="BR11" s="207"/>
      <c r="BS11" s="207"/>
      <c r="BT11" s="207"/>
      <c r="BU11" s="207"/>
      <c r="BV11" s="207"/>
      <c r="BW11" s="207"/>
      <c r="BX11" s="207"/>
      <c r="BY11" s="207"/>
      <c r="BZ11" s="207"/>
      <c r="CA11" s="207"/>
      <c r="CB11" s="207"/>
      <c r="CC11" s="207"/>
      <c r="CD11" s="207"/>
      <c r="CE11" s="207"/>
      <c r="CF11" s="207"/>
      <c r="CG11" s="207"/>
      <c r="CH11" s="207"/>
      <c r="CI11" s="207"/>
      <c r="CJ11" s="207"/>
      <c r="CK11" s="207"/>
      <c r="CL11" s="207"/>
      <c r="CM11" s="207"/>
      <c r="CN11" s="207"/>
      <c r="CO11" s="207"/>
      <c r="CP11" s="207"/>
      <c r="CQ11" s="207"/>
      <c r="CR11" s="207"/>
      <c r="CS11" s="207"/>
      <c r="CT11" s="207"/>
      <c r="CU11" s="207"/>
      <c r="CV11" s="207"/>
      <c r="CW11" s="207"/>
      <c r="CX11" s="207"/>
      <c r="CY11" s="207"/>
      <c r="CZ11" s="207"/>
      <c r="DA11" s="207"/>
      <c r="DB11" s="207"/>
      <c r="DC11" s="207"/>
      <c r="DD11" s="207"/>
      <c r="DE11" s="207"/>
      <c r="DF11" s="207"/>
      <c r="DG11" s="207"/>
      <c r="DH11" s="207"/>
      <c r="DI11" s="207"/>
      <c r="DJ11" s="207"/>
      <c r="DK11" s="207"/>
      <c r="DL11" s="207"/>
    </row>
    <row r="12" spans="1:116" s="287" customFormat="1" ht="18" customHeight="1" x14ac:dyDescent="0.25">
      <c r="A12" s="671" t="s">
        <v>720</v>
      </c>
      <c r="B12" s="214"/>
      <c r="C12" s="214"/>
      <c r="D12" s="479"/>
      <c r="E12" s="479"/>
      <c r="F12" s="479"/>
      <c r="G12" s="479"/>
      <c r="H12" s="466">
        <v>0.02</v>
      </c>
      <c r="I12" s="466">
        <v>0.02</v>
      </c>
      <c r="J12" s="466">
        <v>0.02</v>
      </c>
      <c r="K12" s="466">
        <v>0.02</v>
      </c>
      <c r="L12" s="466">
        <v>0.02</v>
      </c>
      <c r="M12" s="466">
        <v>0.02</v>
      </c>
      <c r="N12" s="466">
        <v>0.02</v>
      </c>
      <c r="O12" s="466">
        <v>0.02</v>
      </c>
      <c r="P12" s="466">
        <v>0.02</v>
      </c>
      <c r="Q12" s="466">
        <v>0.02</v>
      </c>
      <c r="R12" s="207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7"/>
      <c r="AH12" s="207"/>
      <c r="AI12" s="207"/>
      <c r="AJ12" s="207"/>
      <c r="AK12" s="207"/>
      <c r="AL12" s="207"/>
      <c r="AM12" s="207"/>
      <c r="AN12" s="207"/>
      <c r="AO12" s="207"/>
      <c r="AP12" s="207"/>
      <c r="AQ12" s="207"/>
      <c r="AR12" s="207"/>
      <c r="AS12" s="207"/>
      <c r="AT12" s="207"/>
      <c r="AU12" s="207"/>
      <c r="AV12" s="207"/>
      <c r="AW12" s="207"/>
      <c r="AX12" s="207"/>
      <c r="AY12" s="207"/>
      <c r="AZ12" s="207"/>
      <c r="BA12" s="207"/>
      <c r="BB12" s="207"/>
      <c r="BC12" s="207"/>
      <c r="BD12" s="207"/>
      <c r="BE12" s="207"/>
      <c r="BF12" s="207"/>
      <c r="BG12" s="207"/>
      <c r="BH12" s="207"/>
      <c r="BI12" s="207"/>
      <c r="BJ12" s="207"/>
      <c r="BK12" s="207"/>
      <c r="BL12" s="207"/>
      <c r="BM12" s="207"/>
      <c r="BN12" s="207"/>
      <c r="BO12" s="207"/>
      <c r="BP12" s="207"/>
      <c r="BQ12" s="207"/>
      <c r="BR12" s="207"/>
      <c r="BS12" s="207"/>
      <c r="BT12" s="207"/>
      <c r="BU12" s="207"/>
      <c r="BV12" s="207"/>
      <c r="BW12" s="207"/>
      <c r="BX12" s="207"/>
      <c r="BY12" s="207"/>
      <c r="BZ12" s="207"/>
      <c r="CA12" s="207"/>
      <c r="CB12" s="207"/>
      <c r="CC12" s="207"/>
      <c r="CD12" s="207"/>
      <c r="CE12" s="207"/>
      <c r="CF12" s="207"/>
      <c r="CG12" s="207"/>
      <c r="CH12" s="207"/>
      <c r="CI12" s="207"/>
      <c r="CJ12" s="207"/>
      <c r="CK12" s="207"/>
      <c r="CL12" s="207"/>
      <c r="CM12" s="207"/>
      <c r="CN12" s="207"/>
      <c r="CO12" s="207"/>
      <c r="CP12" s="207"/>
      <c r="CQ12" s="207"/>
      <c r="CR12" s="207"/>
      <c r="CS12" s="207"/>
      <c r="CT12" s="207"/>
      <c r="CU12" s="207"/>
      <c r="CV12" s="207"/>
      <c r="CW12" s="207"/>
      <c r="CX12" s="207"/>
      <c r="CY12" s="207"/>
      <c r="CZ12" s="207"/>
      <c r="DA12" s="207"/>
      <c r="DB12" s="207"/>
      <c r="DC12" s="207"/>
      <c r="DD12" s="207"/>
      <c r="DE12" s="207"/>
      <c r="DF12" s="207"/>
      <c r="DG12" s="207"/>
      <c r="DH12" s="207"/>
      <c r="DI12" s="207"/>
      <c r="DJ12" s="207"/>
      <c r="DK12" s="207"/>
      <c r="DL12" s="207"/>
    </row>
    <row r="13" spans="1:116" s="287" customFormat="1" ht="18" customHeight="1" x14ac:dyDescent="0.25">
      <c r="A13" s="671" t="s">
        <v>708</v>
      </c>
      <c r="B13" s="214"/>
      <c r="C13" s="214"/>
      <c r="D13" s="479"/>
      <c r="E13" s="479"/>
      <c r="F13" s="479"/>
      <c r="G13" s="479"/>
      <c r="H13" s="466"/>
      <c r="I13" s="214">
        <v>80</v>
      </c>
      <c r="J13" s="214">
        <v>160</v>
      </c>
      <c r="K13" s="214">
        <v>160</v>
      </c>
      <c r="L13" s="214">
        <v>160</v>
      </c>
      <c r="M13" s="214">
        <v>160</v>
      </c>
      <c r="N13" s="214">
        <v>160</v>
      </c>
      <c r="O13" s="214">
        <v>160</v>
      </c>
      <c r="P13" s="214">
        <v>160</v>
      </c>
      <c r="Q13" s="214">
        <v>160</v>
      </c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7"/>
      <c r="AO13" s="207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7"/>
      <c r="CB13" s="207"/>
      <c r="CC13" s="207"/>
      <c r="CD13" s="207"/>
      <c r="CE13" s="207"/>
      <c r="CF13" s="207"/>
      <c r="CG13" s="207"/>
      <c r="CH13" s="207"/>
      <c r="CI13" s="207"/>
      <c r="CJ13" s="207"/>
      <c r="CK13" s="207"/>
      <c r="CL13" s="207"/>
      <c r="CM13" s="207"/>
      <c r="CN13" s="207"/>
      <c r="CO13" s="207"/>
      <c r="CP13" s="207"/>
      <c r="CQ13" s="207"/>
      <c r="CR13" s="207"/>
      <c r="CS13" s="207"/>
      <c r="CT13" s="207"/>
      <c r="CU13" s="207"/>
      <c r="CV13" s="207"/>
      <c r="CW13" s="207"/>
      <c r="CX13" s="207"/>
      <c r="CY13" s="207"/>
      <c r="CZ13" s="207"/>
      <c r="DA13" s="207"/>
      <c r="DB13" s="207"/>
      <c r="DC13" s="207"/>
      <c r="DD13" s="207"/>
      <c r="DE13" s="207"/>
      <c r="DF13" s="207"/>
      <c r="DG13" s="207"/>
      <c r="DH13" s="207"/>
      <c r="DI13" s="207"/>
      <c r="DJ13" s="207"/>
      <c r="DK13" s="207"/>
      <c r="DL13" s="207"/>
    </row>
    <row r="14" spans="1:116" s="287" customFormat="1" ht="18" customHeight="1" x14ac:dyDescent="0.3">
      <c r="A14" s="671" t="s">
        <v>388</v>
      </c>
      <c r="B14" s="706">
        <f>Sensitivity!C20</f>
        <v>117.82599999999999</v>
      </c>
      <c r="C14" s="706">
        <f>Sensitivity!D20</f>
        <v>119.23099999999999</v>
      </c>
      <c r="D14" s="706">
        <f>Sensitivity!E20</f>
        <v>120</v>
      </c>
      <c r="E14" s="706">
        <f>Sensitivity!F20</f>
        <v>117.023</v>
      </c>
      <c r="F14" s="706">
        <f>Sensitivity!G20</f>
        <v>113.706</v>
      </c>
      <c r="G14" s="214">
        <f>Sensitivity!H20</f>
        <v>110</v>
      </c>
      <c r="H14" s="214">
        <f>Sensitivity!I20</f>
        <v>120</v>
      </c>
      <c r="I14" s="706">
        <f>Sensitivity!J20</f>
        <v>125</v>
      </c>
      <c r="J14" s="214">
        <f>Sensitivity!K20</f>
        <v>130</v>
      </c>
      <c r="K14" s="214">
        <f>Sensitivity!L20</f>
        <v>130</v>
      </c>
      <c r="L14" s="214">
        <f>Sensitivity!M20</f>
        <v>130</v>
      </c>
      <c r="M14" s="214">
        <f>Sensitivity!N20</f>
        <v>130</v>
      </c>
      <c r="N14" s="214">
        <f>Sensitivity!O20</f>
        <v>130</v>
      </c>
      <c r="O14" s="214">
        <f>Sensitivity!P20</f>
        <v>130</v>
      </c>
      <c r="P14" s="214">
        <f>Sensitivity!Q20</f>
        <v>130</v>
      </c>
      <c r="Q14" s="214">
        <f>Sensitivity!R20</f>
        <v>130</v>
      </c>
      <c r="R14" s="207"/>
      <c r="S14" s="207"/>
      <c r="T14" s="207"/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07"/>
      <c r="AI14" s="207"/>
      <c r="AJ14" s="207"/>
      <c r="AK14" s="207"/>
      <c r="AL14" s="207"/>
      <c r="AM14" s="207"/>
      <c r="AN14" s="207"/>
      <c r="AO14" s="207"/>
      <c r="AP14" s="207"/>
      <c r="AQ14" s="207"/>
      <c r="AR14" s="207"/>
      <c r="AS14" s="207"/>
      <c r="AT14" s="207"/>
      <c r="AU14" s="207"/>
      <c r="AV14" s="207"/>
      <c r="AW14" s="207"/>
      <c r="AX14" s="207"/>
      <c r="AY14" s="207"/>
      <c r="AZ14" s="207"/>
      <c r="BA14" s="207"/>
      <c r="BB14" s="207"/>
      <c r="BC14" s="207"/>
      <c r="BD14" s="207"/>
      <c r="BE14" s="207"/>
      <c r="BF14" s="207"/>
      <c r="BG14" s="207"/>
      <c r="BH14" s="207"/>
      <c r="BI14" s="207"/>
      <c r="BJ14" s="207"/>
      <c r="BK14" s="207"/>
      <c r="BL14" s="207"/>
      <c r="BM14" s="207"/>
      <c r="BN14" s="207"/>
      <c r="BO14" s="207"/>
      <c r="BP14" s="207"/>
      <c r="BQ14" s="207"/>
      <c r="BR14" s="207"/>
      <c r="BS14" s="207"/>
      <c r="BT14" s="207"/>
      <c r="BU14" s="207"/>
      <c r="BV14" s="207"/>
      <c r="BW14" s="207"/>
      <c r="BX14" s="207"/>
      <c r="BY14" s="207"/>
      <c r="BZ14" s="207"/>
      <c r="CA14" s="207"/>
      <c r="CB14" s="207"/>
      <c r="CC14" s="207"/>
      <c r="CD14" s="207"/>
      <c r="CE14" s="207"/>
      <c r="CF14" s="207"/>
      <c r="CG14" s="207"/>
      <c r="CH14" s="207"/>
      <c r="CI14" s="207"/>
      <c r="CJ14" s="207"/>
      <c r="CK14" s="207"/>
      <c r="CL14" s="207"/>
      <c r="CM14" s="207"/>
      <c r="CN14" s="207"/>
      <c r="CO14" s="207"/>
      <c r="CP14" s="207"/>
      <c r="CQ14" s="207"/>
      <c r="CR14" s="207"/>
      <c r="CS14" s="207"/>
      <c r="CT14" s="207"/>
      <c r="CU14" s="207"/>
      <c r="CV14" s="207"/>
      <c r="CW14" s="207"/>
      <c r="CX14" s="207"/>
      <c r="CY14" s="207"/>
      <c r="CZ14" s="207"/>
      <c r="DA14" s="207"/>
      <c r="DB14" s="207"/>
      <c r="DC14" s="207"/>
      <c r="DD14" s="207"/>
      <c r="DE14" s="207"/>
      <c r="DF14" s="207"/>
      <c r="DG14" s="207"/>
      <c r="DH14" s="207"/>
      <c r="DI14" s="207"/>
      <c r="DJ14" s="207"/>
      <c r="DK14" s="207"/>
      <c r="DL14" s="207"/>
    </row>
    <row r="15" spans="1:116" s="287" customFormat="1" ht="18" customHeight="1" x14ac:dyDescent="0.3">
      <c r="A15" s="671" t="s">
        <v>389</v>
      </c>
      <c r="B15" s="214"/>
      <c r="C15" s="214">
        <f>(37.35+0.6+11.18+0.67+1.43+31.57+5.71+0.46)*0+64.5</f>
        <v>64.5</v>
      </c>
      <c r="D15" s="214">
        <f>(37.54+1.38+34.61+6.55+0.72)*0+59.4</f>
        <v>59.4</v>
      </c>
      <c r="E15" s="480">
        <v>97.4</v>
      </c>
      <c r="F15" s="480">
        <v>73.5</v>
      </c>
      <c r="G15" s="480">
        <v>62.7</v>
      </c>
      <c r="H15" s="480">
        <f>+G15+3</f>
        <v>65.7</v>
      </c>
      <c r="I15" s="480">
        <f t="shared" ref="I15:N15" si="0">+H15</f>
        <v>65.7</v>
      </c>
      <c r="J15" s="480">
        <f>+I15</f>
        <v>65.7</v>
      </c>
      <c r="K15" s="480">
        <f t="shared" si="0"/>
        <v>65.7</v>
      </c>
      <c r="L15" s="480">
        <f t="shared" si="0"/>
        <v>65.7</v>
      </c>
      <c r="M15" s="480">
        <f t="shared" si="0"/>
        <v>65.7</v>
      </c>
      <c r="N15" s="480">
        <f t="shared" si="0"/>
        <v>65.7</v>
      </c>
      <c r="O15" s="480">
        <f t="shared" ref="O15" si="1">+N15</f>
        <v>65.7</v>
      </c>
      <c r="P15" s="480">
        <f t="shared" ref="P15" si="2">+O15</f>
        <v>65.7</v>
      </c>
      <c r="Q15" s="480">
        <f t="shared" ref="Q15" si="3">+P15</f>
        <v>65.7</v>
      </c>
      <c r="R15" s="207"/>
      <c r="S15" s="207"/>
      <c r="T15" s="207"/>
      <c r="U15" s="207"/>
      <c r="V15" s="207"/>
      <c r="W15" s="207"/>
      <c r="X15" s="207"/>
      <c r="Y15" s="207"/>
      <c r="Z15" s="207"/>
      <c r="AA15" s="207"/>
      <c r="AB15" s="207"/>
      <c r="AC15" s="207"/>
      <c r="AD15" s="207"/>
      <c r="AE15" s="207"/>
      <c r="AF15" s="207"/>
      <c r="AG15" s="207"/>
      <c r="AH15" s="207"/>
      <c r="AI15" s="207"/>
      <c r="AJ15" s="207"/>
      <c r="AK15" s="207"/>
      <c r="AL15" s="207"/>
      <c r="AM15" s="207"/>
      <c r="AN15" s="207"/>
      <c r="AO15" s="207"/>
      <c r="AP15" s="207"/>
      <c r="AQ15" s="207"/>
      <c r="AR15" s="207"/>
      <c r="AS15" s="207"/>
      <c r="AT15" s="207"/>
      <c r="AU15" s="207"/>
      <c r="AV15" s="207"/>
      <c r="AW15" s="207"/>
      <c r="AX15" s="207"/>
      <c r="AY15" s="207"/>
      <c r="AZ15" s="207"/>
      <c r="BA15" s="207"/>
      <c r="BB15" s="207"/>
      <c r="BC15" s="207"/>
      <c r="BD15" s="207"/>
      <c r="BE15" s="207"/>
      <c r="BF15" s="207"/>
      <c r="BG15" s="207"/>
      <c r="BH15" s="207"/>
      <c r="BI15" s="207"/>
      <c r="BJ15" s="207"/>
      <c r="BK15" s="207"/>
      <c r="BL15" s="207"/>
      <c r="BM15" s="207"/>
      <c r="BN15" s="207"/>
      <c r="BO15" s="207"/>
      <c r="BP15" s="207"/>
      <c r="BQ15" s="207"/>
      <c r="BR15" s="207"/>
      <c r="BS15" s="207"/>
      <c r="BT15" s="207"/>
      <c r="BU15" s="207"/>
      <c r="BV15" s="207"/>
      <c r="BW15" s="207"/>
      <c r="BX15" s="207"/>
      <c r="BY15" s="207"/>
      <c r="BZ15" s="207"/>
      <c r="CA15" s="207"/>
      <c r="CB15" s="207"/>
      <c r="CC15" s="207"/>
      <c r="CD15" s="207"/>
      <c r="CE15" s="207"/>
      <c r="CF15" s="207"/>
      <c r="CG15" s="207"/>
      <c r="CH15" s="207"/>
      <c r="CI15" s="207"/>
      <c r="CJ15" s="207"/>
      <c r="CK15" s="207"/>
      <c r="CL15" s="207"/>
      <c r="CM15" s="207"/>
      <c r="CN15" s="207"/>
      <c r="CO15" s="207"/>
      <c r="CP15" s="207"/>
      <c r="CQ15" s="207"/>
      <c r="CR15" s="207"/>
      <c r="CS15" s="207"/>
      <c r="CT15" s="207"/>
      <c r="CU15" s="207"/>
      <c r="CV15" s="207"/>
      <c r="CW15" s="207"/>
      <c r="CX15" s="207"/>
      <c r="CY15" s="207"/>
      <c r="CZ15" s="207"/>
      <c r="DA15" s="207"/>
      <c r="DB15" s="207"/>
      <c r="DC15" s="207"/>
      <c r="DD15" s="207"/>
      <c r="DE15" s="207"/>
      <c r="DF15" s="207"/>
      <c r="DG15" s="207"/>
      <c r="DH15" s="207"/>
      <c r="DI15" s="207"/>
      <c r="DJ15" s="207"/>
      <c r="DK15" s="207"/>
      <c r="DL15" s="207"/>
    </row>
    <row r="16" spans="1:116" ht="18" customHeight="1" x14ac:dyDescent="0.3">
      <c r="A16" s="202" t="s">
        <v>390</v>
      </c>
      <c r="B16" s="203"/>
      <c r="C16" s="203">
        <f>(50+1.33+8.18)*0+36.5</f>
        <v>36.5</v>
      </c>
      <c r="D16" s="203">
        <f>(29.9+7.56)*0+15.1</f>
        <v>15.1</v>
      </c>
      <c r="E16" s="204">
        <v>72.900000000000006</v>
      </c>
      <c r="F16" s="204">
        <v>42.8</v>
      </c>
      <c r="G16" s="204">
        <v>49.1</v>
      </c>
      <c r="H16" s="204">
        <f t="shared" ref="H16:N16" si="4">+H14-H15</f>
        <v>54.3</v>
      </c>
      <c r="I16" s="204">
        <f t="shared" si="4"/>
        <v>59.3</v>
      </c>
      <c r="J16" s="204">
        <f t="shared" si="4"/>
        <v>64.3</v>
      </c>
      <c r="K16" s="204">
        <f t="shared" si="4"/>
        <v>64.3</v>
      </c>
      <c r="L16" s="204">
        <f t="shared" si="4"/>
        <v>64.3</v>
      </c>
      <c r="M16" s="204">
        <f t="shared" si="4"/>
        <v>64.3</v>
      </c>
      <c r="N16" s="204">
        <f t="shared" si="4"/>
        <v>64.3</v>
      </c>
      <c r="O16" s="204">
        <f t="shared" ref="O16:Q16" si="5">+O14-O15</f>
        <v>64.3</v>
      </c>
      <c r="P16" s="204">
        <f t="shared" si="5"/>
        <v>64.3</v>
      </c>
      <c r="Q16" s="204">
        <f t="shared" si="5"/>
        <v>64.3</v>
      </c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  <c r="AE16" s="207"/>
      <c r="AF16" s="207"/>
      <c r="AG16" s="207"/>
      <c r="AH16" s="207"/>
      <c r="AI16" s="207"/>
      <c r="AJ16" s="207"/>
      <c r="AK16" s="207"/>
      <c r="AL16" s="207"/>
      <c r="AM16" s="207"/>
      <c r="AN16" s="207"/>
      <c r="AO16" s="207"/>
      <c r="AP16" s="207"/>
      <c r="AQ16" s="207"/>
      <c r="AR16" s="207"/>
      <c r="AS16" s="207"/>
      <c r="AT16" s="207"/>
      <c r="AU16" s="207"/>
      <c r="AV16" s="207"/>
      <c r="AW16" s="207"/>
      <c r="AX16" s="207"/>
      <c r="AY16" s="207"/>
      <c r="AZ16" s="207"/>
      <c r="BA16" s="207"/>
      <c r="BB16" s="207"/>
      <c r="BC16" s="207"/>
      <c r="BD16" s="207"/>
      <c r="BE16" s="207"/>
      <c r="BF16" s="207"/>
      <c r="BG16" s="207"/>
      <c r="BH16" s="207"/>
      <c r="BI16" s="207"/>
      <c r="BJ16" s="207"/>
      <c r="BK16" s="207"/>
      <c r="BL16" s="207"/>
      <c r="BM16" s="207"/>
      <c r="BN16" s="207"/>
      <c r="BO16" s="207"/>
      <c r="BP16" s="207"/>
      <c r="BQ16" s="207"/>
      <c r="BR16" s="207"/>
      <c r="BS16" s="207"/>
      <c r="BT16" s="207"/>
      <c r="BU16" s="207"/>
      <c r="BV16" s="207"/>
      <c r="BW16" s="207"/>
      <c r="BX16" s="207"/>
      <c r="BY16" s="207"/>
      <c r="BZ16" s="207"/>
      <c r="CA16" s="207"/>
      <c r="CB16" s="207"/>
      <c r="CC16" s="207"/>
      <c r="CD16" s="207"/>
      <c r="CE16" s="207"/>
      <c r="CF16" s="207"/>
      <c r="CG16" s="207"/>
      <c r="CH16" s="207"/>
      <c r="CI16" s="207"/>
      <c r="CJ16" s="207"/>
      <c r="CK16" s="207"/>
      <c r="CL16" s="207"/>
      <c r="CM16" s="207"/>
      <c r="CN16" s="207"/>
      <c r="CO16" s="207"/>
      <c r="CP16" s="207"/>
      <c r="CQ16" s="207"/>
      <c r="CR16" s="207"/>
      <c r="CS16" s="207"/>
      <c r="CT16" s="207"/>
      <c r="CU16" s="207"/>
      <c r="CV16" s="207"/>
      <c r="CW16" s="207"/>
      <c r="CX16" s="207"/>
      <c r="CY16" s="207"/>
      <c r="CZ16" s="207"/>
      <c r="DA16" s="207"/>
      <c r="DB16" s="207"/>
      <c r="DC16" s="207"/>
      <c r="DD16" s="207"/>
      <c r="DE16" s="207"/>
      <c r="DF16" s="207"/>
      <c r="DG16" s="207"/>
      <c r="DH16" s="207"/>
      <c r="DI16" s="207"/>
      <c r="DJ16" s="207"/>
      <c r="DK16" s="207"/>
      <c r="DL16" s="207"/>
    </row>
    <row r="17" spans="1:17" ht="20.100000000000001" customHeight="1" x14ac:dyDescent="0.25">
      <c r="A17" s="26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</row>
    <row r="18" spans="1:17" ht="20.100000000000001" customHeight="1" x14ac:dyDescent="0.3">
      <c r="A18" s="86" t="s">
        <v>308</v>
      </c>
      <c r="D18" s="5">
        <f>+D2</f>
        <v>2009</v>
      </c>
      <c r="E18" s="5">
        <f t="shared" ref="E18:N18" si="6">+E2</f>
        <v>2010</v>
      </c>
      <c r="F18" s="5">
        <f t="shared" si="6"/>
        <v>2011</v>
      </c>
      <c r="G18" s="5">
        <f t="shared" si="6"/>
        <v>2012</v>
      </c>
      <c r="H18" s="5">
        <f t="shared" si="6"/>
        <v>2013</v>
      </c>
      <c r="I18" s="5">
        <f t="shared" si="6"/>
        <v>2014</v>
      </c>
      <c r="J18" s="5">
        <f t="shared" si="6"/>
        <v>2015</v>
      </c>
      <c r="K18" s="5">
        <f t="shared" si="6"/>
        <v>2016</v>
      </c>
      <c r="L18" s="5">
        <f t="shared" si="6"/>
        <v>2017</v>
      </c>
      <c r="M18" s="5">
        <f t="shared" si="6"/>
        <v>2018</v>
      </c>
      <c r="N18" s="5">
        <f t="shared" si="6"/>
        <v>2019</v>
      </c>
      <c r="O18" s="5">
        <f t="shared" ref="O18:Q18" si="7">+O2</f>
        <v>2020</v>
      </c>
      <c r="P18" s="5">
        <f t="shared" si="7"/>
        <v>2021</v>
      </c>
      <c r="Q18" s="5">
        <f t="shared" si="7"/>
        <v>2022</v>
      </c>
    </row>
    <row r="19" spans="1:17" ht="20.100000000000001" customHeight="1" x14ac:dyDescent="0.25">
      <c r="A19" s="32" t="s">
        <v>186</v>
      </c>
      <c r="B19" s="15"/>
      <c r="C19" s="15"/>
      <c r="D19" s="79">
        <v>285.60000000000002</v>
      </c>
      <c r="E19" s="79">
        <v>260.2</v>
      </c>
      <c r="F19" s="79">
        <v>217.2</v>
      </c>
      <c r="G19" s="79">
        <v>325</v>
      </c>
      <c r="H19" s="79">
        <v>350</v>
      </c>
      <c r="I19" s="79">
        <v>350</v>
      </c>
      <c r="J19" s="79">
        <v>350</v>
      </c>
      <c r="K19" s="79">
        <v>350</v>
      </c>
      <c r="L19" s="79">
        <v>350</v>
      </c>
      <c r="M19" s="79">
        <v>350</v>
      </c>
      <c r="N19" s="79">
        <v>350</v>
      </c>
      <c r="O19" s="79">
        <v>350</v>
      </c>
      <c r="P19" s="79">
        <v>350</v>
      </c>
      <c r="Q19" s="79">
        <v>350</v>
      </c>
    </row>
    <row r="20" spans="1:17" ht="20.100000000000001" customHeight="1" x14ac:dyDescent="0.25">
      <c r="A20" s="70" t="s">
        <v>183</v>
      </c>
      <c r="B20" s="77"/>
      <c r="C20" s="77"/>
      <c r="D20" s="78"/>
      <c r="E20" s="79">
        <f>+E22*E21</f>
        <v>216.20000000000002</v>
      </c>
      <c r="F20" s="79">
        <f t="shared" ref="F20:N20" si="8">+F22*F21</f>
        <v>216.20000000000002</v>
      </c>
      <c r="G20" s="79">
        <f t="shared" si="8"/>
        <v>216.20000000000002</v>
      </c>
      <c r="H20" s="79">
        <f t="shared" si="8"/>
        <v>216.20000000000002</v>
      </c>
      <c r="I20" s="79">
        <f t="shared" si="8"/>
        <v>216.20000000000002</v>
      </c>
      <c r="J20" s="79">
        <f t="shared" si="8"/>
        <v>216.20000000000002</v>
      </c>
      <c r="K20" s="79">
        <f t="shared" si="8"/>
        <v>216.20000000000002</v>
      </c>
      <c r="L20" s="79">
        <f t="shared" si="8"/>
        <v>216.20000000000002</v>
      </c>
      <c r="M20" s="79">
        <f t="shared" si="8"/>
        <v>216.20000000000002</v>
      </c>
      <c r="N20" s="79">
        <f t="shared" si="8"/>
        <v>216.20000000000002</v>
      </c>
      <c r="O20" s="79">
        <f t="shared" ref="O20:Q20" si="9">+O22*O21</f>
        <v>216.20000000000002</v>
      </c>
      <c r="P20" s="79">
        <f t="shared" si="9"/>
        <v>216.20000000000002</v>
      </c>
      <c r="Q20" s="79">
        <f t="shared" si="9"/>
        <v>216.20000000000002</v>
      </c>
    </row>
    <row r="21" spans="1:17" ht="20.100000000000001" customHeight="1" x14ac:dyDescent="0.25">
      <c r="A21" s="87" t="s">
        <v>187</v>
      </c>
      <c r="D21" s="88">
        <v>0.46</v>
      </c>
      <c r="E21" s="88">
        <v>0.46</v>
      </c>
      <c r="F21" s="88">
        <v>0.46</v>
      </c>
      <c r="G21" s="88">
        <v>0.46</v>
      </c>
      <c r="H21" s="88">
        <v>0.46</v>
      </c>
      <c r="I21" s="88">
        <v>0.46</v>
      </c>
      <c r="J21" s="88">
        <v>0.46</v>
      </c>
      <c r="K21" s="88">
        <v>0.46</v>
      </c>
      <c r="L21" s="88">
        <v>0.46</v>
      </c>
      <c r="M21" s="88">
        <v>0.46</v>
      </c>
      <c r="N21" s="88">
        <v>0.46</v>
      </c>
      <c r="O21" s="88">
        <v>0.46</v>
      </c>
      <c r="P21" s="88">
        <v>0.46</v>
      </c>
      <c r="Q21" s="88">
        <v>0.46</v>
      </c>
    </row>
    <row r="22" spans="1:17" ht="20.100000000000001" customHeight="1" x14ac:dyDescent="0.25">
      <c r="A22" s="80" t="s">
        <v>185</v>
      </c>
      <c r="B22" s="81"/>
      <c r="C22" s="81"/>
      <c r="D22" s="83"/>
      <c r="E22" s="82">
        <v>470</v>
      </c>
      <c r="F22" s="82">
        <v>470</v>
      </c>
      <c r="G22" s="82">
        <v>470</v>
      </c>
      <c r="H22" s="82">
        <v>470</v>
      </c>
      <c r="I22" s="82">
        <v>470</v>
      </c>
      <c r="J22" s="82">
        <v>470</v>
      </c>
      <c r="K22" s="82">
        <v>470</v>
      </c>
      <c r="L22" s="82">
        <v>470</v>
      </c>
      <c r="M22" s="82">
        <v>470</v>
      </c>
      <c r="N22" s="82">
        <v>470</v>
      </c>
      <c r="O22" s="82">
        <v>470</v>
      </c>
      <c r="P22" s="82">
        <v>470</v>
      </c>
      <c r="Q22" s="82">
        <v>470</v>
      </c>
    </row>
    <row r="23" spans="1:17" ht="20.100000000000001" customHeight="1" x14ac:dyDescent="0.25">
      <c r="A23" s="70" t="s">
        <v>184</v>
      </c>
      <c r="B23" s="77"/>
      <c r="C23" s="77"/>
      <c r="D23" s="78"/>
      <c r="E23" s="79">
        <f>+E25*E24</f>
        <v>57.599999999999994</v>
      </c>
      <c r="F23" s="79">
        <f t="shared" ref="F23:N23" si="10">+F25*F24</f>
        <v>57.599999999999994</v>
      </c>
      <c r="G23" s="79">
        <f t="shared" si="10"/>
        <v>57.599999999999994</v>
      </c>
      <c r="H23" s="79">
        <f t="shared" si="10"/>
        <v>57.599999999999994</v>
      </c>
      <c r="I23" s="79">
        <f t="shared" si="10"/>
        <v>57.599999999999994</v>
      </c>
      <c r="J23" s="79">
        <f t="shared" si="10"/>
        <v>57.599999999999994</v>
      </c>
      <c r="K23" s="79">
        <f t="shared" si="10"/>
        <v>57.599999999999994</v>
      </c>
      <c r="L23" s="79">
        <f t="shared" si="10"/>
        <v>57.599999999999994</v>
      </c>
      <c r="M23" s="79">
        <f t="shared" si="10"/>
        <v>57.599999999999994</v>
      </c>
      <c r="N23" s="79">
        <f t="shared" si="10"/>
        <v>57.599999999999994</v>
      </c>
      <c r="O23" s="79">
        <f t="shared" ref="O23:Q23" si="11">+O25*O24</f>
        <v>57.599999999999994</v>
      </c>
      <c r="P23" s="79">
        <f t="shared" si="11"/>
        <v>57.599999999999994</v>
      </c>
      <c r="Q23" s="79">
        <f t="shared" si="11"/>
        <v>57.599999999999994</v>
      </c>
    </row>
    <row r="24" spans="1:17" ht="20.100000000000001" customHeight="1" x14ac:dyDescent="0.25">
      <c r="A24" s="87" t="s">
        <v>187</v>
      </c>
      <c r="D24" s="88">
        <v>0.24</v>
      </c>
      <c r="E24" s="88">
        <v>0.24</v>
      </c>
      <c r="F24" s="88">
        <v>0.24</v>
      </c>
      <c r="G24" s="88">
        <v>0.24</v>
      </c>
      <c r="H24" s="88">
        <v>0.24</v>
      </c>
      <c r="I24" s="88">
        <v>0.24</v>
      </c>
      <c r="J24" s="88">
        <v>0.24</v>
      </c>
      <c r="K24" s="88">
        <v>0.24</v>
      </c>
      <c r="L24" s="88">
        <v>0.24</v>
      </c>
      <c r="M24" s="88">
        <v>0.24</v>
      </c>
      <c r="N24" s="88">
        <v>0.24</v>
      </c>
      <c r="O24" s="88">
        <v>0.24</v>
      </c>
      <c r="P24" s="88">
        <v>0.24</v>
      </c>
      <c r="Q24" s="88">
        <v>0.24</v>
      </c>
    </row>
    <row r="25" spans="1:17" ht="20.100000000000001" customHeight="1" x14ac:dyDescent="0.25">
      <c r="A25" s="80" t="s">
        <v>185</v>
      </c>
      <c r="B25" s="81"/>
      <c r="C25" s="81"/>
      <c r="D25" s="81"/>
      <c r="E25" s="82">
        <v>240</v>
      </c>
      <c r="F25" s="82">
        <v>240</v>
      </c>
      <c r="G25" s="82">
        <v>240</v>
      </c>
      <c r="H25" s="82">
        <v>240</v>
      </c>
      <c r="I25" s="82">
        <v>240</v>
      </c>
      <c r="J25" s="82">
        <v>240</v>
      </c>
      <c r="K25" s="82">
        <v>240</v>
      </c>
      <c r="L25" s="82">
        <v>240</v>
      </c>
      <c r="M25" s="82">
        <v>240</v>
      </c>
      <c r="N25" s="82">
        <v>240</v>
      </c>
      <c r="O25" s="82">
        <v>240</v>
      </c>
      <c r="P25" s="82">
        <v>240</v>
      </c>
      <c r="Q25" s="82">
        <v>240</v>
      </c>
    </row>
    <row r="26" spans="1:17" ht="20.100000000000001" customHeight="1" x14ac:dyDescent="0.25">
      <c r="A26" s="70" t="s">
        <v>532</v>
      </c>
      <c r="B26" s="77"/>
      <c r="C26" s="77"/>
      <c r="D26" s="78"/>
      <c r="E26" s="79">
        <f>+E28*E27</f>
        <v>32</v>
      </c>
      <c r="F26" s="79">
        <f t="shared" ref="F26:N26" si="12">+F28*F27</f>
        <v>32</v>
      </c>
      <c r="G26" s="79">
        <f t="shared" si="12"/>
        <v>32</v>
      </c>
      <c r="H26" s="79">
        <f t="shared" si="12"/>
        <v>32</v>
      </c>
      <c r="I26" s="79">
        <f t="shared" si="12"/>
        <v>32</v>
      </c>
      <c r="J26" s="79">
        <f t="shared" si="12"/>
        <v>32</v>
      </c>
      <c r="K26" s="79">
        <f t="shared" si="12"/>
        <v>32</v>
      </c>
      <c r="L26" s="79">
        <f t="shared" si="12"/>
        <v>32</v>
      </c>
      <c r="M26" s="79">
        <f t="shared" si="12"/>
        <v>32</v>
      </c>
      <c r="N26" s="79">
        <f t="shared" si="12"/>
        <v>32</v>
      </c>
      <c r="O26" s="79">
        <f t="shared" ref="O26:Q26" si="13">+O28*O27</f>
        <v>32</v>
      </c>
      <c r="P26" s="79">
        <f t="shared" si="13"/>
        <v>32</v>
      </c>
      <c r="Q26" s="79">
        <f t="shared" si="13"/>
        <v>32</v>
      </c>
    </row>
    <row r="27" spans="1:17" ht="20.100000000000001" customHeight="1" x14ac:dyDescent="0.25">
      <c r="A27" s="399" t="s">
        <v>533</v>
      </c>
      <c r="D27" s="88">
        <v>0.2</v>
      </c>
      <c r="E27" s="88">
        <v>0.2</v>
      </c>
      <c r="F27" s="88">
        <v>0.2</v>
      </c>
      <c r="G27" s="88">
        <v>0.2</v>
      </c>
      <c r="H27" s="88">
        <v>0.2</v>
      </c>
      <c r="I27" s="88">
        <v>0.2</v>
      </c>
      <c r="J27" s="88">
        <v>0.2</v>
      </c>
      <c r="K27" s="88">
        <v>0.2</v>
      </c>
      <c r="L27" s="88">
        <v>0.2</v>
      </c>
      <c r="M27" s="88">
        <v>0.2</v>
      </c>
      <c r="N27" s="88">
        <v>0.2</v>
      </c>
      <c r="O27" s="88">
        <v>0.2</v>
      </c>
      <c r="P27" s="88">
        <v>0.2</v>
      </c>
      <c r="Q27" s="88">
        <v>0.2</v>
      </c>
    </row>
    <row r="28" spans="1:17" ht="20.100000000000001" customHeight="1" x14ac:dyDescent="0.25">
      <c r="A28" s="80" t="s">
        <v>185</v>
      </c>
      <c r="B28" s="81"/>
      <c r="C28" s="81"/>
      <c r="D28" s="81"/>
      <c r="E28" s="82">
        <v>160</v>
      </c>
      <c r="F28" s="82">
        <v>160</v>
      </c>
      <c r="G28" s="82">
        <v>160</v>
      </c>
      <c r="H28" s="82">
        <v>160</v>
      </c>
      <c r="I28" s="82">
        <v>160</v>
      </c>
      <c r="J28" s="82">
        <v>160</v>
      </c>
      <c r="K28" s="82">
        <v>160</v>
      </c>
      <c r="L28" s="82">
        <v>160</v>
      </c>
      <c r="M28" s="82">
        <v>160</v>
      </c>
      <c r="N28" s="82">
        <v>160</v>
      </c>
      <c r="O28" s="82">
        <v>160</v>
      </c>
      <c r="P28" s="82">
        <v>160</v>
      </c>
      <c r="Q28" s="82">
        <v>160</v>
      </c>
    </row>
    <row r="29" spans="1:17" ht="20.100000000000001" customHeight="1" x14ac:dyDescent="0.25">
      <c r="A29" s="84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</row>
    <row r="30" spans="1:17" ht="20.100000000000001" customHeight="1" x14ac:dyDescent="0.25">
      <c r="A30" s="84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</row>
    <row r="31" spans="1:17" s="207" customFormat="1" ht="20.100000000000001" customHeight="1" x14ac:dyDescent="0.25">
      <c r="A31" s="205" t="s">
        <v>394</v>
      </c>
      <c r="B31" s="206">
        <v>2007</v>
      </c>
      <c r="C31" s="206">
        <f>+PL!C2</f>
        <v>2008</v>
      </c>
      <c r="D31" s="206">
        <f>+PL!D2</f>
        <v>2009</v>
      </c>
      <c r="E31" s="206">
        <f>+PL!E2</f>
        <v>2010</v>
      </c>
      <c r="F31" s="206">
        <f>+PL!F2</f>
        <v>2011</v>
      </c>
      <c r="G31" s="206">
        <f>+PL!G2</f>
        <v>2012</v>
      </c>
      <c r="H31" s="206">
        <f>+PL!H2</f>
        <v>2013</v>
      </c>
      <c r="I31" s="206">
        <f>+PL!I2</f>
        <v>2014</v>
      </c>
      <c r="J31" s="206">
        <f>+PL!J2</f>
        <v>2015</v>
      </c>
      <c r="K31" s="206">
        <f>+PL!K2</f>
        <v>2016</v>
      </c>
      <c r="L31" s="206">
        <f>+PL!L2</f>
        <v>2017</v>
      </c>
      <c r="M31" s="206">
        <f>+PL!M2</f>
        <v>2018</v>
      </c>
      <c r="N31" s="206">
        <f>+PL!N2</f>
        <v>2019</v>
      </c>
      <c r="O31" s="206">
        <f>+PL!O2</f>
        <v>2020</v>
      </c>
      <c r="P31" s="206">
        <f>+PL!P2</f>
        <v>2021</v>
      </c>
      <c r="Q31" s="206">
        <f>+PL!Q2</f>
        <v>2022</v>
      </c>
    </row>
    <row r="32" spans="1:17" s="195" customFormat="1" ht="9" customHeight="1" x14ac:dyDescent="0.2">
      <c r="A32" s="196"/>
      <c r="B32" s="197"/>
      <c r="C32" s="197"/>
      <c r="D32" s="197"/>
      <c r="E32" s="198"/>
      <c r="F32" s="197"/>
      <c r="G32" s="197"/>
      <c r="H32" s="197"/>
      <c r="I32" s="197"/>
      <c r="J32" s="197"/>
      <c r="K32" s="197"/>
      <c r="L32" s="197"/>
      <c r="M32" s="197"/>
      <c r="N32" s="197"/>
      <c r="O32" s="197"/>
      <c r="P32" s="197"/>
      <c r="Q32" s="197"/>
    </row>
    <row r="33" spans="1:17" s="195" customFormat="1" ht="15" customHeight="1" x14ac:dyDescent="0.2">
      <c r="A33" s="199" t="s">
        <v>391</v>
      </c>
      <c r="B33" s="195">
        <v>48.936999999999998</v>
      </c>
      <c r="C33" s="425">
        <v>53.314</v>
      </c>
      <c r="D33" s="425">
        <v>49.996000000000002</v>
      </c>
      <c r="E33" s="200">
        <v>46.844000000000001</v>
      </c>
      <c r="F33" s="200">
        <v>43.94</v>
      </c>
      <c r="G33" s="200">
        <f t="shared" ref="G33:N33" si="14">+G23</f>
        <v>57.599999999999994</v>
      </c>
      <c r="H33" s="200">
        <f t="shared" si="14"/>
        <v>57.599999999999994</v>
      </c>
      <c r="I33" s="200">
        <f t="shared" si="14"/>
        <v>57.599999999999994</v>
      </c>
      <c r="J33" s="200">
        <f>+J23</f>
        <v>57.599999999999994</v>
      </c>
      <c r="K33" s="200">
        <f t="shared" si="14"/>
        <v>57.599999999999994</v>
      </c>
      <c r="L33" s="200">
        <f t="shared" si="14"/>
        <v>57.599999999999994</v>
      </c>
      <c r="M33" s="200">
        <f t="shared" si="14"/>
        <v>57.599999999999994</v>
      </c>
      <c r="N33" s="200">
        <f t="shared" si="14"/>
        <v>57.599999999999994</v>
      </c>
      <c r="O33" s="200">
        <f t="shared" ref="O33:Q33" si="15">+O23</f>
        <v>57.599999999999994</v>
      </c>
      <c r="P33" s="200">
        <f t="shared" si="15"/>
        <v>57.599999999999994</v>
      </c>
      <c r="Q33" s="200">
        <f t="shared" si="15"/>
        <v>57.599999999999994</v>
      </c>
    </row>
    <row r="34" spans="1:17" s="195" customFormat="1" ht="15" customHeight="1" x14ac:dyDescent="0.2">
      <c r="A34" s="199" t="s">
        <v>392</v>
      </c>
      <c r="B34" s="195">
        <v>58.704000000000001</v>
      </c>
      <c r="C34" s="201">
        <v>65.558000000000007</v>
      </c>
      <c r="D34" s="201">
        <v>69.182000000000002</v>
      </c>
      <c r="E34" s="201">
        <v>60.665999999999997</v>
      </c>
      <c r="F34" s="201">
        <v>62.383000000000003</v>
      </c>
      <c r="G34" s="201">
        <f>+G14-G33-G35-SUM(G36:G41)</f>
        <v>52.400000000000006</v>
      </c>
      <c r="H34" s="201">
        <f t="shared" ref="H34:Q34" si="16">+H14-H33-H35-SUM(H36:H41)</f>
        <v>62.400000000000006</v>
      </c>
      <c r="I34" s="201">
        <f t="shared" si="16"/>
        <v>53.74</v>
      </c>
      <c r="J34" s="201">
        <f t="shared" si="16"/>
        <v>45.08</v>
      </c>
      <c r="K34" s="201">
        <f t="shared" si="16"/>
        <v>45.08</v>
      </c>
      <c r="L34" s="201">
        <f t="shared" si="16"/>
        <v>45.08</v>
      </c>
      <c r="M34" s="201">
        <f t="shared" si="16"/>
        <v>45.08</v>
      </c>
      <c r="N34" s="201">
        <f t="shared" si="16"/>
        <v>45.08</v>
      </c>
      <c r="O34" s="201">
        <f t="shared" si="16"/>
        <v>45.08</v>
      </c>
      <c r="P34" s="201">
        <f t="shared" si="16"/>
        <v>45.08</v>
      </c>
      <c r="Q34" s="201">
        <f t="shared" si="16"/>
        <v>45.08</v>
      </c>
    </row>
    <row r="35" spans="1:17" s="195" customFormat="1" ht="15" customHeight="1" x14ac:dyDescent="0.2">
      <c r="A35" s="199" t="s">
        <v>502</v>
      </c>
      <c r="C35" s="201"/>
      <c r="D35" s="201"/>
      <c r="E35" s="201">
        <v>8.6259999999999994</v>
      </c>
      <c r="F35" s="201"/>
      <c r="G35" s="201"/>
      <c r="H35" s="201">
        <f t="shared" ref="H35:N35" si="17">+G35</f>
        <v>0</v>
      </c>
      <c r="I35" s="201">
        <f t="shared" si="17"/>
        <v>0</v>
      </c>
      <c r="J35" s="201">
        <f t="shared" si="17"/>
        <v>0</v>
      </c>
      <c r="K35" s="201">
        <f t="shared" si="17"/>
        <v>0</v>
      </c>
      <c r="L35" s="201">
        <f t="shared" si="17"/>
        <v>0</v>
      </c>
      <c r="M35" s="201">
        <f t="shared" si="17"/>
        <v>0</v>
      </c>
      <c r="N35" s="201">
        <f t="shared" si="17"/>
        <v>0</v>
      </c>
      <c r="O35" s="201">
        <f t="shared" ref="O35" si="18">+N35</f>
        <v>0</v>
      </c>
      <c r="P35" s="201">
        <f t="shared" ref="P35" si="19">+O35</f>
        <v>0</v>
      </c>
      <c r="Q35" s="201">
        <f t="shared" ref="Q35" si="20">+P35</f>
        <v>0</v>
      </c>
    </row>
    <row r="36" spans="1:17" s="195" customFormat="1" ht="15" customHeight="1" x14ac:dyDescent="0.2">
      <c r="A36" s="727" t="s">
        <v>540</v>
      </c>
      <c r="C36" s="201"/>
      <c r="D36" s="201"/>
      <c r="E36" s="201"/>
      <c r="F36" s="201"/>
      <c r="G36" s="201">
        <f>+turnover!G189</f>
        <v>0</v>
      </c>
      <c r="H36" s="201">
        <f>+turnover!H189</f>
        <v>0</v>
      </c>
      <c r="I36" s="201">
        <f>+turnover!I189</f>
        <v>1.2000000000000002</v>
      </c>
      <c r="J36" s="201">
        <f>+turnover!J189</f>
        <v>2.4000000000000004</v>
      </c>
      <c r="K36" s="201">
        <f>+turnover!K189</f>
        <v>2.4000000000000004</v>
      </c>
      <c r="L36" s="201">
        <f>+turnover!L189</f>
        <v>2.4000000000000004</v>
      </c>
      <c r="M36" s="201">
        <f>+turnover!M189</f>
        <v>2.4000000000000004</v>
      </c>
      <c r="N36" s="201">
        <f>+turnover!N189</f>
        <v>2.4000000000000004</v>
      </c>
      <c r="O36" s="201">
        <f>+turnover!O189</f>
        <v>2.4000000000000004</v>
      </c>
      <c r="P36" s="201">
        <f>+turnover!P189</f>
        <v>2.4000000000000004</v>
      </c>
      <c r="Q36" s="201">
        <f>+turnover!Q189</f>
        <v>2.4000000000000004</v>
      </c>
    </row>
    <row r="37" spans="1:17" s="195" customFormat="1" ht="15" customHeight="1" x14ac:dyDescent="0.2">
      <c r="A37" s="727" t="s">
        <v>729</v>
      </c>
      <c r="C37" s="201"/>
      <c r="D37" s="201"/>
      <c r="E37" s="201"/>
      <c r="F37" s="201"/>
      <c r="G37" s="201">
        <f>+turnover!G190</f>
        <v>0</v>
      </c>
      <c r="H37" s="201">
        <f>+turnover!H190</f>
        <v>0</v>
      </c>
      <c r="I37" s="201">
        <f>+turnover!I190</f>
        <v>8.9600000000000009</v>
      </c>
      <c r="J37" s="201">
        <f>+turnover!J190</f>
        <v>17.920000000000002</v>
      </c>
      <c r="K37" s="201">
        <f>+turnover!K190</f>
        <v>17.920000000000002</v>
      </c>
      <c r="L37" s="201">
        <f>+turnover!L190</f>
        <v>17.920000000000002</v>
      </c>
      <c r="M37" s="201">
        <f>+turnover!M190</f>
        <v>17.920000000000002</v>
      </c>
      <c r="N37" s="201">
        <f>+turnover!N190</f>
        <v>17.920000000000002</v>
      </c>
      <c r="O37" s="201">
        <f>+turnover!O190</f>
        <v>17.920000000000002</v>
      </c>
      <c r="P37" s="201">
        <f>+turnover!P190</f>
        <v>17.920000000000002</v>
      </c>
      <c r="Q37" s="201">
        <f>+turnover!Q190</f>
        <v>17.920000000000002</v>
      </c>
    </row>
    <row r="38" spans="1:17" s="195" customFormat="1" ht="15" customHeight="1" x14ac:dyDescent="0.2">
      <c r="A38" s="727" t="s">
        <v>730</v>
      </c>
      <c r="C38" s="201"/>
      <c r="D38" s="201"/>
      <c r="E38" s="201"/>
      <c r="F38" s="201"/>
      <c r="G38" s="201">
        <f>+turnover!G191</f>
        <v>0</v>
      </c>
      <c r="H38" s="201">
        <f>+turnover!H191</f>
        <v>0</v>
      </c>
      <c r="I38" s="201">
        <f>+turnover!I191</f>
        <v>2.21</v>
      </c>
      <c r="J38" s="201">
        <f>+turnover!J191</f>
        <v>4.42</v>
      </c>
      <c r="K38" s="201">
        <f>+turnover!K191</f>
        <v>4.42</v>
      </c>
      <c r="L38" s="201">
        <f>+turnover!L191</f>
        <v>4.42</v>
      </c>
      <c r="M38" s="201">
        <f>+turnover!M191</f>
        <v>4.42</v>
      </c>
      <c r="N38" s="201">
        <f>+turnover!N191</f>
        <v>4.42</v>
      </c>
      <c r="O38" s="201">
        <f>+turnover!O191</f>
        <v>4.42</v>
      </c>
      <c r="P38" s="201">
        <f>+turnover!P191</f>
        <v>4.42</v>
      </c>
      <c r="Q38" s="201">
        <f>+turnover!Q191</f>
        <v>4.42</v>
      </c>
    </row>
    <row r="39" spans="1:17" s="195" customFormat="1" ht="15" customHeight="1" x14ac:dyDescent="0.2">
      <c r="A39" s="727" t="s">
        <v>731</v>
      </c>
      <c r="C39" s="201"/>
      <c r="D39" s="201"/>
      <c r="E39" s="201"/>
      <c r="F39" s="201"/>
      <c r="G39" s="201">
        <f>+turnover!G192</f>
        <v>0</v>
      </c>
      <c r="H39" s="201">
        <f>+turnover!H192</f>
        <v>0</v>
      </c>
      <c r="I39" s="201">
        <f>+turnover!I192</f>
        <v>0.90000000000000024</v>
      </c>
      <c r="J39" s="201">
        <f>+turnover!J192</f>
        <v>1.8000000000000005</v>
      </c>
      <c r="K39" s="201">
        <f>+turnover!K192</f>
        <v>1.8000000000000005</v>
      </c>
      <c r="L39" s="201">
        <f>+turnover!L192</f>
        <v>1.8000000000000005</v>
      </c>
      <c r="M39" s="201">
        <f>+turnover!M192</f>
        <v>1.8000000000000005</v>
      </c>
      <c r="N39" s="201">
        <f>+turnover!N192</f>
        <v>1.8000000000000005</v>
      </c>
      <c r="O39" s="201">
        <f>+turnover!O192</f>
        <v>1.8000000000000005</v>
      </c>
      <c r="P39" s="201">
        <f>+turnover!P192</f>
        <v>1.8000000000000005</v>
      </c>
      <c r="Q39" s="201">
        <f>+turnover!Q192</f>
        <v>1.8000000000000005</v>
      </c>
    </row>
    <row r="40" spans="1:17" s="195" customFormat="1" ht="15" customHeight="1" x14ac:dyDescent="0.2">
      <c r="A40" s="727" t="s">
        <v>732</v>
      </c>
      <c r="C40" s="201"/>
      <c r="D40" s="201"/>
      <c r="E40" s="201"/>
      <c r="F40" s="201"/>
      <c r="G40" s="201">
        <f>+turnover!G193</f>
        <v>0</v>
      </c>
      <c r="H40" s="201">
        <f>+turnover!H193</f>
        <v>0</v>
      </c>
      <c r="I40" s="201">
        <f>+turnover!I193</f>
        <v>0.39</v>
      </c>
      <c r="J40" s="201">
        <f>+turnover!J193</f>
        <v>0.78</v>
      </c>
      <c r="K40" s="201">
        <f>+turnover!K193</f>
        <v>0.78</v>
      </c>
      <c r="L40" s="201">
        <f>+turnover!L193</f>
        <v>0.78</v>
      </c>
      <c r="M40" s="201">
        <f>+turnover!M193</f>
        <v>0.78</v>
      </c>
      <c r="N40" s="201">
        <f>+turnover!N193</f>
        <v>0.78</v>
      </c>
      <c r="O40" s="201">
        <f>+turnover!O193</f>
        <v>0.78</v>
      </c>
      <c r="P40" s="201">
        <f>+turnover!P193</f>
        <v>0.78</v>
      </c>
      <c r="Q40" s="201">
        <f>+turnover!Q193</f>
        <v>0.78</v>
      </c>
    </row>
    <row r="41" spans="1:17" s="195" customFormat="1" ht="15" customHeight="1" x14ac:dyDescent="0.2">
      <c r="A41" s="727" t="s">
        <v>743</v>
      </c>
      <c r="C41" s="201"/>
      <c r="D41" s="201"/>
      <c r="E41" s="201"/>
      <c r="F41" s="201"/>
      <c r="G41" s="201">
        <f>+turnover!G194</f>
        <v>0</v>
      </c>
      <c r="H41" s="201">
        <f>+turnover!H194</f>
        <v>0</v>
      </c>
      <c r="I41" s="201">
        <f>+turnover!I194</f>
        <v>0</v>
      </c>
      <c r="J41" s="201">
        <f>+turnover!J194</f>
        <v>0</v>
      </c>
      <c r="K41" s="201">
        <f>+turnover!K194</f>
        <v>0</v>
      </c>
      <c r="L41" s="201">
        <f>+turnover!L194</f>
        <v>0</v>
      </c>
      <c r="M41" s="201">
        <f>+turnover!M194</f>
        <v>0</v>
      </c>
      <c r="N41" s="201">
        <f>+turnover!N194</f>
        <v>0</v>
      </c>
      <c r="O41" s="201">
        <f>+turnover!O194</f>
        <v>0</v>
      </c>
      <c r="P41" s="201">
        <f>+turnover!P194</f>
        <v>0</v>
      </c>
      <c r="Q41" s="201">
        <f>+turnover!Q194</f>
        <v>0</v>
      </c>
    </row>
    <row r="42" spans="1:17" s="195" customFormat="1" ht="15" customHeight="1" x14ac:dyDescent="0.2">
      <c r="A42" s="202" t="s">
        <v>694</v>
      </c>
      <c r="B42" s="204">
        <v>117.82599999999999</v>
      </c>
      <c r="C42" s="204">
        <v>119.23099999999999</v>
      </c>
      <c r="D42" s="204">
        <v>120.691</v>
      </c>
      <c r="E42" s="204">
        <v>117.023</v>
      </c>
      <c r="F42" s="204">
        <v>113.706</v>
      </c>
      <c r="G42" s="204">
        <f t="shared" ref="G42:Q42" si="21">SUM(G33:G41)</f>
        <v>110</v>
      </c>
      <c r="H42" s="204">
        <f t="shared" si="21"/>
        <v>120</v>
      </c>
      <c r="I42" s="204">
        <f t="shared" si="21"/>
        <v>125</v>
      </c>
      <c r="J42" s="204">
        <f t="shared" si="21"/>
        <v>130</v>
      </c>
      <c r="K42" s="204">
        <f t="shared" si="21"/>
        <v>130</v>
      </c>
      <c r="L42" s="204">
        <f t="shared" si="21"/>
        <v>130</v>
      </c>
      <c r="M42" s="204">
        <f t="shared" si="21"/>
        <v>130</v>
      </c>
      <c r="N42" s="204">
        <f t="shared" si="21"/>
        <v>130</v>
      </c>
      <c r="O42" s="204">
        <f t="shared" si="21"/>
        <v>130</v>
      </c>
      <c r="P42" s="204">
        <f t="shared" si="21"/>
        <v>130</v>
      </c>
      <c r="Q42" s="204">
        <f t="shared" si="21"/>
        <v>130</v>
      </c>
    </row>
    <row r="43" spans="1:17" s="195" customFormat="1" ht="15" customHeight="1" x14ac:dyDescent="0.2">
      <c r="A43" s="195" t="s">
        <v>543</v>
      </c>
      <c r="C43" s="201"/>
      <c r="D43" s="201"/>
      <c r="E43" s="201">
        <v>115</v>
      </c>
      <c r="F43" s="201">
        <v>115</v>
      </c>
      <c r="G43" s="201">
        <v>120</v>
      </c>
      <c r="H43" s="201">
        <f>+H14</f>
        <v>120</v>
      </c>
      <c r="I43" s="201">
        <f t="shared" ref="I43:Q43" si="22">+I14</f>
        <v>125</v>
      </c>
      <c r="J43" s="201">
        <f t="shared" si="22"/>
        <v>130</v>
      </c>
      <c r="K43" s="201">
        <f t="shared" si="22"/>
        <v>130</v>
      </c>
      <c r="L43" s="201">
        <f t="shared" si="22"/>
        <v>130</v>
      </c>
      <c r="M43" s="201">
        <f t="shared" si="22"/>
        <v>130</v>
      </c>
      <c r="N43" s="201">
        <f t="shared" si="22"/>
        <v>130</v>
      </c>
      <c r="O43" s="201">
        <f t="shared" si="22"/>
        <v>130</v>
      </c>
      <c r="P43" s="201">
        <f t="shared" si="22"/>
        <v>130</v>
      </c>
      <c r="Q43" s="201">
        <f t="shared" si="22"/>
        <v>130</v>
      </c>
    </row>
    <row r="44" spans="1:17" s="195" customFormat="1" ht="15" customHeight="1" x14ac:dyDescent="0.2">
      <c r="C44" s="201"/>
      <c r="D44" s="201"/>
      <c r="E44" s="201"/>
      <c r="F44" s="201"/>
      <c r="G44" s="201"/>
      <c r="H44" s="201"/>
      <c r="I44" s="201"/>
      <c r="J44" s="201"/>
      <c r="K44" s="201"/>
      <c r="L44" s="201"/>
      <c r="M44" s="201"/>
      <c r="N44" s="201"/>
      <c r="O44" s="201"/>
      <c r="P44" s="201"/>
      <c r="Q44" s="201"/>
    </row>
    <row r="45" spans="1:17" s="195" customFormat="1" ht="15" customHeight="1" x14ac:dyDescent="0.2">
      <c r="C45" s="201"/>
      <c r="D45" s="201"/>
      <c r="E45" s="201"/>
      <c r="F45" s="201"/>
      <c r="G45" s="201"/>
      <c r="H45" s="201"/>
      <c r="I45" s="201"/>
      <c r="J45" s="201"/>
      <c r="K45" s="201"/>
      <c r="L45" s="201"/>
      <c r="M45" s="201"/>
      <c r="N45" s="201"/>
      <c r="O45" s="201"/>
      <c r="P45" s="201"/>
      <c r="Q45" s="201"/>
    </row>
    <row r="46" spans="1:17" s="195" customFormat="1" ht="15" customHeight="1" x14ac:dyDescent="0.2">
      <c r="C46" s="201"/>
      <c r="D46" s="201"/>
      <c r="E46" s="201"/>
      <c r="F46" s="201"/>
      <c r="G46" s="201"/>
      <c r="H46" s="201"/>
      <c r="I46" s="201"/>
      <c r="J46" s="201"/>
      <c r="K46" s="201"/>
      <c r="L46" s="201"/>
      <c r="M46" s="201"/>
      <c r="N46" s="201"/>
      <c r="O46" s="201"/>
      <c r="P46" s="201"/>
      <c r="Q46" s="201"/>
    </row>
    <row r="47" spans="1:17" s="207" customFormat="1" ht="20.100000000000001" customHeight="1" x14ac:dyDescent="0.25">
      <c r="A47" s="205" t="s">
        <v>393</v>
      </c>
      <c r="B47" s="206">
        <v>2007</v>
      </c>
      <c r="C47" s="206">
        <f>+PL!C2</f>
        <v>2008</v>
      </c>
      <c r="D47" s="206">
        <f>+PL!D2</f>
        <v>2009</v>
      </c>
      <c r="E47" s="206">
        <f>+PL!E2</f>
        <v>2010</v>
      </c>
      <c r="F47" s="206">
        <f>+PL!F2</f>
        <v>2011</v>
      </c>
      <c r="G47" s="206">
        <f>+PL!G2</f>
        <v>2012</v>
      </c>
      <c r="H47" s="206">
        <f>+PL!H2</f>
        <v>2013</v>
      </c>
      <c r="I47" s="206">
        <f>+PL!I2</f>
        <v>2014</v>
      </c>
      <c r="J47" s="206">
        <f>+PL!J2</f>
        <v>2015</v>
      </c>
      <c r="K47" s="206">
        <f>+PL!K2</f>
        <v>2016</v>
      </c>
      <c r="L47" s="206">
        <f>+PL!L2</f>
        <v>2017</v>
      </c>
      <c r="M47" s="206">
        <f>+PL!M2</f>
        <v>2018</v>
      </c>
      <c r="N47" s="206">
        <f>+PL!N2</f>
        <v>2019</v>
      </c>
      <c r="O47" s="206">
        <f>+PL!O2</f>
        <v>2020</v>
      </c>
      <c r="P47" s="206">
        <f>+PL!P2</f>
        <v>2021</v>
      </c>
      <c r="Q47" s="206">
        <f>+PL!Q2</f>
        <v>2022</v>
      </c>
    </row>
    <row r="48" spans="1:17" s="195" customFormat="1" ht="9" customHeight="1" x14ac:dyDescent="0.2">
      <c r="A48" s="196"/>
      <c r="B48" s="197"/>
      <c r="C48" s="197"/>
      <c r="D48" s="197"/>
      <c r="E48" s="198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49" spans="1:18" s="195" customFormat="1" ht="15" customHeight="1" x14ac:dyDescent="0.2">
      <c r="A49" s="199" t="s">
        <v>391</v>
      </c>
      <c r="B49" s="201">
        <v>203.54400000000001</v>
      </c>
      <c r="C49" s="201">
        <v>218.06800000000001</v>
      </c>
      <c r="D49" s="201">
        <v>210.41</v>
      </c>
      <c r="E49" s="201">
        <v>199.63</v>
      </c>
      <c r="F49" s="201">
        <v>181.86199999999999</v>
      </c>
      <c r="G49" s="201">
        <f t="shared" ref="G49:N49" si="23">+G33/G24</f>
        <v>239.99999999999997</v>
      </c>
      <c r="H49" s="201">
        <f t="shared" si="23"/>
        <v>239.99999999999997</v>
      </c>
      <c r="I49" s="201">
        <f t="shared" si="23"/>
        <v>239.99999999999997</v>
      </c>
      <c r="J49" s="201">
        <f t="shared" si="23"/>
        <v>239.99999999999997</v>
      </c>
      <c r="K49" s="201">
        <f t="shared" si="23"/>
        <v>239.99999999999997</v>
      </c>
      <c r="L49" s="201">
        <f t="shared" si="23"/>
        <v>239.99999999999997</v>
      </c>
      <c r="M49" s="201">
        <f t="shared" si="23"/>
        <v>239.99999999999997</v>
      </c>
      <c r="N49" s="201">
        <f t="shared" si="23"/>
        <v>239.99999999999997</v>
      </c>
      <c r="O49" s="201">
        <f t="shared" ref="O49:Q49" si="24">+O33/O24</f>
        <v>239.99999999999997</v>
      </c>
      <c r="P49" s="201">
        <f t="shared" si="24"/>
        <v>239.99999999999997</v>
      </c>
      <c r="Q49" s="201">
        <f t="shared" si="24"/>
        <v>239.99999999999997</v>
      </c>
    </row>
    <row r="50" spans="1:18" s="195" customFormat="1" ht="15" customHeight="1" x14ac:dyDescent="0.2">
      <c r="A50" s="199" t="s">
        <v>392</v>
      </c>
      <c r="B50" s="201">
        <v>123.95099999999999</v>
      </c>
      <c r="C50" s="201">
        <v>139.38300000000001</v>
      </c>
      <c r="D50" s="201">
        <v>147.62299999999999</v>
      </c>
      <c r="E50" s="201">
        <v>130.267</v>
      </c>
      <c r="F50" s="201">
        <v>135.5368</v>
      </c>
      <c r="G50" s="201">
        <f t="shared" ref="G50:N50" si="25">+G34/G21</f>
        <v>113.91304347826087</v>
      </c>
      <c r="H50" s="201">
        <f t="shared" si="25"/>
        <v>135.6521739130435</v>
      </c>
      <c r="I50" s="201">
        <f t="shared" si="25"/>
        <v>116.82608695652173</v>
      </c>
      <c r="J50" s="201">
        <f t="shared" si="25"/>
        <v>97.999999999999986</v>
      </c>
      <c r="K50" s="201">
        <f t="shared" si="25"/>
        <v>97.999999999999986</v>
      </c>
      <c r="L50" s="201">
        <f t="shared" si="25"/>
        <v>97.999999999999986</v>
      </c>
      <c r="M50" s="201">
        <f t="shared" si="25"/>
        <v>97.999999999999986</v>
      </c>
      <c r="N50" s="201">
        <f t="shared" si="25"/>
        <v>97.999999999999986</v>
      </c>
      <c r="O50" s="201">
        <f t="shared" ref="O50:Q50" si="26">+O34/O21</f>
        <v>97.999999999999986</v>
      </c>
      <c r="P50" s="201">
        <f t="shared" si="26"/>
        <v>97.999999999999986</v>
      </c>
      <c r="Q50" s="201">
        <f t="shared" si="26"/>
        <v>97.999999999999986</v>
      </c>
    </row>
    <row r="51" spans="1:18" s="195" customFormat="1" ht="15" customHeight="1" x14ac:dyDescent="0.2">
      <c r="A51" s="199" t="s">
        <v>502</v>
      </c>
      <c r="B51" s="201"/>
      <c r="C51" s="201"/>
      <c r="D51" s="201"/>
      <c r="E51" s="201">
        <v>16.457999999999998</v>
      </c>
      <c r="F51" s="201"/>
      <c r="G51" s="201">
        <f t="shared" ref="G51:N51" si="27">+G35/0.52</f>
        <v>0</v>
      </c>
      <c r="H51" s="201">
        <f t="shared" si="27"/>
        <v>0</v>
      </c>
      <c r="I51" s="201">
        <f t="shared" si="27"/>
        <v>0</v>
      </c>
      <c r="J51" s="201">
        <f t="shared" si="27"/>
        <v>0</v>
      </c>
      <c r="K51" s="201">
        <f t="shared" si="27"/>
        <v>0</v>
      </c>
      <c r="L51" s="201">
        <f t="shared" si="27"/>
        <v>0</v>
      </c>
      <c r="M51" s="201">
        <f t="shared" si="27"/>
        <v>0</v>
      </c>
      <c r="N51" s="201">
        <f t="shared" si="27"/>
        <v>0</v>
      </c>
      <c r="O51" s="201">
        <f t="shared" ref="O51:Q51" si="28">+O35/0.52</f>
        <v>0</v>
      </c>
      <c r="P51" s="201">
        <f t="shared" si="28"/>
        <v>0</v>
      </c>
      <c r="Q51" s="201">
        <f t="shared" si="28"/>
        <v>0</v>
      </c>
    </row>
    <row r="52" spans="1:18" s="195" customFormat="1" ht="15" customHeight="1" x14ac:dyDescent="0.2">
      <c r="A52" s="199" t="str">
        <f>+A36</f>
        <v>NPK 15-15-15</v>
      </c>
      <c r="B52" s="201"/>
      <c r="C52" s="201"/>
      <c r="D52" s="201"/>
      <c r="E52" s="201"/>
      <c r="F52" s="201"/>
      <c r="G52" s="201">
        <f t="shared" ref="G52:Q52" si="29">+G36/$R52</f>
        <v>0</v>
      </c>
      <c r="H52" s="201">
        <f t="shared" si="29"/>
        <v>0</v>
      </c>
      <c r="I52" s="201">
        <f t="shared" si="29"/>
        <v>8.0000000000000018</v>
      </c>
      <c r="J52" s="201">
        <f t="shared" si="29"/>
        <v>16.000000000000004</v>
      </c>
      <c r="K52" s="201">
        <f t="shared" si="29"/>
        <v>16.000000000000004</v>
      </c>
      <c r="L52" s="201">
        <f t="shared" si="29"/>
        <v>16.000000000000004</v>
      </c>
      <c r="M52" s="201">
        <f t="shared" si="29"/>
        <v>16.000000000000004</v>
      </c>
      <c r="N52" s="201">
        <f t="shared" si="29"/>
        <v>16.000000000000004</v>
      </c>
      <c r="O52" s="201">
        <f t="shared" si="29"/>
        <v>16.000000000000004</v>
      </c>
      <c r="P52" s="201">
        <f t="shared" si="29"/>
        <v>16.000000000000004</v>
      </c>
      <c r="Q52" s="201">
        <f t="shared" si="29"/>
        <v>16.000000000000004</v>
      </c>
      <c r="R52" s="726">
        <f t="shared" ref="R52:R57" si="30">MID(A52,8,2)/100</f>
        <v>0.15</v>
      </c>
    </row>
    <row r="53" spans="1:18" s="195" customFormat="1" ht="15" customHeight="1" x14ac:dyDescent="0.2">
      <c r="A53" s="199" t="str">
        <f>+A37</f>
        <v>NPK 16-16-16</v>
      </c>
      <c r="B53" s="201"/>
      <c r="C53" s="201"/>
      <c r="D53" s="201"/>
      <c r="E53" s="201"/>
      <c r="F53" s="201"/>
      <c r="G53" s="201">
        <f t="shared" ref="G53:Q53" si="31">+G37/$R53</f>
        <v>0</v>
      </c>
      <c r="H53" s="201">
        <f t="shared" si="31"/>
        <v>0</v>
      </c>
      <c r="I53" s="201">
        <f t="shared" si="31"/>
        <v>56.000000000000007</v>
      </c>
      <c r="J53" s="201">
        <f t="shared" si="31"/>
        <v>112.00000000000001</v>
      </c>
      <c r="K53" s="201">
        <f t="shared" si="31"/>
        <v>112.00000000000001</v>
      </c>
      <c r="L53" s="201">
        <f t="shared" si="31"/>
        <v>112.00000000000001</v>
      </c>
      <c r="M53" s="201">
        <f t="shared" si="31"/>
        <v>112.00000000000001</v>
      </c>
      <c r="N53" s="201">
        <f t="shared" si="31"/>
        <v>112.00000000000001</v>
      </c>
      <c r="O53" s="201">
        <f t="shared" si="31"/>
        <v>112.00000000000001</v>
      </c>
      <c r="P53" s="201">
        <f t="shared" si="31"/>
        <v>112.00000000000001</v>
      </c>
      <c r="Q53" s="201">
        <f t="shared" si="31"/>
        <v>112.00000000000001</v>
      </c>
      <c r="R53" s="726">
        <f t="shared" si="30"/>
        <v>0.16</v>
      </c>
    </row>
    <row r="54" spans="1:18" s="195" customFormat="1" ht="15" customHeight="1" x14ac:dyDescent="0.2">
      <c r="A54" s="199" t="str">
        <f>+A38</f>
        <v>NPK 10-26-26</v>
      </c>
      <c r="B54" s="201"/>
      <c r="C54" s="201"/>
      <c r="D54" s="201"/>
      <c r="E54" s="201"/>
      <c r="F54" s="201"/>
      <c r="G54" s="201">
        <f t="shared" ref="G54:Q54" si="32">+G38/$R54</f>
        <v>0</v>
      </c>
      <c r="H54" s="201">
        <f t="shared" si="32"/>
        <v>0</v>
      </c>
      <c r="I54" s="201">
        <f t="shared" si="32"/>
        <v>8.5</v>
      </c>
      <c r="J54" s="201">
        <f t="shared" si="32"/>
        <v>17</v>
      </c>
      <c r="K54" s="201">
        <f t="shared" si="32"/>
        <v>17</v>
      </c>
      <c r="L54" s="201">
        <f t="shared" si="32"/>
        <v>17</v>
      </c>
      <c r="M54" s="201">
        <f t="shared" si="32"/>
        <v>17</v>
      </c>
      <c r="N54" s="201">
        <f t="shared" si="32"/>
        <v>17</v>
      </c>
      <c r="O54" s="201">
        <f t="shared" si="32"/>
        <v>17</v>
      </c>
      <c r="P54" s="201">
        <f t="shared" si="32"/>
        <v>17</v>
      </c>
      <c r="Q54" s="201">
        <f t="shared" si="32"/>
        <v>17</v>
      </c>
      <c r="R54" s="726">
        <f t="shared" si="30"/>
        <v>0.26</v>
      </c>
    </row>
    <row r="55" spans="1:18" s="195" customFormat="1" ht="15" customHeight="1" x14ac:dyDescent="0.2">
      <c r="A55" s="199" t="str">
        <f>+A39</f>
        <v>NPK 10-20-20</v>
      </c>
      <c r="B55" s="201"/>
      <c r="C55" s="201"/>
      <c r="D55" s="201"/>
      <c r="E55" s="201"/>
      <c r="F55" s="201"/>
      <c r="G55" s="201">
        <f t="shared" ref="G55:Q55" si="33">+G39/$R55</f>
        <v>0</v>
      </c>
      <c r="H55" s="201">
        <f t="shared" si="33"/>
        <v>0</v>
      </c>
      <c r="I55" s="201">
        <f t="shared" si="33"/>
        <v>4.5000000000000009</v>
      </c>
      <c r="J55" s="201">
        <f t="shared" si="33"/>
        <v>9.0000000000000018</v>
      </c>
      <c r="K55" s="201">
        <f t="shared" si="33"/>
        <v>9.0000000000000018</v>
      </c>
      <c r="L55" s="201">
        <f t="shared" si="33"/>
        <v>9.0000000000000018</v>
      </c>
      <c r="M55" s="201">
        <f t="shared" si="33"/>
        <v>9.0000000000000018</v>
      </c>
      <c r="N55" s="201">
        <f t="shared" si="33"/>
        <v>9.0000000000000018</v>
      </c>
      <c r="O55" s="201">
        <f t="shared" si="33"/>
        <v>9.0000000000000018</v>
      </c>
      <c r="P55" s="201">
        <f t="shared" si="33"/>
        <v>9.0000000000000018</v>
      </c>
      <c r="Q55" s="201">
        <f t="shared" si="33"/>
        <v>9.0000000000000018</v>
      </c>
      <c r="R55" s="726">
        <f t="shared" si="30"/>
        <v>0.2</v>
      </c>
    </row>
    <row r="56" spans="1:18" s="195" customFormat="1" ht="15" customHeight="1" x14ac:dyDescent="0.2">
      <c r="A56" s="199" t="str">
        <f t="shared" ref="A56:A57" si="34">+A40</f>
        <v>NPK 13-13-21</v>
      </c>
      <c r="B56" s="201"/>
      <c r="C56" s="201"/>
      <c r="D56" s="201"/>
      <c r="E56" s="201"/>
      <c r="F56" s="201"/>
      <c r="G56" s="201">
        <f t="shared" ref="G56:Q56" si="35">+G40/$R56</f>
        <v>0</v>
      </c>
      <c r="H56" s="201">
        <f t="shared" si="35"/>
        <v>0</v>
      </c>
      <c r="I56" s="201">
        <f t="shared" si="35"/>
        <v>3</v>
      </c>
      <c r="J56" s="201">
        <f t="shared" si="35"/>
        <v>6</v>
      </c>
      <c r="K56" s="201">
        <f t="shared" si="35"/>
        <v>6</v>
      </c>
      <c r="L56" s="201">
        <f t="shared" si="35"/>
        <v>6</v>
      </c>
      <c r="M56" s="201">
        <f t="shared" si="35"/>
        <v>6</v>
      </c>
      <c r="N56" s="201">
        <f t="shared" si="35"/>
        <v>6</v>
      </c>
      <c r="O56" s="201">
        <f t="shared" si="35"/>
        <v>6</v>
      </c>
      <c r="P56" s="201">
        <f t="shared" si="35"/>
        <v>6</v>
      </c>
      <c r="Q56" s="201">
        <f t="shared" si="35"/>
        <v>6</v>
      </c>
      <c r="R56" s="726">
        <f t="shared" si="30"/>
        <v>0.13</v>
      </c>
    </row>
    <row r="57" spans="1:18" s="195" customFormat="1" ht="15" customHeight="1" x14ac:dyDescent="0.2">
      <c r="A57" s="199" t="str">
        <f t="shared" si="34"/>
        <v>NPK 00-00-00</v>
      </c>
      <c r="B57" s="201"/>
      <c r="C57" s="201"/>
      <c r="D57" s="201"/>
      <c r="E57" s="201"/>
      <c r="F57" s="201"/>
      <c r="G57" s="201">
        <f t="shared" ref="G57:Q57" si="36">+IFERROR(+G41/$R57,0)</f>
        <v>0</v>
      </c>
      <c r="H57" s="201">
        <f t="shared" si="36"/>
        <v>0</v>
      </c>
      <c r="I57" s="201">
        <f t="shared" si="36"/>
        <v>0</v>
      </c>
      <c r="J57" s="201">
        <f t="shared" si="36"/>
        <v>0</v>
      </c>
      <c r="K57" s="201">
        <f t="shared" si="36"/>
        <v>0</v>
      </c>
      <c r="L57" s="201">
        <f t="shared" si="36"/>
        <v>0</v>
      </c>
      <c r="M57" s="201">
        <f t="shared" si="36"/>
        <v>0</v>
      </c>
      <c r="N57" s="201">
        <f t="shared" si="36"/>
        <v>0</v>
      </c>
      <c r="O57" s="201">
        <f t="shared" si="36"/>
        <v>0</v>
      </c>
      <c r="P57" s="201">
        <f t="shared" si="36"/>
        <v>0</v>
      </c>
      <c r="Q57" s="201">
        <f t="shared" si="36"/>
        <v>0</v>
      </c>
      <c r="R57" s="726">
        <f t="shared" si="30"/>
        <v>0</v>
      </c>
    </row>
    <row r="58" spans="1:18" s="195" customFormat="1" ht="15" customHeight="1" x14ac:dyDescent="0.2">
      <c r="A58" s="202" t="s">
        <v>693</v>
      </c>
      <c r="B58" s="204">
        <v>370.43700000000001</v>
      </c>
      <c r="C58" s="204">
        <v>358.88799999999998</v>
      </c>
      <c r="D58" s="204">
        <v>363.25799999999998</v>
      </c>
      <c r="E58" s="204">
        <v>348.15</v>
      </c>
      <c r="F58" s="204">
        <v>359.863</v>
      </c>
      <c r="G58" s="204">
        <f t="shared" ref="G58:Q58" si="37">SUM(G49:G57)</f>
        <v>353.91304347826087</v>
      </c>
      <c r="H58" s="204">
        <f t="shared" si="37"/>
        <v>375.6521739130435</v>
      </c>
      <c r="I58" s="204">
        <f t="shared" si="37"/>
        <v>436.82608695652169</v>
      </c>
      <c r="J58" s="204">
        <f t="shared" si="37"/>
        <v>497.99999999999994</v>
      </c>
      <c r="K58" s="204">
        <f t="shared" si="37"/>
        <v>497.99999999999994</v>
      </c>
      <c r="L58" s="204">
        <f t="shared" si="37"/>
        <v>497.99999999999994</v>
      </c>
      <c r="M58" s="204">
        <f t="shared" si="37"/>
        <v>497.99999999999994</v>
      </c>
      <c r="N58" s="204">
        <f t="shared" si="37"/>
        <v>497.99999999999994</v>
      </c>
      <c r="O58" s="204">
        <f t="shared" si="37"/>
        <v>497.99999999999994</v>
      </c>
      <c r="P58" s="204">
        <f t="shared" si="37"/>
        <v>497.99999999999994</v>
      </c>
      <c r="Q58" s="204">
        <f t="shared" si="37"/>
        <v>497.99999999999994</v>
      </c>
    </row>
    <row r="60" spans="1:18" x14ac:dyDescent="0.25">
      <c r="E60" s="9"/>
    </row>
    <row r="61" spans="1:18" x14ac:dyDescent="0.25">
      <c r="E61" s="9"/>
    </row>
  </sheetData>
  <phoneticPr fontId="73" type="noConversion"/>
  <conditionalFormatting sqref="F43:Q43">
    <cfRule type="cellIs" dxfId="30" priority="5" operator="lessThan">
      <formula>F42</formula>
    </cfRule>
  </conditionalFormatting>
  <conditionalFormatting sqref="G43:Q43">
    <cfRule type="cellIs" dxfId="29" priority="4" operator="greaterThan">
      <formula>G42</formula>
    </cfRule>
  </conditionalFormatting>
  <printOptions horizontalCentered="1" headings="1"/>
  <pageMargins left="0.5" right="0.5" top="0.5" bottom="0.5" header="0.3" footer="0.3"/>
  <pageSetup scale="67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3:R61"/>
  <sheetViews>
    <sheetView workbookViewId="0"/>
  </sheetViews>
  <sheetFormatPr defaultRowHeight="15.75" outlineLevelRow="1" x14ac:dyDescent="0.25"/>
  <cols>
    <col min="1" max="1" width="15.875" customWidth="1"/>
    <col min="2" max="2" width="13" customWidth="1"/>
    <col min="5" max="5" width="11.125" bestFit="1" customWidth="1"/>
    <col min="6" max="6" width="8" bestFit="1" customWidth="1"/>
    <col min="7" max="15" width="8.125" bestFit="1" customWidth="1"/>
  </cols>
  <sheetData>
    <row r="3" spans="1:18" s="5" customFormat="1" x14ac:dyDescent="0.25">
      <c r="D3" s="5">
        <f>+PL!C2</f>
        <v>2008</v>
      </c>
      <c r="E3" s="5">
        <f>+PL!D2</f>
        <v>2009</v>
      </c>
      <c r="F3" s="5">
        <f>+PL!E2</f>
        <v>2010</v>
      </c>
      <c r="G3" s="5">
        <f>+PL!F2</f>
        <v>2011</v>
      </c>
      <c r="H3" s="5">
        <f>+PL!G2</f>
        <v>2012</v>
      </c>
      <c r="I3" s="5">
        <f>+PL!H2</f>
        <v>2013</v>
      </c>
      <c r="J3" s="5">
        <f>+PL!I2</f>
        <v>2014</v>
      </c>
      <c r="K3" s="5">
        <f>+PL!J2</f>
        <v>2015</v>
      </c>
      <c r="L3" s="5">
        <f>+PL!K2</f>
        <v>2016</v>
      </c>
      <c r="M3" s="5">
        <f>+PL!L2</f>
        <v>2017</v>
      </c>
      <c r="N3" s="5">
        <f>+PL!M2</f>
        <v>2018</v>
      </c>
      <c r="O3" s="5">
        <f>+PL!N2</f>
        <v>2019</v>
      </c>
      <c r="P3" s="5">
        <f>+PL!O2</f>
        <v>2020</v>
      </c>
      <c r="Q3" s="5">
        <f>+PL!P2</f>
        <v>2021</v>
      </c>
      <c r="R3" s="5">
        <f>+PL!Q2</f>
        <v>2022</v>
      </c>
    </row>
    <row r="4" spans="1:18" x14ac:dyDescent="0.25">
      <c r="A4" s="26" t="s">
        <v>0</v>
      </c>
      <c r="C4" s="1">
        <v>-78174</v>
      </c>
      <c r="D4" s="1">
        <v>-66012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 s="26" t="s">
        <v>172</v>
      </c>
      <c r="C5" s="1"/>
      <c r="D5" s="1">
        <f>-bom!BL202/1000</f>
        <v>0</v>
      </c>
      <c r="E5" s="1">
        <f>-bom!BM202/1000</f>
        <v>-49932.84596910821</v>
      </c>
      <c r="F5" s="1">
        <f>-bom!BN202/1000</f>
        <v>-119226.39635658877</v>
      </c>
      <c r="G5" s="1">
        <f ca="1">-bom!BO202/1000</f>
        <v>-102579.93627271439</v>
      </c>
      <c r="H5" s="1">
        <f ca="1">-bom!BP202/1000</f>
        <v>-105825.59983101</v>
      </c>
      <c r="I5" s="1">
        <f ca="1">-bom!BQ202/1000</f>
        <v>-127534.88286195582</v>
      </c>
      <c r="J5" s="1">
        <f ca="1">-bom!BR202/1000</f>
        <v>-170796.62189126766</v>
      </c>
      <c r="K5" s="1">
        <f ca="1">-bom!BS202/1000</f>
        <v>-217216.26907105988</v>
      </c>
      <c r="L5" s="1">
        <f ca="1">-bom!BT202/1000</f>
        <v>-243741.28617754776</v>
      </c>
      <c r="M5" s="1">
        <f ca="1">-bom!BU202/1000</f>
        <v>-273535.09301970591</v>
      </c>
      <c r="N5" s="1">
        <f ca="1">-bom!BV202/1000</f>
        <v>-307007.87180476089</v>
      </c>
      <c r="O5" s="1">
        <f ca="1">-bom!BW202/1000</f>
        <v>-344621.4165909873</v>
      </c>
      <c r="P5" s="1">
        <f ca="1">-bom!BX202/1000</f>
        <v>-386897.10349099932</v>
      </c>
      <c r="Q5" s="1">
        <f ca="1">-bom!BY202/1000</f>
        <v>-434425.41119568725</v>
      </c>
      <c r="R5" s="1">
        <f ca="1">-bom!BZ202/1000</f>
        <v>-487872.53622150194</v>
      </c>
    </row>
    <row r="6" spans="1:18" x14ac:dyDescent="0.25">
      <c r="A6" s="26"/>
      <c r="C6" s="1"/>
      <c r="D6" s="1"/>
      <c r="E6" s="282">
        <f>E5/D4-1</f>
        <v>-0.24357925878464204</v>
      </c>
      <c r="F6" s="281">
        <f>F5/E5-1</f>
        <v>1.3877348475260187</v>
      </c>
      <c r="G6" s="281">
        <f t="shared" ref="G6:O6" ca="1" si="0">G5/F5-1</f>
        <v>-0.13962059235680702</v>
      </c>
      <c r="H6" s="281">
        <f t="shared" ca="1" si="0"/>
        <v>3.1640335100880046E-2</v>
      </c>
      <c r="I6" s="281">
        <f t="shared" ca="1" si="0"/>
        <v>0.20514207399355899</v>
      </c>
      <c r="J6" s="281">
        <f t="shared" ca="1" si="0"/>
        <v>0.3392149509098501</v>
      </c>
      <c r="K6" s="281">
        <f t="shared" ca="1" si="0"/>
        <v>0.27178316916211531</v>
      </c>
      <c r="L6" s="281">
        <f t="shared" ca="1" si="0"/>
        <v>0.12211339979239999</v>
      </c>
      <c r="M6" s="281">
        <f t="shared" ca="1" si="0"/>
        <v>0.12223537222354497</v>
      </c>
      <c r="N6" s="281">
        <f t="shared" ca="1" si="0"/>
        <v>0.12237105819048799</v>
      </c>
      <c r="O6" s="281">
        <f t="shared" ca="1" si="0"/>
        <v>0.12251654840350956</v>
      </c>
      <c r="P6" s="281">
        <f t="shared" ref="P6" ca="1" si="1">P5/O5-1</f>
        <v>0.12267283710398869</v>
      </c>
      <c r="Q6" s="281">
        <f t="shared" ref="Q6" ca="1" si="2">Q5/P5-1</f>
        <v>0.12284482689541143</v>
      </c>
      <c r="R6" s="281">
        <f t="shared" ref="R6" ca="1" si="3">R5/Q5-1</f>
        <v>0.12302946293751549</v>
      </c>
    </row>
    <row r="7" spans="1:18" x14ac:dyDescent="0.25">
      <c r="A7" s="26"/>
      <c r="B7" t="s">
        <v>176</v>
      </c>
      <c r="C7" s="1"/>
      <c r="D7" s="1"/>
      <c r="E7" s="1">
        <f>-SUMIF($B$26:$B$61,$B7,E$26:E$61)</f>
        <v>-3622</v>
      </c>
      <c r="F7" s="1">
        <f t="shared" ref="F7:R7" si="4">-SUMIF($B$26:$B$61,$B7,F$26:F$61)</f>
        <v>-3622</v>
      </c>
      <c r="G7" s="1">
        <f t="shared" si="4"/>
        <v>-4785</v>
      </c>
      <c r="H7" s="1">
        <f t="shared" si="4"/>
        <v>-5624</v>
      </c>
      <c r="I7" s="1">
        <f t="shared" si="4"/>
        <v>-6237</v>
      </c>
      <c r="J7" s="1">
        <f t="shared" si="4"/>
        <v>-6923</v>
      </c>
      <c r="K7" s="1">
        <f t="shared" si="4"/>
        <v>-7685</v>
      </c>
      <c r="L7" s="1">
        <f t="shared" si="4"/>
        <v>-8530</v>
      </c>
      <c r="M7" s="1">
        <f t="shared" si="4"/>
        <v>-9468</v>
      </c>
      <c r="N7" s="1">
        <f t="shared" si="4"/>
        <v>-10509</v>
      </c>
      <c r="O7" s="1">
        <f t="shared" si="4"/>
        <v>-11665</v>
      </c>
      <c r="P7" s="1">
        <f t="shared" si="4"/>
        <v>-12948</v>
      </c>
      <c r="Q7" s="1">
        <f t="shared" si="4"/>
        <v>-14372</v>
      </c>
      <c r="R7" s="1">
        <f t="shared" si="4"/>
        <v>-15953</v>
      </c>
    </row>
    <row r="8" spans="1:18" x14ac:dyDescent="0.25">
      <c r="A8" s="26"/>
      <c r="B8" t="s">
        <v>41</v>
      </c>
      <c r="C8" s="1"/>
      <c r="D8" s="1"/>
      <c r="E8" s="1">
        <f t="shared" ref="E8:R12" si="5">-SUMIF($B$26:$B$61,$B8,E$26:E$61)</f>
        <v>-12230</v>
      </c>
      <c r="F8" s="1">
        <f t="shared" si="5"/>
        <v>-14676</v>
      </c>
      <c r="G8" s="1">
        <f t="shared" si="5"/>
        <v>-12571.800000000001</v>
      </c>
      <c r="H8" s="1">
        <f t="shared" si="5"/>
        <v>-18548</v>
      </c>
      <c r="I8" s="1">
        <f t="shared" si="5"/>
        <v>-22629</v>
      </c>
      <c r="J8" s="1">
        <f t="shared" si="5"/>
        <v>-27607</v>
      </c>
      <c r="K8" s="1">
        <f t="shared" si="5"/>
        <v>-33681</v>
      </c>
      <c r="L8" s="1">
        <f t="shared" si="5"/>
        <v>-41091</v>
      </c>
      <c r="M8" s="1">
        <f t="shared" si="5"/>
        <v>-50131</v>
      </c>
      <c r="N8" s="1">
        <f t="shared" si="5"/>
        <v>-61160</v>
      </c>
      <c r="O8" s="1">
        <f t="shared" si="5"/>
        <v>-74615</v>
      </c>
      <c r="P8" s="1">
        <f t="shared" si="5"/>
        <v>-91030</v>
      </c>
      <c r="Q8" s="1">
        <f t="shared" si="5"/>
        <v>-111057</v>
      </c>
      <c r="R8" s="1">
        <f t="shared" si="5"/>
        <v>-135490</v>
      </c>
    </row>
    <row r="9" spans="1:18" x14ac:dyDescent="0.25">
      <c r="A9" s="26"/>
      <c r="B9" t="s">
        <v>37</v>
      </c>
      <c r="C9" s="1"/>
      <c r="D9" s="1"/>
      <c r="E9" s="1">
        <f t="shared" si="5"/>
        <v>-2677.5957398400001</v>
      </c>
      <c r="F9" s="1">
        <f t="shared" si="5"/>
        <v>-3213</v>
      </c>
      <c r="G9" s="1">
        <f t="shared" si="5"/>
        <v>-3142.9500000000003</v>
      </c>
      <c r="H9" s="1">
        <f t="shared" si="5"/>
        <v>-4637</v>
      </c>
      <c r="I9" s="1">
        <f t="shared" si="5"/>
        <v>-5657</v>
      </c>
      <c r="J9" s="1">
        <f t="shared" si="5"/>
        <v>-6902</v>
      </c>
      <c r="K9" s="1">
        <f t="shared" si="5"/>
        <v>-8420</v>
      </c>
      <c r="L9" s="1">
        <f t="shared" si="5"/>
        <v>-10273</v>
      </c>
      <c r="M9" s="1">
        <f t="shared" si="5"/>
        <v>-12533</v>
      </c>
      <c r="N9" s="1">
        <f t="shared" si="5"/>
        <v>-15290</v>
      </c>
      <c r="O9" s="1">
        <f t="shared" si="5"/>
        <v>-18654</v>
      </c>
      <c r="P9" s="1">
        <f t="shared" si="5"/>
        <v>-22758</v>
      </c>
      <c r="Q9" s="1">
        <f t="shared" si="5"/>
        <v>-27764</v>
      </c>
      <c r="R9" s="1">
        <f t="shared" si="5"/>
        <v>-33873</v>
      </c>
    </row>
    <row r="10" spans="1:18" x14ac:dyDescent="0.25">
      <c r="A10" s="26"/>
      <c r="B10" t="s">
        <v>163</v>
      </c>
      <c r="C10" s="1"/>
      <c r="D10" s="1"/>
      <c r="E10" s="1">
        <f t="shared" si="5"/>
        <v>0</v>
      </c>
      <c r="F10" s="1">
        <f t="shared" si="5"/>
        <v>0</v>
      </c>
      <c r="G10" s="1">
        <f t="shared" si="5"/>
        <v>0</v>
      </c>
      <c r="H10" s="1">
        <f t="shared" si="5"/>
        <v>0</v>
      </c>
      <c r="I10" s="1">
        <f t="shared" si="5"/>
        <v>0</v>
      </c>
      <c r="J10" s="1">
        <f t="shared" si="5"/>
        <v>0</v>
      </c>
      <c r="K10" s="1">
        <f t="shared" si="5"/>
        <v>0</v>
      </c>
      <c r="L10" s="1">
        <f t="shared" si="5"/>
        <v>0</v>
      </c>
      <c r="M10" s="1">
        <f t="shared" si="5"/>
        <v>0</v>
      </c>
      <c r="N10" s="1">
        <f t="shared" si="5"/>
        <v>0</v>
      </c>
      <c r="O10" s="1">
        <f t="shared" si="5"/>
        <v>0</v>
      </c>
      <c r="P10" s="1">
        <f t="shared" si="5"/>
        <v>0</v>
      </c>
      <c r="Q10" s="1">
        <f t="shared" si="5"/>
        <v>0</v>
      </c>
      <c r="R10" s="1">
        <f t="shared" si="5"/>
        <v>0</v>
      </c>
    </row>
    <row r="11" spans="1:18" x14ac:dyDescent="0.25">
      <c r="A11" s="26"/>
      <c r="B11" t="s">
        <v>164</v>
      </c>
      <c r="C11" s="1"/>
      <c r="D11" s="1"/>
      <c r="E11" s="1">
        <f t="shared" si="5"/>
        <v>-4282.13</v>
      </c>
      <c r="F11" s="1">
        <f t="shared" si="5"/>
        <v>-4282</v>
      </c>
      <c r="G11" s="1">
        <f t="shared" si="5"/>
        <v>-6020</v>
      </c>
      <c r="H11" s="1">
        <f t="shared" si="5"/>
        <v>-7663</v>
      </c>
      <c r="I11" s="1">
        <f t="shared" si="5"/>
        <v>-8498</v>
      </c>
      <c r="J11" s="1">
        <f t="shared" si="5"/>
        <v>-9432</v>
      </c>
      <c r="K11" s="1">
        <f t="shared" si="5"/>
        <v>-10469</v>
      </c>
      <c r="L11" s="1">
        <f t="shared" si="5"/>
        <v>-11621</v>
      </c>
      <c r="M11" s="1">
        <f t="shared" si="5"/>
        <v>-12899</v>
      </c>
      <c r="N11" s="1">
        <f t="shared" si="5"/>
        <v>-14318</v>
      </c>
      <c r="O11" s="1">
        <f t="shared" si="5"/>
        <v>-15893</v>
      </c>
      <c r="P11" s="1">
        <f t="shared" si="5"/>
        <v>-17641</v>
      </c>
      <c r="Q11" s="1">
        <f t="shared" si="5"/>
        <v>-19582</v>
      </c>
      <c r="R11" s="1">
        <f t="shared" si="5"/>
        <v>-21736</v>
      </c>
    </row>
    <row r="12" spans="1:18" x14ac:dyDescent="0.25">
      <c r="A12" s="26"/>
      <c r="B12" t="s">
        <v>166</v>
      </c>
      <c r="C12" s="1"/>
      <c r="D12" s="1"/>
      <c r="E12" s="1">
        <f t="shared" si="5"/>
        <v>-505</v>
      </c>
      <c r="F12" s="1">
        <f t="shared" si="5"/>
        <v>-505</v>
      </c>
      <c r="G12" s="1">
        <f t="shared" si="5"/>
        <v>-830</v>
      </c>
      <c r="H12" s="1">
        <f t="shared" si="5"/>
        <v>-825</v>
      </c>
      <c r="I12" s="1">
        <f t="shared" si="5"/>
        <v>-915</v>
      </c>
      <c r="J12" s="1">
        <f t="shared" si="5"/>
        <v>-1016</v>
      </c>
      <c r="K12" s="1">
        <f t="shared" si="5"/>
        <v>-1128</v>
      </c>
      <c r="L12" s="1">
        <f t="shared" si="5"/>
        <v>-1252</v>
      </c>
      <c r="M12" s="1">
        <f t="shared" si="5"/>
        <v>-1390</v>
      </c>
      <c r="N12" s="1">
        <f t="shared" si="5"/>
        <v>-1543</v>
      </c>
      <c r="O12" s="1">
        <f t="shared" si="5"/>
        <v>-1713</v>
      </c>
      <c r="P12" s="1">
        <f t="shared" si="5"/>
        <v>-1901</v>
      </c>
      <c r="Q12" s="1">
        <f t="shared" si="5"/>
        <v>-2110</v>
      </c>
      <c r="R12" s="1">
        <f t="shared" si="5"/>
        <v>-2342</v>
      </c>
    </row>
    <row r="13" spans="1:18" x14ac:dyDescent="0.25">
      <c r="A13" s="26"/>
      <c r="B13" s="1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5">
      <c r="A14" s="166" t="s">
        <v>695</v>
      </c>
      <c r="B14" s="13"/>
      <c r="C14" s="1"/>
      <c r="D14" s="1"/>
      <c r="E14" s="1">
        <f>-57729+72981</f>
        <v>15252</v>
      </c>
      <c r="F14" s="367">
        <f>-137452+140282</f>
        <v>2830</v>
      </c>
      <c r="G14" s="526">
        <f>-129542+122747</f>
        <v>-6795</v>
      </c>
      <c r="H14" s="523">
        <f>3247-759</f>
        <v>2488</v>
      </c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5">
      <c r="A15" s="5" t="s">
        <v>505</v>
      </c>
      <c r="B15" s="5"/>
      <c r="C15" s="8">
        <f>SUM(C4:C14)</f>
        <v>-78174</v>
      </c>
      <c r="D15" s="8">
        <f>SUM(D4:D14)</f>
        <v>-66012</v>
      </c>
      <c r="E15" s="8">
        <f>SUM(E7:E14)+E5</f>
        <v>-57997.571708948206</v>
      </c>
      <c r="F15" s="8">
        <f>SUM(F7:F14)+F5</f>
        <v>-142694.39635658875</v>
      </c>
      <c r="G15" s="8">
        <f t="shared" ref="G15:O15" ca="1" si="6">SUM(G7:G14)+G5</f>
        <v>-136724.6862727144</v>
      </c>
      <c r="H15" s="8">
        <f ca="1">SUM(H7:H14)+H5+H19</f>
        <v>-144231.59983100998</v>
      </c>
      <c r="I15" s="8">
        <f t="shared" ca="1" si="6"/>
        <v>-171470.88286195582</v>
      </c>
      <c r="J15" s="8">
        <f t="shared" ca="1" si="6"/>
        <v>-222676.62189126766</v>
      </c>
      <c r="K15" s="8">
        <f t="shared" ca="1" si="6"/>
        <v>-278599.26907105988</v>
      </c>
      <c r="L15" s="8">
        <f t="shared" ca="1" si="6"/>
        <v>-316508.28617754776</v>
      </c>
      <c r="M15" s="8">
        <f t="shared" ca="1" si="6"/>
        <v>-359956.09301970591</v>
      </c>
      <c r="N15" s="8">
        <f t="shared" ca="1" si="6"/>
        <v>-409827.87180476089</v>
      </c>
      <c r="O15" s="8">
        <f t="shared" ca="1" si="6"/>
        <v>-467161.4165909873</v>
      </c>
      <c r="P15" s="8">
        <f t="shared" ref="P15:R15" ca="1" si="7">SUM(P7:P14)+P5</f>
        <v>-533175.10349099932</v>
      </c>
      <c r="Q15" s="8">
        <f t="shared" ca="1" si="7"/>
        <v>-609310.41119568725</v>
      </c>
      <c r="R15" s="8">
        <f t="shared" ca="1" si="7"/>
        <v>-697266.53622150188</v>
      </c>
    </row>
    <row r="16" spans="1:18" s="115" customFormat="1" ht="15" x14ac:dyDescent="0.25">
      <c r="A16" s="115" t="s">
        <v>236</v>
      </c>
      <c r="C16" s="102"/>
      <c r="D16" s="102">
        <f>+D15</f>
        <v>-66012</v>
      </c>
      <c r="E16" s="102">
        <f>+E5</f>
        <v>-49932.84596910821</v>
      </c>
      <c r="F16" s="102">
        <f t="shared" ref="F16:O16" si="8">+F5</f>
        <v>-119226.39635658877</v>
      </c>
      <c r="G16" s="102">
        <f t="shared" ca="1" si="8"/>
        <v>-102579.93627271439</v>
      </c>
      <c r="H16" s="102">
        <f t="shared" ca="1" si="8"/>
        <v>-105825.59983101</v>
      </c>
      <c r="I16" s="102">
        <f t="shared" ca="1" si="8"/>
        <v>-127534.88286195582</v>
      </c>
      <c r="J16" s="102">
        <f t="shared" ca="1" si="8"/>
        <v>-170796.62189126766</v>
      </c>
      <c r="K16" s="102">
        <f t="shared" ca="1" si="8"/>
        <v>-217216.26907105988</v>
      </c>
      <c r="L16" s="102">
        <f t="shared" ca="1" si="8"/>
        <v>-243741.28617754776</v>
      </c>
      <c r="M16" s="102">
        <f t="shared" ca="1" si="8"/>
        <v>-273535.09301970591</v>
      </c>
      <c r="N16" s="102">
        <f t="shared" ca="1" si="8"/>
        <v>-307007.87180476089</v>
      </c>
      <c r="O16" s="102">
        <f t="shared" ca="1" si="8"/>
        <v>-344621.4165909873</v>
      </c>
      <c r="P16" s="102">
        <f t="shared" ref="P16:R16" ca="1" si="9">+P5</f>
        <v>-386897.10349099932</v>
      </c>
      <c r="Q16" s="102">
        <f t="shared" ca="1" si="9"/>
        <v>-434425.41119568725</v>
      </c>
      <c r="R16" s="102">
        <f t="shared" ca="1" si="9"/>
        <v>-487872.53622150194</v>
      </c>
    </row>
    <row r="17" spans="1:18" s="26" customFormat="1" x14ac:dyDescent="0.25">
      <c r="A17" s="26" t="s">
        <v>237</v>
      </c>
      <c r="C17" s="72"/>
      <c r="D17" s="72"/>
      <c r="E17" s="72">
        <f>+E7+E11+E12</f>
        <v>-8409.130000000001</v>
      </c>
      <c r="F17" s="72">
        <f t="shared" ref="F17:O17" si="10">+F7+F11+F12</f>
        <v>-8409</v>
      </c>
      <c r="G17" s="72">
        <f t="shared" si="10"/>
        <v>-11635</v>
      </c>
      <c r="H17" s="72">
        <f t="shared" si="10"/>
        <v>-14112</v>
      </c>
      <c r="I17" s="72">
        <f t="shared" si="10"/>
        <v>-15650</v>
      </c>
      <c r="J17" s="72">
        <f t="shared" si="10"/>
        <v>-17371</v>
      </c>
      <c r="K17" s="72">
        <f t="shared" si="10"/>
        <v>-19282</v>
      </c>
      <c r="L17" s="72">
        <f t="shared" si="10"/>
        <v>-21403</v>
      </c>
      <c r="M17" s="72">
        <f t="shared" si="10"/>
        <v>-23757</v>
      </c>
      <c r="N17" s="72">
        <f t="shared" si="10"/>
        <v>-26370</v>
      </c>
      <c r="O17" s="72">
        <f t="shared" si="10"/>
        <v>-29271</v>
      </c>
      <c r="P17" s="72">
        <f t="shared" ref="P17:R17" si="11">+P7+P11+P12</f>
        <v>-32490</v>
      </c>
      <c r="Q17" s="72">
        <f t="shared" si="11"/>
        <v>-36064</v>
      </c>
      <c r="R17" s="72">
        <f t="shared" si="11"/>
        <v>-40031</v>
      </c>
    </row>
    <row r="18" spans="1:18" x14ac:dyDescent="0.25">
      <c r="A18" s="166" t="s">
        <v>573</v>
      </c>
      <c r="B18" s="5"/>
      <c r="C18" s="8"/>
      <c r="D18" s="8"/>
      <c r="E18" s="8"/>
      <c r="F18" s="8"/>
      <c r="G18" s="39">
        <f>+G8+G9</f>
        <v>-15714.750000000002</v>
      </c>
      <c r="H18" s="39">
        <f t="shared" ref="H18:O18" si="12">+H8+H9</f>
        <v>-23185</v>
      </c>
      <c r="I18" s="39">
        <f t="shared" si="12"/>
        <v>-28286</v>
      </c>
      <c r="J18" s="39">
        <f t="shared" si="12"/>
        <v>-34509</v>
      </c>
      <c r="K18" s="39">
        <f t="shared" si="12"/>
        <v>-42101</v>
      </c>
      <c r="L18" s="39">
        <f t="shared" si="12"/>
        <v>-51364</v>
      </c>
      <c r="M18" s="39">
        <f t="shared" si="12"/>
        <v>-62664</v>
      </c>
      <c r="N18" s="39">
        <f t="shared" si="12"/>
        <v>-76450</v>
      </c>
      <c r="O18" s="39">
        <f t="shared" si="12"/>
        <v>-93269</v>
      </c>
      <c r="P18" s="39">
        <f t="shared" ref="P18:R18" si="13">+P8+P9</f>
        <v>-113788</v>
      </c>
      <c r="Q18" s="39">
        <f t="shared" si="13"/>
        <v>-138821</v>
      </c>
      <c r="R18" s="39">
        <f t="shared" si="13"/>
        <v>-169363</v>
      </c>
    </row>
    <row r="19" spans="1:18" x14ac:dyDescent="0.25">
      <c r="A19" s="166" t="s">
        <v>613</v>
      </c>
      <c r="B19" s="5"/>
      <c r="C19" s="8"/>
      <c r="D19" s="8"/>
      <c r="E19" s="8"/>
      <c r="F19" s="8"/>
      <c r="G19" s="39"/>
      <c r="H19" s="39">
        <f>-3935+338</f>
        <v>-3597</v>
      </c>
      <c r="I19" s="39"/>
      <c r="J19" s="39"/>
      <c r="K19" s="39"/>
      <c r="L19" s="39"/>
      <c r="M19" s="39"/>
      <c r="N19" s="39"/>
      <c r="O19" s="39"/>
      <c r="P19" s="39"/>
      <c r="Q19" s="39"/>
      <c r="R19" s="39"/>
    </row>
    <row r="21" spans="1:18" outlineLevel="1" x14ac:dyDescent="0.25">
      <c r="B21" t="str">
        <f>+Assumptions!A7</f>
        <v>Inflation Rate</v>
      </c>
      <c r="F21" s="3"/>
      <c r="G21" s="3"/>
      <c r="H21" s="3">
        <f>+Assumptions!G7</f>
        <v>0.12271</v>
      </c>
      <c r="I21" s="3">
        <f>+Assumptions!H7</f>
        <v>0.109</v>
      </c>
      <c r="J21" s="3">
        <f>+Assumptions!I7</f>
        <v>0.11</v>
      </c>
      <c r="K21" s="3">
        <f>+Assumptions!J7</f>
        <v>0.11</v>
      </c>
      <c r="L21" s="3">
        <f>+Assumptions!K7</f>
        <v>0.11</v>
      </c>
      <c r="M21" s="3">
        <f>+Assumptions!L7</f>
        <v>0.11</v>
      </c>
      <c r="N21" s="3">
        <f>+Assumptions!M7</f>
        <v>0.11</v>
      </c>
      <c r="O21" s="3">
        <f>+Assumptions!N7</f>
        <v>0.11</v>
      </c>
      <c r="P21" s="3">
        <f>+Assumptions!O7</f>
        <v>0.11</v>
      </c>
      <c r="Q21" s="3">
        <f>+Assumptions!P7</f>
        <v>0.11</v>
      </c>
      <c r="R21" s="3">
        <f>+Assumptions!Q7</f>
        <v>0.11</v>
      </c>
    </row>
    <row r="22" spans="1:18" outlineLevel="1" x14ac:dyDescent="0.25">
      <c r="B22" t="str">
        <f>+Assumptions!A8</f>
        <v>personnel expenses increase</v>
      </c>
      <c r="F22" s="3"/>
      <c r="G22" s="3"/>
      <c r="H22" s="3">
        <f>+Assumptions!G8</f>
        <v>0.2</v>
      </c>
      <c r="I22" s="3">
        <f>+Assumptions!H8</f>
        <v>0.22</v>
      </c>
      <c r="J22" s="3">
        <f>+Assumptions!I8</f>
        <v>0.22</v>
      </c>
      <c r="K22" s="3">
        <f>+Assumptions!J8</f>
        <v>0.22</v>
      </c>
      <c r="L22" s="3">
        <f>+Assumptions!K8</f>
        <v>0.22</v>
      </c>
      <c r="M22" s="3">
        <f>+Assumptions!L8</f>
        <v>0.22</v>
      </c>
      <c r="N22" s="3">
        <f>+Assumptions!M8</f>
        <v>0.22</v>
      </c>
      <c r="O22" s="3">
        <f>+Assumptions!N8</f>
        <v>0.22</v>
      </c>
      <c r="P22" s="3">
        <f>+Assumptions!O8</f>
        <v>0.22</v>
      </c>
      <c r="Q22" s="3">
        <f>+Assumptions!P8</f>
        <v>0.22</v>
      </c>
      <c r="R22" s="3">
        <f>+Assumptions!Q8</f>
        <v>0.22</v>
      </c>
    </row>
    <row r="24" spans="1:18" x14ac:dyDescent="0.25">
      <c r="A24" t="s">
        <v>165</v>
      </c>
    </row>
    <row r="25" spans="1:18" x14ac:dyDescent="0.25">
      <c r="A25" s="76" t="s">
        <v>161</v>
      </c>
      <c r="B25" s="76" t="s">
        <v>162</v>
      </c>
    </row>
    <row r="26" spans="1:18" x14ac:dyDescent="0.25">
      <c r="A26" t="s">
        <v>160</v>
      </c>
      <c r="B26" t="s">
        <v>176</v>
      </c>
      <c r="E26" s="1">
        <v>3622</v>
      </c>
      <c r="F26" s="138">
        <v>3622</v>
      </c>
      <c r="G26" s="426">
        <v>4785</v>
      </c>
      <c r="H26" s="528">
        <v>5624</v>
      </c>
      <c r="I26" s="138">
        <f t="shared" ref="I26:O26" si="14">ROUND(H26*(1+I21),0)</f>
        <v>6237</v>
      </c>
      <c r="J26" s="138">
        <f t="shared" si="14"/>
        <v>6923</v>
      </c>
      <c r="K26" s="138">
        <f t="shared" si="14"/>
        <v>7685</v>
      </c>
      <c r="L26" s="138">
        <f t="shared" si="14"/>
        <v>8530</v>
      </c>
      <c r="M26" s="138">
        <f t="shared" si="14"/>
        <v>9468</v>
      </c>
      <c r="N26" s="138">
        <f t="shared" si="14"/>
        <v>10509</v>
      </c>
      <c r="O26" s="138">
        <f t="shared" si="14"/>
        <v>11665</v>
      </c>
      <c r="P26" s="138">
        <f t="shared" ref="P26" si="15">ROUND(O26*(1+P21),0)</f>
        <v>12948</v>
      </c>
      <c r="Q26" s="138">
        <f t="shared" ref="Q26" si="16">ROUND(P26*(1+Q21),0)</f>
        <v>14372</v>
      </c>
      <c r="R26" s="138">
        <f t="shared" ref="R26" si="17">ROUND(Q26*(1+R21),0)</f>
        <v>15953</v>
      </c>
    </row>
    <row r="27" spans="1:18" x14ac:dyDescent="0.25">
      <c r="A27" t="s">
        <v>160</v>
      </c>
      <c r="B27" t="s">
        <v>41</v>
      </c>
      <c r="E27" s="1">
        <f>13393-1163-E33</f>
        <v>11156.648916</v>
      </c>
      <c r="F27" s="138">
        <v>13388</v>
      </c>
      <c r="G27" s="426">
        <v>12571.800000000001</v>
      </c>
      <c r="H27" s="528">
        <f>15774+2774</f>
        <v>18548</v>
      </c>
      <c r="I27" s="138">
        <f t="shared" ref="I27:O27" si="18">ROUND(+H27*(1+I22),0)</f>
        <v>22629</v>
      </c>
      <c r="J27" s="138">
        <f t="shared" si="18"/>
        <v>27607</v>
      </c>
      <c r="K27" s="138">
        <f t="shared" si="18"/>
        <v>33681</v>
      </c>
      <c r="L27" s="138">
        <f t="shared" si="18"/>
        <v>41091</v>
      </c>
      <c r="M27" s="138">
        <f t="shared" si="18"/>
        <v>50131</v>
      </c>
      <c r="N27" s="138">
        <f t="shared" si="18"/>
        <v>61160</v>
      </c>
      <c r="O27" s="138">
        <f t="shared" si="18"/>
        <v>74615</v>
      </c>
      <c r="P27" s="138">
        <f t="shared" ref="P27" si="19">ROUND(+O27*(1+P22),0)</f>
        <v>91030</v>
      </c>
      <c r="Q27" s="138">
        <f t="shared" ref="Q27" si="20">ROUND(+P27*(1+Q22),0)</f>
        <v>111057</v>
      </c>
      <c r="R27" s="138">
        <f t="shared" ref="R27" si="21">ROUND(+Q27*(1+R22),0)</f>
        <v>135490</v>
      </c>
    </row>
    <row r="28" spans="1:18" x14ac:dyDescent="0.25">
      <c r="A28" t="s">
        <v>160</v>
      </c>
      <c r="B28" t="s">
        <v>37</v>
      </c>
      <c r="E28" s="1">
        <f>+E27*0.24</f>
        <v>2677.5957398400001</v>
      </c>
      <c r="F28" s="138">
        <v>3213</v>
      </c>
      <c r="G28" s="138">
        <v>3142.9500000000003</v>
      </c>
      <c r="H28" s="528">
        <f>ROUND(+H27*0.25,0)</f>
        <v>4637</v>
      </c>
      <c r="I28" s="138">
        <f t="shared" ref="I28:O28" si="22">ROUND(+I27*0.25,0)</f>
        <v>5657</v>
      </c>
      <c r="J28" s="138">
        <f t="shared" si="22"/>
        <v>6902</v>
      </c>
      <c r="K28" s="138">
        <f t="shared" si="22"/>
        <v>8420</v>
      </c>
      <c r="L28" s="138">
        <f t="shared" si="22"/>
        <v>10273</v>
      </c>
      <c r="M28" s="138">
        <f t="shared" si="22"/>
        <v>12533</v>
      </c>
      <c r="N28" s="138">
        <f t="shared" si="22"/>
        <v>15290</v>
      </c>
      <c r="O28" s="138">
        <f t="shared" si="22"/>
        <v>18654</v>
      </c>
      <c r="P28" s="138">
        <f t="shared" ref="P28:R28" si="23">ROUND(+P27*0.25,0)</f>
        <v>22758</v>
      </c>
      <c r="Q28" s="138">
        <f t="shared" si="23"/>
        <v>27764</v>
      </c>
      <c r="R28" s="138">
        <f t="shared" si="23"/>
        <v>33873</v>
      </c>
    </row>
    <row r="29" spans="1:18" x14ac:dyDescent="0.25">
      <c r="A29" t="s">
        <v>160</v>
      </c>
      <c r="B29" t="s">
        <v>163</v>
      </c>
      <c r="E29" s="1">
        <f>1052*0</f>
        <v>0</v>
      </c>
      <c r="F29" s="138">
        <v>0</v>
      </c>
      <c r="G29" s="138">
        <v>0</v>
      </c>
      <c r="H29" s="528">
        <f t="shared" ref="H29:R29" si="24">1052*0</f>
        <v>0</v>
      </c>
      <c r="I29" s="138">
        <f t="shared" si="24"/>
        <v>0</v>
      </c>
      <c r="J29" s="138">
        <f t="shared" si="24"/>
        <v>0</v>
      </c>
      <c r="K29" s="138">
        <f t="shared" si="24"/>
        <v>0</v>
      </c>
      <c r="L29" s="138">
        <f t="shared" si="24"/>
        <v>0</v>
      </c>
      <c r="M29" s="138">
        <f t="shared" si="24"/>
        <v>0</v>
      </c>
      <c r="N29" s="138">
        <f t="shared" si="24"/>
        <v>0</v>
      </c>
      <c r="O29" s="138">
        <f t="shared" si="24"/>
        <v>0</v>
      </c>
      <c r="P29" s="138">
        <f t="shared" si="24"/>
        <v>0</v>
      </c>
      <c r="Q29" s="138">
        <f t="shared" si="24"/>
        <v>0</v>
      </c>
      <c r="R29" s="138">
        <f t="shared" si="24"/>
        <v>0</v>
      </c>
    </row>
    <row r="30" spans="1:18" x14ac:dyDescent="0.25">
      <c r="A30" t="s">
        <v>160</v>
      </c>
      <c r="B30" t="s">
        <v>164</v>
      </c>
      <c r="E30" s="1">
        <v>1521</v>
      </c>
      <c r="F30" s="138">
        <v>1521</v>
      </c>
      <c r="G30" s="138">
        <v>3520</v>
      </c>
      <c r="H30" s="528">
        <v>4856</v>
      </c>
      <c r="I30" s="138">
        <f t="shared" ref="I30:O30" si="25">ROUND(H30*(1+I21),0)</f>
        <v>5385</v>
      </c>
      <c r="J30" s="138">
        <f t="shared" si="25"/>
        <v>5977</v>
      </c>
      <c r="K30" s="138">
        <f t="shared" si="25"/>
        <v>6634</v>
      </c>
      <c r="L30" s="138">
        <f t="shared" si="25"/>
        <v>7364</v>
      </c>
      <c r="M30" s="138">
        <f t="shared" si="25"/>
        <v>8174</v>
      </c>
      <c r="N30" s="138">
        <f t="shared" si="25"/>
        <v>9073</v>
      </c>
      <c r="O30" s="138">
        <f t="shared" si="25"/>
        <v>10071</v>
      </c>
      <c r="P30" s="138">
        <f t="shared" ref="P30" si="26">ROUND(O30*(1+P21),0)</f>
        <v>11179</v>
      </c>
      <c r="Q30" s="138">
        <f t="shared" ref="Q30" si="27">ROUND(P30*(1+Q21),0)</f>
        <v>12409</v>
      </c>
      <c r="R30" s="138">
        <f t="shared" ref="R30" si="28">ROUND(Q30*(1+R21),0)</f>
        <v>13774</v>
      </c>
    </row>
    <row r="31" spans="1:18" x14ac:dyDescent="0.25">
      <c r="A31" t="s">
        <v>160</v>
      </c>
      <c r="B31" t="s">
        <v>166</v>
      </c>
      <c r="E31" s="1">
        <v>505</v>
      </c>
      <c r="F31" s="138">
        <v>505</v>
      </c>
      <c r="G31" s="138">
        <v>830</v>
      </c>
      <c r="H31" s="528">
        <v>825</v>
      </c>
      <c r="I31" s="138">
        <f t="shared" ref="I31:O31" si="29">ROUND(H31*(1+I21),0)</f>
        <v>915</v>
      </c>
      <c r="J31" s="138">
        <f t="shared" si="29"/>
        <v>1016</v>
      </c>
      <c r="K31" s="138">
        <f t="shared" si="29"/>
        <v>1128</v>
      </c>
      <c r="L31" s="138">
        <f t="shared" si="29"/>
        <v>1252</v>
      </c>
      <c r="M31" s="138">
        <f t="shared" si="29"/>
        <v>1390</v>
      </c>
      <c r="N31" s="138">
        <f t="shared" si="29"/>
        <v>1543</v>
      </c>
      <c r="O31" s="138">
        <f t="shared" si="29"/>
        <v>1713</v>
      </c>
      <c r="P31" s="138">
        <f t="shared" ref="P31" si="30">ROUND(O31*(1+P21),0)</f>
        <v>1901</v>
      </c>
      <c r="Q31" s="138">
        <f t="shared" ref="Q31" si="31">ROUND(P31*(1+Q21),0)</f>
        <v>2110</v>
      </c>
      <c r="R31" s="138">
        <f t="shared" ref="R31" si="32">ROUND(Q31*(1+R21),0)</f>
        <v>2342</v>
      </c>
    </row>
    <row r="32" spans="1:18" x14ac:dyDescent="0.25">
      <c r="A32" s="26" t="s">
        <v>167</v>
      </c>
      <c r="B32" s="26" t="s">
        <v>176</v>
      </c>
      <c r="E32" s="1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</row>
    <row r="33" spans="1:18" x14ac:dyDescent="0.25">
      <c r="A33" t="s">
        <v>167</v>
      </c>
      <c r="B33" t="s">
        <v>41</v>
      </c>
      <c r="E33" s="102">
        <f>865.605713+207.745371</f>
        <v>1073.3510840000001</v>
      </c>
      <c r="F33" s="138">
        <v>1288</v>
      </c>
      <c r="G33" s="138"/>
      <c r="H33" s="138">
        <f t="shared" ref="H33:O33" si="33">ROUND(G33*(1+H22),0)</f>
        <v>0</v>
      </c>
      <c r="I33" s="138">
        <f t="shared" si="33"/>
        <v>0</v>
      </c>
      <c r="J33" s="138">
        <f t="shared" si="33"/>
        <v>0</v>
      </c>
      <c r="K33" s="138">
        <f t="shared" si="33"/>
        <v>0</v>
      </c>
      <c r="L33" s="138">
        <f t="shared" si="33"/>
        <v>0</v>
      </c>
      <c r="M33" s="138">
        <f t="shared" si="33"/>
        <v>0</v>
      </c>
      <c r="N33" s="138">
        <f t="shared" si="33"/>
        <v>0</v>
      </c>
      <c r="O33" s="138">
        <f t="shared" si="33"/>
        <v>0</v>
      </c>
      <c r="P33" s="138">
        <f t="shared" ref="P33" si="34">ROUND(O33*(1+P22),0)</f>
        <v>0</v>
      </c>
      <c r="Q33" s="138">
        <f t="shared" ref="Q33" si="35">ROUND(P33*(1+Q22),0)</f>
        <v>0</v>
      </c>
      <c r="R33" s="138">
        <f t="shared" ref="R33" si="36">ROUND(Q33*(1+R22),0)</f>
        <v>0</v>
      </c>
    </row>
    <row r="34" spans="1:18" x14ac:dyDescent="0.25">
      <c r="A34" t="s">
        <v>167</v>
      </c>
      <c r="B34" t="s">
        <v>37</v>
      </c>
      <c r="E34" s="102"/>
      <c r="F34" s="138">
        <v>0</v>
      </c>
      <c r="G34" s="138"/>
      <c r="H34" s="138">
        <f>+H33/4</f>
        <v>0</v>
      </c>
      <c r="I34" s="138">
        <f t="shared" ref="I34:O34" si="37">+I33/4</f>
        <v>0</v>
      </c>
      <c r="J34" s="138">
        <f t="shared" si="37"/>
        <v>0</v>
      </c>
      <c r="K34" s="138">
        <f t="shared" si="37"/>
        <v>0</v>
      </c>
      <c r="L34" s="138">
        <f t="shared" si="37"/>
        <v>0</v>
      </c>
      <c r="M34" s="138">
        <f t="shared" si="37"/>
        <v>0</v>
      </c>
      <c r="N34" s="138">
        <f t="shared" si="37"/>
        <v>0</v>
      </c>
      <c r="O34" s="138">
        <f t="shared" si="37"/>
        <v>0</v>
      </c>
      <c r="P34" s="138">
        <f t="shared" ref="P34:R34" si="38">+P33/4</f>
        <v>0</v>
      </c>
      <c r="Q34" s="138">
        <f t="shared" si="38"/>
        <v>0</v>
      </c>
      <c r="R34" s="138">
        <f t="shared" si="38"/>
        <v>0</v>
      </c>
    </row>
    <row r="35" spans="1:18" x14ac:dyDescent="0.25">
      <c r="A35" t="s">
        <v>167</v>
      </c>
      <c r="B35" t="s">
        <v>163</v>
      </c>
      <c r="E35" s="1"/>
      <c r="F35" s="138">
        <v>0</v>
      </c>
      <c r="G35" s="138"/>
      <c r="H35" s="138">
        <f t="shared" ref="H35:O35" si="39">ROUND(G35*(1+H25),0)</f>
        <v>0</v>
      </c>
      <c r="I35" s="138">
        <f t="shared" si="39"/>
        <v>0</v>
      </c>
      <c r="J35" s="138">
        <f t="shared" si="39"/>
        <v>0</v>
      </c>
      <c r="K35" s="138">
        <f t="shared" si="39"/>
        <v>0</v>
      </c>
      <c r="L35" s="138">
        <f t="shared" si="39"/>
        <v>0</v>
      </c>
      <c r="M35" s="138">
        <f t="shared" si="39"/>
        <v>0</v>
      </c>
      <c r="N35" s="138">
        <f t="shared" si="39"/>
        <v>0</v>
      </c>
      <c r="O35" s="138">
        <f t="shared" si="39"/>
        <v>0</v>
      </c>
      <c r="P35" s="138">
        <f t="shared" ref="P35" si="40">ROUND(O35*(1+P25),0)</f>
        <v>0</v>
      </c>
      <c r="Q35" s="138">
        <f t="shared" ref="Q35" si="41">ROUND(P35*(1+Q25),0)</f>
        <v>0</v>
      </c>
      <c r="R35" s="138">
        <f t="shared" ref="R35" si="42">ROUND(Q35*(1+R25),0)</f>
        <v>0</v>
      </c>
    </row>
    <row r="36" spans="1:18" x14ac:dyDescent="0.25">
      <c r="A36" t="s">
        <v>167</v>
      </c>
      <c r="B36" t="s">
        <v>164</v>
      </c>
      <c r="E36" s="102">
        <v>2761.13</v>
      </c>
      <c r="F36" s="138">
        <v>2761</v>
      </c>
      <c r="G36" s="138">
        <v>2500</v>
      </c>
      <c r="H36" s="138">
        <f t="shared" ref="H36:O36" si="43">ROUND(+G36*(1+H21),0)</f>
        <v>2807</v>
      </c>
      <c r="I36" s="138">
        <f t="shared" si="43"/>
        <v>3113</v>
      </c>
      <c r="J36" s="138">
        <f t="shared" si="43"/>
        <v>3455</v>
      </c>
      <c r="K36" s="138">
        <f t="shared" si="43"/>
        <v>3835</v>
      </c>
      <c r="L36" s="138">
        <f t="shared" si="43"/>
        <v>4257</v>
      </c>
      <c r="M36" s="138">
        <f t="shared" si="43"/>
        <v>4725</v>
      </c>
      <c r="N36" s="138">
        <f t="shared" si="43"/>
        <v>5245</v>
      </c>
      <c r="O36" s="138">
        <f t="shared" si="43"/>
        <v>5822</v>
      </c>
      <c r="P36" s="138">
        <f t="shared" ref="P36" si="44">ROUND(+O36*(1+P21),0)</f>
        <v>6462</v>
      </c>
      <c r="Q36" s="138">
        <f t="shared" ref="Q36" si="45">ROUND(+P36*(1+Q21),0)</f>
        <v>7173</v>
      </c>
      <c r="R36" s="138">
        <f t="shared" ref="R36" si="46">ROUND(+Q36*(1+R21),0)</f>
        <v>7962</v>
      </c>
    </row>
    <row r="37" spans="1:18" x14ac:dyDescent="0.25">
      <c r="A37" t="s">
        <v>167</v>
      </c>
      <c r="B37" t="s">
        <v>166</v>
      </c>
      <c r="E37" s="1"/>
      <c r="F37" s="138"/>
      <c r="G37" s="138"/>
      <c r="H37" s="138"/>
      <c r="I37" s="138"/>
      <c r="J37" s="138"/>
      <c r="K37" s="138"/>
      <c r="L37" s="138"/>
      <c r="M37" s="138"/>
      <c r="N37" s="138"/>
      <c r="O37" s="138"/>
    </row>
    <row r="38" spans="1:18" x14ac:dyDescent="0.25">
      <c r="A38" s="26" t="s">
        <v>168</v>
      </c>
      <c r="B38" s="26" t="s">
        <v>176</v>
      </c>
      <c r="E38" s="1"/>
      <c r="F38" s="138"/>
      <c r="G38" s="138"/>
      <c r="H38" s="138"/>
      <c r="I38" s="138"/>
      <c r="J38" s="138"/>
      <c r="K38" s="138"/>
      <c r="L38" s="138"/>
      <c r="M38" s="138"/>
      <c r="N38" s="138"/>
      <c r="O38" s="138"/>
    </row>
    <row r="39" spans="1:18" x14ac:dyDescent="0.25">
      <c r="A39" t="s">
        <v>168</v>
      </c>
      <c r="B39" t="s">
        <v>41</v>
      </c>
      <c r="E39" s="1"/>
      <c r="F39" s="138"/>
      <c r="G39" s="138"/>
      <c r="H39" s="138"/>
      <c r="I39" s="138"/>
      <c r="J39" s="138"/>
      <c r="K39" s="138"/>
      <c r="L39" s="138"/>
      <c r="M39" s="138"/>
      <c r="N39" s="138"/>
      <c r="O39" s="138"/>
    </row>
    <row r="40" spans="1:18" x14ac:dyDescent="0.25">
      <c r="A40" t="s">
        <v>168</v>
      </c>
      <c r="B40" t="s">
        <v>37</v>
      </c>
      <c r="E40" s="1"/>
      <c r="F40" s="138"/>
      <c r="G40" s="138"/>
      <c r="H40" s="138"/>
      <c r="I40" s="138"/>
      <c r="J40" s="138"/>
      <c r="K40" s="138"/>
      <c r="L40" s="138"/>
      <c r="M40" s="138"/>
      <c r="N40" s="138"/>
      <c r="O40" s="138"/>
    </row>
    <row r="41" spans="1:18" x14ac:dyDescent="0.25">
      <c r="A41" t="s">
        <v>168</v>
      </c>
      <c r="B41" t="s">
        <v>163</v>
      </c>
      <c r="E41" s="1"/>
      <c r="F41" s="138"/>
      <c r="G41" s="138"/>
      <c r="H41" s="138"/>
      <c r="I41" s="138"/>
      <c r="J41" s="138"/>
      <c r="K41" s="138"/>
      <c r="L41" s="138"/>
      <c r="M41" s="138"/>
      <c r="N41" s="138"/>
      <c r="O41" s="138"/>
    </row>
    <row r="42" spans="1:18" x14ac:dyDescent="0.25">
      <c r="A42" t="s">
        <v>168</v>
      </c>
      <c r="B42" t="s">
        <v>164</v>
      </c>
      <c r="E42" s="1"/>
      <c r="F42" s="138"/>
      <c r="G42" s="138"/>
      <c r="H42" s="138"/>
      <c r="I42" s="138"/>
      <c r="J42" s="138"/>
      <c r="K42" s="138"/>
      <c r="L42" s="138"/>
      <c r="M42" s="138"/>
      <c r="N42" s="138"/>
      <c r="O42" s="138"/>
    </row>
    <row r="43" spans="1:18" x14ac:dyDescent="0.25">
      <c r="A43" t="s">
        <v>168</v>
      </c>
      <c r="B43" t="s">
        <v>166</v>
      </c>
      <c r="E43" s="1"/>
      <c r="F43" s="138"/>
      <c r="G43" s="138"/>
      <c r="H43" s="138"/>
      <c r="I43" s="138"/>
      <c r="J43" s="138"/>
      <c r="K43" s="138"/>
      <c r="L43" s="138"/>
      <c r="M43" s="138"/>
      <c r="N43" s="138"/>
      <c r="O43" s="138"/>
    </row>
    <row r="44" spans="1:18" x14ac:dyDescent="0.25">
      <c r="A44" s="26" t="s">
        <v>169</v>
      </c>
      <c r="B44" s="26" t="s">
        <v>176</v>
      </c>
      <c r="E44" s="1"/>
      <c r="F44" s="138"/>
      <c r="G44" s="138"/>
      <c r="H44" s="138"/>
      <c r="I44" s="138"/>
      <c r="J44" s="138"/>
      <c r="K44" s="138"/>
      <c r="L44" s="138"/>
      <c r="M44" s="138"/>
      <c r="N44" s="138"/>
      <c r="O44" s="138"/>
    </row>
    <row r="45" spans="1:18" x14ac:dyDescent="0.25">
      <c r="A45" t="s">
        <v>169</v>
      </c>
      <c r="B45" t="s">
        <v>41</v>
      </c>
      <c r="E45" s="1"/>
      <c r="F45" s="138"/>
      <c r="G45" s="138"/>
      <c r="H45" s="138"/>
      <c r="I45" s="138"/>
      <c r="J45" s="138"/>
      <c r="K45" s="138"/>
      <c r="L45" s="138"/>
      <c r="M45" s="138"/>
      <c r="N45" s="138"/>
      <c r="O45" s="138"/>
    </row>
    <row r="46" spans="1:18" x14ac:dyDescent="0.25">
      <c r="A46" t="s">
        <v>169</v>
      </c>
      <c r="B46" t="s">
        <v>37</v>
      </c>
      <c r="E46" s="1"/>
      <c r="F46" s="138"/>
      <c r="G46" s="138"/>
      <c r="H46" s="138"/>
      <c r="I46" s="138"/>
      <c r="J46" s="138"/>
      <c r="K46" s="138"/>
      <c r="L46" s="138"/>
      <c r="M46" s="138"/>
      <c r="N46" s="138"/>
      <c r="O46" s="138"/>
    </row>
    <row r="47" spans="1:18" x14ac:dyDescent="0.25">
      <c r="A47" t="s">
        <v>169</v>
      </c>
      <c r="B47" t="s">
        <v>163</v>
      </c>
      <c r="E47" s="1"/>
      <c r="F47" s="138"/>
      <c r="G47" s="138"/>
      <c r="H47" s="138"/>
      <c r="I47" s="138"/>
      <c r="J47" s="138"/>
      <c r="K47" s="138"/>
      <c r="L47" s="138"/>
      <c r="M47" s="138"/>
      <c r="N47" s="138"/>
      <c r="O47" s="138"/>
    </row>
    <row r="48" spans="1:18" x14ac:dyDescent="0.25">
      <c r="A48" t="s">
        <v>169</v>
      </c>
      <c r="B48" t="s">
        <v>164</v>
      </c>
      <c r="E48" s="1"/>
      <c r="F48" s="138"/>
      <c r="G48" s="138"/>
      <c r="H48" s="138"/>
      <c r="I48" s="138"/>
      <c r="J48" s="138"/>
      <c r="K48" s="138"/>
      <c r="L48" s="138"/>
      <c r="M48" s="138"/>
      <c r="N48" s="138"/>
      <c r="O48" s="138"/>
    </row>
    <row r="49" spans="1:15" x14ac:dyDescent="0.25">
      <c r="A49" t="s">
        <v>169</v>
      </c>
      <c r="B49" t="s">
        <v>166</v>
      </c>
      <c r="E49" s="1"/>
      <c r="F49" s="138"/>
      <c r="G49" s="138"/>
      <c r="H49" s="138"/>
      <c r="I49" s="138"/>
      <c r="J49" s="138"/>
      <c r="K49" s="138"/>
      <c r="L49" s="138"/>
      <c r="M49" s="138"/>
      <c r="N49" s="138"/>
      <c r="O49" s="138"/>
    </row>
    <row r="50" spans="1:15" x14ac:dyDescent="0.25">
      <c r="A50" s="26" t="s">
        <v>170</v>
      </c>
      <c r="B50" s="26" t="s">
        <v>176</v>
      </c>
      <c r="E50" s="1"/>
      <c r="F50" s="138"/>
      <c r="G50" s="138"/>
      <c r="H50" s="138"/>
      <c r="I50" s="138"/>
      <c r="J50" s="138"/>
      <c r="K50" s="138"/>
      <c r="L50" s="138"/>
      <c r="M50" s="138"/>
      <c r="N50" s="138"/>
      <c r="O50" s="138"/>
    </row>
    <row r="51" spans="1:15" x14ac:dyDescent="0.25">
      <c r="A51" t="s">
        <v>170</v>
      </c>
      <c r="B51" t="s">
        <v>41</v>
      </c>
      <c r="E51" s="1"/>
      <c r="F51" s="138"/>
      <c r="G51" s="138"/>
      <c r="H51" s="138"/>
      <c r="I51" s="138"/>
      <c r="J51" s="138"/>
      <c r="K51" s="138"/>
      <c r="L51" s="138"/>
      <c r="M51" s="138"/>
      <c r="N51" s="138"/>
      <c r="O51" s="138"/>
    </row>
    <row r="52" spans="1:15" x14ac:dyDescent="0.25">
      <c r="A52" t="s">
        <v>170</v>
      </c>
      <c r="B52" t="s">
        <v>37</v>
      </c>
      <c r="E52" s="1"/>
      <c r="F52" s="138"/>
      <c r="G52" s="138"/>
      <c r="H52" s="138"/>
      <c r="I52" s="138"/>
      <c r="J52" s="138"/>
      <c r="K52" s="138"/>
      <c r="L52" s="138"/>
      <c r="M52" s="138"/>
      <c r="N52" s="138"/>
      <c r="O52" s="138"/>
    </row>
    <row r="53" spans="1:15" x14ac:dyDescent="0.25">
      <c r="A53" t="s">
        <v>170</v>
      </c>
      <c r="B53" t="s">
        <v>163</v>
      </c>
      <c r="E53" s="1"/>
      <c r="F53" s="138"/>
      <c r="G53" s="138"/>
      <c r="H53" s="138"/>
      <c r="I53" s="138"/>
      <c r="J53" s="138"/>
      <c r="K53" s="138"/>
      <c r="L53" s="138"/>
      <c r="M53" s="138"/>
      <c r="N53" s="138"/>
      <c r="O53" s="138"/>
    </row>
    <row r="54" spans="1:15" x14ac:dyDescent="0.25">
      <c r="A54" t="s">
        <v>170</v>
      </c>
      <c r="B54" t="s">
        <v>164</v>
      </c>
      <c r="E54" s="1"/>
      <c r="F54" s="138"/>
      <c r="G54" s="138"/>
      <c r="H54" s="138"/>
      <c r="I54" s="138"/>
      <c r="J54" s="138"/>
      <c r="K54" s="138"/>
      <c r="L54" s="138"/>
      <c r="M54" s="138"/>
      <c r="N54" s="138"/>
      <c r="O54" s="138"/>
    </row>
    <row r="55" spans="1:15" x14ac:dyDescent="0.25">
      <c r="A55" t="s">
        <v>170</v>
      </c>
      <c r="B55" t="s">
        <v>166</v>
      </c>
      <c r="E55" s="1"/>
      <c r="F55" s="138"/>
      <c r="G55" s="138"/>
      <c r="H55" s="138"/>
      <c r="I55" s="138"/>
      <c r="J55" s="138"/>
      <c r="K55" s="138"/>
      <c r="L55" s="138"/>
      <c r="M55" s="138"/>
      <c r="N55" s="138"/>
      <c r="O55" s="138"/>
    </row>
    <row r="56" spans="1:15" x14ac:dyDescent="0.25">
      <c r="A56" s="26" t="s">
        <v>171</v>
      </c>
      <c r="B56" s="26" t="s">
        <v>176</v>
      </c>
      <c r="E56" s="1"/>
      <c r="F56" s="138"/>
      <c r="G56" s="138"/>
      <c r="H56" s="138"/>
      <c r="I56" s="138"/>
      <c r="J56" s="138"/>
      <c r="K56" s="138"/>
      <c r="L56" s="138"/>
      <c r="M56" s="138"/>
      <c r="N56" s="138"/>
      <c r="O56" s="138"/>
    </row>
    <row r="57" spans="1:15" x14ac:dyDescent="0.25">
      <c r="A57" t="s">
        <v>171</v>
      </c>
      <c r="B57" t="s">
        <v>41</v>
      </c>
      <c r="E57" s="1"/>
      <c r="F57" s="138"/>
      <c r="G57" s="138"/>
      <c r="H57" s="138"/>
      <c r="I57" s="138"/>
      <c r="J57" s="138"/>
      <c r="K57" s="138"/>
      <c r="L57" s="138"/>
      <c r="M57" s="138"/>
      <c r="N57" s="138"/>
      <c r="O57" s="138"/>
    </row>
    <row r="58" spans="1:15" x14ac:dyDescent="0.25">
      <c r="A58" t="s">
        <v>171</v>
      </c>
      <c r="B58" t="s">
        <v>37</v>
      </c>
      <c r="E58" s="1"/>
      <c r="F58" s="138"/>
      <c r="G58" s="138"/>
      <c r="H58" s="138"/>
      <c r="I58" s="138"/>
      <c r="J58" s="138"/>
      <c r="K58" s="138"/>
      <c r="L58" s="138"/>
      <c r="M58" s="138"/>
      <c r="N58" s="138"/>
      <c r="O58" s="138"/>
    </row>
    <row r="59" spans="1:15" x14ac:dyDescent="0.25">
      <c r="A59" t="s">
        <v>171</v>
      </c>
      <c r="B59" t="s">
        <v>163</v>
      </c>
      <c r="E59" s="1"/>
      <c r="F59" s="138"/>
      <c r="G59" s="138"/>
      <c r="H59" s="138"/>
      <c r="I59" s="138"/>
      <c r="J59" s="138"/>
      <c r="K59" s="138"/>
      <c r="L59" s="138"/>
      <c r="M59" s="138"/>
      <c r="N59" s="138"/>
      <c r="O59" s="138"/>
    </row>
    <row r="60" spans="1:15" x14ac:dyDescent="0.25">
      <c r="A60" t="s">
        <v>171</v>
      </c>
      <c r="B60" t="s">
        <v>164</v>
      </c>
      <c r="E60" s="1"/>
      <c r="F60" s="138"/>
      <c r="G60" s="138"/>
      <c r="H60" s="138"/>
      <c r="I60" s="138"/>
      <c r="J60" s="138"/>
      <c r="K60" s="138"/>
      <c r="L60" s="138"/>
      <c r="M60" s="138"/>
      <c r="N60" s="138"/>
      <c r="O60" s="138"/>
    </row>
    <row r="61" spans="1:15" x14ac:dyDescent="0.25">
      <c r="A61" t="s">
        <v>171</v>
      </c>
      <c r="B61" t="s">
        <v>166</v>
      </c>
      <c r="E61" s="1"/>
      <c r="F61" s="138"/>
      <c r="G61" s="138"/>
      <c r="H61" s="138"/>
      <c r="I61" s="138"/>
      <c r="J61" s="138"/>
      <c r="K61" s="138"/>
      <c r="L61" s="138"/>
      <c r="M61" s="138"/>
      <c r="N61" s="138"/>
      <c r="O61" s="138"/>
    </row>
  </sheetData>
  <phoneticPr fontId="73" type="noConversion"/>
  <printOptions horizontalCentered="1" headings="1"/>
  <pageMargins left="0.6" right="0.6" top="0.75" bottom="0.75" header="0.3" footer="0.3"/>
  <pageSetup scale="61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R47"/>
  <sheetViews>
    <sheetView workbookViewId="0"/>
  </sheetViews>
  <sheetFormatPr defaultRowHeight="15.75" x14ac:dyDescent="0.25"/>
  <cols>
    <col min="2" max="2" width="44.625" customWidth="1"/>
  </cols>
  <sheetData>
    <row r="3" spans="1:18" s="5" customFormat="1" x14ac:dyDescent="0.25">
      <c r="B3" s="5" t="s">
        <v>521</v>
      </c>
      <c r="C3" s="5">
        <f>+PL!C2</f>
        <v>2008</v>
      </c>
      <c r="D3" s="5">
        <f>+PL!D2</f>
        <v>2009</v>
      </c>
      <c r="E3" s="5">
        <f>+PL!E2</f>
        <v>2010</v>
      </c>
      <c r="F3" s="5">
        <f>+PL!F2</f>
        <v>2011</v>
      </c>
      <c r="G3" s="5">
        <f>+PL!G2</f>
        <v>2012</v>
      </c>
      <c r="H3" s="5">
        <f>+PL!H2</f>
        <v>2013</v>
      </c>
      <c r="I3" s="5">
        <f>+PL!I2</f>
        <v>2014</v>
      </c>
      <c r="J3" s="5">
        <f>+PL!J2</f>
        <v>2015</v>
      </c>
      <c r="K3" s="5">
        <f>+PL!K2</f>
        <v>2016</v>
      </c>
      <c r="L3" s="5">
        <f>+PL!L2</f>
        <v>2017</v>
      </c>
      <c r="M3" s="5">
        <f>+PL!M2</f>
        <v>2018</v>
      </c>
      <c r="N3" s="5">
        <f>+PL!N2</f>
        <v>2019</v>
      </c>
      <c r="O3" s="5">
        <f>+PL!O2</f>
        <v>2020</v>
      </c>
      <c r="P3" s="5">
        <f>+PL!P2</f>
        <v>2021</v>
      </c>
      <c r="Q3" s="5">
        <f>+PL!Q2</f>
        <v>2022</v>
      </c>
    </row>
    <row r="4" spans="1:18" ht="20.25" x14ac:dyDescent="0.3">
      <c r="B4" s="60" t="s">
        <v>131</v>
      </c>
    </row>
    <row r="5" spans="1:18" ht="20.100000000000001" customHeight="1" x14ac:dyDescent="0.25">
      <c r="A5" s="26" t="s">
        <v>133</v>
      </c>
      <c r="B5" t="s">
        <v>123</v>
      </c>
      <c r="C5" s="1">
        <v>191127</v>
      </c>
      <c r="D5" s="1">
        <f>180236*0+196602</f>
        <v>196602</v>
      </c>
      <c r="E5" s="1">
        <f>215315*0+209999</f>
        <v>209999</v>
      </c>
      <c r="F5" s="1">
        <f>244856*0+266286</f>
        <v>266286</v>
      </c>
      <c r="G5" s="523">
        <v>275187</v>
      </c>
      <c r="H5" s="1">
        <f t="shared" ref="H5:N5" si="0">ROUND(G5*(1+H27),0)</f>
        <v>308182</v>
      </c>
      <c r="I5" s="1">
        <f t="shared" si="0"/>
        <v>345472</v>
      </c>
      <c r="J5" s="1">
        <f t="shared" si="0"/>
        <v>387274</v>
      </c>
      <c r="K5" s="1">
        <f t="shared" si="0"/>
        <v>434134</v>
      </c>
      <c r="L5" s="1">
        <f t="shared" si="0"/>
        <v>486664</v>
      </c>
      <c r="M5" s="1">
        <f t="shared" si="0"/>
        <v>545550</v>
      </c>
      <c r="N5" s="1">
        <f t="shared" si="0"/>
        <v>611562</v>
      </c>
      <c r="O5" s="1">
        <f t="shared" ref="O5:O9" si="1">ROUND(N5*(1+O27),0)</f>
        <v>685561</v>
      </c>
      <c r="P5" s="1">
        <f t="shared" ref="P5:P9" si="2">ROUND(O5*(1+P27),0)</f>
        <v>768514</v>
      </c>
      <c r="Q5" s="1">
        <f t="shared" ref="Q5:Q9" si="3">ROUND(P5*(1+Q27),0)</f>
        <v>861504</v>
      </c>
      <c r="R5" s="3">
        <f t="shared" ref="R5:R22" si="4">IFERROR(+(G5/C5)^(0.25)-1,0)</f>
        <v>9.5409410772751446E-2</v>
      </c>
    </row>
    <row r="6" spans="1:18" ht="20.100000000000001" customHeight="1" x14ac:dyDescent="0.25">
      <c r="A6" s="26" t="s">
        <v>134</v>
      </c>
      <c r="B6" t="s">
        <v>124</v>
      </c>
      <c r="C6" s="1">
        <v>235089</v>
      </c>
      <c r="D6" s="1">
        <f>280640*0+283888</f>
        <v>283888</v>
      </c>
      <c r="E6" s="1">
        <f>292729*0+306490</f>
        <v>306490</v>
      </c>
      <c r="F6" s="1">
        <f>302200*0+318975</f>
        <v>318975</v>
      </c>
      <c r="G6" s="523">
        <v>365112</v>
      </c>
      <c r="H6" s="1">
        <f t="shared" ref="H6:N6" si="5">ROUND(G6*(1+H28),0)</f>
        <v>408889</v>
      </c>
      <c r="I6" s="1">
        <f t="shared" si="5"/>
        <v>458365</v>
      </c>
      <c r="J6" s="1">
        <f t="shared" si="5"/>
        <v>513827</v>
      </c>
      <c r="K6" s="1">
        <f t="shared" si="5"/>
        <v>576000</v>
      </c>
      <c r="L6" s="1">
        <f t="shared" si="5"/>
        <v>645696</v>
      </c>
      <c r="M6" s="1">
        <f t="shared" si="5"/>
        <v>723825</v>
      </c>
      <c r="N6" s="1">
        <f t="shared" si="5"/>
        <v>811408</v>
      </c>
      <c r="O6" s="1">
        <f t="shared" si="1"/>
        <v>909588</v>
      </c>
      <c r="P6" s="1">
        <f t="shared" si="2"/>
        <v>1019648</v>
      </c>
      <c r="Q6" s="1">
        <f t="shared" si="3"/>
        <v>1143025</v>
      </c>
      <c r="R6" s="3">
        <f t="shared" si="4"/>
        <v>0.11634504635547316</v>
      </c>
    </row>
    <row r="7" spans="1:18" ht="20.100000000000001" customHeight="1" x14ac:dyDescent="0.25">
      <c r="A7" s="26" t="s">
        <v>135</v>
      </c>
      <c r="B7" t="s">
        <v>125</v>
      </c>
      <c r="C7" s="1">
        <v>266257</v>
      </c>
      <c r="D7" s="1">
        <f>+C7</f>
        <v>266257</v>
      </c>
      <c r="E7" s="1">
        <f>+D7</f>
        <v>266257</v>
      </c>
      <c r="F7" s="1">
        <f t="shared" ref="F7:N7" ca="1" si="6">ROUND(E7*(1+F29),0)</f>
        <v>266257</v>
      </c>
      <c r="G7" s="1">
        <f t="shared" ca="1" si="6"/>
        <v>266257</v>
      </c>
      <c r="H7" s="1">
        <f t="shared" ca="1" si="6"/>
        <v>298181</v>
      </c>
      <c r="I7" s="1">
        <f t="shared" ca="1" si="6"/>
        <v>334261</v>
      </c>
      <c r="J7" s="1">
        <f t="shared" ca="1" si="6"/>
        <v>374707</v>
      </c>
      <c r="K7" s="1">
        <f t="shared" ca="1" si="6"/>
        <v>420047</v>
      </c>
      <c r="L7" s="1">
        <f t="shared" ca="1" si="6"/>
        <v>470873</v>
      </c>
      <c r="M7" s="1">
        <f t="shared" ca="1" si="6"/>
        <v>527849</v>
      </c>
      <c r="N7" s="1">
        <f t="shared" ca="1" si="6"/>
        <v>591719</v>
      </c>
      <c r="O7" s="1">
        <f t="shared" ca="1" si="1"/>
        <v>663317</v>
      </c>
      <c r="P7" s="1">
        <f t="shared" ca="1" si="2"/>
        <v>743578</v>
      </c>
      <c r="Q7" s="1">
        <f t="shared" ca="1" si="3"/>
        <v>833551</v>
      </c>
      <c r="R7" s="3">
        <f t="shared" ca="1" si="4"/>
        <v>0</v>
      </c>
    </row>
    <row r="8" spans="1:18" ht="20.100000000000001" customHeight="1" x14ac:dyDescent="0.25">
      <c r="A8" s="26" t="s">
        <v>136</v>
      </c>
      <c r="B8" t="s">
        <v>126</v>
      </c>
      <c r="C8" s="1">
        <v>248821</v>
      </c>
      <c r="D8" s="1">
        <f>297409*0+290296</f>
        <v>290296</v>
      </c>
      <c r="E8" s="1">
        <v>316267</v>
      </c>
      <c r="F8" s="1">
        <f>319789*0+337089</f>
        <v>337089</v>
      </c>
      <c r="G8" s="523">
        <v>408568</v>
      </c>
      <c r="H8" s="1">
        <f t="shared" ref="H8:N8" si="7">ROUND(G8*(1+H30),0)</f>
        <v>457555</v>
      </c>
      <c r="I8" s="1">
        <f t="shared" si="7"/>
        <v>512919</v>
      </c>
      <c r="J8" s="1">
        <f t="shared" si="7"/>
        <v>574982</v>
      </c>
      <c r="K8" s="1">
        <f t="shared" si="7"/>
        <v>644555</v>
      </c>
      <c r="L8" s="1">
        <f t="shared" si="7"/>
        <v>722546</v>
      </c>
      <c r="M8" s="1">
        <f t="shared" si="7"/>
        <v>809974</v>
      </c>
      <c r="N8" s="1">
        <f t="shared" si="7"/>
        <v>907981</v>
      </c>
      <c r="O8" s="1">
        <f t="shared" si="1"/>
        <v>1017847</v>
      </c>
      <c r="P8" s="1">
        <f t="shared" si="2"/>
        <v>1141006</v>
      </c>
      <c r="Q8" s="1">
        <f t="shared" si="3"/>
        <v>1279068</v>
      </c>
      <c r="R8" s="3">
        <f t="shared" si="4"/>
        <v>0.13199453288993146</v>
      </c>
    </row>
    <row r="9" spans="1:18" ht="20.100000000000001" customHeight="1" x14ac:dyDescent="0.25">
      <c r="A9" s="26" t="s">
        <v>539</v>
      </c>
      <c r="B9" s="166" t="s">
        <v>538</v>
      </c>
      <c r="C9" s="1"/>
      <c r="D9" s="1"/>
      <c r="E9" s="1"/>
      <c r="F9" s="1"/>
      <c r="G9" s="523">
        <v>520000</v>
      </c>
      <c r="H9" s="1">
        <f t="shared" ref="H9:N9" si="8">ROUND(G9*(1+H31),0)</f>
        <v>582348</v>
      </c>
      <c r="I9" s="1">
        <f t="shared" si="8"/>
        <v>652812</v>
      </c>
      <c r="J9" s="1">
        <f t="shared" si="8"/>
        <v>731802</v>
      </c>
      <c r="K9" s="1">
        <f t="shared" si="8"/>
        <v>820350</v>
      </c>
      <c r="L9" s="1">
        <f t="shared" si="8"/>
        <v>919612</v>
      </c>
      <c r="M9" s="1">
        <f t="shared" si="8"/>
        <v>1030885</v>
      </c>
      <c r="N9" s="1">
        <f t="shared" si="8"/>
        <v>1155622</v>
      </c>
      <c r="O9" s="1">
        <f t="shared" si="1"/>
        <v>1295452</v>
      </c>
      <c r="P9" s="1">
        <f t="shared" si="2"/>
        <v>1452202</v>
      </c>
      <c r="Q9" s="1">
        <f t="shared" si="3"/>
        <v>1627918</v>
      </c>
      <c r="R9" s="3">
        <f t="shared" si="4"/>
        <v>0</v>
      </c>
    </row>
    <row r="10" spans="1:18" ht="20.100000000000001" customHeight="1" x14ac:dyDescent="0.25">
      <c r="A10" s="26" t="s">
        <v>137</v>
      </c>
      <c r="B10" t="s">
        <v>127</v>
      </c>
      <c r="C10" s="1">
        <v>31510</v>
      </c>
      <c r="D10" s="1">
        <v>40370</v>
      </c>
      <c r="E10" s="1">
        <v>41166</v>
      </c>
      <c r="F10" s="1">
        <v>48881</v>
      </c>
      <c r="G10" s="523">
        <v>47121</v>
      </c>
      <c r="H10" s="120">
        <f ca="1">+bom!AM256</f>
        <v>50566.413250959507</v>
      </c>
      <c r="I10" s="120">
        <f ca="1">+bom!AN256</f>
        <v>56631.49986439231</v>
      </c>
      <c r="J10" s="120">
        <f ca="1">+bom!AO256</f>
        <v>63938.797808160256</v>
      </c>
      <c r="K10" s="120">
        <f ca="1">+bom!AP256</f>
        <v>72083.206654867696</v>
      </c>
      <c r="L10" s="120">
        <f ca="1">+bom!AQ256</f>
        <v>81313.760903297516</v>
      </c>
      <c r="M10" s="120">
        <f ca="1">+bom!AR256</f>
        <v>91785.423765355576</v>
      </c>
      <c r="N10" s="120">
        <f ca="1">+bom!AS256</f>
        <v>103677.12991004685</v>
      </c>
      <c r="O10" s="120">
        <f ca="1">+bom!AT256</f>
        <v>117195.56148271105</v>
      </c>
      <c r="P10" s="120">
        <f ca="1">+bom!AU256</f>
        <v>132580.59576203892</v>
      </c>
      <c r="Q10" s="120">
        <f ca="1">+bom!AV256</f>
        <v>150111.0973392961</v>
      </c>
      <c r="R10" s="3">
        <f t="shared" si="4"/>
        <v>0.10583803632404654</v>
      </c>
    </row>
    <row r="11" spans="1:18" ht="20.100000000000001" customHeight="1" x14ac:dyDescent="0.25">
      <c r="A11" s="26" t="s">
        <v>247</v>
      </c>
      <c r="B11" s="26" t="s">
        <v>248</v>
      </c>
      <c r="C11" s="1">
        <v>31510</v>
      </c>
      <c r="D11" s="1">
        <v>36500</v>
      </c>
      <c r="E11" s="1">
        <v>36530</v>
      </c>
      <c r="F11" s="1">
        <f>41475*0+40681</f>
        <v>40681</v>
      </c>
      <c r="G11" s="523">
        <v>41475</v>
      </c>
      <c r="H11" s="1">
        <f t="shared" ref="H11:N11" si="9">ROUND(G11*(1+H33),0)</f>
        <v>46448</v>
      </c>
      <c r="I11" s="1">
        <f t="shared" si="9"/>
        <v>52068</v>
      </c>
      <c r="J11" s="1">
        <f t="shared" si="9"/>
        <v>58368</v>
      </c>
      <c r="K11" s="1">
        <f t="shared" si="9"/>
        <v>65431</v>
      </c>
      <c r="L11" s="1">
        <f t="shared" si="9"/>
        <v>73348</v>
      </c>
      <c r="M11" s="1">
        <f t="shared" si="9"/>
        <v>82223</v>
      </c>
      <c r="N11" s="1">
        <f t="shared" si="9"/>
        <v>92172</v>
      </c>
      <c r="O11" s="1">
        <f t="shared" ref="O11:O13" si="10">ROUND(N11*(1+O33),0)</f>
        <v>103325</v>
      </c>
      <c r="P11" s="1">
        <f t="shared" ref="P11:P13" si="11">ROUND(O11*(1+P33),0)</f>
        <v>115827</v>
      </c>
      <c r="Q11" s="1">
        <f t="shared" ref="Q11:Q13" si="12">ROUND(P11*(1+Q33),0)</f>
        <v>129842</v>
      </c>
      <c r="R11" s="3">
        <f t="shared" si="4"/>
        <v>7.1111045549040686E-2</v>
      </c>
    </row>
    <row r="12" spans="1:18" ht="20.100000000000001" customHeight="1" x14ac:dyDescent="0.25">
      <c r="A12" s="26" t="s">
        <v>138</v>
      </c>
      <c r="B12" s="26" t="s">
        <v>132</v>
      </c>
      <c r="C12" s="1">
        <v>37079</v>
      </c>
      <c r="D12" s="1">
        <f>46339*0+52416</f>
        <v>52416</v>
      </c>
      <c r="E12" s="1">
        <v>45564</v>
      </c>
      <c r="F12" s="1">
        <v>49142</v>
      </c>
      <c r="G12" s="523">
        <v>50394</v>
      </c>
      <c r="H12" s="1">
        <f t="shared" ref="H12:N12" si="13">ROUND(G12*(1+H34),0)</f>
        <v>56436</v>
      </c>
      <c r="I12" s="1">
        <f t="shared" si="13"/>
        <v>63265</v>
      </c>
      <c r="J12" s="1">
        <f t="shared" si="13"/>
        <v>70920</v>
      </c>
      <c r="K12" s="1">
        <f t="shared" si="13"/>
        <v>79501</v>
      </c>
      <c r="L12" s="1">
        <f t="shared" si="13"/>
        <v>89121</v>
      </c>
      <c r="M12" s="1">
        <f t="shared" si="13"/>
        <v>99905</v>
      </c>
      <c r="N12" s="1">
        <f t="shared" si="13"/>
        <v>111994</v>
      </c>
      <c r="O12" s="1">
        <f t="shared" si="10"/>
        <v>125545</v>
      </c>
      <c r="P12" s="1">
        <f t="shared" si="11"/>
        <v>140736</v>
      </c>
      <c r="Q12" s="1">
        <f t="shared" si="12"/>
        <v>157765</v>
      </c>
      <c r="R12" s="3">
        <f t="shared" si="4"/>
        <v>7.9723875041144421E-2</v>
      </c>
    </row>
    <row r="13" spans="1:18" ht="20.100000000000001" customHeight="1" x14ac:dyDescent="0.25">
      <c r="A13" s="26" t="s">
        <v>534</v>
      </c>
      <c r="B13" s="26" t="s">
        <v>535</v>
      </c>
      <c r="C13" s="1"/>
      <c r="D13" s="1"/>
      <c r="E13" s="1"/>
      <c r="F13" s="1"/>
      <c r="G13" s="412">
        <f>168*1890</f>
        <v>317520</v>
      </c>
      <c r="H13" s="1">
        <f t="shared" ref="H13:N13" si="14">ROUND(G13*(1+H35),0)</f>
        <v>355591</v>
      </c>
      <c r="I13" s="1">
        <f t="shared" si="14"/>
        <v>398618</v>
      </c>
      <c r="J13" s="1">
        <f t="shared" si="14"/>
        <v>446851</v>
      </c>
      <c r="K13" s="1">
        <f t="shared" si="14"/>
        <v>500920</v>
      </c>
      <c r="L13" s="1">
        <f t="shared" si="14"/>
        <v>561531</v>
      </c>
      <c r="M13" s="1">
        <f t="shared" si="14"/>
        <v>629476</v>
      </c>
      <c r="N13" s="1">
        <f t="shared" si="14"/>
        <v>705643</v>
      </c>
      <c r="O13" s="1">
        <f t="shared" si="10"/>
        <v>791026</v>
      </c>
      <c r="P13" s="1">
        <f t="shared" si="11"/>
        <v>886740</v>
      </c>
      <c r="Q13" s="1">
        <f t="shared" si="12"/>
        <v>994036</v>
      </c>
      <c r="R13" s="3">
        <f t="shared" si="4"/>
        <v>0</v>
      </c>
    </row>
    <row r="14" spans="1:18" ht="20.100000000000001" customHeight="1" x14ac:dyDescent="0.25">
      <c r="A14" s="26" t="s">
        <v>139</v>
      </c>
      <c r="B14" t="s">
        <v>128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3">
        <f t="shared" si="4"/>
        <v>0</v>
      </c>
    </row>
    <row r="15" spans="1:18" ht="20.100000000000001" customHeight="1" x14ac:dyDescent="0.25">
      <c r="A15" s="26" t="s">
        <v>140</v>
      </c>
      <c r="B15" t="s">
        <v>129</v>
      </c>
      <c r="C15" s="1">
        <v>40086</v>
      </c>
      <c r="D15" s="1">
        <f>56960*0+56197</f>
        <v>56197</v>
      </c>
      <c r="E15" s="1">
        <v>64582</v>
      </c>
      <c r="F15" s="1">
        <f>72554*0+76567</f>
        <v>76567</v>
      </c>
      <c r="G15" s="523">
        <f ca="1">ROUND(F15*(1+G37),0)*0+86638</f>
        <v>86638</v>
      </c>
      <c r="H15" s="1">
        <f t="shared" ref="H15:N15" ca="1" si="15">ROUND(G15*(1+H37),0)</f>
        <v>97026</v>
      </c>
      <c r="I15" s="1">
        <f t="shared" ca="1" si="15"/>
        <v>108766</v>
      </c>
      <c r="J15" s="1">
        <f t="shared" ca="1" si="15"/>
        <v>121927</v>
      </c>
      <c r="K15" s="1">
        <f t="shared" ca="1" si="15"/>
        <v>136680</v>
      </c>
      <c r="L15" s="1">
        <f t="shared" ca="1" si="15"/>
        <v>153218</v>
      </c>
      <c r="M15" s="1">
        <f t="shared" ca="1" si="15"/>
        <v>171757</v>
      </c>
      <c r="N15" s="1">
        <f t="shared" ca="1" si="15"/>
        <v>192540</v>
      </c>
      <c r="O15" s="1">
        <f t="shared" ref="O15:O22" ca="1" si="16">ROUND(N15*(1+O37),0)</f>
        <v>215837</v>
      </c>
      <c r="P15" s="1">
        <f t="shared" ref="P15:P22" ca="1" si="17">ROUND(O15*(1+P37),0)</f>
        <v>241953</v>
      </c>
      <c r="Q15" s="1">
        <f t="shared" ref="Q15:Q22" ca="1" si="18">ROUND(P15*(1+Q37),0)</f>
        <v>271229</v>
      </c>
      <c r="R15" s="3">
        <f t="shared" ca="1" si="4"/>
        <v>0.21249211783927935</v>
      </c>
    </row>
    <row r="16" spans="1:18" ht="20.100000000000001" customHeight="1" x14ac:dyDescent="0.25">
      <c r="A16" s="26" t="s">
        <v>141</v>
      </c>
      <c r="B16" t="s">
        <v>130</v>
      </c>
      <c r="C16" s="1">
        <v>42500</v>
      </c>
      <c r="D16" s="1">
        <f>65500*0+63692</f>
        <v>63692</v>
      </c>
      <c r="E16" s="1">
        <v>71301</v>
      </c>
      <c r="F16" s="1">
        <f>81432*0+82665</f>
        <v>82665</v>
      </c>
      <c r="G16" s="523">
        <f ca="1">ROUND(F16*(1+G38),0)*0+96790</f>
        <v>96790</v>
      </c>
      <c r="H16" s="1">
        <f t="shared" ref="H16:N16" ca="1" si="19">ROUND(G16*(1+H38),0)</f>
        <v>108395</v>
      </c>
      <c r="I16" s="1">
        <f t="shared" ca="1" si="19"/>
        <v>121511</v>
      </c>
      <c r="J16" s="1">
        <f t="shared" ca="1" si="19"/>
        <v>136214</v>
      </c>
      <c r="K16" s="1">
        <f t="shared" ca="1" si="19"/>
        <v>152696</v>
      </c>
      <c r="L16" s="1">
        <f t="shared" ca="1" si="19"/>
        <v>171172</v>
      </c>
      <c r="M16" s="1">
        <f t="shared" ca="1" si="19"/>
        <v>191884</v>
      </c>
      <c r="N16" s="1">
        <f t="shared" ca="1" si="19"/>
        <v>215102</v>
      </c>
      <c r="O16" s="1">
        <f t="shared" ca="1" si="16"/>
        <v>241129</v>
      </c>
      <c r="P16" s="1">
        <f t="shared" ca="1" si="17"/>
        <v>270306</v>
      </c>
      <c r="Q16" s="1">
        <f t="shared" ca="1" si="18"/>
        <v>303013</v>
      </c>
      <c r="R16" s="3">
        <f t="shared" ca="1" si="4"/>
        <v>0.22845821798641741</v>
      </c>
    </row>
    <row r="17" spans="1:18" ht="20.100000000000001" customHeight="1" x14ac:dyDescent="0.25">
      <c r="A17" s="26"/>
      <c r="B17" s="166" t="s">
        <v>546</v>
      </c>
      <c r="C17" s="1"/>
      <c r="D17" s="1"/>
      <c r="E17" s="1"/>
      <c r="F17" s="1"/>
      <c r="G17" s="523">
        <f>1.5*1890</f>
        <v>2835</v>
      </c>
      <c r="H17" s="1">
        <f t="shared" ref="H17:N17" si="20">ROUND(G17*(1+H39),0)</f>
        <v>3175</v>
      </c>
      <c r="I17" s="1">
        <f t="shared" si="20"/>
        <v>3559</v>
      </c>
      <c r="J17" s="1">
        <f t="shared" si="20"/>
        <v>3990</v>
      </c>
      <c r="K17" s="1">
        <f t="shared" si="20"/>
        <v>4473</v>
      </c>
      <c r="L17" s="1">
        <f t="shared" si="20"/>
        <v>5014</v>
      </c>
      <c r="M17" s="1">
        <f t="shared" si="20"/>
        <v>5621</v>
      </c>
      <c r="N17" s="1">
        <f t="shared" si="20"/>
        <v>6301</v>
      </c>
      <c r="O17" s="1">
        <f t="shared" si="16"/>
        <v>7063</v>
      </c>
      <c r="P17" s="1">
        <f t="shared" si="17"/>
        <v>7918</v>
      </c>
      <c r="Q17" s="1">
        <f t="shared" si="18"/>
        <v>8876</v>
      </c>
      <c r="R17" s="3">
        <f t="shared" si="4"/>
        <v>0</v>
      </c>
    </row>
    <row r="18" spans="1:18" ht="20.100000000000001" customHeight="1" x14ac:dyDescent="0.25">
      <c r="A18" s="26"/>
      <c r="B18" s="166" t="s">
        <v>547</v>
      </c>
      <c r="C18" s="1"/>
      <c r="D18" s="1"/>
      <c r="E18" s="1"/>
      <c r="F18" s="1"/>
      <c r="G18" s="523">
        <f>2*1890</f>
        <v>3780</v>
      </c>
      <c r="H18" s="1">
        <f t="shared" ref="H18:N18" si="21">ROUND(G18*(1+H40),0)</f>
        <v>4233</v>
      </c>
      <c r="I18" s="1">
        <f t="shared" si="21"/>
        <v>4745</v>
      </c>
      <c r="J18" s="1">
        <f t="shared" si="21"/>
        <v>5319</v>
      </c>
      <c r="K18" s="1">
        <f t="shared" si="21"/>
        <v>5963</v>
      </c>
      <c r="L18" s="1">
        <f t="shared" si="21"/>
        <v>6685</v>
      </c>
      <c r="M18" s="1">
        <f t="shared" si="21"/>
        <v>7494</v>
      </c>
      <c r="N18" s="1">
        <f t="shared" si="21"/>
        <v>8401</v>
      </c>
      <c r="O18" s="1">
        <f t="shared" si="16"/>
        <v>9418</v>
      </c>
      <c r="P18" s="1">
        <f t="shared" si="17"/>
        <v>10558</v>
      </c>
      <c r="Q18" s="1">
        <f t="shared" si="18"/>
        <v>11836</v>
      </c>
      <c r="R18" s="3">
        <f t="shared" si="4"/>
        <v>0</v>
      </c>
    </row>
    <row r="19" spans="1:18" ht="20.100000000000001" customHeight="1" x14ac:dyDescent="0.25">
      <c r="A19" s="26" t="s">
        <v>142</v>
      </c>
      <c r="B19" s="59" t="s">
        <v>146</v>
      </c>
      <c r="C19" s="1">
        <v>7020</v>
      </c>
      <c r="D19" s="1">
        <f>9213*0+8883</f>
        <v>8883</v>
      </c>
      <c r="E19" s="1">
        <v>11764</v>
      </c>
      <c r="F19" s="1">
        <f>13735*0+15733</f>
        <v>15733</v>
      </c>
      <c r="G19" s="523">
        <f ca="1">ROUND(F19*(1+G41),0)*0+19200</f>
        <v>19200</v>
      </c>
      <c r="H19" s="1">
        <f t="shared" ref="H19:N19" ca="1" si="22">ROUND(G19*(1+H41),0)</f>
        <v>21502</v>
      </c>
      <c r="I19" s="1">
        <f t="shared" ca="1" si="22"/>
        <v>24104</v>
      </c>
      <c r="J19" s="1">
        <f t="shared" ca="1" si="22"/>
        <v>27021</v>
      </c>
      <c r="K19" s="1">
        <f t="shared" ca="1" si="22"/>
        <v>30291</v>
      </c>
      <c r="L19" s="1">
        <f t="shared" ca="1" si="22"/>
        <v>33956</v>
      </c>
      <c r="M19" s="1">
        <f t="shared" ca="1" si="22"/>
        <v>38065</v>
      </c>
      <c r="N19" s="1">
        <f t="shared" ca="1" si="22"/>
        <v>42671</v>
      </c>
      <c r="O19" s="1">
        <f t="shared" ca="1" si="16"/>
        <v>47834</v>
      </c>
      <c r="P19" s="1">
        <f t="shared" ca="1" si="17"/>
        <v>53622</v>
      </c>
      <c r="Q19" s="1">
        <f t="shared" ca="1" si="18"/>
        <v>60110</v>
      </c>
      <c r="R19" s="3">
        <f t="shared" ca="1" si="4"/>
        <v>0.28600017931159183</v>
      </c>
    </row>
    <row r="20" spans="1:18" ht="20.100000000000001" customHeight="1" x14ac:dyDescent="0.25">
      <c r="A20" s="26" t="s">
        <v>143</v>
      </c>
      <c r="B20" s="59" t="s">
        <v>147</v>
      </c>
      <c r="C20" s="1">
        <v>25380</v>
      </c>
      <c r="D20" s="1">
        <f>33400*0+33957</f>
        <v>33957</v>
      </c>
      <c r="E20" s="1">
        <v>50212</v>
      </c>
      <c r="F20" s="1">
        <f>74463*0+63581</f>
        <v>63581</v>
      </c>
      <c r="G20" s="523">
        <f ca="1">ROUND(F20*(1+G42),0)*0+82384</f>
        <v>82384</v>
      </c>
      <c r="H20" s="1">
        <f t="shared" ref="H20:N20" ca="1" si="23">ROUND(G20*(1+H42),0)</f>
        <v>92262</v>
      </c>
      <c r="I20" s="1">
        <f t="shared" ca="1" si="23"/>
        <v>103426</v>
      </c>
      <c r="J20" s="1">
        <f t="shared" ca="1" si="23"/>
        <v>115941</v>
      </c>
      <c r="K20" s="1">
        <f t="shared" ca="1" si="23"/>
        <v>129970</v>
      </c>
      <c r="L20" s="1">
        <f t="shared" ca="1" si="23"/>
        <v>145696</v>
      </c>
      <c r="M20" s="1">
        <f t="shared" ca="1" si="23"/>
        <v>163325</v>
      </c>
      <c r="N20" s="1">
        <f t="shared" ca="1" si="23"/>
        <v>183087</v>
      </c>
      <c r="O20" s="1">
        <f t="shared" ca="1" si="16"/>
        <v>205241</v>
      </c>
      <c r="P20" s="1">
        <f t="shared" ca="1" si="17"/>
        <v>230075</v>
      </c>
      <c r="Q20" s="1">
        <f t="shared" ca="1" si="18"/>
        <v>257914</v>
      </c>
      <c r="R20" s="3">
        <f t="shared" ca="1" si="4"/>
        <v>0.34226360368388842</v>
      </c>
    </row>
    <row r="21" spans="1:18" ht="20.100000000000001" customHeight="1" x14ac:dyDescent="0.25">
      <c r="A21" s="26" t="s">
        <v>144</v>
      </c>
      <c r="B21" s="59" t="s">
        <v>148</v>
      </c>
      <c r="C21" s="1">
        <v>27439</v>
      </c>
      <c r="D21" s="1">
        <f>32275+42348*0</f>
        <v>32275</v>
      </c>
      <c r="E21" s="1">
        <v>45664</v>
      </c>
      <c r="F21" s="1">
        <f>56495*0+50129</f>
        <v>50129</v>
      </c>
      <c r="G21" s="523">
        <f ca="1">ROUND(F21*(1+G43),0)*0+75490</f>
        <v>75490</v>
      </c>
      <c r="H21" s="1">
        <f t="shared" ref="H21:N21" ca="1" si="24">ROUND(G21*(1+H43),0)</f>
        <v>84541</v>
      </c>
      <c r="I21" s="1">
        <f t="shared" ca="1" si="24"/>
        <v>94770</v>
      </c>
      <c r="J21" s="1">
        <f t="shared" ca="1" si="24"/>
        <v>106237</v>
      </c>
      <c r="K21" s="1">
        <f t="shared" ca="1" si="24"/>
        <v>119092</v>
      </c>
      <c r="L21" s="1">
        <f t="shared" ca="1" si="24"/>
        <v>133502</v>
      </c>
      <c r="M21" s="1">
        <f t="shared" ca="1" si="24"/>
        <v>149656</v>
      </c>
      <c r="N21" s="1">
        <f t="shared" ca="1" si="24"/>
        <v>167764</v>
      </c>
      <c r="O21" s="1">
        <f t="shared" ca="1" si="16"/>
        <v>188063</v>
      </c>
      <c r="P21" s="1">
        <f t="shared" ca="1" si="17"/>
        <v>210819</v>
      </c>
      <c r="Q21" s="1">
        <f t="shared" ca="1" si="18"/>
        <v>236328</v>
      </c>
      <c r="R21" s="3">
        <f t="shared" ca="1" si="4"/>
        <v>0.28789449373720033</v>
      </c>
    </row>
    <row r="22" spans="1:18" ht="20.100000000000001" customHeight="1" x14ac:dyDescent="0.25">
      <c r="A22" s="26" t="s">
        <v>145</v>
      </c>
      <c r="B22" s="59" t="s">
        <v>149</v>
      </c>
      <c r="C22" s="1">
        <v>9377</v>
      </c>
      <c r="D22" s="1">
        <f>10625*0+9969</f>
        <v>9969</v>
      </c>
      <c r="E22" s="1">
        <v>14915</v>
      </c>
      <c r="F22" s="1">
        <f>15406*0+16547</f>
        <v>16547</v>
      </c>
      <c r="G22" s="523">
        <f ca="1">ROUND(F22*(1+G44),0)*0+17617</f>
        <v>17617</v>
      </c>
      <c r="H22" s="1">
        <f t="shared" ref="H22:N22" ca="1" si="25">ROUND(G22*(1+H44),0)</f>
        <v>19729</v>
      </c>
      <c r="I22" s="1">
        <f t="shared" ca="1" si="25"/>
        <v>22116</v>
      </c>
      <c r="J22" s="1">
        <f t="shared" ca="1" si="25"/>
        <v>24792</v>
      </c>
      <c r="K22" s="1">
        <f t="shared" ca="1" si="25"/>
        <v>27792</v>
      </c>
      <c r="L22" s="1">
        <f t="shared" ca="1" si="25"/>
        <v>31155</v>
      </c>
      <c r="M22" s="1">
        <f t="shared" ca="1" si="25"/>
        <v>34925</v>
      </c>
      <c r="N22" s="1">
        <f t="shared" ca="1" si="25"/>
        <v>39151</v>
      </c>
      <c r="O22" s="1">
        <f t="shared" ca="1" si="16"/>
        <v>43888</v>
      </c>
      <c r="P22" s="1">
        <f t="shared" ca="1" si="17"/>
        <v>49198</v>
      </c>
      <c r="Q22" s="1">
        <f t="shared" ca="1" si="18"/>
        <v>55151</v>
      </c>
      <c r="R22" s="3">
        <f t="shared" ca="1" si="4"/>
        <v>0.17075766439307327</v>
      </c>
    </row>
    <row r="23" spans="1:18" ht="20.100000000000001" customHeight="1" x14ac:dyDescent="0.25">
      <c r="A23" s="26"/>
      <c r="B23" s="59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6" spans="1:18" ht="20.25" x14ac:dyDescent="0.3">
      <c r="B26" s="60" t="s">
        <v>245</v>
      </c>
      <c r="D26" s="151">
        <f>+D3</f>
        <v>2009</v>
      </c>
      <c r="E26" s="151">
        <f>+E3</f>
        <v>2010</v>
      </c>
      <c r="F26" s="5">
        <f t="shared" ref="F26:N26" si="26">+F3</f>
        <v>2011</v>
      </c>
      <c r="G26" s="5">
        <f t="shared" si="26"/>
        <v>2012</v>
      </c>
      <c r="H26" s="5">
        <f t="shared" si="26"/>
        <v>2013</v>
      </c>
      <c r="I26" s="5">
        <f t="shared" si="26"/>
        <v>2014</v>
      </c>
      <c r="J26" s="5">
        <f t="shared" si="26"/>
        <v>2015</v>
      </c>
      <c r="K26" s="5">
        <f t="shared" si="26"/>
        <v>2016</v>
      </c>
      <c r="L26" s="5">
        <f t="shared" si="26"/>
        <v>2017</v>
      </c>
      <c r="M26" s="5">
        <f t="shared" si="26"/>
        <v>2018</v>
      </c>
      <c r="N26" s="5">
        <f t="shared" si="26"/>
        <v>2019</v>
      </c>
      <c r="O26" s="5">
        <f t="shared" ref="O26:Q26" si="27">+O3</f>
        <v>2020</v>
      </c>
      <c r="P26" s="5">
        <f t="shared" si="27"/>
        <v>2021</v>
      </c>
      <c r="Q26" s="5">
        <f t="shared" si="27"/>
        <v>2022</v>
      </c>
    </row>
    <row r="27" spans="1:18" x14ac:dyDescent="0.25">
      <c r="A27" t="str">
        <f t="shared" ref="A27:B30" si="28">+A5</f>
        <v>A</v>
      </c>
      <c r="B27" t="str">
        <f t="shared" si="28"/>
        <v>A/Liquid ammonia</v>
      </c>
      <c r="D27" s="7">
        <f t="shared" ref="D27" si="29">+D5/C5-1</f>
        <v>2.864587420929543E-2</v>
      </c>
      <c r="E27" s="7">
        <f t="shared" ref="E27:F27" si="30">+E5/D5-1</f>
        <v>6.8142745241655645E-2</v>
      </c>
      <c r="F27" s="7">
        <f t="shared" si="30"/>
        <v>0.26803460968861748</v>
      </c>
      <c r="G27" s="7">
        <f>+G5/F5-1</f>
        <v>3.342646628061563E-2</v>
      </c>
      <c r="H27" s="7">
        <f t="shared" ref="H27:Q27" si="31">+H$47*(1+H$46)</f>
        <v>0.11990000000000001</v>
      </c>
      <c r="I27" s="7">
        <f t="shared" si="31"/>
        <v>0.12100000000000001</v>
      </c>
      <c r="J27" s="7">
        <f t="shared" si="31"/>
        <v>0.12100000000000001</v>
      </c>
      <c r="K27" s="7">
        <f t="shared" si="31"/>
        <v>0.12100000000000001</v>
      </c>
      <c r="L27" s="7">
        <f t="shared" si="31"/>
        <v>0.12100000000000001</v>
      </c>
      <c r="M27" s="7">
        <f t="shared" si="31"/>
        <v>0.12100000000000001</v>
      </c>
      <c r="N27" s="7">
        <f t="shared" si="31"/>
        <v>0.12100000000000001</v>
      </c>
      <c r="O27" s="7">
        <f t="shared" si="31"/>
        <v>0.12100000000000001</v>
      </c>
      <c r="P27" s="7">
        <f t="shared" si="31"/>
        <v>0.12100000000000001</v>
      </c>
      <c r="Q27" s="7">
        <f t="shared" si="31"/>
        <v>0.12100000000000001</v>
      </c>
      <c r="R27" s="7">
        <f>+R5</f>
        <v>9.5409410772751446E-2</v>
      </c>
    </row>
    <row r="28" spans="1:18" x14ac:dyDescent="0.25">
      <c r="A28" t="str">
        <f t="shared" si="28"/>
        <v>B</v>
      </c>
      <c r="B28" t="str">
        <f t="shared" si="28"/>
        <v>Б\Phosphoric concentrate 28%</v>
      </c>
      <c r="D28" s="7">
        <f t="shared" ref="D28" si="32">+D6/C6-1</f>
        <v>0.20757670499257719</v>
      </c>
      <c r="E28" s="7">
        <f t="shared" ref="E28:G30" si="33">+E6/D6-1</f>
        <v>7.961590486389003E-2</v>
      </c>
      <c r="F28" s="7">
        <f t="shared" si="33"/>
        <v>4.0735423667982662E-2</v>
      </c>
      <c r="G28" s="7">
        <f t="shared" si="33"/>
        <v>0.14464142957912052</v>
      </c>
      <c r="H28" s="7">
        <f t="shared" ref="F28:Q44" si="34">+H$47*(1+H$46)</f>
        <v>0.11990000000000001</v>
      </c>
      <c r="I28" s="7">
        <f t="shared" si="34"/>
        <v>0.12100000000000001</v>
      </c>
      <c r="J28" s="7">
        <f t="shared" si="34"/>
        <v>0.12100000000000001</v>
      </c>
      <c r="K28" s="7">
        <f t="shared" si="34"/>
        <v>0.12100000000000001</v>
      </c>
      <c r="L28" s="7">
        <f t="shared" si="34"/>
        <v>0.12100000000000001</v>
      </c>
      <c r="M28" s="7">
        <f t="shared" si="34"/>
        <v>0.12100000000000001</v>
      </c>
      <c r="N28" s="7">
        <f t="shared" si="34"/>
        <v>0.12100000000000001</v>
      </c>
      <c r="O28" s="7">
        <f t="shared" si="34"/>
        <v>0.12100000000000001</v>
      </c>
      <c r="P28" s="7">
        <f t="shared" si="34"/>
        <v>0.12100000000000001</v>
      </c>
      <c r="Q28" s="7">
        <f t="shared" si="34"/>
        <v>0.12100000000000001</v>
      </c>
      <c r="R28" s="7">
        <f t="shared" ref="R28:R44" si="35">+R6</f>
        <v>0.11634504635547316</v>
      </c>
    </row>
    <row r="29" spans="1:18" x14ac:dyDescent="0.25">
      <c r="A29" t="str">
        <f t="shared" si="28"/>
        <v>C</v>
      </c>
      <c r="B29" t="str">
        <f t="shared" si="28"/>
        <v>Б\Phosphoric flour (мтк) 21%</v>
      </c>
      <c r="D29" s="7">
        <f t="shared" ref="D29" si="36">+D7/C7-1</f>
        <v>0</v>
      </c>
      <c r="E29" s="7">
        <f t="shared" si="33"/>
        <v>0</v>
      </c>
      <c r="F29" s="7">
        <f ca="1">IFERROR(+F7/E7-1,0)</f>
        <v>0</v>
      </c>
      <c r="G29" s="7">
        <f ca="1">IFERROR(+G7/F7-1,0)</f>
        <v>0</v>
      </c>
      <c r="H29" s="7">
        <f t="shared" si="34"/>
        <v>0.11990000000000001</v>
      </c>
      <c r="I29" s="7">
        <f t="shared" si="34"/>
        <v>0.12100000000000001</v>
      </c>
      <c r="J29" s="7">
        <f t="shared" si="34"/>
        <v>0.12100000000000001</v>
      </c>
      <c r="K29" s="7">
        <f t="shared" si="34"/>
        <v>0.12100000000000001</v>
      </c>
      <c r="L29" s="7">
        <f t="shared" si="34"/>
        <v>0.12100000000000001</v>
      </c>
      <c r="M29" s="7">
        <f t="shared" si="34"/>
        <v>0.12100000000000001</v>
      </c>
      <c r="N29" s="7">
        <f t="shared" si="34"/>
        <v>0.12100000000000001</v>
      </c>
      <c r="O29" s="7">
        <f t="shared" si="34"/>
        <v>0.12100000000000001</v>
      </c>
      <c r="P29" s="7">
        <f t="shared" si="34"/>
        <v>0.12100000000000001</v>
      </c>
      <c r="Q29" s="7">
        <f t="shared" si="34"/>
        <v>0.12100000000000001</v>
      </c>
      <c r="R29" s="7">
        <f t="shared" ca="1" si="35"/>
        <v>0</v>
      </c>
    </row>
    <row r="30" spans="1:18" x14ac:dyDescent="0.25">
      <c r="A30" t="str">
        <f t="shared" si="28"/>
        <v>D</v>
      </c>
      <c r="B30" t="str">
        <f t="shared" si="28"/>
        <v>Б\Phosphoric flour (мск) 18,4%</v>
      </c>
      <c r="D30" s="7">
        <f t="shared" ref="D30" si="37">+D8/C8-1</f>
        <v>0.1666860916080235</v>
      </c>
      <c r="E30" s="7">
        <f t="shared" si="33"/>
        <v>8.9463857579849426E-2</v>
      </c>
      <c r="F30" s="7">
        <f t="shared" si="33"/>
        <v>6.583677715348113E-2</v>
      </c>
      <c r="G30" s="7">
        <f t="shared" si="33"/>
        <v>0.21204785679746307</v>
      </c>
      <c r="H30" s="7">
        <f t="shared" si="34"/>
        <v>0.11990000000000001</v>
      </c>
      <c r="I30" s="7">
        <f t="shared" si="34"/>
        <v>0.12100000000000001</v>
      </c>
      <c r="J30" s="7">
        <f t="shared" si="34"/>
        <v>0.12100000000000001</v>
      </c>
      <c r="K30" s="7">
        <f t="shared" si="34"/>
        <v>0.12100000000000001</v>
      </c>
      <c r="L30" s="7">
        <f t="shared" si="34"/>
        <v>0.12100000000000001</v>
      </c>
      <c r="M30" s="7">
        <f t="shared" si="34"/>
        <v>0.12100000000000001</v>
      </c>
      <c r="N30" s="7">
        <f t="shared" si="34"/>
        <v>0.12100000000000001</v>
      </c>
      <c r="O30" s="7">
        <f t="shared" si="34"/>
        <v>0.12100000000000001</v>
      </c>
      <c r="P30" s="7">
        <f t="shared" si="34"/>
        <v>0.12100000000000001</v>
      </c>
      <c r="Q30" s="7">
        <f t="shared" si="34"/>
        <v>0.12100000000000001</v>
      </c>
      <c r="R30" s="7">
        <f t="shared" si="35"/>
        <v>0.13199453288993146</v>
      </c>
    </row>
    <row r="31" spans="1:18" x14ac:dyDescent="0.25">
      <c r="A31" s="166" t="s">
        <v>539</v>
      </c>
      <c r="B31" s="166" t="s">
        <v>538</v>
      </c>
      <c r="D31" s="7"/>
      <c r="E31" s="7"/>
      <c r="F31" s="7"/>
      <c r="G31" s="7"/>
      <c r="H31" s="7">
        <f t="shared" si="34"/>
        <v>0.11990000000000001</v>
      </c>
      <c r="I31" s="7">
        <f t="shared" si="34"/>
        <v>0.12100000000000001</v>
      </c>
      <c r="J31" s="7">
        <f t="shared" si="34"/>
        <v>0.12100000000000001</v>
      </c>
      <c r="K31" s="7">
        <f t="shared" si="34"/>
        <v>0.12100000000000001</v>
      </c>
      <c r="L31" s="7">
        <f t="shared" si="34"/>
        <v>0.12100000000000001</v>
      </c>
      <c r="M31" s="7">
        <f t="shared" si="34"/>
        <v>0.12100000000000001</v>
      </c>
      <c r="N31" s="7">
        <f t="shared" si="34"/>
        <v>0.12100000000000001</v>
      </c>
      <c r="O31" s="7">
        <f t="shared" si="34"/>
        <v>0.12100000000000001</v>
      </c>
      <c r="P31" s="7">
        <f t="shared" si="34"/>
        <v>0.12100000000000001</v>
      </c>
      <c r="Q31" s="7">
        <f t="shared" si="34"/>
        <v>0.12100000000000001</v>
      </c>
      <c r="R31" s="7">
        <f t="shared" si="35"/>
        <v>0</v>
      </c>
    </row>
    <row r="32" spans="1:18" x14ac:dyDescent="0.25">
      <c r="A32" t="str">
        <f>+A10</f>
        <v>E</v>
      </c>
      <c r="B32" t="str">
        <f>+B10</f>
        <v>В\Sulphuric acid, total</v>
      </c>
      <c r="D32" s="278" t="e">
        <f>NA()</f>
        <v>#N/A</v>
      </c>
      <c r="E32" s="278" t="e">
        <f>NA()</f>
        <v>#N/A</v>
      </c>
      <c r="F32" s="278" t="e">
        <f>NA()</f>
        <v>#N/A</v>
      </c>
      <c r="G32" s="278" t="e">
        <f>NA()</f>
        <v>#N/A</v>
      </c>
      <c r="H32" s="278" t="e">
        <f>NA()</f>
        <v>#N/A</v>
      </c>
      <c r="I32" s="278" t="e">
        <f>NA()</f>
        <v>#N/A</v>
      </c>
      <c r="J32" s="278" t="e">
        <f>NA()</f>
        <v>#N/A</v>
      </c>
      <c r="K32" s="278" t="e">
        <f>NA()</f>
        <v>#N/A</v>
      </c>
      <c r="L32" s="278" t="e">
        <f>NA()</f>
        <v>#N/A</v>
      </c>
      <c r="M32" s="278" t="e">
        <f>NA()</f>
        <v>#N/A</v>
      </c>
      <c r="N32" s="278" t="e">
        <f>NA()</f>
        <v>#N/A</v>
      </c>
      <c r="O32" s="278" t="e">
        <f>NA()</f>
        <v>#N/A</v>
      </c>
      <c r="P32" s="278" t="e">
        <f>NA()</f>
        <v>#N/A</v>
      </c>
      <c r="Q32" s="278" t="e">
        <f>NA()</f>
        <v>#N/A</v>
      </c>
      <c r="R32" s="7">
        <f t="shared" si="35"/>
        <v>0.10583803632404654</v>
      </c>
    </row>
    <row r="33" spans="1:18" x14ac:dyDescent="0.25">
      <c r="B33" t="str">
        <f>+B11</f>
        <v>Sulphuric acid AKMC</v>
      </c>
      <c r="D33" s="7">
        <f t="shared" ref="D33" si="38">+D11/C11-1</f>
        <v>0.15836242462710248</v>
      </c>
      <c r="E33" s="7">
        <f t="shared" ref="E33" si="39">+E11/D11-1</f>
        <v>8.219178082191636E-4</v>
      </c>
      <c r="F33" s="7">
        <f>+F11/E11-1</f>
        <v>0.11363263071448126</v>
      </c>
      <c r="G33" s="7">
        <f>+G11/F11-1</f>
        <v>1.9517710970723412E-2</v>
      </c>
      <c r="H33" s="7">
        <f t="shared" si="34"/>
        <v>0.11990000000000001</v>
      </c>
      <c r="I33" s="7">
        <f t="shared" si="34"/>
        <v>0.12100000000000001</v>
      </c>
      <c r="J33" s="7">
        <f t="shared" si="34"/>
        <v>0.12100000000000001</v>
      </c>
      <c r="K33" s="7">
        <f t="shared" si="34"/>
        <v>0.12100000000000001</v>
      </c>
      <c r="L33" s="7">
        <f t="shared" si="34"/>
        <v>0.12100000000000001</v>
      </c>
      <c r="M33" s="7">
        <f t="shared" si="34"/>
        <v>0.12100000000000001</v>
      </c>
      <c r="N33" s="7">
        <f t="shared" si="34"/>
        <v>0.12100000000000001</v>
      </c>
      <c r="O33" s="7">
        <f t="shared" si="34"/>
        <v>0.12100000000000001</v>
      </c>
      <c r="P33" s="7">
        <f t="shared" si="34"/>
        <v>0.12100000000000001</v>
      </c>
      <c r="Q33" s="7">
        <f t="shared" si="34"/>
        <v>0.12100000000000001</v>
      </c>
      <c r="R33" s="7">
        <f t="shared" si="35"/>
        <v>7.1111045549040686E-2</v>
      </c>
    </row>
    <row r="34" spans="1:18" x14ac:dyDescent="0.25">
      <c r="A34" t="str">
        <f>+A12</f>
        <v>F</v>
      </c>
      <c r="B34" t="str">
        <f>+B12</f>
        <v>sulphur</v>
      </c>
      <c r="D34" s="7">
        <f t="shared" ref="D34:E34" si="40">+D12/C12-1</f>
        <v>0.41363035680573912</v>
      </c>
      <c r="E34" s="7">
        <f t="shared" si="40"/>
        <v>-0.1307234432234432</v>
      </c>
      <c r="F34" s="7">
        <f>+F12/E12-1</f>
        <v>7.8526907207444374E-2</v>
      </c>
      <c r="G34" s="7">
        <f t="shared" ref="E34:G44" si="41">+G12/F12-1</f>
        <v>2.5477188555614427E-2</v>
      </c>
      <c r="H34" s="7">
        <f t="shared" si="34"/>
        <v>0.11990000000000001</v>
      </c>
      <c r="I34" s="7">
        <f t="shared" si="34"/>
        <v>0.12100000000000001</v>
      </c>
      <c r="J34" s="7">
        <f t="shared" si="34"/>
        <v>0.12100000000000001</v>
      </c>
      <c r="K34" s="7">
        <f t="shared" si="34"/>
        <v>0.12100000000000001</v>
      </c>
      <c r="L34" s="7">
        <f t="shared" si="34"/>
        <v>0.12100000000000001</v>
      </c>
      <c r="M34" s="7">
        <f t="shared" si="34"/>
        <v>0.12100000000000001</v>
      </c>
      <c r="N34" s="7">
        <f t="shared" si="34"/>
        <v>0.12100000000000001</v>
      </c>
      <c r="O34" s="7">
        <f t="shared" si="34"/>
        <v>0.12100000000000001</v>
      </c>
      <c r="P34" s="7">
        <f t="shared" si="34"/>
        <v>0.12100000000000001</v>
      </c>
      <c r="Q34" s="7">
        <f t="shared" si="34"/>
        <v>0.12100000000000001</v>
      </c>
      <c r="R34" s="7">
        <f t="shared" si="35"/>
        <v>7.9723875041144421E-2</v>
      </c>
    </row>
    <row r="35" spans="1:18" x14ac:dyDescent="0.25">
      <c r="A35" s="166" t="s">
        <v>534</v>
      </c>
      <c r="B35" s="166" t="s">
        <v>535</v>
      </c>
      <c r="D35" s="7">
        <f>+D$47*(1+D$46)*0</f>
        <v>0</v>
      </c>
      <c r="E35" s="7">
        <f>+E$47*(1+E$46)*0</f>
        <v>0</v>
      </c>
      <c r="F35" s="7">
        <f t="shared" si="34"/>
        <v>0</v>
      </c>
      <c r="G35" s="7"/>
      <c r="H35" s="7">
        <f t="shared" si="34"/>
        <v>0.11990000000000001</v>
      </c>
      <c r="I35" s="7">
        <f t="shared" si="34"/>
        <v>0.12100000000000001</v>
      </c>
      <c r="J35" s="7">
        <f t="shared" si="34"/>
        <v>0.12100000000000001</v>
      </c>
      <c r="K35" s="7">
        <f t="shared" si="34"/>
        <v>0.12100000000000001</v>
      </c>
      <c r="L35" s="7">
        <f t="shared" si="34"/>
        <v>0.12100000000000001</v>
      </c>
      <c r="M35" s="7">
        <f t="shared" si="34"/>
        <v>0.12100000000000001</v>
      </c>
      <c r="N35" s="7">
        <f t="shared" si="34"/>
        <v>0.12100000000000001</v>
      </c>
      <c r="O35" s="7">
        <f t="shared" si="34"/>
        <v>0.12100000000000001</v>
      </c>
      <c r="P35" s="7">
        <f t="shared" si="34"/>
        <v>0.12100000000000001</v>
      </c>
      <c r="Q35" s="7">
        <f t="shared" si="34"/>
        <v>0.12100000000000001</v>
      </c>
      <c r="R35" s="7">
        <f t="shared" si="35"/>
        <v>0</v>
      </c>
    </row>
    <row r="36" spans="1:18" x14ac:dyDescent="0.25">
      <c r="A36" t="str">
        <f t="shared" ref="A36:B38" si="42">+A14</f>
        <v>G</v>
      </c>
      <c r="B36" t="str">
        <f t="shared" si="42"/>
        <v>2. Auxiliary materials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>
        <f t="shared" si="35"/>
        <v>0</v>
      </c>
    </row>
    <row r="37" spans="1:18" x14ac:dyDescent="0.25">
      <c r="A37" t="str">
        <f t="shared" si="42"/>
        <v>H</v>
      </c>
      <c r="B37" t="str">
        <f t="shared" si="42"/>
        <v>а) Electricity</v>
      </c>
      <c r="D37" s="7">
        <f t="shared" ref="D37" si="43">+D15/C15-1</f>
        <v>0.40191089158309645</v>
      </c>
      <c r="E37" s="7">
        <f t="shared" si="41"/>
        <v>0.14920725305621296</v>
      </c>
      <c r="F37" s="7">
        <f t="shared" si="41"/>
        <v>0.18557802483664187</v>
      </c>
      <c r="G37" s="7">
        <f t="shared" ca="1" si="41"/>
        <v>0.13153186098449732</v>
      </c>
      <c r="H37" s="7">
        <f t="shared" si="34"/>
        <v>0.11990000000000001</v>
      </c>
      <c r="I37" s="7">
        <f t="shared" si="34"/>
        <v>0.12100000000000001</v>
      </c>
      <c r="J37" s="7">
        <f t="shared" si="34"/>
        <v>0.12100000000000001</v>
      </c>
      <c r="K37" s="7">
        <f t="shared" si="34"/>
        <v>0.12100000000000001</v>
      </c>
      <c r="L37" s="7">
        <f t="shared" si="34"/>
        <v>0.12100000000000001</v>
      </c>
      <c r="M37" s="7">
        <f t="shared" si="34"/>
        <v>0.12100000000000001</v>
      </c>
      <c r="N37" s="7">
        <f t="shared" si="34"/>
        <v>0.12100000000000001</v>
      </c>
      <c r="O37" s="7">
        <f t="shared" si="34"/>
        <v>0.12100000000000001</v>
      </c>
      <c r="P37" s="7">
        <f t="shared" si="34"/>
        <v>0.12100000000000001</v>
      </c>
      <c r="Q37" s="7">
        <f t="shared" si="34"/>
        <v>0.12100000000000001</v>
      </c>
      <c r="R37" s="7">
        <f t="shared" ca="1" si="35"/>
        <v>0.21249211783927935</v>
      </c>
    </row>
    <row r="38" spans="1:18" x14ac:dyDescent="0.25">
      <c r="A38" t="str">
        <f t="shared" si="42"/>
        <v>I</v>
      </c>
      <c r="B38" t="str">
        <f t="shared" si="42"/>
        <v>б) Natural gas</v>
      </c>
      <c r="D38" s="7">
        <f t="shared" ref="D38" si="44">+D16/C16-1</f>
        <v>0.49863529411764707</v>
      </c>
      <c r="E38" s="7">
        <f t="shared" si="41"/>
        <v>0.11946555297368588</v>
      </c>
      <c r="F38" s="7">
        <f t="shared" si="41"/>
        <v>0.15938065384777222</v>
      </c>
      <c r="G38" s="7">
        <f t="shared" ca="1" si="41"/>
        <v>0.17087038045121883</v>
      </c>
      <c r="H38" s="7">
        <f t="shared" si="34"/>
        <v>0.11990000000000001</v>
      </c>
      <c r="I38" s="7">
        <f t="shared" si="34"/>
        <v>0.12100000000000001</v>
      </c>
      <c r="J38" s="7">
        <f t="shared" si="34"/>
        <v>0.12100000000000001</v>
      </c>
      <c r="K38" s="7">
        <f t="shared" si="34"/>
        <v>0.12100000000000001</v>
      </c>
      <c r="L38" s="7">
        <f t="shared" si="34"/>
        <v>0.12100000000000001</v>
      </c>
      <c r="M38" s="7">
        <f t="shared" si="34"/>
        <v>0.12100000000000001</v>
      </c>
      <c r="N38" s="7">
        <f t="shared" si="34"/>
        <v>0.12100000000000001</v>
      </c>
      <c r="O38" s="7">
        <f t="shared" si="34"/>
        <v>0.12100000000000001</v>
      </c>
      <c r="P38" s="7">
        <f t="shared" si="34"/>
        <v>0.12100000000000001</v>
      </c>
      <c r="Q38" s="7">
        <f t="shared" si="34"/>
        <v>0.12100000000000001</v>
      </c>
      <c r="R38" s="7">
        <f t="shared" ca="1" si="35"/>
        <v>0.22845821798641741</v>
      </c>
    </row>
    <row r="39" spans="1:18" x14ac:dyDescent="0.25">
      <c r="B39" s="166" t="s">
        <v>546</v>
      </c>
      <c r="D39" s="7"/>
      <c r="E39" s="7"/>
      <c r="F39" s="7"/>
      <c r="G39" s="7"/>
      <c r="H39" s="7">
        <f t="shared" si="34"/>
        <v>0.11990000000000001</v>
      </c>
      <c r="I39" s="7">
        <f t="shared" si="34"/>
        <v>0.12100000000000001</v>
      </c>
      <c r="J39" s="7">
        <f t="shared" si="34"/>
        <v>0.12100000000000001</v>
      </c>
      <c r="K39" s="7">
        <f t="shared" si="34"/>
        <v>0.12100000000000001</v>
      </c>
      <c r="L39" s="7">
        <f t="shared" si="34"/>
        <v>0.12100000000000001</v>
      </c>
      <c r="M39" s="7">
        <f t="shared" si="34"/>
        <v>0.12100000000000001</v>
      </c>
      <c r="N39" s="7">
        <f t="shared" si="34"/>
        <v>0.12100000000000001</v>
      </c>
      <c r="O39" s="7">
        <f t="shared" si="34"/>
        <v>0.12100000000000001</v>
      </c>
      <c r="P39" s="7">
        <f t="shared" si="34"/>
        <v>0.12100000000000001</v>
      </c>
      <c r="Q39" s="7">
        <f t="shared" si="34"/>
        <v>0.12100000000000001</v>
      </c>
      <c r="R39" s="7">
        <f t="shared" si="35"/>
        <v>0</v>
      </c>
    </row>
    <row r="40" spans="1:18" x14ac:dyDescent="0.25">
      <c r="B40" s="166" t="s">
        <v>547</v>
      </c>
      <c r="D40" s="7"/>
      <c r="E40" s="7"/>
      <c r="F40" s="7"/>
      <c r="G40" s="7"/>
      <c r="H40" s="7">
        <f t="shared" si="34"/>
        <v>0.11990000000000001</v>
      </c>
      <c r="I40" s="7">
        <f t="shared" si="34"/>
        <v>0.12100000000000001</v>
      </c>
      <c r="J40" s="7">
        <f t="shared" si="34"/>
        <v>0.12100000000000001</v>
      </c>
      <c r="K40" s="7">
        <f t="shared" si="34"/>
        <v>0.12100000000000001</v>
      </c>
      <c r="L40" s="7">
        <f t="shared" si="34"/>
        <v>0.12100000000000001</v>
      </c>
      <c r="M40" s="7">
        <f t="shared" si="34"/>
        <v>0.12100000000000001</v>
      </c>
      <c r="N40" s="7">
        <f t="shared" si="34"/>
        <v>0.12100000000000001</v>
      </c>
      <c r="O40" s="7">
        <f t="shared" si="34"/>
        <v>0.12100000000000001</v>
      </c>
      <c r="P40" s="7">
        <f t="shared" si="34"/>
        <v>0.12100000000000001</v>
      </c>
      <c r="Q40" s="7">
        <f t="shared" si="34"/>
        <v>0.12100000000000001</v>
      </c>
      <c r="R40" s="7">
        <f t="shared" si="35"/>
        <v>0</v>
      </c>
    </row>
    <row r="41" spans="1:18" x14ac:dyDescent="0.25">
      <c r="A41" t="str">
        <f t="shared" ref="A41:B44" si="45">+A19</f>
        <v>L</v>
      </c>
      <c r="B41" t="str">
        <f t="shared" si="45"/>
        <v>Compressed air</v>
      </c>
      <c r="D41" s="7">
        <f t="shared" ref="D41" si="46">+D19/C19-1</f>
        <v>0.26538461538461533</v>
      </c>
      <c r="E41" s="7">
        <f t="shared" si="41"/>
        <v>0.32432736688055841</v>
      </c>
      <c r="F41" s="7">
        <f t="shared" si="41"/>
        <v>0.33738524311458695</v>
      </c>
      <c r="G41" s="7">
        <f t="shared" ca="1" si="41"/>
        <v>0.22036483823809827</v>
      </c>
      <c r="H41" s="7">
        <f t="shared" si="34"/>
        <v>0.11990000000000001</v>
      </c>
      <c r="I41" s="7">
        <f t="shared" si="34"/>
        <v>0.12100000000000001</v>
      </c>
      <c r="J41" s="7">
        <f t="shared" si="34"/>
        <v>0.12100000000000001</v>
      </c>
      <c r="K41" s="7">
        <f t="shared" si="34"/>
        <v>0.12100000000000001</v>
      </c>
      <c r="L41" s="7">
        <f t="shared" si="34"/>
        <v>0.12100000000000001</v>
      </c>
      <c r="M41" s="7">
        <f t="shared" si="34"/>
        <v>0.12100000000000001</v>
      </c>
      <c r="N41" s="7">
        <f t="shared" si="34"/>
        <v>0.12100000000000001</v>
      </c>
      <c r="O41" s="7">
        <f t="shared" si="34"/>
        <v>0.12100000000000001</v>
      </c>
      <c r="P41" s="7">
        <f t="shared" si="34"/>
        <v>0.12100000000000001</v>
      </c>
      <c r="Q41" s="7">
        <f t="shared" si="34"/>
        <v>0.12100000000000001</v>
      </c>
      <c r="R41" s="7">
        <f t="shared" ca="1" si="35"/>
        <v>0.28600017931159183</v>
      </c>
    </row>
    <row r="42" spans="1:18" x14ac:dyDescent="0.25">
      <c r="A42" t="str">
        <f t="shared" si="45"/>
        <v>M</v>
      </c>
      <c r="B42" t="str">
        <f t="shared" si="45"/>
        <v>Reused water</v>
      </c>
      <c r="D42" s="7">
        <f t="shared" ref="D42" si="47">+D20/C20-1</f>
        <v>0.33794326241134742</v>
      </c>
      <c r="E42" s="7">
        <f t="shared" si="41"/>
        <v>0.47869364195894804</v>
      </c>
      <c r="F42" s="7">
        <f t="shared" si="41"/>
        <v>0.2662510953556918</v>
      </c>
      <c r="G42" s="7">
        <f t="shared" ca="1" si="41"/>
        <v>0.29573300199745201</v>
      </c>
      <c r="H42" s="7">
        <f t="shared" si="34"/>
        <v>0.11990000000000001</v>
      </c>
      <c r="I42" s="7">
        <f t="shared" si="34"/>
        <v>0.12100000000000001</v>
      </c>
      <c r="J42" s="7">
        <f t="shared" si="34"/>
        <v>0.12100000000000001</v>
      </c>
      <c r="K42" s="7">
        <f t="shared" si="34"/>
        <v>0.12100000000000001</v>
      </c>
      <c r="L42" s="7">
        <f t="shared" si="34"/>
        <v>0.12100000000000001</v>
      </c>
      <c r="M42" s="7">
        <f t="shared" si="34"/>
        <v>0.12100000000000001</v>
      </c>
      <c r="N42" s="7">
        <f t="shared" si="34"/>
        <v>0.12100000000000001</v>
      </c>
      <c r="O42" s="7">
        <f t="shared" si="34"/>
        <v>0.12100000000000001</v>
      </c>
      <c r="P42" s="7">
        <f t="shared" si="34"/>
        <v>0.12100000000000001</v>
      </c>
      <c r="Q42" s="7">
        <f t="shared" si="34"/>
        <v>0.12100000000000001</v>
      </c>
      <c r="R42" s="7">
        <f t="shared" ca="1" si="35"/>
        <v>0.34226360368388842</v>
      </c>
    </row>
    <row r="43" spans="1:18" x14ac:dyDescent="0.25">
      <c r="A43" t="str">
        <f t="shared" si="45"/>
        <v>N</v>
      </c>
      <c r="B43" t="str">
        <f t="shared" si="45"/>
        <v>Industrial water</v>
      </c>
      <c r="D43" s="7">
        <f t="shared" ref="D43" si="48">+D21/C21-1</f>
        <v>0.1762454899959911</v>
      </c>
      <c r="E43" s="7">
        <f t="shared" si="41"/>
        <v>0.41484120836560812</v>
      </c>
      <c r="F43" s="7">
        <f t="shared" si="41"/>
        <v>9.7779432375613151E-2</v>
      </c>
      <c r="G43" s="7">
        <f t="shared" ca="1" si="41"/>
        <v>0.50591473997087522</v>
      </c>
      <c r="H43" s="7">
        <f t="shared" si="34"/>
        <v>0.11990000000000001</v>
      </c>
      <c r="I43" s="7">
        <f t="shared" si="34"/>
        <v>0.12100000000000001</v>
      </c>
      <c r="J43" s="7">
        <f t="shared" si="34"/>
        <v>0.12100000000000001</v>
      </c>
      <c r="K43" s="7">
        <f t="shared" si="34"/>
        <v>0.12100000000000001</v>
      </c>
      <c r="L43" s="7">
        <f t="shared" si="34"/>
        <v>0.12100000000000001</v>
      </c>
      <c r="M43" s="7">
        <f t="shared" si="34"/>
        <v>0.12100000000000001</v>
      </c>
      <c r="N43" s="7">
        <f t="shared" si="34"/>
        <v>0.12100000000000001</v>
      </c>
      <c r="O43" s="7">
        <f t="shared" si="34"/>
        <v>0.12100000000000001</v>
      </c>
      <c r="P43" s="7">
        <f t="shared" si="34"/>
        <v>0.12100000000000001</v>
      </c>
      <c r="Q43" s="7">
        <f t="shared" si="34"/>
        <v>0.12100000000000001</v>
      </c>
      <c r="R43" s="7">
        <f t="shared" ca="1" si="35"/>
        <v>0.28789449373720033</v>
      </c>
    </row>
    <row r="44" spans="1:18" x14ac:dyDescent="0.25">
      <c r="A44" t="str">
        <f t="shared" si="45"/>
        <v>O</v>
      </c>
      <c r="B44" t="str">
        <f t="shared" si="45"/>
        <v>Process steam (vapour)</v>
      </c>
      <c r="D44" s="7">
        <f t="shared" ref="D44" si="49">+D22/C22-1</f>
        <v>6.3133198251039691E-2</v>
      </c>
      <c r="E44" s="7">
        <f t="shared" si="41"/>
        <v>0.49613802788644801</v>
      </c>
      <c r="F44" s="7">
        <f t="shared" si="41"/>
        <v>0.10942004693261809</v>
      </c>
      <c r="G44" s="7">
        <f t="shared" ca="1" si="41"/>
        <v>6.4664289599323244E-2</v>
      </c>
      <c r="H44" s="7">
        <f t="shared" si="34"/>
        <v>0.11990000000000001</v>
      </c>
      <c r="I44" s="7">
        <f t="shared" si="34"/>
        <v>0.12100000000000001</v>
      </c>
      <c r="J44" s="7">
        <f t="shared" si="34"/>
        <v>0.12100000000000001</v>
      </c>
      <c r="K44" s="7">
        <f t="shared" si="34"/>
        <v>0.12100000000000001</v>
      </c>
      <c r="L44" s="7">
        <f t="shared" si="34"/>
        <v>0.12100000000000001</v>
      </c>
      <c r="M44" s="7">
        <f t="shared" si="34"/>
        <v>0.12100000000000001</v>
      </c>
      <c r="N44" s="7">
        <f t="shared" si="34"/>
        <v>0.12100000000000001</v>
      </c>
      <c r="O44" s="7">
        <f t="shared" si="34"/>
        <v>0.12100000000000001</v>
      </c>
      <c r="P44" s="7">
        <f t="shared" si="34"/>
        <v>0.12100000000000001</v>
      </c>
      <c r="Q44" s="7">
        <f t="shared" si="34"/>
        <v>0.12100000000000001</v>
      </c>
      <c r="R44" s="7">
        <f t="shared" ca="1" si="35"/>
        <v>0.17075766439307327</v>
      </c>
    </row>
    <row r="46" spans="1:18" ht="24" customHeight="1" x14ac:dyDescent="0.25">
      <c r="B46" s="26" t="s">
        <v>265</v>
      </c>
      <c r="C46" s="91"/>
      <c r="D46" s="91"/>
      <c r="E46" s="279"/>
      <c r="F46" s="279"/>
      <c r="G46" s="279"/>
      <c r="H46" s="279">
        <v>0.1</v>
      </c>
      <c r="I46" s="279">
        <v>0.1</v>
      </c>
      <c r="J46" s="279">
        <v>0.1</v>
      </c>
      <c r="K46" s="279">
        <v>0.1</v>
      </c>
      <c r="L46" s="279">
        <v>0.1</v>
      </c>
      <c r="M46" s="279">
        <v>0.1</v>
      </c>
      <c r="N46" s="279">
        <v>0.1</v>
      </c>
      <c r="O46" s="279">
        <v>0.1</v>
      </c>
      <c r="P46" s="279">
        <v>0.1</v>
      </c>
      <c r="Q46" s="279">
        <v>0.1</v>
      </c>
    </row>
    <row r="47" spans="1:18" ht="24" customHeight="1" x14ac:dyDescent="0.25">
      <c r="B47" s="26" t="str">
        <f>+Assumptions!A7</f>
        <v>Inflation Rate</v>
      </c>
      <c r="C47" s="26"/>
      <c r="D47" s="26"/>
      <c r="E47" s="73"/>
      <c r="F47" s="73"/>
      <c r="G47" s="73"/>
      <c r="H47" s="73">
        <f>+Assumptions!H7</f>
        <v>0.109</v>
      </c>
      <c r="I47" s="73">
        <f>+Assumptions!I7</f>
        <v>0.11</v>
      </c>
      <c r="J47" s="73">
        <f>+Assumptions!J7</f>
        <v>0.11</v>
      </c>
      <c r="K47" s="73">
        <f>+Assumptions!K7</f>
        <v>0.11</v>
      </c>
      <c r="L47" s="73">
        <f>+Assumptions!L7</f>
        <v>0.11</v>
      </c>
      <c r="M47" s="73">
        <f>+Assumptions!M7</f>
        <v>0.11</v>
      </c>
      <c r="N47" s="73">
        <f>+Assumptions!N7</f>
        <v>0.11</v>
      </c>
      <c r="O47" s="73">
        <f>+Assumptions!O7</f>
        <v>0.11</v>
      </c>
      <c r="P47" s="73">
        <f>+Assumptions!P7</f>
        <v>0.11</v>
      </c>
      <c r="Q47" s="73">
        <f>+Assumptions!Q7</f>
        <v>0.11</v>
      </c>
    </row>
  </sheetData>
  <phoneticPr fontId="73" type="noConversion"/>
  <printOptions horizontalCentered="1" headings="1"/>
  <pageMargins left="0.5" right="0.5" top="0.5" bottom="0.5" header="0.3" footer="0.3"/>
  <pageSetup scale="6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4:Q61"/>
  <sheetViews>
    <sheetView workbookViewId="0">
      <selection activeCell="O22" sqref="O22"/>
    </sheetView>
  </sheetViews>
  <sheetFormatPr defaultRowHeight="15.75" x14ac:dyDescent="0.25"/>
  <cols>
    <col min="2" max="2" width="17.25" customWidth="1"/>
    <col min="3" max="3" width="5.5" customWidth="1"/>
    <col min="4" max="4" width="10.125" bestFit="1" customWidth="1"/>
    <col min="5" max="14" width="9.875" bestFit="1" customWidth="1"/>
  </cols>
  <sheetData>
    <row r="4" spans="2:17" x14ac:dyDescent="0.25">
      <c r="D4" s="5">
        <f>+bom!BM4</f>
        <v>2009</v>
      </c>
      <c r="E4" s="5">
        <f>+bom!BN4</f>
        <v>2010</v>
      </c>
      <c r="F4" s="5">
        <f>+bom!BO4</f>
        <v>2011</v>
      </c>
      <c r="G4" s="5">
        <f>+bom!BP4</f>
        <v>2012</v>
      </c>
      <c r="H4" s="5">
        <f>+bom!BQ4</f>
        <v>2013</v>
      </c>
      <c r="I4" s="5">
        <f>+bom!BR4</f>
        <v>2014</v>
      </c>
      <c r="J4" s="5">
        <f>+bom!BS4</f>
        <v>2015</v>
      </c>
      <c r="K4" s="5">
        <f>+bom!BT4</f>
        <v>2016</v>
      </c>
      <c r="L4" s="5">
        <f>+bom!BU4</f>
        <v>2017</v>
      </c>
      <c r="M4" s="5">
        <f>+bom!BV4</f>
        <v>2018</v>
      </c>
      <c r="N4" s="5">
        <f>+bom!BW4</f>
        <v>2019</v>
      </c>
      <c r="O4" s="5">
        <f>+bom!BX4</f>
        <v>2020</v>
      </c>
      <c r="P4" s="5">
        <f>+bom!BY4</f>
        <v>2021</v>
      </c>
      <c r="Q4" s="5">
        <f>+bom!BZ4</f>
        <v>2022</v>
      </c>
    </row>
    <row r="6" spans="2:17" x14ac:dyDescent="0.25">
      <c r="B6" t="s">
        <v>257</v>
      </c>
      <c r="D6" s="1"/>
      <c r="E6" s="1"/>
      <c r="F6" s="1"/>
      <c r="G6" s="1">
        <f ca="1">+bom!BP190/1000</f>
        <v>56683.648436249998</v>
      </c>
      <c r="H6" s="1">
        <f ca="1">+bom!BQ190/1000</f>
        <v>59014.185516934725</v>
      </c>
      <c r="I6" s="1">
        <f ca="1">+bom!BR190/1000</f>
        <v>60532.295097309543</v>
      </c>
      <c r="J6" s="1">
        <f ca="1">+bom!BS190/1000</f>
        <v>59283.513278776925</v>
      </c>
      <c r="K6" s="1">
        <f ca="1">+bom!BT190/1000</f>
        <v>66541.608851387617</v>
      </c>
      <c r="L6" s="1">
        <f ca="1">+bom!BU190/1000</f>
        <v>74698.806036954033</v>
      </c>
      <c r="M6" s="1">
        <f ca="1">+bom!BV190/1000</f>
        <v>83868.868232689725</v>
      </c>
      <c r="N6" s="1">
        <f ca="1">+bom!BW190/1000</f>
        <v>94180.340604466881</v>
      </c>
      <c r="O6" s="1">
        <f ca="1">+bom!BX190/1000</f>
        <v>105778.44495239362</v>
      </c>
      <c r="P6" s="1">
        <f ca="1">+bom!BY190/1000</f>
        <v>118827.94517269876</v>
      </c>
      <c r="Q6" s="1">
        <f ca="1">+bom!BZ190/1000</f>
        <v>133515.40499495578</v>
      </c>
    </row>
    <row r="7" spans="2:17" x14ac:dyDescent="0.25">
      <c r="B7" t="s">
        <v>258</v>
      </c>
      <c r="D7" s="1"/>
      <c r="E7" s="1"/>
      <c r="F7" s="1"/>
      <c r="G7" s="1">
        <f ca="1">+bom!BP202/1000</f>
        <v>105825.59983101</v>
      </c>
      <c r="H7" s="1">
        <f ca="1">+bom!BQ202/1000</f>
        <v>127534.88286195582</v>
      </c>
      <c r="I7" s="1">
        <f ca="1">+bom!BR202/1000</f>
        <v>170796.62189126766</v>
      </c>
      <c r="J7" s="1">
        <f ca="1">+bom!BS202/1000</f>
        <v>217216.26907105988</v>
      </c>
      <c r="K7" s="1">
        <f ca="1">+bom!BT202/1000</f>
        <v>243741.28617754776</v>
      </c>
      <c r="L7" s="1">
        <f ca="1">+bom!BU202/1000</f>
        <v>273535.09301970591</v>
      </c>
      <c r="M7" s="1">
        <f ca="1">+bom!BV202/1000</f>
        <v>307007.87180476089</v>
      </c>
      <c r="N7" s="1">
        <f ca="1">+bom!BW202/1000</f>
        <v>344621.4165909873</v>
      </c>
      <c r="O7" s="1">
        <f ca="1">+bom!BX202/1000</f>
        <v>386897.10349099932</v>
      </c>
      <c r="P7" s="1">
        <f ca="1">+bom!BY202/1000</f>
        <v>434425.41119568725</v>
      </c>
      <c r="Q7" s="1">
        <f ca="1">+bom!BZ202/1000</f>
        <v>487872.53622150194</v>
      </c>
    </row>
    <row r="8" spans="2:17" x14ac:dyDescent="0.25">
      <c r="B8" t="s">
        <v>204</v>
      </c>
      <c r="D8" s="3"/>
      <c r="E8" s="3"/>
      <c r="F8" s="3"/>
      <c r="G8" s="3">
        <f t="shared" ref="G8:N8" ca="1" si="0">+G6/G7</f>
        <v>0.53563266852979396</v>
      </c>
      <c r="H8" s="3">
        <f t="shared" ca="1" si="0"/>
        <v>0.46272975826395574</v>
      </c>
      <c r="I8" s="3">
        <f t="shared" ca="1" si="0"/>
        <v>0.3544115476466832</v>
      </c>
      <c r="J8" s="3">
        <f t="shared" ca="1" si="0"/>
        <v>0.27292390911742886</v>
      </c>
      <c r="K8" s="3">
        <f t="shared" ca="1" si="0"/>
        <v>0.27300097531657769</v>
      </c>
      <c r="L8" s="3">
        <f t="shared" ca="1" si="0"/>
        <v>0.27308673710679093</v>
      </c>
      <c r="M8" s="3">
        <f t="shared" ca="1" si="0"/>
        <v>0.273181491209533</v>
      </c>
      <c r="N8" s="3">
        <f t="shared" ca="1" si="0"/>
        <v>0.27328638346421891</v>
      </c>
      <c r="O8" s="3">
        <f t="shared" ref="O8:Q8" ca="1" si="1">+O6/O7</f>
        <v>0.27340200791876546</v>
      </c>
      <c r="P8" s="3">
        <f t="shared" ca="1" si="1"/>
        <v>0.27352899280372117</v>
      </c>
      <c r="Q8" s="3">
        <f t="shared" ca="1" si="1"/>
        <v>0.27366862260583907</v>
      </c>
    </row>
    <row r="10" spans="2:17" x14ac:dyDescent="0.25">
      <c r="B10" t="str">
        <f>+cogs!B7</f>
        <v>auxiliary material</v>
      </c>
      <c r="C10" s="280">
        <v>1</v>
      </c>
      <c r="D10" s="1"/>
      <c r="E10" s="1"/>
      <c r="F10" s="1"/>
      <c r="G10" s="1">
        <f>+-cogs!H7*$C10</f>
        <v>5624</v>
      </c>
      <c r="H10" s="1">
        <f>+-cogs!I7*$C10</f>
        <v>6237</v>
      </c>
      <c r="I10" s="1">
        <f>+-cogs!J7*$C10</f>
        <v>6923</v>
      </c>
      <c r="J10" s="1">
        <f>+-cogs!K7*$C10</f>
        <v>7685</v>
      </c>
      <c r="K10" s="1">
        <f>+-cogs!L7*$C10</f>
        <v>8530</v>
      </c>
      <c r="L10" s="1">
        <f>+-cogs!M7*$C10</f>
        <v>9468</v>
      </c>
      <c r="M10" s="1">
        <f>+-cogs!N7*$C10</f>
        <v>10509</v>
      </c>
      <c r="N10" s="1">
        <f>+-cogs!O7*$C10</f>
        <v>11665</v>
      </c>
      <c r="O10" s="1">
        <f>+-cogs!P7*$C10</f>
        <v>12948</v>
      </c>
      <c r="P10" s="1">
        <f>+-cogs!Q7*$C10</f>
        <v>14372</v>
      </c>
      <c r="Q10" s="1">
        <f>+-cogs!R7*$C10</f>
        <v>15953</v>
      </c>
    </row>
    <row r="11" spans="2:17" x14ac:dyDescent="0.25">
      <c r="B11" t="str">
        <f>+cogs!B8</f>
        <v>labour</v>
      </c>
      <c r="C11" s="280">
        <v>1</v>
      </c>
      <c r="D11" s="1"/>
      <c r="E11" s="1"/>
      <c r="F11" s="1"/>
      <c r="G11" s="1">
        <f>+-cogs!H8*$C11</f>
        <v>18548</v>
      </c>
      <c r="H11" s="1">
        <f>+-cogs!I8*$C11</f>
        <v>22629</v>
      </c>
      <c r="I11" s="1">
        <f>+-cogs!J8*$C11</f>
        <v>27607</v>
      </c>
      <c r="J11" s="1">
        <f>+-cogs!K8*$C11</f>
        <v>33681</v>
      </c>
      <c r="K11" s="1">
        <f>+-cogs!L8*$C11</f>
        <v>41091</v>
      </c>
      <c r="L11" s="1">
        <f>+-cogs!M8*$C11</f>
        <v>50131</v>
      </c>
      <c r="M11" s="1">
        <f>+-cogs!N8*$C11</f>
        <v>61160</v>
      </c>
      <c r="N11" s="1">
        <f>+-cogs!O8*$C11</f>
        <v>74615</v>
      </c>
      <c r="O11" s="1">
        <f>+-cogs!P8*$C11</f>
        <v>91030</v>
      </c>
      <c r="P11" s="1">
        <f>+-cogs!Q8*$C11</f>
        <v>111057</v>
      </c>
      <c r="Q11" s="1">
        <f>+-cogs!R8*$C11</f>
        <v>135490</v>
      </c>
    </row>
    <row r="12" spans="2:17" x14ac:dyDescent="0.25">
      <c r="B12" t="str">
        <f>+cogs!B9</f>
        <v>social security</v>
      </c>
      <c r="C12" s="280">
        <v>1</v>
      </c>
      <c r="D12" s="1"/>
      <c r="E12" s="1"/>
      <c r="F12" s="1"/>
      <c r="G12" s="1">
        <f>+-cogs!H9*$C12</f>
        <v>4637</v>
      </c>
      <c r="H12" s="1">
        <f>+-cogs!I9*$C12</f>
        <v>5657</v>
      </c>
      <c r="I12" s="1">
        <f>+-cogs!J9*$C12</f>
        <v>6902</v>
      </c>
      <c r="J12" s="1">
        <f>+-cogs!K9*$C12</f>
        <v>8420</v>
      </c>
      <c r="K12" s="1">
        <f>+-cogs!L9*$C12</f>
        <v>10273</v>
      </c>
      <c r="L12" s="1">
        <f>+-cogs!M9*$C12</f>
        <v>12533</v>
      </c>
      <c r="M12" s="1">
        <f>+-cogs!N9*$C12</f>
        <v>15290</v>
      </c>
      <c r="N12" s="1">
        <f>+-cogs!O9*$C12</f>
        <v>18654</v>
      </c>
      <c r="O12" s="1">
        <f>+-cogs!P9*$C12</f>
        <v>22758</v>
      </c>
      <c r="P12" s="1">
        <f>+-cogs!Q9*$C12</f>
        <v>27764</v>
      </c>
      <c r="Q12" s="1">
        <f>+-cogs!R9*$C12</f>
        <v>33873</v>
      </c>
    </row>
    <row r="13" spans="2:17" x14ac:dyDescent="0.25">
      <c r="B13" t="str">
        <f>+cogs!B10</f>
        <v>amortizations</v>
      </c>
      <c r="C13" s="280">
        <v>1</v>
      </c>
      <c r="D13" s="1"/>
      <c r="E13" s="1"/>
      <c r="F13" s="1"/>
      <c r="G13" s="1">
        <f>-Invest!G30*$C13</f>
        <v>2345</v>
      </c>
      <c r="H13" s="1">
        <f>-Invest!H30*$C13</f>
        <v>2565.1849999999999</v>
      </c>
      <c r="I13" s="1">
        <f>-Invest!I30*$C13</f>
        <v>7487.8414000000002</v>
      </c>
      <c r="J13" s="1">
        <f>-Invest!J30*$C13</f>
        <v>9218.4635699999999</v>
      </c>
      <c r="K13" s="1">
        <f>-Invest!K30*$C13</f>
        <v>9418.4635699999999</v>
      </c>
      <c r="L13" s="1">
        <f>-Invest!L30*$C13</f>
        <v>9618.4635699999999</v>
      </c>
      <c r="M13" s="1">
        <f>-Invest!M30*$C13</f>
        <v>9818.4635699999999</v>
      </c>
      <c r="N13" s="1">
        <f>-Invest!N30*$C13</f>
        <v>10018.46357</v>
      </c>
      <c r="O13" s="1">
        <f>-Invest!O30*$C13</f>
        <v>9408.4635699999999</v>
      </c>
      <c r="P13" s="1">
        <f>-Invest!P30*$C13</f>
        <v>7873.4635700000017</v>
      </c>
      <c r="Q13" s="1">
        <f>-Invest!Q30*$C13</f>
        <v>7873.4635700000044</v>
      </c>
    </row>
    <row r="14" spans="2:17" x14ac:dyDescent="0.25">
      <c r="B14" t="str">
        <f>+cogs!B11</f>
        <v>services</v>
      </c>
      <c r="C14" s="280">
        <v>1</v>
      </c>
      <c r="D14" s="1"/>
      <c r="E14" s="1"/>
      <c r="F14" s="1"/>
      <c r="G14" s="1">
        <f>+-cogs!H11*$C14</f>
        <v>7663</v>
      </c>
      <c r="H14" s="1">
        <f>+-cogs!I11*$C14</f>
        <v>8498</v>
      </c>
      <c r="I14" s="1">
        <f>+-cogs!J11*$C14</f>
        <v>9432</v>
      </c>
      <c r="J14" s="1">
        <f>+-cogs!K11*$C14</f>
        <v>10469</v>
      </c>
      <c r="K14" s="1">
        <f>+-cogs!L11*$C14</f>
        <v>11621</v>
      </c>
      <c r="L14" s="1">
        <f>+-cogs!M11*$C14</f>
        <v>12899</v>
      </c>
      <c r="M14" s="1">
        <f>+-cogs!N11*$C14</f>
        <v>14318</v>
      </c>
      <c r="N14" s="1">
        <f>+-cogs!O11*$C14</f>
        <v>15893</v>
      </c>
      <c r="O14" s="1">
        <f>+-cogs!P11*$C14</f>
        <v>17641</v>
      </c>
      <c r="P14" s="1">
        <f>+-cogs!Q11*$C14</f>
        <v>19582</v>
      </c>
      <c r="Q14" s="1">
        <f>+-cogs!R11*$C14</f>
        <v>21736</v>
      </c>
    </row>
    <row r="15" spans="2:17" x14ac:dyDescent="0.25">
      <c r="B15" t="str">
        <f>+cogs!B12</f>
        <v>others</v>
      </c>
      <c r="C15" s="280">
        <v>1</v>
      </c>
      <c r="D15" s="1"/>
      <c r="E15" s="1"/>
      <c r="F15" s="1"/>
      <c r="G15" s="1">
        <f>+-cogs!H12*$C15</f>
        <v>825</v>
      </c>
      <c r="H15" s="1">
        <f>+-cogs!I12*$C15</f>
        <v>915</v>
      </c>
      <c r="I15" s="1">
        <f>+-cogs!J12*$C15</f>
        <v>1016</v>
      </c>
      <c r="J15" s="1">
        <f>+-cogs!K12*$C15</f>
        <v>1128</v>
      </c>
      <c r="K15" s="1">
        <f>+-cogs!L12*$C15</f>
        <v>1252</v>
      </c>
      <c r="L15" s="1">
        <f>+-cogs!M12*$C15</f>
        <v>1390</v>
      </c>
      <c r="M15" s="1">
        <f>+-cogs!N12*$C15</f>
        <v>1543</v>
      </c>
      <c r="N15" s="1">
        <f>+-cogs!O12*$C15</f>
        <v>1713</v>
      </c>
      <c r="O15" s="1">
        <f>+-cogs!P12*$C15</f>
        <v>1901</v>
      </c>
      <c r="P15" s="1">
        <f>+-cogs!Q12*$C15</f>
        <v>2110</v>
      </c>
      <c r="Q15" s="1">
        <f>+-cogs!R12*$C15</f>
        <v>2342</v>
      </c>
    </row>
    <row r="17" spans="2:17" x14ac:dyDescent="0.25">
      <c r="B17" s="26" t="s">
        <v>259</v>
      </c>
      <c r="D17" s="1"/>
      <c r="E17" s="1"/>
      <c r="F17" s="1"/>
      <c r="G17" s="1">
        <f t="shared" ref="G17:N17" si="2">SUM(G10:G16)</f>
        <v>39642</v>
      </c>
      <c r="H17" s="1">
        <f t="shared" si="2"/>
        <v>46501.184999999998</v>
      </c>
      <c r="I17" s="1">
        <f t="shared" si="2"/>
        <v>59367.841399999998</v>
      </c>
      <c r="J17" s="1">
        <f t="shared" si="2"/>
        <v>70601.463569999993</v>
      </c>
      <c r="K17" s="1">
        <f t="shared" si="2"/>
        <v>82185.463569999993</v>
      </c>
      <c r="L17" s="1">
        <f t="shared" si="2"/>
        <v>96039.463569999993</v>
      </c>
      <c r="M17" s="1">
        <f t="shared" si="2"/>
        <v>112638.46356999999</v>
      </c>
      <c r="N17" s="1">
        <f t="shared" si="2"/>
        <v>132558.46356999999</v>
      </c>
      <c r="O17" s="1">
        <f t="shared" ref="O17:Q17" si="3">SUM(O10:O16)</f>
        <v>155686.46356999999</v>
      </c>
      <c r="P17" s="1">
        <f t="shared" si="3"/>
        <v>182758.46356999999</v>
      </c>
      <c r="Q17" s="1">
        <f t="shared" si="3"/>
        <v>217267.46356999999</v>
      </c>
    </row>
    <row r="18" spans="2:17" x14ac:dyDescent="0.25">
      <c r="B18" s="26" t="s">
        <v>260</v>
      </c>
      <c r="D18" s="1"/>
      <c r="E18" s="1"/>
      <c r="F18" s="1"/>
      <c r="G18" s="1">
        <f t="shared" ref="G18:N18" ca="1" si="4">+G17*G8</f>
        <v>21233.550245858092</v>
      </c>
      <c r="H18" s="1">
        <f t="shared" ca="1" si="4"/>
        <v>21517.482094037485</v>
      </c>
      <c r="I18" s="1">
        <f t="shared" ca="1" si="4"/>
        <v>21040.648551016831</v>
      </c>
      <c r="J18" s="1">
        <f t="shared" ca="1" si="4"/>
        <v>19268.827426936143</v>
      </c>
      <c r="K18" s="1">
        <f t="shared" ca="1" si="4"/>
        <v>22436.711711455064</v>
      </c>
      <c r="L18" s="1">
        <f t="shared" ca="1" si="4"/>
        <v>26227.103739817812</v>
      </c>
      <c r="M18" s="1">
        <f t="shared" ca="1" si="4"/>
        <v>30770.743445603257</v>
      </c>
      <c r="N18" s="1">
        <f t="shared" ca="1" si="4"/>
        <v>36226.423106618713</v>
      </c>
      <c r="O18" s="1">
        <f t="shared" ref="O18:Q18" ca="1" si="5">+O17*O8</f>
        <v>42564.991745809726</v>
      </c>
      <c r="P18" s="1">
        <f t="shared" ca="1" si="5"/>
        <v>49989.738466657669</v>
      </c>
      <c r="Q18" s="1">
        <f t="shared" ca="1" si="5"/>
        <v>59459.287492266216</v>
      </c>
    </row>
    <row r="20" spans="2:17" x14ac:dyDescent="0.25">
      <c r="B20" s="26" t="s">
        <v>261</v>
      </c>
      <c r="D20" s="1"/>
      <c r="E20" s="1"/>
      <c r="F20" s="1"/>
      <c r="G20" s="1">
        <f t="shared" ref="G20:N20" ca="1" si="6">+G18+G6</f>
        <v>77917.198682108094</v>
      </c>
      <c r="H20" s="1">
        <f t="shared" ca="1" si="6"/>
        <v>80531.667610972218</v>
      </c>
      <c r="I20" s="1">
        <f t="shared" ca="1" si="6"/>
        <v>81572.943648326371</v>
      </c>
      <c r="J20" s="1">
        <f t="shared" ca="1" si="6"/>
        <v>78552.340705713068</v>
      </c>
      <c r="K20" s="1">
        <f t="shared" ca="1" si="6"/>
        <v>88978.32056284268</v>
      </c>
      <c r="L20" s="1">
        <f t="shared" ca="1" si="6"/>
        <v>100925.90977677185</v>
      </c>
      <c r="M20" s="1">
        <f t="shared" ca="1" si="6"/>
        <v>114639.61167829297</v>
      </c>
      <c r="N20" s="1">
        <f t="shared" ca="1" si="6"/>
        <v>130406.7637110856</v>
      </c>
      <c r="O20" s="1">
        <f t="shared" ref="O20:Q20" ca="1" si="7">+O18+O6</f>
        <v>148343.43669820335</v>
      </c>
      <c r="P20" s="1">
        <f t="shared" ca="1" si="7"/>
        <v>168817.68363935643</v>
      </c>
      <c r="Q20" s="1">
        <f t="shared" ca="1" si="7"/>
        <v>192974.692487222</v>
      </c>
    </row>
    <row r="22" spans="2:17" x14ac:dyDescent="0.25">
      <c r="B22" s="26" t="s">
        <v>523</v>
      </c>
      <c r="D22" s="702">
        <v>147.62299999999999</v>
      </c>
      <c r="E22" s="702">
        <v>130.267</v>
      </c>
      <c r="F22" s="702">
        <v>135.5368</v>
      </c>
      <c r="G22" s="9">
        <f>+turnover!G140</f>
        <v>137.5</v>
      </c>
      <c r="H22" s="9">
        <f>+turnover!H140</f>
        <v>129.14586956521742</v>
      </c>
      <c r="I22" s="9">
        <f>+turnover!I140</f>
        <v>118.19586956521741</v>
      </c>
      <c r="J22" s="9">
        <f>+turnover!J140</f>
        <v>106.21686956521741</v>
      </c>
      <c r="K22" s="9">
        <f>+turnover!K140</f>
        <v>106.21686956521741</v>
      </c>
      <c r="L22" s="9">
        <f>+turnover!L140</f>
        <v>106.21686956521741</v>
      </c>
      <c r="M22" s="9">
        <f>+turnover!M140</f>
        <v>106.21686956521741</v>
      </c>
      <c r="N22" s="9">
        <f>+turnover!N140</f>
        <v>106.21686956521741</v>
      </c>
      <c r="O22" s="9">
        <f>+turnover!O140</f>
        <v>106.21686956521741</v>
      </c>
      <c r="P22" s="9">
        <f>+turnover!P140</f>
        <v>106.21686956521741</v>
      </c>
      <c r="Q22" s="9">
        <f>+turnover!Q140</f>
        <v>106.21686956521741</v>
      </c>
    </row>
    <row r="24" spans="2:17" x14ac:dyDescent="0.25">
      <c r="B24" s="26" t="s">
        <v>692</v>
      </c>
      <c r="D24" s="701">
        <v>357.47300000000001</v>
      </c>
      <c r="E24" s="701">
        <v>348.07299999999998</v>
      </c>
      <c r="F24" s="701">
        <v>455.69900000000001</v>
      </c>
      <c r="G24" s="4">
        <f t="shared" ref="G24:N24" ca="1" si="8">+G20/G22</f>
        <v>566.67053586987709</v>
      </c>
      <c r="H24" s="4">
        <f t="shared" ca="1" si="8"/>
        <v>623.57137616626983</v>
      </c>
      <c r="I24" s="4">
        <f t="shared" ca="1" si="8"/>
        <v>690.15054374058764</v>
      </c>
      <c r="J24" s="4">
        <f t="shared" ca="1" si="8"/>
        <v>739.54675022202332</v>
      </c>
      <c r="K24" s="4">
        <f t="shared" ca="1" si="8"/>
        <v>837.70422652316802</v>
      </c>
      <c r="L24" s="4">
        <f t="shared" ca="1" si="8"/>
        <v>950.18719898163727</v>
      </c>
      <c r="M24" s="4">
        <f t="shared" ca="1" si="8"/>
        <v>1079.2975931935557</v>
      </c>
      <c r="N24" s="4">
        <f t="shared" ca="1" si="8"/>
        <v>1227.7406050930124</v>
      </c>
      <c r="O24" s="4">
        <f t="shared" ref="O24:Q24" ca="1" si="9">+O20/O22</f>
        <v>1396.6090066994502</v>
      </c>
      <c r="P24" s="4">
        <f t="shared" ca="1" si="9"/>
        <v>1589.3679067212763</v>
      </c>
      <c r="Q24" s="4">
        <f t="shared" ca="1" si="9"/>
        <v>1816.7989065873862</v>
      </c>
    </row>
    <row r="25" spans="2:17" x14ac:dyDescent="0.25">
      <c r="B25" s="26" t="s">
        <v>262</v>
      </c>
      <c r="D25" s="696">
        <v>5.3766298433728058E-2</v>
      </c>
      <c r="E25" s="696">
        <v>0.15172679294285979</v>
      </c>
      <c r="F25" s="696">
        <v>-4.1852187518515507E-2</v>
      </c>
      <c r="G25" s="696">
        <v>-8.9999999999999993E-3</v>
      </c>
      <c r="H25" s="696">
        <v>-8.9999999999999993E-3</v>
      </c>
      <c r="I25" s="696">
        <v>-8.9999999999999993E-3</v>
      </c>
      <c r="J25" s="696">
        <v>-8.9999999999999993E-3</v>
      </c>
      <c r="K25" s="696">
        <v>-8.9999999999999993E-3</v>
      </c>
      <c r="L25" s="696">
        <v>-8.9999999999999993E-3</v>
      </c>
      <c r="M25" s="696">
        <v>-8.9999999999999993E-3</v>
      </c>
      <c r="N25" s="696">
        <v>-8.9999999999999993E-3</v>
      </c>
      <c r="O25" s="696">
        <v>-8.9999999999999993E-3</v>
      </c>
      <c r="P25" s="696">
        <v>-8.9999999999999993E-3</v>
      </c>
      <c r="Q25" s="696">
        <v>-8.9999999999999993E-3</v>
      </c>
    </row>
    <row r="26" spans="2:17" x14ac:dyDescent="0.25">
      <c r="B26" s="26" t="s">
        <v>263</v>
      </c>
      <c r="D26" s="4">
        <f>D24*(1+D25)</f>
        <v>376.6930000000001</v>
      </c>
      <c r="E26" s="4">
        <f t="shared" ref="E26:N26" si="10">E24*(1+E25)</f>
        <v>400.88500000000005</v>
      </c>
      <c r="F26" s="4">
        <f t="shared" si="10"/>
        <v>436.62700000000001</v>
      </c>
      <c r="G26" s="4">
        <f t="shared" ca="1" si="10"/>
        <v>561.5705010470482</v>
      </c>
      <c r="H26" s="4">
        <f t="shared" ca="1" si="10"/>
        <v>617.95923378077339</v>
      </c>
      <c r="I26" s="4">
        <f t="shared" ca="1" si="10"/>
        <v>683.93918884692232</v>
      </c>
      <c r="J26" s="4">
        <f t="shared" ca="1" si="10"/>
        <v>732.8908294700251</v>
      </c>
      <c r="K26" s="4">
        <f t="shared" ca="1" si="10"/>
        <v>830.16488848445954</v>
      </c>
      <c r="L26" s="4">
        <f t="shared" ca="1" si="10"/>
        <v>941.6355141908025</v>
      </c>
      <c r="M26" s="4">
        <f t="shared" ca="1" si="10"/>
        <v>1069.5839148548137</v>
      </c>
      <c r="N26" s="4">
        <f t="shared" ca="1" si="10"/>
        <v>1216.6909396471754</v>
      </c>
      <c r="O26" s="4">
        <f t="shared" ref="O26:Q26" ca="1" si="11">O24*(1+O25)</f>
        <v>1384.039525639155</v>
      </c>
      <c r="P26" s="4">
        <f t="shared" ca="1" si="11"/>
        <v>1575.0635955607847</v>
      </c>
      <c r="Q26" s="4">
        <f t="shared" ca="1" si="11"/>
        <v>1800.4477164280997</v>
      </c>
    </row>
    <row r="27" spans="2:17" x14ac:dyDescent="0.25">
      <c r="E27" s="432">
        <f>+E26/D26-1</f>
        <v>6.4222058811817417E-2</v>
      </c>
      <c r="F27" s="432">
        <f t="shared" ref="F27:N27" si="12">+F26/E26-1</f>
        <v>8.915773850356068E-2</v>
      </c>
      <c r="G27" s="432">
        <f t="shared" ca="1" si="12"/>
        <v>0.28615614940681211</v>
      </c>
      <c r="H27" s="432">
        <f t="shared" ca="1" si="12"/>
        <v>0.10041256196432746</v>
      </c>
      <c r="I27" s="432">
        <f t="shared" ca="1" si="12"/>
        <v>0.10677072444159963</v>
      </c>
      <c r="J27" s="432">
        <f t="shared" ca="1" si="12"/>
        <v>7.1573089276595114E-2</v>
      </c>
      <c r="K27" s="432">
        <f t="shared" ca="1" si="12"/>
        <v>0.13272653320655703</v>
      </c>
      <c r="L27" s="432">
        <f t="shared" ca="1" si="12"/>
        <v>0.13427528344380191</v>
      </c>
      <c r="M27" s="432">
        <f t="shared" ca="1" si="12"/>
        <v>0.13587890296805982</v>
      </c>
      <c r="N27" s="432">
        <f t="shared" ca="1" si="12"/>
        <v>0.13753668389107188</v>
      </c>
      <c r="O27" s="432">
        <f t="shared" ref="O27" ca="1" si="13">+O26/N26-1</f>
        <v>0.13754403894920819</v>
      </c>
      <c r="P27" s="432">
        <f t="shared" ref="P27" ca="1" si="14">+P26/O26-1</f>
        <v>0.13801923021917606</v>
      </c>
      <c r="Q27" s="432">
        <f t="shared" ref="Q27" ca="1" si="15">+Q26/P26-1</f>
        <v>0.14309525120290112</v>
      </c>
    </row>
    <row r="28" spans="2:17" x14ac:dyDescent="0.25">
      <c r="B28" s="166" t="s">
        <v>717</v>
      </c>
      <c r="E28" s="432"/>
      <c r="F28" s="432"/>
      <c r="G28" s="432"/>
      <c r="H28" s="73">
        <f>+Assumptions!H11</f>
        <v>0</v>
      </c>
      <c r="I28" s="73">
        <f>+Assumptions!I11</f>
        <v>0.1</v>
      </c>
      <c r="J28" s="73">
        <f>+Assumptions!J11</f>
        <v>0.1</v>
      </c>
      <c r="K28" s="73">
        <f>+Assumptions!K11</f>
        <v>0.1</v>
      </c>
      <c r="L28" s="73">
        <f>+Assumptions!L11</f>
        <v>0.1</v>
      </c>
      <c r="M28" s="73">
        <f>+Assumptions!M11</f>
        <v>0.1</v>
      </c>
      <c r="N28" s="73">
        <f>+Assumptions!N11</f>
        <v>0.1</v>
      </c>
      <c r="O28" s="73">
        <f>+Assumptions!O11</f>
        <v>0.1</v>
      </c>
      <c r="P28" s="73">
        <f>+Assumptions!P11</f>
        <v>0.1</v>
      </c>
      <c r="Q28" s="73">
        <f>+Assumptions!Q11</f>
        <v>0.1</v>
      </c>
    </row>
    <row r="29" spans="2:17" x14ac:dyDescent="0.25">
      <c r="B29" s="166" t="s">
        <v>718</v>
      </c>
      <c r="E29" s="432"/>
      <c r="F29" s="432"/>
      <c r="G29" s="432"/>
      <c r="H29" s="4">
        <f ca="1">+H26*(1+H28)</f>
        <v>617.95923378077339</v>
      </c>
      <c r="I29" s="4">
        <f t="shared" ref="I29:Q29" ca="1" si="16">+I26*(1+I28)</f>
        <v>752.33310773161463</v>
      </c>
      <c r="J29" s="4">
        <f t="shared" ca="1" si="16"/>
        <v>806.17991241702771</v>
      </c>
      <c r="K29" s="4">
        <f t="shared" ca="1" si="16"/>
        <v>913.18137733290553</v>
      </c>
      <c r="L29" s="4">
        <f t="shared" ca="1" si="16"/>
        <v>1035.7990656098827</v>
      </c>
      <c r="M29" s="4">
        <f t="shared" ca="1" si="16"/>
        <v>1176.5423063402952</v>
      </c>
      <c r="N29" s="4">
        <f t="shared" ca="1" si="16"/>
        <v>1338.360033611893</v>
      </c>
      <c r="O29" s="4">
        <f t="shared" ca="1" si="16"/>
        <v>1522.4434782030708</v>
      </c>
      <c r="P29" s="4">
        <f t="shared" ca="1" si="16"/>
        <v>1732.5699551168634</v>
      </c>
      <c r="Q29" s="4">
        <f t="shared" ca="1" si="16"/>
        <v>1980.49248807091</v>
      </c>
    </row>
    <row r="30" spans="2:17" x14ac:dyDescent="0.25">
      <c r="E30" s="432"/>
      <c r="F30" s="432"/>
      <c r="G30" s="432"/>
      <c r="H30" s="432"/>
      <c r="I30" s="432"/>
      <c r="J30" s="432"/>
      <c r="K30" s="432"/>
      <c r="L30" s="432"/>
      <c r="M30" s="432"/>
      <c r="N30" s="432"/>
      <c r="O30" s="432"/>
      <c r="P30" s="432"/>
      <c r="Q30" s="432"/>
    </row>
    <row r="32" spans="2:17" x14ac:dyDescent="0.25">
      <c r="B32" s="166" t="s">
        <v>309</v>
      </c>
      <c r="D32" s="61">
        <f>+turnover!D125/turnover!D97</f>
        <v>394.06234537357744</v>
      </c>
      <c r="E32" s="61">
        <f>+turnover!E125/turnover!E97</f>
        <v>461.09602498905213</v>
      </c>
      <c r="F32" s="61">
        <f>+turnover!F125/turnover!F97</f>
        <v>662.63240000000008</v>
      </c>
      <c r="G32" s="61">
        <f>+turnover!G125/turnover!G97</f>
        <v>793.8</v>
      </c>
      <c r="H32" s="61">
        <f>+turnover!H125/turnover!H97</f>
        <v>899.63164177505746</v>
      </c>
      <c r="I32" s="61">
        <f>+turnover!I125/turnover!I97</f>
        <v>1019.3243788742101</v>
      </c>
      <c r="J32" s="61">
        <f>+turnover!J125/turnover!J97</f>
        <v>1154.6970205396683</v>
      </c>
      <c r="K32" s="61">
        <f>+turnover!K125/turnover!K97</f>
        <v>1308.9068085936349</v>
      </c>
      <c r="L32" s="61">
        <f>+turnover!L125/turnover!L97</f>
        <v>1482.601157160097</v>
      </c>
      <c r="M32" s="61">
        <f>+turnover!M125/turnover!M97</f>
        <v>1679.7997165859408</v>
      </c>
      <c r="N32" s="61">
        <f>+turnover!N125/turnover!N97</f>
        <v>1903.0258180295348</v>
      </c>
      <c r="O32" s="61">
        <f>+turnover!O125/turnover!O97</f>
        <v>2156.5952995722873</v>
      </c>
      <c r="P32" s="61">
        <f>+turnover!P125/turnover!P97</f>
        <v>2443.5591677053567</v>
      </c>
      <c r="Q32" s="61">
        <f>+turnover!Q125/turnover!Q97</f>
        <v>2768.5405939959637</v>
      </c>
    </row>
    <row r="33" spans="2:17" x14ac:dyDescent="0.25">
      <c r="B33" s="166" t="s">
        <v>192</v>
      </c>
      <c r="D33" s="61">
        <f>+D24</f>
        <v>357.47300000000001</v>
      </c>
      <c r="E33" s="61">
        <f t="shared" ref="E33:N33" si="17">+E24</f>
        <v>348.07299999999998</v>
      </c>
      <c r="F33" s="61">
        <f t="shared" si="17"/>
        <v>455.69900000000001</v>
      </c>
      <c r="G33" s="61">
        <f t="shared" ca="1" si="17"/>
        <v>566.67053586987709</v>
      </c>
      <c r="H33" s="61">
        <f t="shared" ca="1" si="17"/>
        <v>623.57137616626983</v>
      </c>
      <c r="I33" s="61">
        <f t="shared" ca="1" si="17"/>
        <v>690.15054374058764</v>
      </c>
      <c r="J33" s="61">
        <f t="shared" ca="1" si="17"/>
        <v>739.54675022202332</v>
      </c>
      <c r="K33" s="61">
        <f t="shared" ca="1" si="17"/>
        <v>837.70422652316802</v>
      </c>
      <c r="L33" s="61">
        <f t="shared" ca="1" si="17"/>
        <v>950.18719898163727</v>
      </c>
      <c r="M33" s="61">
        <f t="shared" ca="1" si="17"/>
        <v>1079.2975931935557</v>
      </c>
      <c r="N33" s="61">
        <f t="shared" ca="1" si="17"/>
        <v>1227.7406050930124</v>
      </c>
      <c r="O33" s="61">
        <f t="shared" ref="O33:Q33" ca="1" si="18">+O24</f>
        <v>1396.6090066994502</v>
      </c>
      <c r="P33" s="61">
        <f t="shared" ca="1" si="18"/>
        <v>1589.3679067212763</v>
      </c>
      <c r="Q33" s="61">
        <f t="shared" ca="1" si="18"/>
        <v>1816.7989065873862</v>
      </c>
    </row>
    <row r="34" spans="2:17" x14ac:dyDescent="0.25">
      <c r="B34" s="166" t="s">
        <v>310</v>
      </c>
      <c r="D34" s="61">
        <f>+D32-D33</f>
        <v>36.58934537357743</v>
      </c>
      <c r="E34" s="61">
        <f t="shared" ref="E34:N34" si="19">+E32-E33</f>
        <v>113.02302498905215</v>
      </c>
      <c r="F34" s="61">
        <f t="shared" si="19"/>
        <v>206.93340000000006</v>
      </c>
      <c r="G34" s="61">
        <f t="shared" ca="1" si="19"/>
        <v>227.12946413012287</v>
      </c>
      <c r="H34" s="61">
        <f t="shared" ca="1" si="19"/>
        <v>276.06026560878763</v>
      </c>
      <c r="I34" s="61">
        <f t="shared" ca="1" si="19"/>
        <v>329.17383513362245</v>
      </c>
      <c r="J34" s="61">
        <f t="shared" ca="1" si="19"/>
        <v>415.15027031764498</v>
      </c>
      <c r="K34" s="61">
        <f t="shared" ca="1" si="19"/>
        <v>471.20258207046686</v>
      </c>
      <c r="L34" s="61">
        <f t="shared" ca="1" si="19"/>
        <v>532.41395817845978</v>
      </c>
      <c r="M34" s="61">
        <f t="shared" ca="1" si="19"/>
        <v>600.5021233923851</v>
      </c>
      <c r="N34" s="61">
        <f t="shared" ca="1" si="19"/>
        <v>675.28521293652238</v>
      </c>
      <c r="O34" s="61">
        <f t="shared" ref="O34:Q34" ca="1" si="20">+O32-O33</f>
        <v>759.98629287283711</v>
      </c>
      <c r="P34" s="61">
        <f t="shared" ca="1" si="20"/>
        <v>854.19126098408037</v>
      </c>
      <c r="Q34" s="61">
        <f t="shared" ca="1" si="20"/>
        <v>951.74168740857749</v>
      </c>
    </row>
    <row r="35" spans="2:17" x14ac:dyDescent="0.25">
      <c r="D35" s="3">
        <f>+D34/D32</f>
        <v>9.2851666248116499E-2</v>
      </c>
      <c r="E35" s="3">
        <f t="shared" ref="E35:N35" si="21">+E34/E32</f>
        <v>0.245118194180346</v>
      </c>
      <c r="F35" s="3">
        <f t="shared" si="21"/>
        <v>0.31228989104667992</v>
      </c>
      <c r="G35" s="3">
        <f t="shared" ca="1" si="21"/>
        <v>0.28612933248944683</v>
      </c>
      <c r="H35" s="3">
        <f t="shared" ca="1" si="21"/>
        <v>0.30685922191897885</v>
      </c>
      <c r="I35" s="3">
        <f t="shared" ca="1" si="21"/>
        <v>0.32293334875123614</v>
      </c>
      <c r="J35" s="3">
        <f t="shared" ca="1" si="21"/>
        <v>0.35953177581043472</v>
      </c>
      <c r="K35" s="3">
        <f t="shared" ca="1" si="21"/>
        <v>0.35999704408043698</v>
      </c>
      <c r="L35" s="3">
        <f t="shared" ca="1" si="21"/>
        <v>0.35910801472615311</v>
      </c>
      <c r="M35" s="3">
        <f t="shared" ca="1" si="21"/>
        <v>0.35748435808338974</v>
      </c>
      <c r="N35" s="3">
        <f t="shared" ca="1" si="21"/>
        <v>0.35484816156395521</v>
      </c>
      <c r="O35" s="3">
        <f t="shared" ref="O35:Q35" ca="1" si="22">+O34/O32</f>
        <v>0.35240097807111215</v>
      </c>
      <c r="P35" s="3">
        <f t="shared" ca="1" si="22"/>
        <v>0.34956847874742292</v>
      </c>
      <c r="Q35" s="3">
        <f t="shared" ca="1" si="22"/>
        <v>0.34377017605325566</v>
      </c>
    </row>
    <row r="39" spans="2:17" x14ac:dyDescent="0.25">
      <c r="B39" s="166" t="s">
        <v>650</v>
      </c>
      <c r="G39" s="1">
        <f ca="1">+bom!BP191/1000</f>
        <v>49141.951394759999</v>
      </c>
      <c r="H39" s="1">
        <f ca="1">+bom!BQ191/1000</f>
        <v>68520.697345021093</v>
      </c>
      <c r="I39" s="1">
        <f ca="1">+bom!BR191/1000</f>
        <v>72697.41746658292</v>
      </c>
      <c r="J39" s="1">
        <f ca="1">+bom!BS191/1000</f>
        <v>73635.426497309367</v>
      </c>
      <c r="K39" s="1">
        <f ca="1">+bom!BT191/1000</f>
        <v>82637.531761522827</v>
      </c>
      <c r="L39" s="1">
        <f ca="1">+bom!BU191/1000</f>
        <v>92751.572908766524</v>
      </c>
      <c r="M39" s="1">
        <f ca="1">+bom!BV191/1000</f>
        <v>104117.52914392031</v>
      </c>
      <c r="N39" s="1">
        <f ca="1">+bom!BW191/1000</f>
        <v>116893.39654185486</v>
      </c>
      <c r="O39" s="1">
        <f ca="1">+bom!BX191/1000</f>
        <v>131257.50588499982</v>
      </c>
      <c r="P39" s="1">
        <f ca="1">+bom!BY191/1000</f>
        <v>147411.88229276793</v>
      </c>
      <c r="Q39" s="1">
        <f ca="1">+bom!BZ191/1000</f>
        <v>165585.08214844626</v>
      </c>
    </row>
    <row r="40" spans="2:17" x14ac:dyDescent="0.25">
      <c r="B40" t="str">
        <f>+B7</f>
        <v>total RM+util cost</v>
      </c>
      <c r="G40" s="1">
        <f ca="1">+bom!BP202/1000</f>
        <v>105825.59983101</v>
      </c>
      <c r="H40" s="1">
        <f ca="1">+bom!BQ202/1000</f>
        <v>127534.88286195582</v>
      </c>
      <c r="I40" s="1">
        <f ca="1">+bom!BR202/1000</f>
        <v>170796.62189126766</v>
      </c>
      <c r="J40" s="1">
        <f ca="1">+bom!BS202/1000</f>
        <v>217216.26907105988</v>
      </c>
      <c r="K40" s="1">
        <f ca="1">+bom!BT202/1000</f>
        <v>243741.28617754776</v>
      </c>
      <c r="L40" s="1">
        <f ca="1">+bom!BU202/1000</f>
        <v>273535.09301970591</v>
      </c>
      <c r="M40" s="1">
        <f ca="1">+bom!BV202/1000</f>
        <v>307007.87180476089</v>
      </c>
      <c r="N40" s="1">
        <f ca="1">+bom!BW202/1000</f>
        <v>344621.4165909873</v>
      </c>
      <c r="O40" s="1">
        <f ca="1">+bom!BX202/1000</f>
        <v>386897.10349099932</v>
      </c>
      <c r="P40" s="1">
        <f ca="1">+bom!BY202/1000</f>
        <v>434425.41119568725</v>
      </c>
      <c r="Q40" s="1">
        <f ca="1">+bom!BZ202/1000</f>
        <v>487872.53622150194</v>
      </c>
    </row>
    <row r="41" spans="2:17" x14ac:dyDescent="0.25">
      <c r="B41" t="str">
        <f>+B8</f>
        <v>%</v>
      </c>
      <c r="G41" s="3">
        <f ca="1">+G39/G40</f>
        <v>0.46436733147020604</v>
      </c>
      <c r="H41" s="3">
        <f ca="1">+H39/H40</f>
        <v>0.53727024173604432</v>
      </c>
      <c r="I41" s="3">
        <f t="shared" ref="I41:N41" ca="1" si="23">+I39/I40</f>
        <v>0.4256373262046334</v>
      </c>
      <c r="J41" s="3">
        <f t="shared" ca="1" si="23"/>
        <v>0.33899590860397461</v>
      </c>
      <c r="K41" s="3">
        <f t="shared" ca="1" si="23"/>
        <v>0.33903789160006076</v>
      </c>
      <c r="L41" s="3">
        <f t="shared" ca="1" si="23"/>
        <v>0.33908472907381049</v>
      </c>
      <c r="M41" s="3">
        <f t="shared" ca="1" si="23"/>
        <v>0.3391363502566247</v>
      </c>
      <c r="N41" s="3">
        <f t="shared" ca="1" si="23"/>
        <v>0.33919365110320282</v>
      </c>
      <c r="O41" s="3">
        <f t="shared" ref="O41:Q41" ca="1" si="24">+O39/O40</f>
        <v>0.33925688432571416</v>
      </c>
      <c r="P41" s="3">
        <f t="shared" ca="1" si="24"/>
        <v>0.33932610407627867</v>
      </c>
      <c r="Q41" s="3">
        <f t="shared" ca="1" si="24"/>
        <v>0.33940234355243148</v>
      </c>
    </row>
    <row r="43" spans="2:17" x14ac:dyDescent="0.25">
      <c r="B43" t="str">
        <f>+B10</f>
        <v>auxiliary material</v>
      </c>
      <c r="G43" s="1">
        <f t="shared" ref="G43" si="25">+G10</f>
        <v>5624</v>
      </c>
      <c r="H43" s="1">
        <f t="shared" ref="H43:N48" si="26">+H10</f>
        <v>6237</v>
      </c>
      <c r="I43" s="1">
        <f t="shared" si="26"/>
        <v>6923</v>
      </c>
      <c r="J43" s="1">
        <f t="shared" si="26"/>
        <v>7685</v>
      </c>
      <c r="K43" s="1">
        <f t="shared" si="26"/>
        <v>8530</v>
      </c>
      <c r="L43" s="1">
        <f t="shared" si="26"/>
        <v>9468</v>
      </c>
      <c r="M43" s="1">
        <f t="shared" si="26"/>
        <v>10509</v>
      </c>
      <c r="N43" s="1">
        <f t="shared" si="26"/>
        <v>11665</v>
      </c>
      <c r="O43" s="1">
        <f t="shared" ref="O43:Q43" si="27">+O10</f>
        <v>12948</v>
      </c>
      <c r="P43" s="1">
        <f t="shared" si="27"/>
        <v>14372</v>
      </c>
      <c r="Q43" s="1">
        <f t="shared" si="27"/>
        <v>15953</v>
      </c>
    </row>
    <row r="44" spans="2:17" x14ac:dyDescent="0.25">
      <c r="B44" t="str">
        <f t="shared" ref="B44:B48" si="28">+B11</f>
        <v>labour</v>
      </c>
      <c r="G44" s="1">
        <f t="shared" ref="G44" si="29">+G11</f>
        <v>18548</v>
      </c>
      <c r="H44" s="1">
        <f t="shared" si="26"/>
        <v>22629</v>
      </c>
      <c r="I44" s="1">
        <f t="shared" si="26"/>
        <v>27607</v>
      </c>
      <c r="J44" s="1">
        <f t="shared" si="26"/>
        <v>33681</v>
      </c>
      <c r="K44" s="1">
        <f t="shared" si="26"/>
        <v>41091</v>
      </c>
      <c r="L44" s="1">
        <f t="shared" si="26"/>
        <v>50131</v>
      </c>
      <c r="M44" s="1">
        <f t="shared" si="26"/>
        <v>61160</v>
      </c>
      <c r="N44" s="1">
        <f t="shared" si="26"/>
        <v>74615</v>
      </c>
      <c r="O44" s="1">
        <f t="shared" ref="O44:Q44" si="30">+O11</f>
        <v>91030</v>
      </c>
      <c r="P44" s="1">
        <f t="shared" si="30"/>
        <v>111057</v>
      </c>
      <c r="Q44" s="1">
        <f t="shared" si="30"/>
        <v>135490</v>
      </c>
    </row>
    <row r="45" spans="2:17" x14ac:dyDescent="0.25">
      <c r="B45" t="str">
        <f t="shared" si="28"/>
        <v>social security</v>
      </c>
      <c r="G45" s="1">
        <f t="shared" ref="G45" si="31">+G12</f>
        <v>4637</v>
      </c>
      <c r="H45" s="1">
        <f t="shared" si="26"/>
        <v>5657</v>
      </c>
      <c r="I45" s="1">
        <f t="shared" si="26"/>
        <v>6902</v>
      </c>
      <c r="J45" s="1">
        <f t="shared" si="26"/>
        <v>8420</v>
      </c>
      <c r="K45" s="1">
        <f t="shared" si="26"/>
        <v>10273</v>
      </c>
      <c r="L45" s="1">
        <f t="shared" si="26"/>
        <v>12533</v>
      </c>
      <c r="M45" s="1">
        <f t="shared" si="26"/>
        <v>15290</v>
      </c>
      <c r="N45" s="1">
        <f t="shared" si="26"/>
        <v>18654</v>
      </c>
      <c r="O45" s="1">
        <f t="shared" ref="O45:Q45" si="32">+O12</f>
        <v>22758</v>
      </c>
      <c r="P45" s="1">
        <f t="shared" si="32"/>
        <v>27764</v>
      </c>
      <c r="Q45" s="1">
        <f t="shared" si="32"/>
        <v>33873</v>
      </c>
    </row>
    <row r="46" spans="2:17" x14ac:dyDescent="0.25">
      <c r="B46" t="str">
        <f t="shared" si="28"/>
        <v>amortizations</v>
      </c>
      <c r="G46" s="1">
        <f t="shared" ref="G46" si="33">+G13</f>
        <v>2345</v>
      </c>
      <c r="H46" s="1">
        <f t="shared" si="26"/>
        <v>2565.1849999999999</v>
      </c>
      <c r="I46" s="1">
        <f t="shared" si="26"/>
        <v>7487.8414000000002</v>
      </c>
      <c r="J46" s="1">
        <f t="shared" si="26"/>
        <v>9218.4635699999999</v>
      </c>
      <c r="K46" s="1">
        <f t="shared" si="26"/>
        <v>9418.4635699999999</v>
      </c>
      <c r="L46" s="1">
        <f t="shared" si="26"/>
        <v>9618.4635699999999</v>
      </c>
      <c r="M46" s="1">
        <f t="shared" si="26"/>
        <v>9818.4635699999999</v>
      </c>
      <c r="N46" s="1">
        <f t="shared" si="26"/>
        <v>10018.46357</v>
      </c>
      <c r="O46" s="1">
        <f t="shared" ref="O46:Q46" si="34">+O13</f>
        <v>9408.4635699999999</v>
      </c>
      <c r="P46" s="1">
        <f t="shared" si="34"/>
        <v>7873.4635700000017</v>
      </c>
      <c r="Q46" s="1">
        <f t="shared" si="34"/>
        <v>7873.4635700000044</v>
      </c>
    </row>
    <row r="47" spans="2:17" x14ac:dyDescent="0.25">
      <c r="B47" t="str">
        <f t="shared" si="28"/>
        <v>services</v>
      </c>
      <c r="G47" s="1">
        <f t="shared" ref="G47" si="35">+G14</f>
        <v>7663</v>
      </c>
      <c r="H47" s="1">
        <f t="shared" si="26"/>
        <v>8498</v>
      </c>
      <c r="I47" s="1">
        <f t="shared" si="26"/>
        <v>9432</v>
      </c>
      <c r="J47" s="1">
        <f t="shared" si="26"/>
        <v>10469</v>
      </c>
      <c r="K47" s="1">
        <f t="shared" si="26"/>
        <v>11621</v>
      </c>
      <c r="L47" s="1">
        <f t="shared" si="26"/>
        <v>12899</v>
      </c>
      <c r="M47" s="1">
        <f t="shared" si="26"/>
        <v>14318</v>
      </c>
      <c r="N47" s="1">
        <f t="shared" si="26"/>
        <v>15893</v>
      </c>
      <c r="O47" s="1">
        <f t="shared" ref="O47:Q47" si="36">+O14</f>
        <v>17641</v>
      </c>
      <c r="P47" s="1">
        <f t="shared" si="36"/>
        <v>19582</v>
      </c>
      <c r="Q47" s="1">
        <f t="shared" si="36"/>
        <v>21736</v>
      </c>
    </row>
    <row r="48" spans="2:17" x14ac:dyDescent="0.25">
      <c r="B48" t="str">
        <f t="shared" si="28"/>
        <v>others</v>
      </c>
      <c r="G48" s="1">
        <f t="shared" ref="G48" si="37">+G15</f>
        <v>825</v>
      </c>
      <c r="H48" s="1">
        <f t="shared" si="26"/>
        <v>915</v>
      </c>
      <c r="I48" s="1">
        <f t="shared" si="26"/>
        <v>1016</v>
      </c>
      <c r="J48" s="1">
        <f t="shared" si="26"/>
        <v>1128</v>
      </c>
      <c r="K48" s="1">
        <f t="shared" si="26"/>
        <v>1252</v>
      </c>
      <c r="L48" s="1">
        <f t="shared" si="26"/>
        <v>1390</v>
      </c>
      <c r="M48" s="1">
        <f t="shared" si="26"/>
        <v>1543</v>
      </c>
      <c r="N48" s="1">
        <f t="shared" si="26"/>
        <v>1713</v>
      </c>
      <c r="O48" s="1">
        <f t="shared" ref="O48:Q48" si="38">+O15</f>
        <v>1901</v>
      </c>
      <c r="P48" s="1">
        <f t="shared" si="38"/>
        <v>2110</v>
      </c>
      <c r="Q48" s="1">
        <f t="shared" si="38"/>
        <v>2342</v>
      </c>
    </row>
    <row r="50" spans="2:17" x14ac:dyDescent="0.25">
      <c r="B50" s="166" t="s">
        <v>259</v>
      </c>
      <c r="G50" s="1">
        <f>SUM(G43:G49)</f>
        <v>39642</v>
      </c>
      <c r="H50" s="1">
        <f>SUM(H43:H49)</f>
        <v>46501.184999999998</v>
      </c>
      <c r="I50" s="1">
        <f t="shared" ref="I50:N50" si="39">SUM(I43:I49)</f>
        <v>59367.841399999998</v>
      </c>
      <c r="J50" s="1">
        <f t="shared" si="39"/>
        <v>70601.463569999993</v>
      </c>
      <c r="K50" s="1">
        <f t="shared" si="39"/>
        <v>82185.463569999993</v>
      </c>
      <c r="L50" s="1">
        <f t="shared" si="39"/>
        <v>96039.463569999993</v>
      </c>
      <c r="M50" s="1">
        <f t="shared" si="39"/>
        <v>112638.46356999999</v>
      </c>
      <c r="N50" s="1">
        <f t="shared" si="39"/>
        <v>132558.46356999999</v>
      </c>
      <c r="O50" s="1">
        <f t="shared" ref="O50:Q50" si="40">SUM(O43:O49)</f>
        <v>155686.46356999999</v>
      </c>
      <c r="P50" s="1">
        <f t="shared" si="40"/>
        <v>182758.46356999999</v>
      </c>
      <c r="Q50" s="1">
        <f t="shared" si="40"/>
        <v>217267.46356999999</v>
      </c>
    </row>
    <row r="51" spans="2:17" x14ac:dyDescent="0.25">
      <c r="B51" s="166" t="s">
        <v>651</v>
      </c>
      <c r="G51" s="1">
        <f ca="1">+G50*G41</f>
        <v>18408.449754141908</v>
      </c>
      <c r="H51" s="1">
        <f ca="1">+H50*H41</f>
        <v>24983.702905962517</v>
      </c>
      <c r="I51" s="1">
        <f t="shared" ref="I51:N51" ca="1" si="41">+I50*I41</f>
        <v>25269.16927603674</v>
      </c>
      <c r="J51" s="1">
        <f t="shared" ca="1" si="41"/>
        <v>23933.607291682561</v>
      </c>
      <c r="K51" s="1">
        <f t="shared" ca="1" si="41"/>
        <v>27863.986288946398</v>
      </c>
      <c r="L51" s="1">
        <f t="shared" ca="1" si="41"/>
        <v>32565.515485027539</v>
      </c>
      <c r="M51" s="1">
        <f t="shared" ca="1" si="41"/>
        <v>38199.79743364358</v>
      </c>
      <c r="N51" s="1">
        <f t="shared" ca="1" si="41"/>
        <v>44962.989242939198</v>
      </c>
      <c r="O51" s="1">
        <f t="shared" ref="O51:Q51" ca="1" si="42">+O50*O41</f>
        <v>52817.704562446997</v>
      </c>
      <c r="P51" s="1">
        <f t="shared" ca="1" si="42"/>
        <v>62014.717430174598</v>
      </c>
      <c r="Q51" s="1">
        <f t="shared" ca="1" si="42"/>
        <v>73741.086313350534</v>
      </c>
    </row>
    <row r="53" spans="2:17" x14ac:dyDescent="0.25">
      <c r="B53" s="166" t="s">
        <v>652</v>
      </c>
      <c r="G53" s="1">
        <f ca="1">+G51+G39</f>
        <v>67550.401148901903</v>
      </c>
      <c r="H53" s="1">
        <f ca="1">+H51+H39</f>
        <v>93504.400250983614</v>
      </c>
      <c r="I53" s="1">
        <f t="shared" ref="I53:N53" ca="1" si="43">+I51+I39</f>
        <v>97966.586742619664</v>
      </c>
      <c r="J53" s="1">
        <f t="shared" ca="1" si="43"/>
        <v>97569.033788991932</v>
      </c>
      <c r="K53" s="1">
        <f t="shared" ca="1" si="43"/>
        <v>110501.51805046923</v>
      </c>
      <c r="L53" s="1">
        <f t="shared" ca="1" si="43"/>
        <v>125317.08839379407</v>
      </c>
      <c r="M53" s="1">
        <f t="shared" ca="1" si="43"/>
        <v>142317.32657756389</v>
      </c>
      <c r="N53" s="1">
        <f t="shared" ca="1" si="43"/>
        <v>161856.38578479405</v>
      </c>
      <c r="O53" s="1">
        <f t="shared" ref="O53:Q53" ca="1" si="44">+O51+O39</f>
        <v>184075.21044744682</v>
      </c>
      <c r="P53" s="1">
        <f t="shared" ca="1" si="44"/>
        <v>209426.59972294251</v>
      </c>
      <c r="Q53" s="1">
        <f t="shared" ca="1" si="44"/>
        <v>239326.1684617968</v>
      </c>
    </row>
    <row r="55" spans="2:17" x14ac:dyDescent="0.25">
      <c r="B55" s="166" t="s">
        <v>653</v>
      </c>
      <c r="D55" s="9">
        <v>49.996000000000002</v>
      </c>
      <c r="E55" s="9">
        <v>46.844000000000001</v>
      </c>
      <c r="F55" s="9">
        <v>43.94</v>
      </c>
      <c r="G55" s="9">
        <f>+turnover!G141</f>
        <v>200.9</v>
      </c>
      <c r="H55" s="9">
        <f>+turnover!H141</f>
        <v>252.47299999999996</v>
      </c>
      <c r="I55" s="9">
        <f>+turnover!I141</f>
        <v>238.99799999999999</v>
      </c>
      <c r="J55" s="9">
        <f>+turnover!J141</f>
        <v>224.25099999999998</v>
      </c>
      <c r="K55" s="9">
        <f>+turnover!K141</f>
        <v>224.25099999999998</v>
      </c>
      <c r="L55" s="9">
        <f>+turnover!L141</f>
        <v>224.25099999999998</v>
      </c>
      <c r="M55" s="9">
        <f>+turnover!M141</f>
        <v>224.25099999999998</v>
      </c>
      <c r="N55" s="9">
        <f>+turnover!N141</f>
        <v>224.251</v>
      </c>
      <c r="O55" s="9">
        <f>+turnover!O141</f>
        <v>224.25099999999998</v>
      </c>
      <c r="P55" s="9">
        <f>+turnover!P141</f>
        <v>224.25099999999998</v>
      </c>
      <c r="Q55" s="9">
        <f>+turnover!Q141</f>
        <v>224.25099999999998</v>
      </c>
    </row>
    <row r="56" spans="2:17" x14ac:dyDescent="0.25">
      <c r="B56" s="166" t="s">
        <v>522</v>
      </c>
      <c r="D56" s="9">
        <v>198.89500000000001</v>
      </c>
      <c r="E56" s="9">
        <v>228.80600000000001</v>
      </c>
      <c r="F56" s="9">
        <v>282.34899999999999</v>
      </c>
      <c r="G56" s="9">
        <f ca="1">+G53/G55</f>
        <v>336.23893055700302</v>
      </c>
      <c r="H56" s="9">
        <f ca="1">+H53/H55</f>
        <v>370.35405865571221</v>
      </c>
      <c r="I56" s="9">
        <f t="shared" ref="I56:N56" ca="1" si="45">+I53/I55</f>
        <v>409.90546675126848</v>
      </c>
      <c r="J56" s="9">
        <f t="shared" ca="1" si="45"/>
        <v>435.08851148486269</v>
      </c>
      <c r="K56" s="9">
        <f t="shared" ca="1" si="45"/>
        <v>492.75819528327293</v>
      </c>
      <c r="L56" s="9">
        <f t="shared" ca="1" si="45"/>
        <v>558.82510398524016</v>
      </c>
      <c r="M56" s="9">
        <f t="shared" ca="1" si="45"/>
        <v>634.63407778589124</v>
      </c>
      <c r="N56" s="9">
        <f t="shared" ca="1" si="45"/>
        <v>721.76438805086286</v>
      </c>
      <c r="O56" s="9">
        <f t="shared" ref="O56:Q56" ca="1" si="46">+O53/O55</f>
        <v>820.84454672419224</v>
      </c>
      <c r="P56" s="9">
        <f t="shared" ca="1" si="46"/>
        <v>933.89371607235876</v>
      </c>
      <c r="Q56" s="9">
        <f t="shared" ca="1" si="46"/>
        <v>1067.2245317157865</v>
      </c>
    </row>
    <row r="57" spans="2:17" x14ac:dyDescent="0.25">
      <c r="B57" s="166" t="s">
        <v>654</v>
      </c>
      <c r="D57" s="3">
        <f>+D58/D56-1</f>
        <v>0.60793383443525473</v>
      </c>
      <c r="E57" s="3">
        <f t="shared" ref="E57:F57" si="47">+E58/E56-1</f>
        <v>0.3472373976206915</v>
      </c>
      <c r="F57" s="3">
        <f t="shared" si="47"/>
        <v>0.17566911871478208</v>
      </c>
      <c r="G57" s="696">
        <v>0.14249999999999999</v>
      </c>
      <c r="H57" s="696">
        <v>0.14249999999999999</v>
      </c>
      <c r="I57" s="696">
        <v>0.14249999999999999</v>
      </c>
      <c r="J57" s="696">
        <v>0.14249999999999999</v>
      </c>
      <c r="K57" s="696">
        <v>0.14249999999999999</v>
      </c>
      <c r="L57" s="696">
        <v>0.14249999999999999</v>
      </c>
      <c r="M57" s="696">
        <v>0.14249999999999999</v>
      </c>
      <c r="N57" s="696">
        <v>0.14249999999999999</v>
      </c>
      <c r="O57" s="696">
        <v>0.14249999999999999</v>
      </c>
      <c r="P57" s="696">
        <v>0.14249999999999999</v>
      </c>
      <c r="Q57" s="696">
        <v>0.14249999999999999</v>
      </c>
    </row>
    <row r="58" spans="2:17" x14ac:dyDescent="0.25">
      <c r="B58" s="166" t="s">
        <v>263</v>
      </c>
      <c r="D58" s="9">
        <v>319.81</v>
      </c>
      <c r="E58" s="9">
        <v>308.25599999999997</v>
      </c>
      <c r="F58" s="9">
        <v>331.94900000000001</v>
      </c>
      <c r="G58" s="4">
        <f t="shared" ref="G58" ca="1" si="48">G56*(1+G57)</f>
        <v>384.15297816137598</v>
      </c>
      <c r="H58" s="4">
        <f t="shared" ref="H58:N58" ca="1" si="49">H56*(1+H57)</f>
        <v>423.1295120141512</v>
      </c>
      <c r="I58" s="4">
        <f t="shared" ca="1" si="49"/>
        <v>468.31699576332426</v>
      </c>
      <c r="J58" s="4">
        <f t="shared" ca="1" si="49"/>
        <v>497.08862437145564</v>
      </c>
      <c r="K58" s="4">
        <f t="shared" ca="1" si="49"/>
        <v>562.97623811113931</v>
      </c>
      <c r="L58" s="4">
        <f t="shared" ca="1" si="49"/>
        <v>638.45768130313695</v>
      </c>
      <c r="M58" s="4">
        <f t="shared" ca="1" si="49"/>
        <v>725.06943387038075</v>
      </c>
      <c r="N58" s="4">
        <f t="shared" ca="1" si="49"/>
        <v>824.61581334811092</v>
      </c>
      <c r="O58" s="4">
        <f t="shared" ref="O58:Q58" ca="1" si="50">O56*(1+O57)</f>
        <v>937.81489463238972</v>
      </c>
      <c r="P58" s="4">
        <f t="shared" ca="1" si="50"/>
        <v>1066.9735706126698</v>
      </c>
      <c r="Q58" s="4">
        <f t="shared" ca="1" si="50"/>
        <v>1219.304027485286</v>
      </c>
    </row>
    <row r="60" spans="2:17" x14ac:dyDescent="0.25">
      <c r="B60" s="166" t="s">
        <v>717</v>
      </c>
      <c r="E60" s="432"/>
      <c r="F60" s="432"/>
      <c r="G60" s="432"/>
      <c r="H60" s="73">
        <f>+H28</f>
        <v>0</v>
      </c>
      <c r="I60" s="73">
        <f t="shared" ref="I60:Q60" si="51">+I28</f>
        <v>0.1</v>
      </c>
      <c r="J60" s="73">
        <f t="shared" si="51"/>
        <v>0.1</v>
      </c>
      <c r="K60" s="73">
        <f t="shared" si="51"/>
        <v>0.1</v>
      </c>
      <c r="L60" s="73">
        <f t="shared" si="51"/>
        <v>0.1</v>
      </c>
      <c r="M60" s="73">
        <f t="shared" si="51"/>
        <v>0.1</v>
      </c>
      <c r="N60" s="73">
        <f t="shared" si="51"/>
        <v>0.1</v>
      </c>
      <c r="O60" s="73">
        <f t="shared" si="51"/>
        <v>0.1</v>
      </c>
      <c r="P60" s="73">
        <f t="shared" si="51"/>
        <v>0.1</v>
      </c>
      <c r="Q60" s="73">
        <f t="shared" si="51"/>
        <v>0.1</v>
      </c>
    </row>
    <row r="61" spans="2:17" x14ac:dyDescent="0.25">
      <c r="B61" s="166" t="s">
        <v>718</v>
      </c>
      <c r="E61" s="432"/>
      <c r="F61" s="432"/>
      <c r="G61" s="432"/>
      <c r="H61" s="4">
        <f ca="1">+H58*(1+H60)</f>
        <v>423.1295120141512</v>
      </c>
      <c r="I61" s="4">
        <f t="shared" ref="I61" ca="1" si="52">+I58*(1+I60)</f>
        <v>515.14869533965668</v>
      </c>
      <c r="J61" s="4">
        <f t="shared" ref="J61" ca="1" si="53">+J58*(1+J60)</f>
        <v>546.79748680860121</v>
      </c>
      <c r="K61" s="4">
        <f t="shared" ref="K61" ca="1" si="54">+K58*(1+K60)</f>
        <v>619.27386192225333</v>
      </c>
      <c r="L61" s="4">
        <f t="shared" ref="L61" ca="1" si="55">+L58*(1+L60)</f>
        <v>702.30344943345074</v>
      </c>
      <c r="M61" s="4">
        <f t="shared" ref="M61" ca="1" si="56">+M58*(1+M60)</f>
        <v>797.57637725741893</v>
      </c>
      <c r="N61" s="4">
        <f t="shared" ref="N61" ca="1" si="57">+N58*(1+N60)</f>
        <v>907.07739468292209</v>
      </c>
      <c r="O61" s="4">
        <f t="shared" ref="O61" ca="1" si="58">+O58*(1+O60)</f>
        <v>1031.5963840956288</v>
      </c>
      <c r="P61" s="4">
        <f t="shared" ref="P61" ca="1" si="59">+P58*(1+P60)</f>
        <v>1173.6709276739368</v>
      </c>
      <c r="Q61" s="4">
        <f t="shared" ref="Q61" ca="1" si="60">+Q58*(1+Q60)</f>
        <v>1341.2344302338147</v>
      </c>
    </row>
  </sheetData>
  <phoneticPr fontId="73" type="noConversion"/>
  <printOptions headings="1"/>
  <pageMargins left="0.6" right="0.6" top="0.75" bottom="0.75" header="0.3" footer="0.3"/>
  <pageSetup scale="8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3:CJ257"/>
  <sheetViews>
    <sheetView workbookViewId="0"/>
  </sheetViews>
  <sheetFormatPr defaultRowHeight="15.75" x14ac:dyDescent="0.25"/>
  <cols>
    <col min="1" max="1" width="15.375" customWidth="1"/>
    <col min="2" max="2" width="10" customWidth="1"/>
    <col min="3" max="3" width="25.25" customWidth="1"/>
    <col min="19" max="33" width="9" style="62"/>
    <col min="49" max="63" width="9" style="62"/>
    <col min="64" max="64" width="6.75" bestFit="1" customWidth="1"/>
    <col min="65" max="67" width="10.5" bestFit="1" customWidth="1"/>
    <col min="68" max="69" width="10.75" customWidth="1"/>
    <col min="70" max="70" width="10.75" bestFit="1" customWidth="1"/>
    <col min="71" max="74" width="11.125" bestFit="1" customWidth="1"/>
    <col min="75" max="78" width="11.625" bestFit="1" customWidth="1"/>
    <col min="79" max="79" width="1.875" style="64" bestFit="1" customWidth="1"/>
  </cols>
  <sheetData>
    <row r="3" spans="1:79" x14ac:dyDescent="0.25">
      <c r="D3" s="776" t="s">
        <v>278</v>
      </c>
      <c r="E3" s="776"/>
      <c r="F3" s="776"/>
      <c r="G3" s="776"/>
      <c r="H3" s="776"/>
      <c r="I3" s="776"/>
      <c r="J3" s="776"/>
      <c r="K3" s="776"/>
      <c r="L3" s="776"/>
      <c r="M3" s="776"/>
      <c r="N3" s="776"/>
      <c r="O3" s="776"/>
      <c r="P3" s="692"/>
      <c r="Q3" s="692"/>
      <c r="R3" s="692"/>
      <c r="S3" s="775" t="s">
        <v>189</v>
      </c>
      <c r="T3" s="775"/>
      <c r="U3" s="775"/>
      <c r="V3" s="775"/>
      <c r="W3" s="775"/>
      <c r="X3" s="775"/>
      <c r="Y3" s="775"/>
      <c r="Z3" s="775"/>
      <c r="AA3" s="775"/>
      <c r="AB3" s="775"/>
      <c r="AC3" s="775"/>
      <c r="AD3" s="775"/>
      <c r="AE3" s="691"/>
      <c r="AF3" s="691"/>
      <c r="AG3" s="691"/>
      <c r="AH3" s="776" t="s">
        <v>675</v>
      </c>
      <c r="AI3" s="776"/>
      <c r="AJ3" s="776"/>
      <c r="AK3" s="776"/>
      <c r="AL3" s="776"/>
      <c r="AM3" s="776"/>
      <c r="AN3" s="776"/>
      <c r="AO3" s="776"/>
      <c r="AP3" s="776"/>
      <c r="AQ3" s="776"/>
      <c r="AR3" s="776"/>
      <c r="AS3" s="776"/>
      <c r="AT3" s="692"/>
      <c r="AU3" s="692"/>
      <c r="AV3" s="692"/>
      <c r="AW3" s="775" t="s">
        <v>154</v>
      </c>
      <c r="AX3" s="775"/>
      <c r="AY3" s="775"/>
      <c r="AZ3" s="775"/>
      <c r="BA3" s="775"/>
      <c r="BB3" s="775"/>
      <c r="BC3" s="775"/>
      <c r="BD3" s="775"/>
      <c r="BE3" s="775"/>
      <c r="BF3" s="775"/>
      <c r="BG3" s="775"/>
      <c r="BH3" s="775"/>
      <c r="BI3" s="691"/>
      <c r="BJ3" s="691"/>
      <c r="BK3" s="691"/>
      <c r="BL3" s="776" t="s">
        <v>676</v>
      </c>
      <c r="BM3" s="776"/>
      <c r="BN3" s="776"/>
      <c r="BO3" s="776"/>
      <c r="BP3" s="776"/>
      <c r="BQ3" s="776"/>
      <c r="BR3" s="776"/>
      <c r="BS3" s="776"/>
      <c r="BT3" s="776"/>
      <c r="BU3" s="776"/>
      <c r="BV3" s="776"/>
      <c r="BW3" s="776"/>
      <c r="BX3" s="692"/>
      <c r="BY3" s="692"/>
      <c r="BZ3" s="692"/>
    </row>
    <row r="4" spans="1:79" s="5" customFormat="1" x14ac:dyDescent="0.25">
      <c r="A4" s="5" t="s">
        <v>150</v>
      </c>
      <c r="C4" s="5" t="s">
        <v>151</v>
      </c>
      <c r="D4" s="5">
        <f>+PL!C2</f>
        <v>2008</v>
      </c>
      <c r="E4" s="5">
        <f>+PL!D2</f>
        <v>2009</v>
      </c>
      <c r="F4" s="5">
        <f>+PL!E2</f>
        <v>2010</v>
      </c>
      <c r="G4" s="5">
        <f>+PL!F2</f>
        <v>2011</v>
      </c>
      <c r="H4" s="5">
        <f>+PL!G2</f>
        <v>2012</v>
      </c>
      <c r="I4" s="5">
        <f>+PL!H2</f>
        <v>2013</v>
      </c>
      <c r="J4" s="5">
        <f>+PL!I2</f>
        <v>2014</v>
      </c>
      <c r="K4" s="5">
        <f>+PL!J2</f>
        <v>2015</v>
      </c>
      <c r="L4" s="5">
        <f>+PL!K2</f>
        <v>2016</v>
      </c>
      <c r="M4" s="5">
        <f>+PL!L2</f>
        <v>2017</v>
      </c>
      <c r="N4" s="5">
        <f>+PL!M2</f>
        <v>2018</v>
      </c>
      <c r="O4" s="5">
        <f>+PL!N2</f>
        <v>2019</v>
      </c>
      <c r="P4" s="5">
        <f>+PL!O2</f>
        <v>2020</v>
      </c>
      <c r="Q4" s="5">
        <f>+PL!P2</f>
        <v>2021</v>
      </c>
      <c r="R4" s="5">
        <f>+PL!Q2</f>
        <v>2022</v>
      </c>
      <c r="S4" s="89">
        <f t="shared" ref="S4:AX4" si="0">+D4</f>
        <v>2008</v>
      </c>
      <c r="T4" s="89">
        <f t="shared" si="0"/>
        <v>2009</v>
      </c>
      <c r="U4" s="89">
        <f t="shared" si="0"/>
        <v>2010</v>
      </c>
      <c r="V4" s="89">
        <f t="shared" si="0"/>
        <v>2011</v>
      </c>
      <c r="W4" s="89">
        <f t="shared" si="0"/>
        <v>2012</v>
      </c>
      <c r="X4" s="89">
        <f t="shared" si="0"/>
        <v>2013</v>
      </c>
      <c r="Y4" s="89">
        <f t="shared" si="0"/>
        <v>2014</v>
      </c>
      <c r="Z4" s="89">
        <f t="shared" si="0"/>
        <v>2015</v>
      </c>
      <c r="AA4" s="89">
        <f t="shared" si="0"/>
        <v>2016</v>
      </c>
      <c r="AB4" s="89">
        <f t="shared" si="0"/>
        <v>2017</v>
      </c>
      <c r="AC4" s="89">
        <f t="shared" si="0"/>
        <v>2018</v>
      </c>
      <c r="AD4" s="89">
        <f t="shared" si="0"/>
        <v>2019</v>
      </c>
      <c r="AE4" s="89">
        <f t="shared" si="0"/>
        <v>2020</v>
      </c>
      <c r="AF4" s="89">
        <f t="shared" si="0"/>
        <v>2021</v>
      </c>
      <c r="AG4" s="89">
        <f t="shared" si="0"/>
        <v>2022</v>
      </c>
      <c r="AH4" s="5">
        <f t="shared" si="0"/>
        <v>2008</v>
      </c>
      <c r="AI4" s="5">
        <f t="shared" si="0"/>
        <v>2009</v>
      </c>
      <c r="AJ4" s="5">
        <f t="shared" si="0"/>
        <v>2010</v>
      </c>
      <c r="AK4" s="5">
        <f t="shared" si="0"/>
        <v>2011</v>
      </c>
      <c r="AL4" s="5">
        <f t="shared" si="0"/>
        <v>2012</v>
      </c>
      <c r="AM4" s="5">
        <f t="shared" si="0"/>
        <v>2013</v>
      </c>
      <c r="AN4" s="5">
        <f t="shared" si="0"/>
        <v>2014</v>
      </c>
      <c r="AO4" s="5">
        <f t="shared" si="0"/>
        <v>2015</v>
      </c>
      <c r="AP4" s="5">
        <f t="shared" si="0"/>
        <v>2016</v>
      </c>
      <c r="AQ4" s="5">
        <f t="shared" si="0"/>
        <v>2017</v>
      </c>
      <c r="AR4" s="5">
        <f t="shared" si="0"/>
        <v>2018</v>
      </c>
      <c r="AS4" s="5">
        <f t="shared" si="0"/>
        <v>2019</v>
      </c>
      <c r="AT4" s="5">
        <f t="shared" si="0"/>
        <v>2020</v>
      </c>
      <c r="AU4" s="5">
        <f t="shared" si="0"/>
        <v>2021</v>
      </c>
      <c r="AV4" s="5">
        <f t="shared" si="0"/>
        <v>2022</v>
      </c>
      <c r="AW4" s="89">
        <f t="shared" si="0"/>
        <v>2008</v>
      </c>
      <c r="AX4" s="89">
        <f t="shared" si="0"/>
        <v>2009</v>
      </c>
      <c r="AY4" s="89">
        <f t="shared" ref="AY4:BZ4" si="1">+AJ4</f>
        <v>2010</v>
      </c>
      <c r="AZ4" s="89">
        <f t="shared" si="1"/>
        <v>2011</v>
      </c>
      <c r="BA4" s="89">
        <f t="shared" si="1"/>
        <v>2012</v>
      </c>
      <c r="BB4" s="89">
        <f t="shared" si="1"/>
        <v>2013</v>
      </c>
      <c r="BC4" s="89">
        <f t="shared" si="1"/>
        <v>2014</v>
      </c>
      <c r="BD4" s="89">
        <f t="shared" si="1"/>
        <v>2015</v>
      </c>
      <c r="BE4" s="89">
        <f t="shared" si="1"/>
        <v>2016</v>
      </c>
      <c r="BF4" s="89">
        <f t="shared" si="1"/>
        <v>2017</v>
      </c>
      <c r="BG4" s="89">
        <f t="shared" si="1"/>
        <v>2018</v>
      </c>
      <c r="BH4" s="89">
        <f t="shared" si="1"/>
        <v>2019</v>
      </c>
      <c r="BI4" s="89">
        <f t="shared" si="1"/>
        <v>2020</v>
      </c>
      <c r="BJ4" s="89">
        <f t="shared" si="1"/>
        <v>2021</v>
      </c>
      <c r="BK4" s="89">
        <f t="shared" si="1"/>
        <v>2022</v>
      </c>
      <c r="BL4" s="5">
        <f t="shared" si="1"/>
        <v>2008</v>
      </c>
      <c r="BM4" s="5">
        <f t="shared" si="1"/>
        <v>2009</v>
      </c>
      <c r="BN4" s="5">
        <f t="shared" si="1"/>
        <v>2010</v>
      </c>
      <c r="BO4" s="5">
        <f t="shared" si="1"/>
        <v>2011</v>
      </c>
      <c r="BP4" s="5">
        <f t="shared" si="1"/>
        <v>2012</v>
      </c>
      <c r="BQ4" s="5">
        <f t="shared" si="1"/>
        <v>2013</v>
      </c>
      <c r="BR4" s="5">
        <f t="shared" si="1"/>
        <v>2014</v>
      </c>
      <c r="BS4" s="5">
        <f t="shared" si="1"/>
        <v>2015</v>
      </c>
      <c r="BT4" s="5">
        <f t="shared" si="1"/>
        <v>2016</v>
      </c>
      <c r="BU4" s="5">
        <f t="shared" si="1"/>
        <v>2017</v>
      </c>
      <c r="BV4" s="5">
        <f t="shared" si="1"/>
        <v>2018</v>
      </c>
      <c r="BW4" s="5">
        <f t="shared" si="1"/>
        <v>2019</v>
      </c>
      <c r="BX4" s="5">
        <f t="shared" si="1"/>
        <v>2020</v>
      </c>
      <c r="BY4" s="5">
        <f t="shared" si="1"/>
        <v>2021</v>
      </c>
      <c r="BZ4" s="5">
        <f t="shared" si="1"/>
        <v>2022</v>
      </c>
      <c r="CA4" s="90"/>
    </row>
    <row r="6" spans="1:79" x14ac:dyDescent="0.25">
      <c r="A6" s="26" t="s">
        <v>111</v>
      </c>
      <c r="B6" s="73">
        <v>0.46</v>
      </c>
      <c r="C6" t="s">
        <v>123</v>
      </c>
      <c r="D6" s="61">
        <v>0.32100000000000001</v>
      </c>
      <c r="E6" s="61">
        <v>0.313</v>
      </c>
      <c r="F6" s="402">
        <v>0.32100000000000001</v>
      </c>
      <c r="G6" s="61">
        <v>0.32400000000000001</v>
      </c>
      <c r="H6" s="61">
        <v>0.32500000000000001</v>
      </c>
      <c r="I6" s="61">
        <v>0.32500000000000001</v>
      </c>
      <c r="J6" s="61">
        <v>0.32500000000000001</v>
      </c>
      <c r="K6" s="61">
        <v>0.32400000000000001</v>
      </c>
      <c r="L6" s="61">
        <v>0.32400000000000001</v>
      </c>
      <c r="M6" s="61">
        <v>0.32400000000000001</v>
      </c>
      <c r="N6" s="61">
        <v>0.32400000000000001</v>
      </c>
      <c r="O6" s="61">
        <v>0.32400000000000001</v>
      </c>
      <c r="P6" s="61">
        <v>0.32400000000000001</v>
      </c>
      <c r="Q6" s="61">
        <v>0.32400000000000001</v>
      </c>
      <c r="R6" s="61">
        <v>0.32400000000000001</v>
      </c>
      <c r="S6" s="74">
        <f>VLOOKUP($A6,turnover!$A$184:$Q$192,+S$4-$S$4+3,0)</f>
        <v>0</v>
      </c>
      <c r="T6" s="74">
        <f>VLOOKUP($A6,turnover!$A$184:$Q$192,+T$4-$S$4+3,0)</f>
        <v>41.239000000000004</v>
      </c>
      <c r="U6" s="74">
        <f>VLOOKUP($A6,turnover!$A$184:$Q$192,+U$4-$S$4+3,0)</f>
        <v>89.688040000000001</v>
      </c>
      <c r="V6" s="74">
        <f>VLOOKUP($A6,turnover!$A$184:$Q$192,+V$4-$S$4+3,0)</f>
        <v>56.612200000000001</v>
      </c>
      <c r="W6" s="74">
        <f>VLOOKUP($A6,turnover!$A$184:$Q$192,+W$4-$S$4+3,0)</f>
        <v>63.25</v>
      </c>
      <c r="X6" s="74">
        <f>VLOOKUP($A6,turnover!$A$184:$Q$192,+X$4-$S$4+3,0)</f>
        <v>59.407100000000021</v>
      </c>
      <c r="Y6" s="74">
        <f>VLOOKUP($A6,turnover!$A$184:$Q$192,+Y$4-$S$4+3,0)</f>
        <v>54.370100000000008</v>
      </c>
      <c r="Z6" s="74">
        <f>VLOOKUP($A6,turnover!$A$184:$Q$192,+Z$4-$S$4+3,0)</f>
        <v>48.859760000000009</v>
      </c>
      <c r="AA6" s="74">
        <f>VLOOKUP($A6,turnover!$A$184:$Q$192,+AA$4-$S$4+3,0)</f>
        <v>48.859760000000009</v>
      </c>
      <c r="AB6" s="74">
        <f>VLOOKUP($A6,turnover!$A$184:$Q$192,+AB$4-$S$4+3,0)</f>
        <v>48.859760000000009</v>
      </c>
      <c r="AC6" s="74">
        <f>VLOOKUP($A6,turnover!$A$184:$Q$192,+AC$4-$S$4+3,0)</f>
        <v>48.859760000000009</v>
      </c>
      <c r="AD6" s="74">
        <f>VLOOKUP($A6,turnover!$A$184:$Q$192,+AD$4-$S$4+3,0)</f>
        <v>48.859760000000009</v>
      </c>
      <c r="AE6" s="74">
        <f>VLOOKUP($A6,turnover!$A$184:$Q$192,+AE$4-$S$4+3,0)</f>
        <v>48.859760000000009</v>
      </c>
      <c r="AF6" s="74">
        <f>VLOOKUP($A6,turnover!$A$184:$Q$192,+AF$4-$S$4+3,0)</f>
        <v>48.859760000000009</v>
      </c>
      <c r="AG6" s="74">
        <f>VLOOKUP($A6,turnover!$A$184:$Q$192,+AG$4-$S$4+3,0)</f>
        <v>48.859760000000009</v>
      </c>
      <c r="AH6" s="61">
        <f t="shared" ref="AH6:AH37" si="2">+D6*S6</f>
        <v>0</v>
      </c>
      <c r="AI6" s="61">
        <f t="shared" ref="AI6:AI37" si="3">+E6*T6</f>
        <v>12.907807000000002</v>
      </c>
      <c r="AJ6" s="61">
        <f t="shared" ref="AJ6:AJ37" si="4">+F6*U6</f>
        <v>28.789860839999999</v>
      </c>
      <c r="AK6" s="61">
        <f t="shared" ref="AK6:AK37" si="5">+G6*V6</f>
        <v>18.3423528</v>
      </c>
      <c r="AL6" s="61">
        <f t="shared" ref="AL6:AL37" si="6">+H6*W6</f>
        <v>20.556250000000002</v>
      </c>
      <c r="AM6" s="61">
        <f t="shared" ref="AM6:AM37" si="7">+I6*X6</f>
        <v>19.307307500000007</v>
      </c>
      <c r="AN6" s="61">
        <f t="shared" ref="AN6:AN37" si="8">+J6*Y6</f>
        <v>17.670282500000003</v>
      </c>
      <c r="AO6" s="61">
        <f t="shared" ref="AO6:AO37" si="9">+K6*Z6</f>
        <v>15.830562240000003</v>
      </c>
      <c r="AP6" s="61">
        <f t="shared" ref="AP6:AP37" si="10">+L6*AA6</f>
        <v>15.830562240000003</v>
      </c>
      <c r="AQ6" s="61">
        <f t="shared" ref="AQ6:AQ37" si="11">+M6*AB6</f>
        <v>15.830562240000003</v>
      </c>
      <c r="AR6" s="61">
        <f t="shared" ref="AR6:AR37" si="12">+N6*AC6</f>
        <v>15.830562240000003</v>
      </c>
      <c r="AS6" s="61">
        <f t="shared" ref="AS6:AS37" si="13">+O6*AD6</f>
        <v>15.830562240000003</v>
      </c>
      <c r="AT6" s="61">
        <f t="shared" ref="AT6:AT37" si="14">+P6*AE6</f>
        <v>15.830562240000003</v>
      </c>
      <c r="AU6" s="61">
        <f t="shared" ref="AU6:AU37" si="15">+Q6*AF6</f>
        <v>15.830562240000003</v>
      </c>
      <c r="AV6" s="61">
        <f t="shared" ref="AV6:AV37" si="16">+R6*AG6</f>
        <v>15.830562240000003</v>
      </c>
      <c r="AW6" s="101">
        <f>VLOOKUP($C6,'Cost RMs'!$B$5:$Q$22,+AW$4-$AW$4+2,0)</f>
        <v>191127</v>
      </c>
      <c r="AX6" s="101">
        <f>VLOOKUP($C6,'Cost RMs'!$B$5:$Q$22,+AX$4-$AW$4+2,0)</f>
        <v>196602</v>
      </c>
      <c r="AY6" s="101">
        <f>VLOOKUP($C6,'Cost RMs'!$B$5:$Q$22,+AY$4-$AW$4+2,0)</f>
        <v>209999</v>
      </c>
      <c r="AZ6" s="101">
        <f>VLOOKUP($C6,'Cost RMs'!$B$5:$Q$22,+AZ$4-$AW$4+2,0)</f>
        <v>266286</v>
      </c>
      <c r="BA6" s="101">
        <f>VLOOKUP($C6,'Cost RMs'!$B$5:$Q$22,+BA$4-$AW$4+2,0)</f>
        <v>275187</v>
      </c>
      <c r="BB6" s="101">
        <f>VLOOKUP($C6,'Cost RMs'!$B$5:$Q$22,+BB$4-$AW$4+2,0)</f>
        <v>308182</v>
      </c>
      <c r="BC6" s="101">
        <f>VLOOKUP($C6,'Cost RMs'!$B$5:$Q$22,+BC$4-$AW$4+2,0)</f>
        <v>345472</v>
      </c>
      <c r="BD6" s="101">
        <f>VLOOKUP($C6,'Cost RMs'!$B$5:$Q$22,+BD$4-$AW$4+2,0)</f>
        <v>387274</v>
      </c>
      <c r="BE6" s="101">
        <f>VLOOKUP($C6,'Cost RMs'!$B$5:$Q$22,+BE$4-$AW$4+2,0)</f>
        <v>434134</v>
      </c>
      <c r="BF6" s="101">
        <f>VLOOKUP($C6,'Cost RMs'!$B$5:$Q$22,+BF$4-$AW$4+2,0)</f>
        <v>486664</v>
      </c>
      <c r="BG6" s="101">
        <f>VLOOKUP($C6,'Cost RMs'!$B$5:$Q$22,+BG$4-$AW$4+2,0)</f>
        <v>545550</v>
      </c>
      <c r="BH6" s="101">
        <f>VLOOKUP($C6,'Cost RMs'!$B$5:$Q$22,+BH$4-$AW$4+2,0)</f>
        <v>611562</v>
      </c>
      <c r="BI6" s="101">
        <f>VLOOKUP($C6,'Cost RMs'!$B$5:$Q$22,+BI$4-$AW$4+2,0)</f>
        <v>685561</v>
      </c>
      <c r="BJ6" s="101">
        <f>VLOOKUP($C6,'Cost RMs'!$B$5:$Q$22,+BJ$4-$AW$4+2,0)</f>
        <v>768514</v>
      </c>
      <c r="BK6" s="101">
        <f>VLOOKUP($C6,'Cost RMs'!$B$5:$Q$22,+BK$4-$AW$4+2,0)</f>
        <v>861504</v>
      </c>
      <c r="BL6" s="102">
        <f t="shared" ref="BL6:BL37" si="17">+AH6*AW6</f>
        <v>0</v>
      </c>
      <c r="BM6" s="102">
        <f t="shared" ref="BM6:BM37" si="18">+AI6*AX6</f>
        <v>2537700.6718140002</v>
      </c>
      <c r="BN6" s="102">
        <f t="shared" ref="BN6:BN37" si="19">+AJ6*AY6</f>
        <v>6045841.9865391599</v>
      </c>
      <c r="BO6" s="102">
        <f t="shared" ref="BO6:BO37" si="20">+AK6*AZ6</f>
        <v>4884311.7577008</v>
      </c>
      <c r="BP6" s="102">
        <f t="shared" ref="BP6:BP37" si="21">+AL6*BA6</f>
        <v>5656812.7687500007</v>
      </c>
      <c r="BQ6" s="102">
        <f t="shared" ref="BQ6:BQ37" si="22">+AM6*BB6</f>
        <v>5950164.6399650024</v>
      </c>
      <c r="BR6" s="102">
        <f t="shared" ref="BR6:BR37" si="23">+AN6*BC6</f>
        <v>6104587.8358400008</v>
      </c>
      <c r="BS6" s="102">
        <f t="shared" ref="BS6:BS37" si="24">+AO6*BD6</f>
        <v>6130765.1609337609</v>
      </c>
      <c r="BT6" s="102">
        <f t="shared" ref="BT6:BT37" si="25">+AP6*BE6</f>
        <v>6872585.3075001612</v>
      </c>
      <c r="BU6" s="102">
        <f t="shared" ref="BU6:BU37" si="26">+AQ6*BF6</f>
        <v>7704164.7419673614</v>
      </c>
      <c r="BV6" s="102">
        <f t="shared" ref="BV6:BV37" si="27">+AR6*BG6</f>
        <v>8636363.2300320007</v>
      </c>
      <c r="BW6" s="102">
        <f t="shared" ref="BW6:BW37" si="28">+AS6*BH6</f>
        <v>9681370.304618882</v>
      </c>
      <c r="BX6" s="102">
        <f t="shared" ref="BX6:BX37" si="29">+AT6*BI6</f>
        <v>10852816.079816641</v>
      </c>
      <c r="BY6" s="102">
        <f t="shared" ref="BY6:BY37" si="30">+AU6*BJ6</f>
        <v>12166008.709311362</v>
      </c>
      <c r="BZ6" s="102">
        <f t="shared" ref="BZ6:BZ37" si="31">+AV6*BK6</f>
        <v>13638092.692008963</v>
      </c>
    </row>
    <row r="7" spans="1:79" x14ac:dyDescent="0.25">
      <c r="A7" s="26" t="s">
        <v>111</v>
      </c>
      <c r="B7" s="73">
        <v>0.46</v>
      </c>
      <c r="C7" t="s">
        <v>124</v>
      </c>
      <c r="D7" s="61">
        <v>1.24</v>
      </c>
      <c r="E7" s="61">
        <v>1.169</v>
      </c>
      <c r="F7" s="402">
        <v>1.2210000000000001</v>
      </c>
      <c r="G7" s="61">
        <v>1.2250000000000001</v>
      </c>
      <c r="H7" s="61">
        <v>1.2330000000000001</v>
      </c>
      <c r="I7" s="61">
        <v>1.2330000000000001</v>
      </c>
      <c r="J7" s="61">
        <v>1.2330000000000001</v>
      </c>
      <c r="K7" s="61">
        <f>30%*((1/0.93)*1.045)+70%*((1/0.85)*1.045)</f>
        <v>1.1976850094876659</v>
      </c>
      <c r="L7" s="61">
        <f>+K7</f>
        <v>1.1976850094876659</v>
      </c>
      <c r="M7" s="61">
        <f>+L7</f>
        <v>1.1976850094876659</v>
      </c>
      <c r="N7" s="61">
        <f>+M7</f>
        <v>1.1976850094876659</v>
      </c>
      <c r="O7" s="61">
        <f>+N7</f>
        <v>1.1976850094876659</v>
      </c>
      <c r="P7" s="61">
        <f t="shared" ref="P7:R7" si="32">+O7</f>
        <v>1.1976850094876659</v>
      </c>
      <c r="Q7" s="61">
        <f t="shared" si="32"/>
        <v>1.1976850094876659</v>
      </c>
      <c r="R7" s="61">
        <f t="shared" si="32"/>
        <v>1.1976850094876659</v>
      </c>
      <c r="S7" s="74">
        <f>VLOOKUP($A7,turnover!$A$184:$Q$192,+S$4-$S$4+3,0)</f>
        <v>0</v>
      </c>
      <c r="T7" s="74">
        <f>VLOOKUP($A7,turnover!$A$184:$Q$192,+T$4-$S$4+3,0)</f>
        <v>41.239000000000004</v>
      </c>
      <c r="U7" s="74">
        <f>VLOOKUP($A7,turnover!$A$184:$Q$192,+U$4-$S$4+3,0)</f>
        <v>89.688040000000001</v>
      </c>
      <c r="V7" s="74">
        <f>VLOOKUP($A7,turnover!$A$184:$Q$192,+V$4-$S$4+3,0)</f>
        <v>56.612200000000001</v>
      </c>
      <c r="W7" s="74">
        <f>VLOOKUP($A7,turnover!$A$184:$Q$192,+W$4-$S$4+3,0)</f>
        <v>63.25</v>
      </c>
      <c r="X7" s="74">
        <f>VLOOKUP($A7,turnover!$A$184:$Q$192,+X$4-$S$4+3,0)</f>
        <v>59.407100000000021</v>
      </c>
      <c r="Y7" s="74">
        <f>VLOOKUP($A7,turnover!$A$184:$Q$192,+Y$4-$S$4+3,0)</f>
        <v>54.370100000000008</v>
      </c>
      <c r="Z7" s="74">
        <f>VLOOKUP($A7,turnover!$A$184:$Q$192,+Z$4-$S$4+3,0)</f>
        <v>48.859760000000009</v>
      </c>
      <c r="AA7" s="74">
        <f>VLOOKUP($A7,turnover!$A$184:$Q$192,+AA$4-$S$4+3,0)</f>
        <v>48.859760000000009</v>
      </c>
      <c r="AB7" s="74">
        <f>VLOOKUP($A7,turnover!$A$184:$Q$192,+AB$4-$S$4+3,0)</f>
        <v>48.859760000000009</v>
      </c>
      <c r="AC7" s="74">
        <f>VLOOKUP($A7,turnover!$A$184:$Q$192,+AC$4-$S$4+3,0)</f>
        <v>48.859760000000009</v>
      </c>
      <c r="AD7" s="74">
        <f>VLOOKUP($A7,turnover!$A$184:$Q$192,+AD$4-$S$4+3,0)</f>
        <v>48.859760000000009</v>
      </c>
      <c r="AE7" s="74">
        <f>VLOOKUP($A7,turnover!$A$184:$Q$192,+AE$4-$S$4+3,0)</f>
        <v>48.859760000000009</v>
      </c>
      <c r="AF7" s="74">
        <f>VLOOKUP($A7,turnover!$A$184:$Q$192,+AF$4-$S$4+3,0)</f>
        <v>48.859760000000009</v>
      </c>
      <c r="AG7" s="74">
        <f>VLOOKUP($A7,turnover!$A$184:$Q$192,+AG$4-$S$4+3,0)</f>
        <v>48.859760000000009</v>
      </c>
      <c r="AH7" s="61">
        <f t="shared" si="2"/>
        <v>0</v>
      </c>
      <c r="AI7" s="61">
        <f t="shared" si="3"/>
        <v>48.208391000000006</v>
      </c>
      <c r="AJ7" s="61">
        <f t="shared" si="4"/>
        <v>109.50909684000001</v>
      </c>
      <c r="AK7" s="61">
        <f t="shared" si="5"/>
        <v>69.349945000000005</v>
      </c>
      <c r="AL7" s="61">
        <f t="shared" si="6"/>
        <v>77.987250000000003</v>
      </c>
      <c r="AM7" s="61">
        <f t="shared" si="7"/>
        <v>73.248954300000037</v>
      </c>
      <c r="AN7" s="61">
        <f t="shared" si="8"/>
        <v>67.038333300000019</v>
      </c>
      <c r="AO7" s="61">
        <f t="shared" si="9"/>
        <v>58.518602119165088</v>
      </c>
      <c r="AP7" s="61">
        <f t="shared" si="10"/>
        <v>58.518602119165088</v>
      </c>
      <c r="AQ7" s="61">
        <f t="shared" si="11"/>
        <v>58.518602119165088</v>
      </c>
      <c r="AR7" s="61">
        <f t="shared" si="12"/>
        <v>58.518602119165088</v>
      </c>
      <c r="AS7" s="61">
        <f t="shared" si="13"/>
        <v>58.518602119165088</v>
      </c>
      <c r="AT7" s="61">
        <f t="shared" si="14"/>
        <v>58.518602119165088</v>
      </c>
      <c r="AU7" s="61">
        <f t="shared" si="15"/>
        <v>58.518602119165088</v>
      </c>
      <c r="AV7" s="61">
        <f t="shared" si="16"/>
        <v>58.518602119165088</v>
      </c>
      <c r="AW7" s="101">
        <f>VLOOKUP($C7,'Cost RMs'!$B$5:$Q$22,+AW$4-$AW$4+2,0)</f>
        <v>235089</v>
      </c>
      <c r="AX7" s="101">
        <f>VLOOKUP($C7,'Cost RMs'!$B$5:$Q$22,+AX$4-$AW$4+2,0)</f>
        <v>283888</v>
      </c>
      <c r="AY7" s="101">
        <f>VLOOKUP($C7,'Cost RMs'!$B$5:$Q$22,+AY$4-$AW$4+2,0)</f>
        <v>306490</v>
      </c>
      <c r="AZ7" s="101">
        <f>VLOOKUP($C7,'Cost RMs'!$B$5:$Q$22,+AZ$4-$AW$4+2,0)</f>
        <v>318975</v>
      </c>
      <c r="BA7" s="101">
        <f>VLOOKUP($C7,'Cost RMs'!$B$5:$Q$22,+BA$4-$AW$4+2,0)</f>
        <v>365112</v>
      </c>
      <c r="BB7" s="101">
        <f>VLOOKUP($C7,'Cost RMs'!$B$5:$Q$22,+BB$4-$AW$4+2,0)</f>
        <v>408889</v>
      </c>
      <c r="BC7" s="101">
        <f>VLOOKUP($C7,'Cost RMs'!$B$5:$Q$22,+BC$4-$AW$4+2,0)</f>
        <v>458365</v>
      </c>
      <c r="BD7" s="101">
        <f>VLOOKUP($C7,'Cost RMs'!$B$5:$Q$22,+BD$4-$AW$4+2,0)</f>
        <v>513827</v>
      </c>
      <c r="BE7" s="101">
        <f>VLOOKUP($C7,'Cost RMs'!$B$5:$Q$22,+BE$4-$AW$4+2,0)</f>
        <v>576000</v>
      </c>
      <c r="BF7" s="101">
        <f>VLOOKUP($C7,'Cost RMs'!$B$5:$Q$22,+BF$4-$AW$4+2,0)</f>
        <v>645696</v>
      </c>
      <c r="BG7" s="101">
        <f>VLOOKUP($C7,'Cost RMs'!$B$5:$Q$22,+BG$4-$AW$4+2,0)</f>
        <v>723825</v>
      </c>
      <c r="BH7" s="101">
        <f>VLOOKUP($C7,'Cost RMs'!$B$5:$Q$22,+BH$4-$AW$4+2,0)</f>
        <v>811408</v>
      </c>
      <c r="BI7" s="101">
        <f>VLOOKUP($C7,'Cost RMs'!$B$5:$Q$22,+BI$4-$AW$4+2,0)</f>
        <v>909588</v>
      </c>
      <c r="BJ7" s="101">
        <f>VLOOKUP($C7,'Cost RMs'!$B$5:$Q$22,+BJ$4-$AW$4+2,0)</f>
        <v>1019648</v>
      </c>
      <c r="BK7" s="101">
        <f>VLOOKUP($C7,'Cost RMs'!$B$5:$Q$22,+BK$4-$AW$4+2,0)</f>
        <v>1143025</v>
      </c>
      <c r="BL7" s="102">
        <f t="shared" si="17"/>
        <v>0</v>
      </c>
      <c r="BM7" s="102">
        <f t="shared" si="18"/>
        <v>13685783.704208001</v>
      </c>
      <c r="BN7" s="102">
        <f t="shared" si="19"/>
        <v>33563443.0904916</v>
      </c>
      <c r="BO7" s="102">
        <f t="shared" si="20"/>
        <v>22120898.706375003</v>
      </c>
      <c r="BP7" s="102">
        <f t="shared" si="21"/>
        <v>28474080.822000001</v>
      </c>
      <c r="BQ7" s="102">
        <f t="shared" si="22"/>
        <v>29950691.674772713</v>
      </c>
      <c r="BR7" s="102">
        <f t="shared" si="23"/>
        <v>30728025.643054508</v>
      </c>
      <c r="BS7" s="102">
        <f t="shared" si="24"/>
        <v>30068437.771084238</v>
      </c>
      <c r="BT7" s="102">
        <f t="shared" si="25"/>
        <v>33706714.820639089</v>
      </c>
      <c r="BU7" s="102">
        <f t="shared" si="26"/>
        <v>37785227.31393642</v>
      </c>
      <c r="BV7" s="102">
        <f t="shared" si="27"/>
        <v>42357227.178904667</v>
      </c>
      <c r="BW7" s="102">
        <f t="shared" si="28"/>
        <v>47482461.908307508</v>
      </c>
      <c r="BX7" s="102">
        <f t="shared" si="29"/>
        <v>53227818.264367133</v>
      </c>
      <c r="BY7" s="102">
        <f t="shared" si="30"/>
        <v>59668375.613602445</v>
      </c>
      <c r="BZ7" s="102">
        <f t="shared" si="31"/>
        <v>66888225.187258676</v>
      </c>
    </row>
    <row r="8" spans="1:79" x14ac:dyDescent="0.25">
      <c r="A8" s="26" t="s">
        <v>111</v>
      </c>
      <c r="B8" s="73">
        <v>0.46</v>
      </c>
      <c r="C8" t="s">
        <v>125</v>
      </c>
      <c r="D8" s="61"/>
      <c r="E8" s="61"/>
      <c r="F8" s="403"/>
      <c r="G8" s="61"/>
      <c r="H8" s="7"/>
      <c r="I8" s="7"/>
      <c r="J8" s="7"/>
      <c r="K8" s="61"/>
      <c r="L8" s="61"/>
      <c r="M8" s="61"/>
      <c r="N8" s="61"/>
      <c r="O8" s="61"/>
      <c r="P8" s="61"/>
      <c r="Q8" s="61"/>
      <c r="R8" s="61"/>
      <c r="S8" s="74">
        <f>VLOOKUP($A8,turnover!$A$184:$Q$192,+S$4-$S$4+3,0)</f>
        <v>0</v>
      </c>
      <c r="T8" s="74">
        <f>VLOOKUP($A8,turnover!$A$184:$Q$192,+T$4-$S$4+3,0)</f>
        <v>41.239000000000004</v>
      </c>
      <c r="U8" s="74">
        <f>VLOOKUP($A8,turnover!$A$184:$Q$192,+U$4-$S$4+3,0)</f>
        <v>89.688040000000001</v>
      </c>
      <c r="V8" s="74">
        <f>VLOOKUP($A8,turnover!$A$184:$Q$192,+V$4-$S$4+3,0)</f>
        <v>56.612200000000001</v>
      </c>
      <c r="W8" s="74">
        <f>VLOOKUP($A8,turnover!$A$184:$Q$192,+W$4-$S$4+3,0)</f>
        <v>63.25</v>
      </c>
      <c r="X8" s="74">
        <f>VLOOKUP($A8,turnover!$A$184:$Q$192,+X$4-$S$4+3,0)</f>
        <v>59.407100000000021</v>
      </c>
      <c r="Y8" s="74">
        <f>VLOOKUP($A8,turnover!$A$184:$Q$192,+Y$4-$S$4+3,0)</f>
        <v>54.370100000000008</v>
      </c>
      <c r="Z8" s="74">
        <f>VLOOKUP($A8,turnover!$A$184:$Q$192,+Z$4-$S$4+3,0)</f>
        <v>48.859760000000009</v>
      </c>
      <c r="AA8" s="74">
        <f>VLOOKUP($A8,turnover!$A$184:$Q$192,+AA$4-$S$4+3,0)</f>
        <v>48.859760000000009</v>
      </c>
      <c r="AB8" s="74">
        <f>VLOOKUP($A8,turnover!$A$184:$Q$192,+AB$4-$S$4+3,0)</f>
        <v>48.859760000000009</v>
      </c>
      <c r="AC8" s="74">
        <f>VLOOKUP($A8,turnover!$A$184:$Q$192,+AC$4-$S$4+3,0)</f>
        <v>48.859760000000009</v>
      </c>
      <c r="AD8" s="74">
        <f>VLOOKUP($A8,turnover!$A$184:$Q$192,+AD$4-$S$4+3,0)</f>
        <v>48.859760000000009</v>
      </c>
      <c r="AE8" s="74">
        <f>VLOOKUP($A8,turnover!$A$184:$Q$192,+AE$4-$S$4+3,0)</f>
        <v>48.859760000000009</v>
      </c>
      <c r="AF8" s="74">
        <f>VLOOKUP($A8,turnover!$A$184:$Q$192,+AF$4-$S$4+3,0)</f>
        <v>48.859760000000009</v>
      </c>
      <c r="AG8" s="74">
        <f>VLOOKUP($A8,turnover!$A$184:$Q$192,+AG$4-$S$4+3,0)</f>
        <v>48.859760000000009</v>
      </c>
      <c r="AH8" s="61">
        <f t="shared" si="2"/>
        <v>0</v>
      </c>
      <c r="AI8" s="61">
        <f t="shared" si="3"/>
        <v>0</v>
      </c>
      <c r="AJ8" s="61">
        <f t="shared" si="4"/>
        <v>0</v>
      </c>
      <c r="AK8" s="61">
        <f t="shared" si="5"/>
        <v>0</v>
      </c>
      <c r="AL8" s="61">
        <f t="shared" si="6"/>
        <v>0</v>
      </c>
      <c r="AM8" s="61">
        <f t="shared" si="7"/>
        <v>0</v>
      </c>
      <c r="AN8" s="61">
        <f t="shared" si="8"/>
        <v>0</v>
      </c>
      <c r="AO8" s="61">
        <f t="shared" si="9"/>
        <v>0</v>
      </c>
      <c r="AP8" s="61">
        <f t="shared" si="10"/>
        <v>0</v>
      </c>
      <c r="AQ8" s="61">
        <f t="shared" si="11"/>
        <v>0</v>
      </c>
      <c r="AR8" s="61">
        <f t="shared" si="12"/>
        <v>0</v>
      </c>
      <c r="AS8" s="61">
        <f t="shared" si="13"/>
        <v>0</v>
      </c>
      <c r="AT8" s="61">
        <f t="shared" si="14"/>
        <v>0</v>
      </c>
      <c r="AU8" s="61">
        <f t="shared" si="15"/>
        <v>0</v>
      </c>
      <c r="AV8" s="61">
        <f t="shared" si="16"/>
        <v>0</v>
      </c>
      <c r="AW8" s="101">
        <f>VLOOKUP($C8,'Cost RMs'!$B$5:$Q$22,+AW$4-$AW$4+2,0)</f>
        <v>266257</v>
      </c>
      <c r="AX8" s="101">
        <f>VLOOKUP($C8,'Cost RMs'!$B$5:$Q$22,+AX$4-$AW$4+2,0)</f>
        <v>266257</v>
      </c>
      <c r="AY8" s="101">
        <f>VLOOKUP($C8,'Cost RMs'!$B$5:$Q$22,+AY$4-$AW$4+2,0)</f>
        <v>266257</v>
      </c>
      <c r="AZ8" s="101">
        <f ca="1">VLOOKUP($C8,'Cost RMs'!$B$5:$Q$22,+AZ$4-$AW$4+2,0)</f>
        <v>266257</v>
      </c>
      <c r="BA8" s="101">
        <f ca="1">VLOOKUP($C8,'Cost RMs'!$B$5:$Q$22,+BA$4-$AW$4+2,0)</f>
        <v>266257</v>
      </c>
      <c r="BB8" s="101">
        <f ca="1">VLOOKUP($C8,'Cost RMs'!$B$5:$Q$22,+BB$4-$AW$4+2,0)</f>
        <v>298181</v>
      </c>
      <c r="BC8" s="101">
        <f ca="1">VLOOKUP($C8,'Cost RMs'!$B$5:$Q$22,+BC$4-$AW$4+2,0)</f>
        <v>334261</v>
      </c>
      <c r="BD8" s="101">
        <f ca="1">VLOOKUP($C8,'Cost RMs'!$B$5:$Q$22,+BD$4-$AW$4+2,0)</f>
        <v>374707</v>
      </c>
      <c r="BE8" s="101">
        <f ca="1">VLOOKUP($C8,'Cost RMs'!$B$5:$Q$22,+BE$4-$AW$4+2,0)</f>
        <v>420047</v>
      </c>
      <c r="BF8" s="101">
        <f ca="1">VLOOKUP($C8,'Cost RMs'!$B$5:$Q$22,+BF$4-$AW$4+2,0)</f>
        <v>470873</v>
      </c>
      <c r="BG8" s="101">
        <f ca="1">VLOOKUP($C8,'Cost RMs'!$B$5:$Q$22,+BG$4-$AW$4+2,0)</f>
        <v>527849</v>
      </c>
      <c r="BH8" s="101">
        <f ca="1">VLOOKUP($C8,'Cost RMs'!$B$5:$Q$22,+BH$4-$AW$4+2,0)</f>
        <v>591719</v>
      </c>
      <c r="BI8" s="101">
        <f ca="1">VLOOKUP($C8,'Cost RMs'!$B$5:$Q$22,+BI$4-$AW$4+2,0)</f>
        <v>663317</v>
      </c>
      <c r="BJ8" s="101">
        <f ca="1">VLOOKUP($C8,'Cost RMs'!$B$5:$Q$22,+BJ$4-$AW$4+2,0)</f>
        <v>743578</v>
      </c>
      <c r="BK8" s="101">
        <f ca="1">VLOOKUP($C8,'Cost RMs'!$B$5:$Q$22,+BK$4-$AW$4+2,0)</f>
        <v>833551</v>
      </c>
      <c r="BL8" s="102">
        <f t="shared" si="17"/>
        <v>0</v>
      </c>
      <c r="BM8" s="102">
        <f t="shared" si="18"/>
        <v>0</v>
      </c>
      <c r="BN8" s="102">
        <f t="shared" si="19"/>
        <v>0</v>
      </c>
      <c r="BO8" s="102">
        <f t="shared" ca="1" si="20"/>
        <v>0</v>
      </c>
      <c r="BP8" s="102">
        <f t="shared" ca="1" si="21"/>
        <v>0</v>
      </c>
      <c r="BQ8" s="102">
        <f t="shared" ca="1" si="22"/>
        <v>0</v>
      </c>
      <c r="BR8" s="102">
        <f t="shared" ca="1" si="23"/>
        <v>0</v>
      </c>
      <c r="BS8" s="102">
        <f t="shared" ca="1" si="24"/>
        <v>0</v>
      </c>
      <c r="BT8" s="102">
        <f t="shared" ca="1" si="25"/>
        <v>0</v>
      </c>
      <c r="BU8" s="102">
        <f t="shared" ca="1" si="26"/>
        <v>0</v>
      </c>
      <c r="BV8" s="102">
        <f t="shared" ca="1" si="27"/>
        <v>0</v>
      </c>
      <c r="BW8" s="102">
        <f t="shared" ca="1" si="28"/>
        <v>0</v>
      </c>
      <c r="BX8" s="102">
        <f t="shared" ca="1" si="29"/>
        <v>0</v>
      </c>
      <c r="BY8" s="102">
        <f t="shared" ca="1" si="30"/>
        <v>0</v>
      </c>
      <c r="BZ8" s="102">
        <f t="shared" ca="1" si="31"/>
        <v>0</v>
      </c>
    </row>
    <row r="9" spans="1:79" x14ac:dyDescent="0.25">
      <c r="A9" s="26" t="s">
        <v>111</v>
      </c>
      <c r="B9" s="73">
        <v>0.46</v>
      </c>
      <c r="C9" t="s">
        <v>126</v>
      </c>
      <c r="D9" s="61"/>
      <c r="E9" s="61"/>
      <c r="F9" s="402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74">
        <f>VLOOKUP($A9,turnover!$A$184:$Q$192,+S$4-$S$4+3,0)</f>
        <v>0</v>
      </c>
      <c r="T9" s="74">
        <f>VLOOKUP($A9,turnover!$A$184:$Q$192,+T$4-$S$4+3,0)</f>
        <v>41.239000000000004</v>
      </c>
      <c r="U9" s="74">
        <f>VLOOKUP($A9,turnover!$A$184:$Q$192,+U$4-$S$4+3,0)</f>
        <v>89.688040000000001</v>
      </c>
      <c r="V9" s="74">
        <f>VLOOKUP($A9,turnover!$A$184:$Q$192,+V$4-$S$4+3,0)</f>
        <v>56.612200000000001</v>
      </c>
      <c r="W9" s="74">
        <f>VLOOKUP($A9,turnover!$A$184:$Q$192,+W$4-$S$4+3,0)</f>
        <v>63.25</v>
      </c>
      <c r="X9" s="74">
        <f>VLOOKUP($A9,turnover!$A$184:$Q$192,+X$4-$S$4+3,0)</f>
        <v>59.407100000000021</v>
      </c>
      <c r="Y9" s="74">
        <f>VLOOKUP($A9,turnover!$A$184:$Q$192,+Y$4-$S$4+3,0)</f>
        <v>54.370100000000008</v>
      </c>
      <c r="Z9" s="74">
        <f>VLOOKUP($A9,turnover!$A$184:$Q$192,+Z$4-$S$4+3,0)</f>
        <v>48.859760000000009</v>
      </c>
      <c r="AA9" s="74">
        <f>VLOOKUP($A9,turnover!$A$184:$Q$192,+AA$4-$S$4+3,0)</f>
        <v>48.859760000000009</v>
      </c>
      <c r="AB9" s="74">
        <f>VLOOKUP($A9,turnover!$A$184:$Q$192,+AB$4-$S$4+3,0)</f>
        <v>48.859760000000009</v>
      </c>
      <c r="AC9" s="74">
        <f>VLOOKUP($A9,turnover!$A$184:$Q$192,+AC$4-$S$4+3,0)</f>
        <v>48.859760000000009</v>
      </c>
      <c r="AD9" s="74">
        <f>VLOOKUP($A9,turnover!$A$184:$Q$192,+AD$4-$S$4+3,0)</f>
        <v>48.859760000000009</v>
      </c>
      <c r="AE9" s="74">
        <f>VLOOKUP($A9,turnover!$A$184:$Q$192,+AE$4-$S$4+3,0)</f>
        <v>48.859760000000009</v>
      </c>
      <c r="AF9" s="74">
        <f>VLOOKUP($A9,turnover!$A$184:$Q$192,+AF$4-$S$4+3,0)</f>
        <v>48.859760000000009</v>
      </c>
      <c r="AG9" s="74">
        <f>VLOOKUP($A9,turnover!$A$184:$Q$192,+AG$4-$S$4+3,0)</f>
        <v>48.859760000000009</v>
      </c>
      <c r="AH9" s="61">
        <f t="shared" si="2"/>
        <v>0</v>
      </c>
      <c r="AI9" s="61">
        <f t="shared" si="3"/>
        <v>0</v>
      </c>
      <c r="AJ9" s="61">
        <f t="shared" si="4"/>
        <v>0</v>
      </c>
      <c r="AK9" s="61">
        <f t="shared" si="5"/>
        <v>0</v>
      </c>
      <c r="AL9" s="61">
        <f t="shared" si="6"/>
        <v>0</v>
      </c>
      <c r="AM9" s="61">
        <f t="shared" si="7"/>
        <v>0</v>
      </c>
      <c r="AN9" s="61">
        <f t="shared" si="8"/>
        <v>0</v>
      </c>
      <c r="AO9" s="61">
        <f t="shared" si="9"/>
        <v>0</v>
      </c>
      <c r="AP9" s="61">
        <f t="shared" si="10"/>
        <v>0</v>
      </c>
      <c r="AQ9" s="61">
        <f t="shared" si="11"/>
        <v>0</v>
      </c>
      <c r="AR9" s="61">
        <f t="shared" si="12"/>
        <v>0</v>
      </c>
      <c r="AS9" s="61">
        <f t="shared" si="13"/>
        <v>0</v>
      </c>
      <c r="AT9" s="61">
        <f t="shared" si="14"/>
        <v>0</v>
      </c>
      <c r="AU9" s="61">
        <f t="shared" si="15"/>
        <v>0</v>
      </c>
      <c r="AV9" s="61">
        <f t="shared" si="16"/>
        <v>0</v>
      </c>
      <c r="AW9" s="101">
        <f>VLOOKUP($C9,'Cost RMs'!$B$5:$Q$22,+AW$4-$AW$4+2,0)</f>
        <v>248821</v>
      </c>
      <c r="AX9" s="101">
        <f>VLOOKUP($C9,'Cost RMs'!$B$5:$Q$22,+AX$4-$AW$4+2,0)</f>
        <v>290296</v>
      </c>
      <c r="AY9" s="101">
        <f>VLOOKUP($C9,'Cost RMs'!$B$5:$Q$22,+AY$4-$AW$4+2,0)</f>
        <v>316267</v>
      </c>
      <c r="AZ9" s="101">
        <f>VLOOKUP($C9,'Cost RMs'!$B$5:$Q$22,+AZ$4-$AW$4+2,0)</f>
        <v>337089</v>
      </c>
      <c r="BA9" s="101">
        <f>VLOOKUP($C9,'Cost RMs'!$B$5:$Q$22,+BA$4-$AW$4+2,0)</f>
        <v>408568</v>
      </c>
      <c r="BB9" s="101">
        <f>VLOOKUP($C9,'Cost RMs'!$B$5:$Q$22,+BB$4-$AW$4+2,0)</f>
        <v>457555</v>
      </c>
      <c r="BC9" s="101">
        <f>VLOOKUP($C9,'Cost RMs'!$B$5:$Q$22,+BC$4-$AW$4+2,0)</f>
        <v>512919</v>
      </c>
      <c r="BD9" s="101">
        <f>VLOOKUP($C9,'Cost RMs'!$B$5:$Q$22,+BD$4-$AW$4+2,0)</f>
        <v>574982</v>
      </c>
      <c r="BE9" s="101">
        <f>VLOOKUP($C9,'Cost RMs'!$B$5:$Q$22,+BE$4-$AW$4+2,0)</f>
        <v>644555</v>
      </c>
      <c r="BF9" s="101">
        <f>VLOOKUP($C9,'Cost RMs'!$B$5:$Q$22,+BF$4-$AW$4+2,0)</f>
        <v>722546</v>
      </c>
      <c r="BG9" s="101">
        <f>VLOOKUP($C9,'Cost RMs'!$B$5:$Q$22,+BG$4-$AW$4+2,0)</f>
        <v>809974</v>
      </c>
      <c r="BH9" s="101">
        <f>VLOOKUP($C9,'Cost RMs'!$B$5:$Q$22,+BH$4-$AW$4+2,0)</f>
        <v>907981</v>
      </c>
      <c r="BI9" s="101">
        <f>VLOOKUP($C9,'Cost RMs'!$B$5:$Q$22,+BI$4-$AW$4+2,0)</f>
        <v>1017847</v>
      </c>
      <c r="BJ9" s="101">
        <f>VLOOKUP($C9,'Cost RMs'!$B$5:$Q$22,+BJ$4-$AW$4+2,0)</f>
        <v>1141006</v>
      </c>
      <c r="BK9" s="101">
        <f>VLOOKUP($C9,'Cost RMs'!$B$5:$Q$22,+BK$4-$AW$4+2,0)</f>
        <v>1279068</v>
      </c>
      <c r="BL9" s="102">
        <f t="shared" si="17"/>
        <v>0</v>
      </c>
      <c r="BM9" s="102">
        <f t="shared" si="18"/>
        <v>0</v>
      </c>
      <c r="BN9" s="102">
        <f t="shared" si="19"/>
        <v>0</v>
      </c>
      <c r="BO9" s="102">
        <f t="shared" si="20"/>
        <v>0</v>
      </c>
      <c r="BP9" s="102">
        <f t="shared" si="21"/>
        <v>0</v>
      </c>
      <c r="BQ9" s="102">
        <f t="shared" si="22"/>
        <v>0</v>
      </c>
      <c r="BR9" s="102">
        <f t="shared" si="23"/>
        <v>0</v>
      </c>
      <c r="BS9" s="102">
        <f t="shared" si="24"/>
        <v>0</v>
      </c>
      <c r="BT9" s="102">
        <f t="shared" si="25"/>
        <v>0</v>
      </c>
      <c r="BU9" s="102">
        <f t="shared" si="26"/>
        <v>0</v>
      </c>
      <c r="BV9" s="102">
        <f t="shared" si="27"/>
        <v>0</v>
      </c>
      <c r="BW9" s="102">
        <f t="shared" si="28"/>
        <v>0</v>
      </c>
      <c r="BX9" s="102">
        <f t="shared" si="29"/>
        <v>0</v>
      </c>
      <c r="BY9" s="102">
        <f t="shared" si="30"/>
        <v>0</v>
      </c>
      <c r="BZ9" s="102">
        <f t="shared" si="31"/>
        <v>0</v>
      </c>
    </row>
    <row r="10" spans="1:79" x14ac:dyDescent="0.25">
      <c r="A10" s="26" t="s">
        <v>111</v>
      </c>
      <c r="B10" s="73">
        <v>0.46</v>
      </c>
      <c r="C10" t="s">
        <v>127</v>
      </c>
      <c r="D10" s="61">
        <v>4.2539999999999996</v>
      </c>
      <c r="E10" s="61">
        <v>4.2149999999999999</v>
      </c>
      <c r="F10" s="402">
        <v>4.49</v>
      </c>
      <c r="G10" s="61">
        <v>4.5780000000000003</v>
      </c>
      <c r="H10" s="61">
        <v>4.6500000000000004</v>
      </c>
      <c r="I10" s="61">
        <v>4.6500000000000004</v>
      </c>
      <c r="J10" s="61">
        <v>4.6500000000000004</v>
      </c>
      <c r="K10" s="61">
        <v>4.2539999999999996</v>
      </c>
      <c r="L10" s="61">
        <v>4.2539999999999996</v>
      </c>
      <c r="M10" s="61">
        <v>4.2539999999999996</v>
      </c>
      <c r="N10" s="61">
        <v>4.2539999999999996</v>
      </c>
      <c r="O10" s="61">
        <v>4.2539999999999996</v>
      </c>
      <c r="P10" s="61">
        <v>4.2539999999999996</v>
      </c>
      <c r="Q10" s="61">
        <v>4.2539999999999996</v>
      </c>
      <c r="R10" s="61">
        <v>4.2539999999999996</v>
      </c>
      <c r="S10" s="74">
        <f>VLOOKUP($A10,turnover!$A$184:$Q$192,+S$4-$S$4+3,0)</f>
        <v>0</v>
      </c>
      <c r="T10" s="74">
        <f>VLOOKUP($A10,turnover!$A$184:$Q$192,+T$4-$S$4+3,0)</f>
        <v>41.239000000000004</v>
      </c>
      <c r="U10" s="74">
        <f>VLOOKUP($A10,turnover!$A$184:$Q$192,+U$4-$S$4+3,0)</f>
        <v>89.688040000000001</v>
      </c>
      <c r="V10" s="74">
        <f>VLOOKUP($A10,turnover!$A$184:$Q$192,+V$4-$S$4+3,0)</f>
        <v>56.612200000000001</v>
      </c>
      <c r="W10" s="74">
        <f>VLOOKUP($A10,turnover!$A$184:$Q$192,+W$4-$S$4+3,0)</f>
        <v>63.25</v>
      </c>
      <c r="X10" s="74">
        <f>VLOOKUP($A10,turnover!$A$184:$Q$192,+X$4-$S$4+3,0)</f>
        <v>59.407100000000021</v>
      </c>
      <c r="Y10" s="74">
        <f>VLOOKUP($A10,turnover!$A$184:$Q$192,+Y$4-$S$4+3,0)</f>
        <v>54.370100000000008</v>
      </c>
      <c r="Z10" s="74">
        <f>VLOOKUP($A10,turnover!$A$184:$Q$192,+Z$4-$S$4+3,0)</f>
        <v>48.859760000000009</v>
      </c>
      <c r="AA10" s="74">
        <f>VLOOKUP($A10,turnover!$A$184:$Q$192,+AA$4-$S$4+3,0)</f>
        <v>48.859760000000009</v>
      </c>
      <c r="AB10" s="74">
        <f>VLOOKUP($A10,turnover!$A$184:$Q$192,+AB$4-$S$4+3,0)</f>
        <v>48.859760000000009</v>
      </c>
      <c r="AC10" s="74">
        <f>VLOOKUP($A10,turnover!$A$184:$Q$192,+AC$4-$S$4+3,0)</f>
        <v>48.859760000000009</v>
      </c>
      <c r="AD10" s="74">
        <f>VLOOKUP($A10,turnover!$A$184:$Q$192,+AD$4-$S$4+3,0)</f>
        <v>48.859760000000009</v>
      </c>
      <c r="AE10" s="74">
        <f>VLOOKUP($A10,turnover!$A$184:$Q$192,+AE$4-$S$4+3,0)</f>
        <v>48.859760000000009</v>
      </c>
      <c r="AF10" s="74">
        <f>VLOOKUP($A10,turnover!$A$184:$Q$192,+AF$4-$S$4+3,0)</f>
        <v>48.859760000000009</v>
      </c>
      <c r="AG10" s="74">
        <f>VLOOKUP($A10,turnover!$A$184:$Q$192,+AG$4-$S$4+3,0)</f>
        <v>48.859760000000009</v>
      </c>
      <c r="AH10" s="61">
        <f t="shared" si="2"/>
        <v>0</v>
      </c>
      <c r="AI10" s="61">
        <f t="shared" si="3"/>
        <v>173.82238500000003</v>
      </c>
      <c r="AJ10" s="61">
        <f t="shared" si="4"/>
        <v>402.69929960000002</v>
      </c>
      <c r="AK10" s="61">
        <f t="shared" si="5"/>
        <v>259.17065160000004</v>
      </c>
      <c r="AL10" s="61">
        <f t="shared" si="6"/>
        <v>294.11250000000001</v>
      </c>
      <c r="AM10" s="61">
        <f t="shared" si="7"/>
        <v>276.24301500000013</v>
      </c>
      <c r="AN10" s="61">
        <f t="shared" si="8"/>
        <v>252.82096500000006</v>
      </c>
      <c r="AO10" s="61">
        <f t="shared" si="9"/>
        <v>207.84941904000002</v>
      </c>
      <c r="AP10" s="61">
        <f t="shared" si="10"/>
        <v>207.84941904000002</v>
      </c>
      <c r="AQ10" s="61">
        <f t="shared" si="11"/>
        <v>207.84941904000002</v>
      </c>
      <c r="AR10" s="61">
        <f t="shared" si="12"/>
        <v>207.84941904000002</v>
      </c>
      <c r="AS10" s="61">
        <f t="shared" si="13"/>
        <v>207.84941904000002</v>
      </c>
      <c r="AT10" s="61">
        <f t="shared" si="14"/>
        <v>207.84941904000002</v>
      </c>
      <c r="AU10" s="61">
        <f t="shared" si="15"/>
        <v>207.84941904000002</v>
      </c>
      <c r="AV10" s="61">
        <f t="shared" si="16"/>
        <v>207.84941904000002</v>
      </c>
      <c r="AW10" s="101">
        <f>VLOOKUP($C10,'Cost RMs'!$B$5:$Q$22,+AW$4-$AW$4+2,0)</f>
        <v>31510</v>
      </c>
      <c r="AX10" s="101">
        <f>VLOOKUP($C10,'Cost RMs'!$B$5:$Q$22,+AX$4-$AW$4+2,0)</f>
        <v>40370</v>
      </c>
      <c r="AY10" s="101">
        <f>VLOOKUP($C10,'Cost RMs'!$B$5:$Q$22,+AY$4-$AW$4+2,0)</f>
        <v>41166</v>
      </c>
      <c r="AZ10" s="101">
        <f>VLOOKUP($C10,'Cost RMs'!$B$5:$Q$22,+AZ$4-$AW$4+2,0)</f>
        <v>48881</v>
      </c>
      <c r="BA10" s="101">
        <f>VLOOKUP($C10,'Cost RMs'!$B$5:$Q$22,+BA$4-$AW$4+2,0)</f>
        <v>47121</v>
      </c>
      <c r="BB10" s="101">
        <f ca="1">VLOOKUP($C10,'Cost RMs'!$B$5:$Q$22,+BB$4-$AW$4+2,0)</f>
        <v>50566.413250959507</v>
      </c>
      <c r="BC10" s="101">
        <f ca="1">VLOOKUP($C10,'Cost RMs'!$B$5:$Q$22,+BC$4-$AW$4+2,0)</f>
        <v>56631.49986439231</v>
      </c>
      <c r="BD10" s="101">
        <f ca="1">VLOOKUP($C10,'Cost RMs'!$B$5:$Q$22,+BD$4-$AW$4+2,0)</f>
        <v>63938.797808160256</v>
      </c>
      <c r="BE10" s="101">
        <f ca="1">VLOOKUP($C10,'Cost RMs'!$B$5:$Q$22,+BE$4-$AW$4+2,0)</f>
        <v>72083.206654867696</v>
      </c>
      <c r="BF10" s="101">
        <f ca="1">VLOOKUP($C10,'Cost RMs'!$B$5:$Q$22,+BF$4-$AW$4+2,0)</f>
        <v>81313.760903297516</v>
      </c>
      <c r="BG10" s="101">
        <f ca="1">VLOOKUP($C10,'Cost RMs'!$B$5:$Q$22,+BG$4-$AW$4+2,0)</f>
        <v>91785.423765355576</v>
      </c>
      <c r="BH10" s="101">
        <f ca="1">VLOOKUP($C10,'Cost RMs'!$B$5:$Q$22,+BH$4-$AW$4+2,0)</f>
        <v>103677.12991004685</v>
      </c>
      <c r="BI10" s="101">
        <f ca="1">VLOOKUP($C10,'Cost RMs'!$B$5:$Q$22,+BI$4-$AW$4+2,0)</f>
        <v>117195.56148271105</v>
      </c>
      <c r="BJ10" s="101">
        <f ca="1">VLOOKUP($C10,'Cost RMs'!$B$5:$Q$22,+BJ$4-$AW$4+2,0)</f>
        <v>132580.59576203892</v>
      </c>
      <c r="BK10" s="101">
        <f ca="1">VLOOKUP($C10,'Cost RMs'!$B$5:$Q$22,+BK$4-$AW$4+2,0)</f>
        <v>150111.0973392961</v>
      </c>
      <c r="BL10" s="102">
        <f t="shared" si="17"/>
        <v>0</v>
      </c>
      <c r="BM10" s="102">
        <f t="shared" si="18"/>
        <v>7017209.6824500011</v>
      </c>
      <c r="BN10" s="102">
        <f t="shared" si="19"/>
        <v>16577519.3673336</v>
      </c>
      <c r="BO10" s="102">
        <f t="shared" si="20"/>
        <v>12668520.620859602</v>
      </c>
      <c r="BP10" s="102">
        <f t="shared" si="21"/>
        <v>13858875.112500001</v>
      </c>
      <c r="BQ10" s="102">
        <f t="shared" ca="1" si="22"/>
        <v>13968618.454181012</v>
      </c>
      <c r="BR10" s="102">
        <f t="shared" ca="1" si="23"/>
        <v>14317630.445113037</v>
      </c>
      <c r="BS10" s="102">
        <f t="shared" ca="1" si="24"/>
        <v>13289641.978542136</v>
      </c>
      <c r="BT10" s="102">
        <f t="shared" ca="1" si="25"/>
        <v>14982452.625754513</v>
      </c>
      <c r="BU10" s="102">
        <f t="shared" ca="1" si="26"/>
        <v>16901017.963707857</v>
      </c>
      <c r="BV10" s="102">
        <f t="shared" ca="1" si="27"/>
        <v>19077547.005969368</v>
      </c>
      <c r="BW10" s="102">
        <f t="shared" ca="1" si="28"/>
        <v>21549231.219537847</v>
      </c>
      <c r="BX10" s="102">
        <f t="shared" ca="1" si="29"/>
        <v>24359029.368248094</v>
      </c>
      <c r="BY10" s="102">
        <f t="shared" ca="1" si="30"/>
        <v>27556799.805116877</v>
      </c>
      <c r="BZ10" s="102">
        <f t="shared" ca="1" si="31"/>
        <v>31200504.373429585</v>
      </c>
    </row>
    <row r="11" spans="1:79" x14ac:dyDescent="0.25">
      <c r="A11" s="26" t="s">
        <v>111</v>
      </c>
      <c r="B11" s="73">
        <v>0.46</v>
      </c>
      <c r="C11" s="26" t="s">
        <v>132</v>
      </c>
      <c r="D11" s="61"/>
      <c r="E11" s="61"/>
      <c r="F11" s="7"/>
      <c r="G11" s="61"/>
      <c r="H11" s="7"/>
      <c r="I11" s="7"/>
      <c r="J11" s="7"/>
      <c r="K11" s="61"/>
      <c r="L11" s="61"/>
      <c r="M11" s="61"/>
      <c r="N11" s="61"/>
      <c r="O11" s="61"/>
      <c r="P11" s="61"/>
      <c r="Q11" s="61"/>
      <c r="R11" s="61"/>
      <c r="S11" s="74">
        <f>VLOOKUP($A11,turnover!$A$184:$Q$192,+S$4-$S$4+3,0)</f>
        <v>0</v>
      </c>
      <c r="T11" s="74">
        <f>VLOOKUP($A11,turnover!$A$184:$Q$192,+T$4-$S$4+3,0)</f>
        <v>41.239000000000004</v>
      </c>
      <c r="U11" s="74">
        <f>VLOOKUP($A11,turnover!$A$184:$Q$192,+U$4-$S$4+3,0)</f>
        <v>89.688040000000001</v>
      </c>
      <c r="V11" s="74">
        <f>VLOOKUP($A11,turnover!$A$184:$Q$192,+V$4-$S$4+3,0)</f>
        <v>56.612200000000001</v>
      </c>
      <c r="W11" s="74">
        <f>VLOOKUP($A11,turnover!$A$184:$Q$192,+W$4-$S$4+3,0)</f>
        <v>63.25</v>
      </c>
      <c r="X11" s="74">
        <f>VLOOKUP($A11,turnover!$A$184:$Q$192,+X$4-$S$4+3,0)</f>
        <v>59.407100000000021</v>
      </c>
      <c r="Y11" s="74">
        <f>VLOOKUP($A11,turnover!$A$184:$Q$192,+Y$4-$S$4+3,0)</f>
        <v>54.370100000000008</v>
      </c>
      <c r="Z11" s="74">
        <f>VLOOKUP($A11,turnover!$A$184:$Q$192,+Z$4-$S$4+3,0)</f>
        <v>48.859760000000009</v>
      </c>
      <c r="AA11" s="74">
        <f>VLOOKUP($A11,turnover!$A$184:$Q$192,+AA$4-$S$4+3,0)</f>
        <v>48.859760000000009</v>
      </c>
      <c r="AB11" s="74">
        <f>VLOOKUP($A11,turnover!$A$184:$Q$192,+AB$4-$S$4+3,0)</f>
        <v>48.859760000000009</v>
      </c>
      <c r="AC11" s="74">
        <f>VLOOKUP($A11,turnover!$A$184:$Q$192,+AC$4-$S$4+3,0)</f>
        <v>48.859760000000009</v>
      </c>
      <c r="AD11" s="74">
        <f>VLOOKUP($A11,turnover!$A$184:$Q$192,+AD$4-$S$4+3,0)</f>
        <v>48.859760000000009</v>
      </c>
      <c r="AE11" s="74">
        <f>VLOOKUP($A11,turnover!$A$184:$Q$192,+AE$4-$S$4+3,0)</f>
        <v>48.859760000000009</v>
      </c>
      <c r="AF11" s="74">
        <f>VLOOKUP($A11,turnover!$A$184:$Q$192,+AF$4-$S$4+3,0)</f>
        <v>48.859760000000009</v>
      </c>
      <c r="AG11" s="74">
        <f>VLOOKUP($A11,turnover!$A$184:$Q$192,+AG$4-$S$4+3,0)</f>
        <v>48.859760000000009</v>
      </c>
      <c r="AH11" s="61">
        <f t="shared" si="2"/>
        <v>0</v>
      </c>
      <c r="AI11" s="61">
        <f t="shared" si="3"/>
        <v>0</v>
      </c>
      <c r="AJ11" s="61">
        <f t="shared" si="4"/>
        <v>0</v>
      </c>
      <c r="AK11" s="61">
        <f t="shared" si="5"/>
        <v>0</v>
      </c>
      <c r="AL11" s="61">
        <f t="shared" si="6"/>
        <v>0</v>
      </c>
      <c r="AM11" s="61">
        <f t="shared" si="7"/>
        <v>0</v>
      </c>
      <c r="AN11" s="61">
        <f t="shared" si="8"/>
        <v>0</v>
      </c>
      <c r="AO11" s="61">
        <f t="shared" si="9"/>
        <v>0</v>
      </c>
      <c r="AP11" s="61">
        <f t="shared" si="10"/>
        <v>0</v>
      </c>
      <c r="AQ11" s="61">
        <f t="shared" si="11"/>
        <v>0</v>
      </c>
      <c r="AR11" s="61">
        <f t="shared" si="12"/>
        <v>0</v>
      </c>
      <c r="AS11" s="61">
        <f t="shared" si="13"/>
        <v>0</v>
      </c>
      <c r="AT11" s="61">
        <f t="shared" si="14"/>
        <v>0</v>
      </c>
      <c r="AU11" s="61">
        <f t="shared" si="15"/>
        <v>0</v>
      </c>
      <c r="AV11" s="61">
        <f t="shared" si="16"/>
        <v>0</v>
      </c>
      <c r="AW11" s="101">
        <f>VLOOKUP($C11,'Cost RMs'!$B$5:$Q$22,+AW$4-$AW$4+2,0)</f>
        <v>37079</v>
      </c>
      <c r="AX11" s="101">
        <f>VLOOKUP($C11,'Cost RMs'!$B$5:$Q$22,+AX$4-$AW$4+2,0)</f>
        <v>52416</v>
      </c>
      <c r="AY11" s="101">
        <f>VLOOKUP($C11,'Cost RMs'!$B$5:$Q$22,+AY$4-$AW$4+2,0)</f>
        <v>45564</v>
      </c>
      <c r="AZ11" s="101">
        <f>VLOOKUP($C11,'Cost RMs'!$B$5:$Q$22,+AZ$4-$AW$4+2,0)</f>
        <v>49142</v>
      </c>
      <c r="BA11" s="101">
        <f>VLOOKUP($C11,'Cost RMs'!$B$5:$Q$22,+BA$4-$AW$4+2,0)</f>
        <v>50394</v>
      </c>
      <c r="BB11" s="101">
        <f>VLOOKUP($C11,'Cost RMs'!$B$5:$Q$22,+BB$4-$AW$4+2,0)</f>
        <v>56436</v>
      </c>
      <c r="BC11" s="101">
        <f>VLOOKUP($C11,'Cost RMs'!$B$5:$Q$22,+BC$4-$AW$4+2,0)</f>
        <v>63265</v>
      </c>
      <c r="BD11" s="101">
        <f>VLOOKUP($C11,'Cost RMs'!$B$5:$Q$22,+BD$4-$AW$4+2,0)</f>
        <v>70920</v>
      </c>
      <c r="BE11" s="101">
        <f>VLOOKUP($C11,'Cost RMs'!$B$5:$Q$22,+BE$4-$AW$4+2,0)</f>
        <v>79501</v>
      </c>
      <c r="BF11" s="101">
        <f>VLOOKUP($C11,'Cost RMs'!$B$5:$Q$22,+BF$4-$AW$4+2,0)</f>
        <v>89121</v>
      </c>
      <c r="BG11" s="101">
        <f>VLOOKUP($C11,'Cost RMs'!$B$5:$Q$22,+BG$4-$AW$4+2,0)</f>
        <v>99905</v>
      </c>
      <c r="BH11" s="101">
        <f>VLOOKUP($C11,'Cost RMs'!$B$5:$Q$22,+BH$4-$AW$4+2,0)</f>
        <v>111994</v>
      </c>
      <c r="BI11" s="101">
        <f>VLOOKUP($C11,'Cost RMs'!$B$5:$Q$22,+BI$4-$AW$4+2,0)</f>
        <v>125545</v>
      </c>
      <c r="BJ11" s="101">
        <f>VLOOKUP($C11,'Cost RMs'!$B$5:$Q$22,+BJ$4-$AW$4+2,0)</f>
        <v>140736</v>
      </c>
      <c r="BK11" s="101">
        <f>VLOOKUP($C11,'Cost RMs'!$B$5:$Q$22,+BK$4-$AW$4+2,0)</f>
        <v>157765</v>
      </c>
      <c r="BL11" s="102">
        <f t="shared" si="17"/>
        <v>0</v>
      </c>
      <c r="BM11" s="102">
        <f t="shared" si="18"/>
        <v>0</v>
      </c>
      <c r="BN11" s="102">
        <f t="shared" si="19"/>
        <v>0</v>
      </c>
      <c r="BO11" s="102">
        <f t="shared" si="20"/>
        <v>0</v>
      </c>
      <c r="BP11" s="102">
        <f t="shared" si="21"/>
        <v>0</v>
      </c>
      <c r="BQ11" s="102">
        <f t="shared" si="22"/>
        <v>0</v>
      </c>
      <c r="BR11" s="102">
        <f t="shared" si="23"/>
        <v>0</v>
      </c>
      <c r="BS11" s="102">
        <f t="shared" si="24"/>
        <v>0</v>
      </c>
      <c r="BT11" s="102">
        <f t="shared" si="25"/>
        <v>0</v>
      </c>
      <c r="BU11" s="102">
        <f t="shared" si="26"/>
        <v>0</v>
      </c>
      <c r="BV11" s="102">
        <f t="shared" si="27"/>
        <v>0</v>
      </c>
      <c r="BW11" s="102">
        <f t="shared" si="28"/>
        <v>0</v>
      </c>
      <c r="BX11" s="102">
        <f t="shared" si="29"/>
        <v>0</v>
      </c>
      <c r="BY11" s="102">
        <f t="shared" si="30"/>
        <v>0</v>
      </c>
      <c r="BZ11" s="102">
        <f t="shared" si="31"/>
        <v>0</v>
      </c>
    </row>
    <row r="12" spans="1:79" x14ac:dyDescent="0.25">
      <c r="A12" s="26" t="s">
        <v>111</v>
      </c>
      <c r="B12" s="73">
        <v>0.46</v>
      </c>
      <c r="C12" t="s">
        <v>128</v>
      </c>
      <c r="D12" s="61"/>
      <c r="E12" s="61"/>
      <c r="F12" s="7"/>
      <c r="G12" s="61"/>
      <c r="H12" s="7"/>
      <c r="I12" s="7"/>
      <c r="J12" s="7"/>
      <c r="K12" s="61"/>
      <c r="L12" s="61"/>
      <c r="M12" s="61"/>
      <c r="N12" s="61"/>
      <c r="O12" s="61"/>
      <c r="P12" s="61"/>
      <c r="Q12" s="61"/>
      <c r="R12" s="61"/>
      <c r="S12" s="74">
        <f>VLOOKUP($A12,turnover!$A$184:$Q$192,+S$4-$S$4+3,0)</f>
        <v>0</v>
      </c>
      <c r="T12" s="74">
        <f>VLOOKUP($A12,turnover!$A$184:$Q$192,+T$4-$S$4+3,0)</f>
        <v>41.239000000000004</v>
      </c>
      <c r="U12" s="74">
        <f>VLOOKUP($A12,turnover!$A$184:$Q$192,+U$4-$S$4+3,0)</f>
        <v>89.688040000000001</v>
      </c>
      <c r="V12" s="74">
        <f>VLOOKUP($A12,turnover!$A$184:$Q$192,+V$4-$S$4+3,0)</f>
        <v>56.612200000000001</v>
      </c>
      <c r="W12" s="74">
        <f>VLOOKUP($A12,turnover!$A$184:$Q$192,+W$4-$S$4+3,0)</f>
        <v>63.25</v>
      </c>
      <c r="X12" s="74">
        <f>VLOOKUP($A12,turnover!$A$184:$Q$192,+X$4-$S$4+3,0)</f>
        <v>59.407100000000021</v>
      </c>
      <c r="Y12" s="74">
        <f>VLOOKUP($A12,turnover!$A$184:$Q$192,+Y$4-$S$4+3,0)</f>
        <v>54.370100000000008</v>
      </c>
      <c r="Z12" s="74">
        <f>VLOOKUP($A12,turnover!$A$184:$Q$192,+Z$4-$S$4+3,0)</f>
        <v>48.859760000000009</v>
      </c>
      <c r="AA12" s="74">
        <f>VLOOKUP($A12,turnover!$A$184:$Q$192,+AA$4-$S$4+3,0)</f>
        <v>48.859760000000009</v>
      </c>
      <c r="AB12" s="74">
        <f>VLOOKUP($A12,turnover!$A$184:$Q$192,+AB$4-$S$4+3,0)</f>
        <v>48.859760000000009</v>
      </c>
      <c r="AC12" s="74">
        <f>VLOOKUP($A12,turnover!$A$184:$Q$192,+AC$4-$S$4+3,0)</f>
        <v>48.859760000000009</v>
      </c>
      <c r="AD12" s="74">
        <f>VLOOKUP($A12,turnover!$A$184:$Q$192,+AD$4-$S$4+3,0)</f>
        <v>48.859760000000009</v>
      </c>
      <c r="AE12" s="74">
        <f>VLOOKUP($A12,turnover!$A$184:$Q$192,+AE$4-$S$4+3,0)</f>
        <v>48.859760000000009</v>
      </c>
      <c r="AF12" s="74">
        <f>VLOOKUP($A12,turnover!$A$184:$Q$192,+AF$4-$S$4+3,0)</f>
        <v>48.859760000000009</v>
      </c>
      <c r="AG12" s="74">
        <f>VLOOKUP($A12,turnover!$A$184:$Q$192,+AG$4-$S$4+3,0)</f>
        <v>48.859760000000009</v>
      </c>
      <c r="AH12" s="61">
        <f t="shared" si="2"/>
        <v>0</v>
      </c>
      <c r="AI12" s="61">
        <f t="shared" si="3"/>
        <v>0</v>
      </c>
      <c r="AJ12" s="61">
        <f t="shared" si="4"/>
        <v>0</v>
      </c>
      <c r="AK12" s="61">
        <f t="shared" si="5"/>
        <v>0</v>
      </c>
      <c r="AL12" s="61">
        <f t="shared" si="6"/>
        <v>0</v>
      </c>
      <c r="AM12" s="61">
        <f t="shared" si="7"/>
        <v>0</v>
      </c>
      <c r="AN12" s="61">
        <f t="shared" si="8"/>
        <v>0</v>
      </c>
      <c r="AO12" s="61">
        <f t="shared" si="9"/>
        <v>0</v>
      </c>
      <c r="AP12" s="61">
        <f t="shared" si="10"/>
        <v>0</v>
      </c>
      <c r="AQ12" s="61">
        <f t="shared" si="11"/>
        <v>0</v>
      </c>
      <c r="AR12" s="61">
        <f t="shared" si="12"/>
        <v>0</v>
      </c>
      <c r="AS12" s="61">
        <f t="shared" si="13"/>
        <v>0</v>
      </c>
      <c r="AT12" s="61">
        <f t="shared" si="14"/>
        <v>0</v>
      </c>
      <c r="AU12" s="61">
        <f t="shared" si="15"/>
        <v>0</v>
      </c>
      <c r="AV12" s="61">
        <f t="shared" si="16"/>
        <v>0</v>
      </c>
      <c r="AW12" s="101">
        <f>VLOOKUP($C12,'Cost RMs'!$B$5:$Q$22,+AW$4-$AW$4+2,0)</f>
        <v>0</v>
      </c>
      <c r="AX12" s="101">
        <f>VLOOKUP($C12,'Cost RMs'!$B$5:$Q$22,+AX$4-$AW$4+2,0)</f>
        <v>0</v>
      </c>
      <c r="AY12" s="101">
        <f>VLOOKUP($C12,'Cost RMs'!$B$5:$Q$22,+AY$4-$AW$4+2,0)</f>
        <v>0</v>
      </c>
      <c r="AZ12" s="101">
        <f>VLOOKUP($C12,'Cost RMs'!$B$5:$Q$22,+AZ$4-$AW$4+2,0)</f>
        <v>0</v>
      </c>
      <c r="BA12" s="101">
        <f>VLOOKUP($C12,'Cost RMs'!$B$5:$Q$22,+BA$4-$AW$4+2,0)</f>
        <v>0</v>
      </c>
      <c r="BB12" s="101">
        <f>VLOOKUP($C12,'Cost RMs'!$B$5:$Q$22,+BB$4-$AW$4+2,0)</f>
        <v>0</v>
      </c>
      <c r="BC12" s="101">
        <f>VLOOKUP($C12,'Cost RMs'!$B$5:$Q$22,+BC$4-$AW$4+2,0)</f>
        <v>0</v>
      </c>
      <c r="BD12" s="101">
        <f>VLOOKUP($C12,'Cost RMs'!$B$5:$Q$22,+BD$4-$AW$4+2,0)</f>
        <v>0</v>
      </c>
      <c r="BE12" s="101">
        <f>VLOOKUP($C12,'Cost RMs'!$B$5:$Q$22,+BE$4-$AW$4+2,0)</f>
        <v>0</v>
      </c>
      <c r="BF12" s="101">
        <f>VLOOKUP($C12,'Cost RMs'!$B$5:$Q$22,+BF$4-$AW$4+2,0)</f>
        <v>0</v>
      </c>
      <c r="BG12" s="101">
        <f>VLOOKUP($C12,'Cost RMs'!$B$5:$Q$22,+BG$4-$AW$4+2,0)</f>
        <v>0</v>
      </c>
      <c r="BH12" s="101">
        <f>VLOOKUP($C12,'Cost RMs'!$B$5:$Q$22,+BH$4-$AW$4+2,0)</f>
        <v>0</v>
      </c>
      <c r="BI12" s="101">
        <f>VLOOKUP($C12,'Cost RMs'!$B$5:$Q$22,+BI$4-$AW$4+2,0)</f>
        <v>0</v>
      </c>
      <c r="BJ12" s="101">
        <f>VLOOKUP($C12,'Cost RMs'!$B$5:$Q$22,+BJ$4-$AW$4+2,0)</f>
        <v>0</v>
      </c>
      <c r="BK12" s="101">
        <f>VLOOKUP($C12,'Cost RMs'!$B$5:$Q$22,+BK$4-$AW$4+2,0)</f>
        <v>0</v>
      </c>
      <c r="BL12" s="102">
        <f t="shared" si="17"/>
        <v>0</v>
      </c>
      <c r="BM12" s="102">
        <f t="shared" si="18"/>
        <v>0</v>
      </c>
      <c r="BN12" s="102">
        <f t="shared" si="19"/>
        <v>0</v>
      </c>
      <c r="BO12" s="102">
        <f t="shared" si="20"/>
        <v>0</v>
      </c>
      <c r="BP12" s="102">
        <f t="shared" si="21"/>
        <v>0</v>
      </c>
      <c r="BQ12" s="102">
        <f t="shared" si="22"/>
        <v>0</v>
      </c>
      <c r="BR12" s="102">
        <f t="shared" si="23"/>
        <v>0</v>
      </c>
      <c r="BS12" s="102">
        <f t="shared" si="24"/>
        <v>0</v>
      </c>
      <c r="BT12" s="102">
        <f t="shared" si="25"/>
        <v>0</v>
      </c>
      <c r="BU12" s="102">
        <f t="shared" si="26"/>
        <v>0</v>
      </c>
      <c r="BV12" s="102">
        <f t="shared" si="27"/>
        <v>0</v>
      </c>
      <c r="BW12" s="102">
        <f t="shared" si="28"/>
        <v>0</v>
      </c>
      <c r="BX12" s="102">
        <f t="shared" si="29"/>
        <v>0</v>
      </c>
      <c r="BY12" s="102">
        <f t="shared" si="30"/>
        <v>0</v>
      </c>
      <c r="BZ12" s="102">
        <f t="shared" si="31"/>
        <v>0</v>
      </c>
    </row>
    <row r="13" spans="1:79" x14ac:dyDescent="0.25">
      <c r="A13" s="26" t="s">
        <v>111</v>
      </c>
      <c r="B13" s="73">
        <v>0.46</v>
      </c>
      <c r="C13" t="s">
        <v>129</v>
      </c>
      <c r="D13" s="61">
        <v>0.7</v>
      </c>
      <c r="E13" s="61">
        <v>0.7</v>
      </c>
      <c r="F13" s="402">
        <v>0.66600000000000004</v>
      </c>
      <c r="G13" s="402">
        <v>0.66900000000000004</v>
      </c>
      <c r="H13" s="402">
        <v>0.66800000000000004</v>
      </c>
      <c r="I13" s="402">
        <v>0.66800000000000004</v>
      </c>
      <c r="J13" s="402">
        <v>0.66800000000000004</v>
      </c>
      <c r="K13" s="402">
        <v>0.66900000000000004</v>
      </c>
      <c r="L13" s="402">
        <v>0.66900000000000004</v>
      </c>
      <c r="M13" s="402">
        <v>0.66900000000000004</v>
      </c>
      <c r="N13" s="402">
        <v>0.66900000000000004</v>
      </c>
      <c r="O13" s="402">
        <v>0.66900000000000004</v>
      </c>
      <c r="P13" s="402">
        <v>0.66900000000000004</v>
      </c>
      <c r="Q13" s="402">
        <v>0.66900000000000004</v>
      </c>
      <c r="R13" s="402">
        <v>0.66900000000000004</v>
      </c>
      <c r="S13" s="74">
        <f>VLOOKUP($A13,turnover!$A$184:$Q$192,+S$4-$S$4+3,0)</f>
        <v>0</v>
      </c>
      <c r="T13" s="74">
        <f>VLOOKUP($A13,turnover!$A$184:$Q$192,+T$4-$S$4+3,0)</f>
        <v>41.239000000000004</v>
      </c>
      <c r="U13" s="74">
        <f>VLOOKUP($A13,turnover!$A$184:$Q$192,+U$4-$S$4+3,0)</f>
        <v>89.688040000000001</v>
      </c>
      <c r="V13" s="74">
        <f>VLOOKUP($A13,turnover!$A$184:$Q$192,+V$4-$S$4+3,0)</f>
        <v>56.612200000000001</v>
      </c>
      <c r="W13" s="74">
        <f>VLOOKUP($A13,turnover!$A$184:$Q$192,+W$4-$S$4+3,0)</f>
        <v>63.25</v>
      </c>
      <c r="X13" s="74">
        <f>VLOOKUP($A13,turnover!$A$184:$Q$192,+X$4-$S$4+3,0)</f>
        <v>59.407100000000021</v>
      </c>
      <c r="Y13" s="74">
        <f>VLOOKUP($A13,turnover!$A$184:$Q$192,+Y$4-$S$4+3,0)</f>
        <v>54.370100000000008</v>
      </c>
      <c r="Z13" s="74">
        <f>VLOOKUP($A13,turnover!$A$184:$Q$192,+Z$4-$S$4+3,0)</f>
        <v>48.859760000000009</v>
      </c>
      <c r="AA13" s="74">
        <f>VLOOKUP($A13,turnover!$A$184:$Q$192,+AA$4-$S$4+3,0)</f>
        <v>48.859760000000009</v>
      </c>
      <c r="AB13" s="74">
        <f>VLOOKUP($A13,turnover!$A$184:$Q$192,+AB$4-$S$4+3,0)</f>
        <v>48.859760000000009</v>
      </c>
      <c r="AC13" s="74">
        <f>VLOOKUP($A13,turnover!$A$184:$Q$192,+AC$4-$S$4+3,0)</f>
        <v>48.859760000000009</v>
      </c>
      <c r="AD13" s="74">
        <f>VLOOKUP($A13,turnover!$A$184:$Q$192,+AD$4-$S$4+3,0)</f>
        <v>48.859760000000009</v>
      </c>
      <c r="AE13" s="74">
        <f>VLOOKUP($A13,turnover!$A$184:$Q$192,+AE$4-$S$4+3,0)</f>
        <v>48.859760000000009</v>
      </c>
      <c r="AF13" s="74">
        <f>VLOOKUP($A13,turnover!$A$184:$Q$192,+AF$4-$S$4+3,0)</f>
        <v>48.859760000000009</v>
      </c>
      <c r="AG13" s="74">
        <f>VLOOKUP($A13,turnover!$A$184:$Q$192,+AG$4-$S$4+3,0)</f>
        <v>48.859760000000009</v>
      </c>
      <c r="AH13" s="61">
        <f t="shared" si="2"/>
        <v>0</v>
      </c>
      <c r="AI13" s="61">
        <f t="shared" si="3"/>
        <v>28.8673</v>
      </c>
      <c r="AJ13" s="61">
        <f t="shared" si="4"/>
        <v>59.732234640000001</v>
      </c>
      <c r="AK13" s="61">
        <f t="shared" si="5"/>
        <v>37.873561800000004</v>
      </c>
      <c r="AL13" s="61">
        <f t="shared" si="6"/>
        <v>42.251000000000005</v>
      </c>
      <c r="AM13" s="61">
        <f t="shared" si="7"/>
        <v>39.683942800000018</v>
      </c>
      <c r="AN13" s="61">
        <f t="shared" si="8"/>
        <v>36.31922680000001</v>
      </c>
      <c r="AO13" s="61">
        <f t="shared" si="9"/>
        <v>32.687179440000008</v>
      </c>
      <c r="AP13" s="61">
        <f t="shared" si="10"/>
        <v>32.687179440000008</v>
      </c>
      <c r="AQ13" s="61">
        <f t="shared" si="11"/>
        <v>32.687179440000008</v>
      </c>
      <c r="AR13" s="61">
        <f t="shared" si="12"/>
        <v>32.687179440000008</v>
      </c>
      <c r="AS13" s="61">
        <f t="shared" si="13"/>
        <v>32.687179440000008</v>
      </c>
      <c r="AT13" s="61">
        <f t="shared" si="14"/>
        <v>32.687179440000008</v>
      </c>
      <c r="AU13" s="61">
        <f t="shared" si="15"/>
        <v>32.687179440000008</v>
      </c>
      <c r="AV13" s="61">
        <f t="shared" si="16"/>
        <v>32.687179440000008</v>
      </c>
      <c r="AW13" s="101">
        <f>VLOOKUP($C13,'Cost RMs'!$B$5:$Q$22,+AW$4-$AW$4+2,0)</f>
        <v>40086</v>
      </c>
      <c r="AX13" s="101">
        <f>VLOOKUP($C13,'Cost RMs'!$B$5:$Q$22,+AX$4-$AW$4+2,0)</f>
        <v>56197</v>
      </c>
      <c r="AY13" s="101">
        <f>VLOOKUP($C13,'Cost RMs'!$B$5:$Q$22,+AY$4-$AW$4+2,0)</f>
        <v>64582</v>
      </c>
      <c r="AZ13" s="101">
        <f>VLOOKUP($C13,'Cost RMs'!$B$5:$Q$22,+AZ$4-$AW$4+2,0)</f>
        <v>76567</v>
      </c>
      <c r="BA13" s="101">
        <f ca="1">VLOOKUP($C13,'Cost RMs'!$B$5:$Q$22,+BA$4-$AW$4+2,0)</f>
        <v>86638</v>
      </c>
      <c r="BB13" s="101">
        <f ca="1">VLOOKUP($C13,'Cost RMs'!$B$5:$Q$22,+BB$4-$AW$4+2,0)</f>
        <v>97026</v>
      </c>
      <c r="BC13" s="101">
        <f ca="1">VLOOKUP($C13,'Cost RMs'!$B$5:$Q$22,+BC$4-$AW$4+2,0)</f>
        <v>108766</v>
      </c>
      <c r="BD13" s="101">
        <f ca="1">VLOOKUP($C13,'Cost RMs'!$B$5:$Q$22,+BD$4-$AW$4+2,0)</f>
        <v>121927</v>
      </c>
      <c r="BE13" s="101">
        <f ca="1">VLOOKUP($C13,'Cost RMs'!$B$5:$Q$22,+BE$4-$AW$4+2,0)</f>
        <v>136680</v>
      </c>
      <c r="BF13" s="101">
        <f ca="1">VLOOKUP($C13,'Cost RMs'!$B$5:$Q$22,+BF$4-$AW$4+2,0)</f>
        <v>153218</v>
      </c>
      <c r="BG13" s="101">
        <f ca="1">VLOOKUP($C13,'Cost RMs'!$B$5:$Q$22,+BG$4-$AW$4+2,0)</f>
        <v>171757</v>
      </c>
      <c r="BH13" s="101">
        <f ca="1">VLOOKUP($C13,'Cost RMs'!$B$5:$Q$22,+BH$4-$AW$4+2,0)</f>
        <v>192540</v>
      </c>
      <c r="BI13" s="101">
        <f ca="1">VLOOKUP($C13,'Cost RMs'!$B$5:$Q$22,+BI$4-$AW$4+2,0)</f>
        <v>215837</v>
      </c>
      <c r="BJ13" s="101">
        <f ca="1">VLOOKUP($C13,'Cost RMs'!$B$5:$Q$22,+BJ$4-$AW$4+2,0)</f>
        <v>241953</v>
      </c>
      <c r="BK13" s="101">
        <f ca="1">VLOOKUP($C13,'Cost RMs'!$B$5:$Q$22,+BK$4-$AW$4+2,0)</f>
        <v>271229</v>
      </c>
      <c r="BL13" s="102">
        <f t="shared" si="17"/>
        <v>0</v>
      </c>
      <c r="BM13" s="102">
        <f t="shared" si="18"/>
        <v>1622255.6581000001</v>
      </c>
      <c r="BN13" s="102">
        <f t="shared" si="19"/>
        <v>3857627.17752048</v>
      </c>
      <c r="BO13" s="102">
        <f t="shared" si="20"/>
        <v>2899865.0063406006</v>
      </c>
      <c r="BP13" s="102">
        <f t="shared" ca="1" si="21"/>
        <v>3660542.1380000003</v>
      </c>
      <c r="BQ13" s="102">
        <f t="shared" ca="1" si="22"/>
        <v>3850374.234112802</v>
      </c>
      <c r="BR13" s="102">
        <f t="shared" ca="1" si="23"/>
        <v>3950297.0221288009</v>
      </c>
      <c r="BS13" s="102">
        <f t="shared" ca="1" si="24"/>
        <v>3985449.7275808812</v>
      </c>
      <c r="BT13" s="102">
        <f t="shared" ca="1" si="25"/>
        <v>4467683.6858592015</v>
      </c>
      <c r="BU13" s="102">
        <f t="shared" ca="1" si="26"/>
        <v>5008264.2594379215</v>
      </c>
      <c r="BV13" s="102">
        <f t="shared" ca="1" si="27"/>
        <v>5614251.8790760813</v>
      </c>
      <c r="BW13" s="102">
        <f t="shared" ca="1" si="28"/>
        <v>6293589.529377602</v>
      </c>
      <c r="BX13" s="102">
        <f t="shared" ca="1" si="29"/>
        <v>7055102.7487912821</v>
      </c>
      <c r="BY13" s="102">
        <f t="shared" ca="1" si="30"/>
        <v>7908761.1270463225</v>
      </c>
      <c r="BZ13" s="102">
        <f t="shared" ca="1" si="31"/>
        <v>8865710.9923317619</v>
      </c>
    </row>
    <row r="14" spans="1:79" x14ac:dyDescent="0.25">
      <c r="A14" s="26" t="s">
        <v>111</v>
      </c>
      <c r="B14" s="73">
        <v>0.46</v>
      </c>
      <c r="C14" t="s">
        <v>130</v>
      </c>
      <c r="D14" s="61">
        <v>0.38900000000000001</v>
      </c>
      <c r="E14" s="61">
        <v>0.38900000000000001</v>
      </c>
      <c r="F14" s="61">
        <v>0.34</v>
      </c>
      <c r="G14" s="61">
        <v>0.318</v>
      </c>
      <c r="H14" s="61">
        <v>0.318</v>
      </c>
      <c r="I14" s="61">
        <v>0.318</v>
      </c>
      <c r="J14" s="61">
        <v>0.318</v>
      </c>
      <c r="K14" s="61">
        <v>0.307</v>
      </c>
      <c r="L14" s="61">
        <v>0.307</v>
      </c>
      <c r="M14" s="61">
        <v>0.307</v>
      </c>
      <c r="N14" s="61">
        <v>0.307</v>
      </c>
      <c r="O14" s="61">
        <v>0.307</v>
      </c>
      <c r="P14" s="61">
        <v>0.307</v>
      </c>
      <c r="Q14" s="61">
        <v>0.307</v>
      </c>
      <c r="R14" s="61">
        <v>0.307</v>
      </c>
      <c r="S14" s="74">
        <f>VLOOKUP($A14,turnover!$A$184:$Q$192,+S$4-$S$4+3,0)</f>
        <v>0</v>
      </c>
      <c r="T14" s="74">
        <f>VLOOKUP($A14,turnover!$A$184:$Q$192,+T$4-$S$4+3,0)</f>
        <v>41.239000000000004</v>
      </c>
      <c r="U14" s="74">
        <f>VLOOKUP($A14,turnover!$A$184:$Q$192,+U$4-$S$4+3,0)</f>
        <v>89.688040000000001</v>
      </c>
      <c r="V14" s="74">
        <f>VLOOKUP($A14,turnover!$A$184:$Q$192,+V$4-$S$4+3,0)</f>
        <v>56.612200000000001</v>
      </c>
      <c r="W14" s="74">
        <f>VLOOKUP($A14,turnover!$A$184:$Q$192,+W$4-$S$4+3,0)</f>
        <v>63.25</v>
      </c>
      <c r="X14" s="74">
        <f>VLOOKUP($A14,turnover!$A$184:$Q$192,+X$4-$S$4+3,0)</f>
        <v>59.407100000000021</v>
      </c>
      <c r="Y14" s="74">
        <f>VLOOKUP($A14,turnover!$A$184:$Q$192,+Y$4-$S$4+3,0)</f>
        <v>54.370100000000008</v>
      </c>
      <c r="Z14" s="74">
        <f>VLOOKUP($A14,turnover!$A$184:$Q$192,+Z$4-$S$4+3,0)</f>
        <v>48.859760000000009</v>
      </c>
      <c r="AA14" s="74">
        <f>VLOOKUP($A14,turnover!$A$184:$Q$192,+AA$4-$S$4+3,0)</f>
        <v>48.859760000000009</v>
      </c>
      <c r="AB14" s="74">
        <f>VLOOKUP($A14,turnover!$A$184:$Q$192,+AB$4-$S$4+3,0)</f>
        <v>48.859760000000009</v>
      </c>
      <c r="AC14" s="74">
        <f>VLOOKUP($A14,turnover!$A$184:$Q$192,+AC$4-$S$4+3,0)</f>
        <v>48.859760000000009</v>
      </c>
      <c r="AD14" s="74">
        <f>VLOOKUP($A14,turnover!$A$184:$Q$192,+AD$4-$S$4+3,0)</f>
        <v>48.859760000000009</v>
      </c>
      <c r="AE14" s="74">
        <f>VLOOKUP($A14,turnover!$A$184:$Q$192,+AE$4-$S$4+3,0)</f>
        <v>48.859760000000009</v>
      </c>
      <c r="AF14" s="74">
        <f>VLOOKUP($A14,turnover!$A$184:$Q$192,+AF$4-$S$4+3,0)</f>
        <v>48.859760000000009</v>
      </c>
      <c r="AG14" s="74">
        <f>VLOOKUP($A14,turnover!$A$184:$Q$192,+AG$4-$S$4+3,0)</f>
        <v>48.859760000000009</v>
      </c>
      <c r="AH14" s="61">
        <f t="shared" si="2"/>
        <v>0</v>
      </c>
      <c r="AI14" s="61">
        <f t="shared" si="3"/>
        <v>16.041971000000004</v>
      </c>
      <c r="AJ14" s="61">
        <f t="shared" si="4"/>
        <v>30.493933600000002</v>
      </c>
      <c r="AK14" s="61">
        <f t="shared" si="5"/>
        <v>18.0026796</v>
      </c>
      <c r="AL14" s="61">
        <f t="shared" si="6"/>
        <v>20.113500000000002</v>
      </c>
      <c r="AM14" s="61">
        <f t="shared" si="7"/>
        <v>18.891457800000008</v>
      </c>
      <c r="AN14" s="61">
        <f t="shared" si="8"/>
        <v>17.289691800000003</v>
      </c>
      <c r="AO14" s="61">
        <f t="shared" si="9"/>
        <v>14.999946320000003</v>
      </c>
      <c r="AP14" s="61">
        <f t="shared" si="10"/>
        <v>14.999946320000003</v>
      </c>
      <c r="AQ14" s="61">
        <f t="shared" si="11"/>
        <v>14.999946320000003</v>
      </c>
      <c r="AR14" s="61">
        <f t="shared" si="12"/>
        <v>14.999946320000003</v>
      </c>
      <c r="AS14" s="61">
        <f t="shared" si="13"/>
        <v>14.999946320000003</v>
      </c>
      <c r="AT14" s="61">
        <f t="shared" si="14"/>
        <v>14.999946320000003</v>
      </c>
      <c r="AU14" s="61">
        <f t="shared" si="15"/>
        <v>14.999946320000003</v>
      </c>
      <c r="AV14" s="61">
        <f t="shared" si="16"/>
        <v>14.999946320000003</v>
      </c>
      <c r="AW14" s="101">
        <f>VLOOKUP($C14,'Cost RMs'!$B$5:$Q$22,+AW$4-$AW$4+2,0)</f>
        <v>42500</v>
      </c>
      <c r="AX14" s="101">
        <f>VLOOKUP($C14,'Cost RMs'!$B$5:$Q$22,+AX$4-$AW$4+2,0)</f>
        <v>63692</v>
      </c>
      <c r="AY14" s="101">
        <f>VLOOKUP($C14,'Cost RMs'!$B$5:$Q$22,+AY$4-$AW$4+2,0)</f>
        <v>71301</v>
      </c>
      <c r="AZ14" s="101">
        <f>VLOOKUP($C14,'Cost RMs'!$B$5:$Q$22,+AZ$4-$AW$4+2,0)</f>
        <v>82665</v>
      </c>
      <c r="BA14" s="101">
        <f ca="1">VLOOKUP($C14,'Cost RMs'!$B$5:$Q$22,+BA$4-$AW$4+2,0)</f>
        <v>96790</v>
      </c>
      <c r="BB14" s="101">
        <f ca="1">VLOOKUP($C14,'Cost RMs'!$B$5:$Q$22,+BB$4-$AW$4+2,0)</f>
        <v>108395</v>
      </c>
      <c r="BC14" s="101">
        <f ca="1">VLOOKUP($C14,'Cost RMs'!$B$5:$Q$22,+BC$4-$AW$4+2,0)</f>
        <v>121511</v>
      </c>
      <c r="BD14" s="101">
        <f ca="1">VLOOKUP($C14,'Cost RMs'!$B$5:$Q$22,+BD$4-$AW$4+2,0)</f>
        <v>136214</v>
      </c>
      <c r="BE14" s="101">
        <f ca="1">VLOOKUP($C14,'Cost RMs'!$B$5:$Q$22,+BE$4-$AW$4+2,0)</f>
        <v>152696</v>
      </c>
      <c r="BF14" s="101">
        <f ca="1">VLOOKUP($C14,'Cost RMs'!$B$5:$Q$22,+BF$4-$AW$4+2,0)</f>
        <v>171172</v>
      </c>
      <c r="BG14" s="101">
        <f ca="1">VLOOKUP($C14,'Cost RMs'!$B$5:$Q$22,+BG$4-$AW$4+2,0)</f>
        <v>191884</v>
      </c>
      <c r="BH14" s="101">
        <f ca="1">VLOOKUP($C14,'Cost RMs'!$B$5:$Q$22,+BH$4-$AW$4+2,0)</f>
        <v>215102</v>
      </c>
      <c r="BI14" s="101">
        <f ca="1">VLOOKUP($C14,'Cost RMs'!$B$5:$Q$22,+BI$4-$AW$4+2,0)</f>
        <v>241129</v>
      </c>
      <c r="BJ14" s="101">
        <f ca="1">VLOOKUP($C14,'Cost RMs'!$B$5:$Q$22,+BJ$4-$AW$4+2,0)</f>
        <v>270306</v>
      </c>
      <c r="BK14" s="101">
        <f ca="1">VLOOKUP($C14,'Cost RMs'!$B$5:$Q$22,+BK$4-$AW$4+2,0)</f>
        <v>303013</v>
      </c>
      <c r="BL14" s="102">
        <f t="shared" si="17"/>
        <v>0</v>
      </c>
      <c r="BM14" s="102">
        <f t="shared" si="18"/>
        <v>1021745.2169320002</v>
      </c>
      <c r="BN14" s="102">
        <f t="shared" si="19"/>
        <v>2174247.9596136003</v>
      </c>
      <c r="BO14" s="102">
        <f t="shared" si="20"/>
        <v>1488191.5091339999</v>
      </c>
      <c r="BP14" s="102">
        <f t="shared" ca="1" si="21"/>
        <v>1946785.6650000003</v>
      </c>
      <c r="BQ14" s="102">
        <f t="shared" ca="1" si="22"/>
        <v>2047739.5682310008</v>
      </c>
      <c r="BR14" s="102">
        <f t="shared" ca="1" si="23"/>
        <v>2100887.7403098005</v>
      </c>
      <c r="BS14" s="102">
        <f t="shared" ca="1" si="24"/>
        <v>2043202.6880324804</v>
      </c>
      <c r="BT14" s="102">
        <f t="shared" ca="1" si="25"/>
        <v>2290431.8032787205</v>
      </c>
      <c r="BU14" s="102">
        <f t="shared" ca="1" si="26"/>
        <v>2567570.8114870405</v>
      </c>
      <c r="BV14" s="102">
        <f t="shared" ca="1" si="27"/>
        <v>2878249.6996668805</v>
      </c>
      <c r="BW14" s="102">
        <f t="shared" ca="1" si="28"/>
        <v>3226518.4533246406</v>
      </c>
      <c r="BX14" s="102">
        <f t="shared" ca="1" si="29"/>
        <v>3616922.0561952805</v>
      </c>
      <c r="BY14" s="102">
        <f t="shared" ca="1" si="30"/>
        <v>4054575.4899739209</v>
      </c>
      <c r="BZ14" s="102">
        <f t="shared" ca="1" si="31"/>
        <v>4545178.734262161</v>
      </c>
    </row>
    <row r="15" spans="1:79" x14ac:dyDescent="0.25">
      <c r="A15" s="26" t="s">
        <v>111</v>
      </c>
      <c r="B15" s="73">
        <v>0.46</v>
      </c>
      <c r="C15" s="59" t="s">
        <v>146</v>
      </c>
      <c r="D15" s="61">
        <v>1.268</v>
      </c>
      <c r="E15" s="61">
        <v>1.268</v>
      </c>
      <c r="F15" s="61">
        <v>1.2669999999999999</v>
      </c>
      <c r="G15" s="61">
        <v>1.2709999999999999</v>
      </c>
      <c r="H15" s="61">
        <v>1.266</v>
      </c>
      <c r="I15" s="61">
        <v>1.266</v>
      </c>
      <c r="J15" s="61">
        <v>1.266</v>
      </c>
      <c r="K15" s="61">
        <v>1.2729999999999999</v>
      </c>
      <c r="L15" s="61">
        <v>1.2729999999999999</v>
      </c>
      <c r="M15" s="61">
        <v>1.2729999999999999</v>
      </c>
      <c r="N15" s="61">
        <v>1.2729999999999999</v>
      </c>
      <c r="O15" s="61">
        <v>1.2729999999999999</v>
      </c>
      <c r="P15" s="61">
        <v>1.2729999999999999</v>
      </c>
      <c r="Q15" s="61">
        <v>1.2729999999999999</v>
      </c>
      <c r="R15" s="61">
        <v>1.2729999999999999</v>
      </c>
      <c r="S15" s="74">
        <f>VLOOKUP($A15,turnover!$A$184:$Q$192,+S$4-$S$4+3,0)</f>
        <v>0</v>
      </c>
      <c r="T15" s="74">
        <f>VLOOKUP($A15,turnover!$A$184:$Q$192,+T$4-$S$4+3,0)</f>
        <v>41.239000000000004</v>
      </c>
      <c r="U15" s="74">
        <f>VLOOKUP($A15,turnover!$A$184:$Q$192,+U$4-$S$4+3,0)</f>
        <v>89.688040000000001</v>
      </c>
      <c r="V15" s="74">
        <f>VLOOKUP($A15,turnover!$A$184:$Q$192,+V$4-$S$4+3,0)</f>
        <v>56.612200000000001</v>
      </c>
      <c r="W15" s="74">
        <f>VLOOKUP($A15,turnover!$A$184:$Q$192,+W$4-$S$4+3,0)</f>
        <v>63.25</v>
      </c>
      <c r="X15" s="74">
        <f>VLOOKUP($A15,turnover!$A$184:$Q$192,+X$4-$S$4+3,0)</f>
        <v>59.407100000000021</v>
      </c>
      <c r="Y15" s="74">
        <f>VLOOKUP($A15,turnover!$A$184:$Q$192,+Y$4-$S$4+3,0)</f>
        <v>54.370100000000008</v>
      </c>
      <c r="Z15" s="74">
        <f>VLOOKUP($A15,turnover!$A$184:$Q$192,+Z$4-$S$4+3,0)</f>
        <v>48.859760000000009</v>
      </c>
      <c r="AA15" s="74">
        <f>VLOOKUP($A15,turnover!$A$184:$Q$192,+AA$4-$S$4+3,0)</f>
        <v>48.859760000000009</v>
      </c>
      <c r="AB15" s="74">
        <f>VLOOKUP($A15,turnover!$A$184:$Q$192,+AB$4-$S$4+3,0)</f>
        <v>48.859760000000009</v>
      </c>
      <c r="AC15" s="74">
        <f>VLOOKUP($A15,turnover!$A$184:$Q$192,+AC$4-$S$4+3,0)</f>
        <v>48.859760000000009</v>
      </c>
      <c r="AD15" s="74">
        <f>VLOOKUP($A15,turnover!$A$184:$Q$192,+AD$4-$S$4+3,0)</f>
        <v>48.859760000000009</v>
      </c>
      <c r="AE15" s="74">
        <f>VLOOKUP($A15,turnover!$A$184:$Q$192,+AE$4-$S$4+3,0)</f>
        <v>48.859760000000009</v>
      </c>
      <c r="AF15" s="74">
        <f>VLOOKUP($A15,turnover!$A$184:$Q$192,+AF$4-$S$4+3,0)</f>
        <v>48.859760000000009</v>
      </c>
      <c r="AG15" s="74">
        <f>VLOOKUP($A15,turnover!$A$184:$Q$192,+AG$4-$S$4+3,0)</f>
        <v>48.859760000000009</v>
      </c>
      <c r="AH15" s="61">
        <f t="shared" si="2"/>
        <v>0</v>
      </c>
      <c r="AI15" s="61">
        <f t="shared" si="3"/>
        <v>52.291052000000008</v>
      </c>
      <c r="AJ15" s="61">
        <f t="shared" si="4"/>
        <v>113.63474667999999</v>
      </c>
      <c r="AK15" s="61">
        <f t="shared" si="5"/>
        <v>71.954106199999998</v>
      </c>
      <c r="AL15" s="61">
        <f t="shared" si="6"/>
        <v>80.0745</v>
      </c>
      <c r="AM15" s="61">
        <f t="shared" si="7"/>
        <v>75.209388600000025</v>
      </c>
      <c r="AN15" s="61">
        <f t="shared" si="8"/>
        <v>68.832546600000015</v>
      </c>
      <c r="AO15" s="61">
        <f t="shared" si="9"/>
        <v>62.198474480000009</v>
      </c>
      <c r="AP15" s="61">
        <f t="shared" si="10"/>
        <v>62.198474480000009</v>
      </c>
      <c r="AQ15" s="61">
        <f t="shared" si="11"/>
        <v>62.198474480000009</v>
      </c>
      <c r="AR15" s="61">
        <f t="shared" si="12"/>
        <v>62.198474480000009</v>
      </c>
      <c r="AS15" s="61">
        <f t="shared" si="13"/>
        <v>62.198474480000009</v>
      </c>
      <c r="AT15" s="61">
        <f t="shared" si="14"/>
        <v>62.198474480000009</v>
      </c>
      <c r="AU15" s="61">
        <f t="shared" si="15"/>
        <v>62.198474480000009</v>
      </c>
      <c r="AV15" s="61">
        <f t="shared" si="16"/>
        <v>62.198474480000009</v>
      </c>
      <c r="AW15" s="101">
        <f>VLOOKUP($C15,'Cost RMs'!$B$5:$Q$22,+AW$4-$AW$4+2,0)</f>
        <v>7020</v>
      </c>
      <c r="AX15" s="101">
        <f>VLOOKUP($C15,'Cost RMs'!$B$5:$Q$22,+AX$4-$AW$4+2,0)</f>
        <v>8883</v>
      </c>
      <c r="AY15" s="101">
        <f>VLOOKUP($C15,'Cost RMs'!$B$5:$Q$22,+AY$4-$AW$4+2,0)</f>
        <v>11764</v>
      </c>
      <c r="AZ15" s="101">
        <f>VLOOKUP($C15,'Cost RMs'!$B$5:$Q$22,+AZ$4-$AW$4+2,0)</f>
        <v>15733</v>
      </c>
      <c r="BA15" s="101">
        <f ca="1">VLOOKUP($C15,'Cost RMs'!$B$5:$Q$22,+BA$4-$AW$4+2,0)</f>
        <v>19200</v>
      </c>
      <c r="BB15" s="101">
        <f ca="1">VLOOKUP($C15,'Cost RMs'!$B$5:$Q$22,+BB$4-$AW$4+2,0)</f>
        <v>21502</v>
      </c>
      <c r="BC15" s="101">
        <f ca="1">VLOOKUP($C15,'Cost RMs'!$B$5:$Q$22,+BC$4-$AW$4+2,0)</f>
        <v>24104</v>
      </c>
      <c r="BD15" s="101">
        <f ca="1">VLOOKUP($C15,'Cost RMs'!$B$5:$Q$22,+BD$4-$AW$4+2,0)</f>
        <v>27021</v>
      </c>
      <c r="BE15" s="101">
        <f ca="1">VLOOKUP($C15,'Cost RMs'!$B$5:$Q$22,+BE$4-$AW$4+2,0)</f>
        <v>30291</v>
      </c>
      <c r="BF15" s="101">
        <f ca="1">VLOOKUP($C15,'Cost RMs'!$B$5:$Q$22,+BF$4-$AW$4+2,0)</f>
        <v>33956</v>
      </c>
      <c r="BG15" s="101">
        <f ca="1">VLOOKUP($C15,'Cost RMs'!$B$5:$Q$22,+BG$4-$AW$4+2,0)</f>
        <v>38065</v>
      </c>
      <c r="BH15" s="101">
        <f ca="1">VLOOKUP($C15,'Cost RMs'!$B$5:$Q$22,+BH$4-$AW$4+2,0)</f>
        <v>42671</v>
      </c>
      <c r="BI15" s="101">
        <f ca="1">VLOOKUP($C15,'Cost RMs'!$B$5:$Q$22,+BI$4-$AW$4+2,0)</f>
        <v>47834</v>
      </c>
      <c r="BJ15" s="101">
        <f ca="1">VLOOKUP($C15,'Cost RMs'!$B$5:$Q$22,+BJ$4-$AW$4+2,0)</f>
        <v>53622</v>
      </c>
      <c r="BK15" s="101">
        <f ca="1">VLOOKUP($C15,'Cost RMs'!$B$5:$Q$22,+BK$4-$AW$4+2,0)</f>
        <v>60110</v>
      </c>
      <c r="BL15" s="102">
        <f t="shared" si="17"/>
        <v>0</v>
      </c>
      <c r="BM15" s="102">
        <f t="shared" si="18"/>
        <v>464501.4149160001</v>
      </c>
      <c r="BN15" s="102">
        <f t="shared" si="19"/>
        <v>1336799.1599435199</v>
      </c>
      <c r="BO15" s="102">
        <f t="shared" si="20"/>
        <v>1132053.9528446</v>
      </c>
      <c r="BP15" s="102">
        <f t="shared" ca="1" si="21"/>
        <v>1537430.4</v>
      </c>
      <c r="BQ15" s="102">
        <f t="shared" ca="1" si="22"/>
        <v>1617152.2736772005</v>
      </c>
      <c r="BR15" s="102">
        <f t="shared" ca="1" si="23"/>
        <v>1659139.7032464005</v>
      </c>
      <c r="BS15" s="102">
        <f t="shared" ca="1" si="24"/>
        <v>1680664.9789240803</v>
      </c>
      <c r="BT15" s="102">
        <f t="shared" ca="1" si="25"/>
        <v>1884053.9904736802</v>
      </c>
      <c r="BU15" s="102">
        <f t="shared" ca="1" si="26"/>
        <v>2112011.3994428804</v>
      </c>
      <c r="BV15" s="102">
        <f t="shared" ca="1" si="27"/>
        <v>2367584.9310812005</v>
      </c>
      <c r="BW15" s="102">
        <f t="shared" ca="1" si="28"/>
        <v>2654071.1045360803</v>
      </c>
      <c r="BX15" s="102">
        <f t="shared" ca="1" si="29"/>
        <v>2975201.8282763204</v>
      </c>
      <c r="BY15" s="102">
        <f t="shared" ca="1" si="30"/>
        <v>3335206.5985665605</v>
      </c>
      <c r="BZ15" s="102">
        <f t="shared" ca="1" si="31"/>
        <v>3738750.3009928004</v>
      </c>
    </row>
    <row r="16" spans="1:79" x14ac:dyDescent="0.25">
      <c r="A16" s="26" t="s">
        <v>111</v>
      </c>
      <c r="B16" s="73">
        <v>0.46</v>
      </c>
      <c r="C16" s="59" t="s">
        <v>147</v>
      </c>
      <c r="D16" s="61">
        <v>0.129</v>
      </c>
      <c r="E16" s="61">
        <v>0.129</v>
      </c>
      <c r="F16" s="61">
        <v>0.129</v>
      </c>
      <c r="G16" s="61">
        <v>0.13</v>
      </c>
      <c r="H16" s="61">
        <v>0.125</v>
      </c>
      <c r="I16" s="61">
        <v>0.125</v>
      </c>
      <c r="J16" s="61">
        <v>0.125</v>
      </c>
      <c r="K16" s="61">
        <v>0.13200000000000001</v>
      </c>
      <c r="L16" s="61">
        <v>0.13200000000000001</v>
      </c>
      <c r="M16" s="61">
        <v>0.13200000000000001</v>
      </c>
      <c r="N16" s="61">
        <v>0.13200000000000001</v>
      </c>
      <c r="O16" s="61">
        <v>0.13200000000000001</v>
      </c>
      <c r="P16" s="61">
        <v>0.13200000000000001</v>
      </c>
      <c r="Q16" s="61">
        <v>0.13200000000000001</v>
      </c>
      <c r="R16" s="61">
        <v>0.13200000000000001</v>
      </c>
      <c r="S16" s="74">
        <f>VLOOKUP($A16,turnover!$A$184:$Q$192,+S$4-$S$4+3,0)</f>
        <v>0</v>
      </c>
      <c r="T16" s="74">
        <f>VLOOKUP($A16,turnover!$A$184:$Q$192,+T$4-$S$4+3,0)</f>
        <v>41.239000000000004</v>
      </c>
      <c r="U16" s="74">
        <f>VLOOKUP($A16,turnover!$A$184:$Q$192,+U$4-$S$4+3,0)</f>
        <v>89.688040000000001</v>
      </c>
      <c r="V16" s="74">
        <f>VLOOKUP($A16,turnover!$A$184:$Q$192,+V$4-$S$4+3,0)</f>
        <v>56.612200000000001</v>
      </c>
      <c r="W16" s="74">
        <f>VLOOKUP($A16,turnover!$A$184:$Q$192,+W$4-$S$4+3,0)</f>
        <v>63.25</v>
      </c>
      <c r="X16" s="74">
        <f>VLOOKUP($A16,turnover!$A$184:$Q$192,+X$4-$S$4+3,0)</f>
        <v>59.407100000000021</v>
      </c>
      <c r="Y16" s="74">
        <f>VLOOKUP($A16,turnover!$A$184:$Q$192,+Y$4-$S$4+3,0)</f>
        <v>54.370100000000008</v>
      </c>
      <c r="Z16" s="74">
        <f>VLOOKUP($A16,turnover!$A$184:$Q$192,+Z$4-$S$4+3,0)</f>
        <v>48.859760000000009</v>
      </c>
      <c r="AA16" s="74">
        <f>VLOOKUP($A16,turnover!$A$184:$Q$192,+AA$4-$S$4+3,0)</f>
        <v>48.859760000000009</v>
      </c>
      <c r="AB16" s="74">
        <f>VLOOKUP($A16,turnover!$A$184:$Q$192,+AB$4-$S$4+3,0)</f>
        <v>48.859760000000009</v>
      </c>
      <c r="AC16" s="74">
        <f>VLOOKUP($A16,turnover!$A$184:$Q$192,+AC$4-$S$4+3,0)</f>
        <v>48.859760000000009</v>
      </c>
      <c r="AD16" s="74">
        <f>VLOOKUP($A16,turnover!$A$184:$Q$192,+AD$4-$S$4+3,0)</f>
        <v>48.859760000000009</v>
      </c>
      <c r="AE16" s="74">
        <f>VLOOKUP($A16,turnover!$A$184:$Q$192,+AE$4-$S$4+3,0)</f>
        <v>48.859760000000009</v>
      </c>
      <c r="AF16" s="74">
        <f>VLOOKUP($A16,turnover!$A$184:$Q$192,+AF$4-$S$4+3,0)</f>
        <v>48.859760000000009</v>
      </c>
      <c r="AG16" s="74">
        <f>VLOOKUP($A16,turnover!$A$184:$Q$192,+AG$4-$S$4+3,0)</f>
        <v>48.859760000000009</v>
      </c>
      <c r="AH16" s="61">
        <f t="shared" si="2"/>
        <v>0</v>
      </c>
      <c r="AI16" s="61">
        <f t="shared" si="3"/>
        <v>5.3198310000000006</v>
      </c>
      <c r="AJ16" s="61">
        <f t="shared" si="4"/>
        <v>11.56975716</v>
      </c>
      <c r="AK16" s="61">
        <f t="shared" si="5"/>
        <v>7.3595860000000002</v>
      </c>
      <c r="AL16" s="61">
        <f t="shared" si="6"/>
        <v>7.90625</v>
      </c>
      <c r="AM16" s="61">
        <f t="shared" si="7"/>
        <v>7.4258875000000026</v>
      </c>
      <c r="AN16" s="61">
        <f t="shared" si="8"/>
        <v>6.796262500000001</v>
      </c>
      <c r="AO16" s="61">
        <f t="shared" si="9"/>
        <v>6.4494883200000013</v>
      </c>
      <c r="AP16" s="61">
        <f t="shared" si="10"/>
        <v>6.4494883200000013</v>
      </c>
      <c r="AQ16" s="61">
        <f t="shared" si="11"/>
        <v>6.4494883200000013</v>
      </c>
      <c r="AR16" s="61">
        <f t="shared" si="12"/>
        <v>6.4494883200000013</v>
      </c>
      <c r="AS16" s="61">
        <f t="shared" si="13"/>
        <v>6.4494883200000013</v>
      </c>
      <c r="AT16" s="61">
        <f t="shared" si="14"/>
        <v>6.4494883200000013</v>
      </c>
      <c r="AU16" s="61">
        <f t="shared" si="15"/>
        <v>6.4494883200000013</v>
      </c>
      <c r="AV16" s="61">
        <f t="shared" si="16"/>
        <v>6.4494883200000013</v>
      </c>
      <c r="AW16" s="101">
        <f>VLOOKUP($C16,'Cost RMs'!$B$5:$Q$22,+AW$4-$AW$4+2,0)</f>
        <v>25380</v>
      </c>
      <c r="AX16" s="101">
        <f>VLOOKUP($C16,'Cost RMs'!$B$5:$Q$22,+AX$4-$AW$4+2,0)</f>
        <v>33957</v>
      </c>
      <c r="AY16" s="101">
        <f>VLOOKUP($C16,'Cost RMs'!$B$5:$Q$22,+AY$4-$AW$4+2,0)</f>
        <v>50212</v>
      </c>
      <c r="AZ16" s="101">
        <f>VLOOKUP($C16,'Cost RMs'!$B$5:$Q$22,+AZ$4-$AW$4+2,0)</f>
        <v>63581</v>
      </c>
      <c r="BA16" s="101">
        <f ca="1">VLOOKUP($C16,'Cost RMs'!$B$5:$Q$22,+BA$4-$AW$4+2,0)</f>
        <v>82384</v>
      </c>
      <c r="BB16" s="101">
        <f ca="1">VLOOKUP($C16,'Cost RMs'!$B$5:$Q$22,+BB$4-$AW$4+2,0)</f>
        <v>92262</v>
      </c>
      <c r="BC16" s="101">
        <f ca="1">VLOOKUP($C16,'Cost RMs'!$B$5:$Q$22,+BC$4-$AW$4+2,0)</f>
        <v>103426</v>
      </c>
      <c r="BD16" s="101">
        <f ca="1">VLOOKUP($C16,'Cost RMs'!$B$5:$Q$22,+BD$4-$AW$4+2,0)</f>
        <v>115941</v>
      </c>
      <c r="BE16" s="101">
        <f ca="1">VLOOKUP($C16,'Cost RMs'!$B$5:$Q$22,+BE$4-$AW$4+2,0)</f>
        <v>129970</v>
      </c>
      <c r="BF16" s="101">
        <f ca="1">VLOOKUP($C16,'Cost RMs'!$B$5:$Q$22,+BF$4-$AW$4+2,0)</f>
        <v>145696</v>
      </c>
      <c r="BG16" s="101">
        <f ca="1">VLOOKUP($C16,'Cost RMs'!$B$5:$Q$22,+BG$4-$AW$4+2,0)</f>
        <v>163325</v>
      </c>
      <c r="BH16" s="101">
        <f ca="1">VLOOKUP($C16,'Cost RMs'!$B$5:$Q$22,+BH$4-$AW$4+2,0)</f>
        <v>183087</v>
      </c>
      <c r="BI16" s="101">
        <f ca="1">VLOOKUP($C16,'Cost RMs'!$B$5:$Q$22,+BI$4-$AW$4+2,0)</f>
        <v>205241</v>
      </c>
      <c r="BJ16" s="101">
        <f ca="1">VLOOKUP($C16,'Cost RMs'!$B$5:$Q$22,+BJ$4-$AW$4+2,0)</f>
        <v>230075</v>
      </c>
      <c r="BK16" s="101">
        <f ca="1">VLOOKUP($C16,'Cost RMs'!$B$5:$Q$22,+BK$4-$AW$4+2,0)</f>
        <v>257914</v>
      </c>
      <c r="BL16" s="102">
        <f t="shared" si="17"/>
        <v>0</v>
      </c>
      <c r="BM16" s="102">
        <f t="shared" si="18"/>
        <v>180645.50126700001</v>
      </c>
      <c r="BN16" s="102">
        <f t="shared" si="19"/>
        <v>580940.64651791996</v>
      </c>
      <c r="BO16" s="102">
        <f t="shared" si="20"/>
        <v>467929.837466</v>
      </c>
      <c r="BP16" s="102">
        <f t="shared" ca="1" si="21"/>
        <v>651348.5</v>
      </c>
      <c r="BQ16" s="102">
        <f t="shared" ca="1" si="22"/>
        <v>685127.23252500023</v>
      </c>
      <c r="BR16" s="102">
        <f t="shared" ca="1" si="23"/>
        <v>702910.24532500014</v>
      </c>
      <c r="BS16" s="102">
        <f t="shared" ca="1" si="24"/>
        <v>747760.12530912017</v>
      </c>
      <c r="BT16" s="102">
        <f t="shared" ca="1" si="25"/>
        <v>838239.99695040018</v>
      </c>
      <c r="BU16" s="102">
        <f t="shared" ca="1" si="26"/>
        <v>939664.65027072013</v>
      </c>
      <c r="BV16" s="102">
        <f t="shared" ca="1" si="27"/>
        <v>1053362.6798640003</v>
      </c>
      <c r="BW16" s="102">
        <f t="shared" ca="1" si="28"/>
        <v>1180817.4680438403</v>
      </c>
      <c r="BX16" s="102">
        <f t="shared" ca="1" si="29"/>
        <v>1323699.4322851202</v>
      </c>
      <c r="BY16" s="102">
        <f t="shared" ca="1" si="30"/>
        <v>1483866.0252240002</v>
      </c>
      <c r="BZ16" s="102">
        <f t="shared" ca="1" si="31"/>
        <v>1663413.3305644803</v>
      </c>
    </row>
    <row r="17" spans="1:78" x14ac:dyDescent="0.25">
      <c r="A17" s="26" t="s">
        <v>111</v>
      </c>
      <c r="B17" s="73">
        <v>0.46</v>
      </c>
      <c r="C17" s="59" t="s">
        <v>148</v>
      </c>
      <c r="D17" s="61">
        <v>0.03</v>
      </c>
      <c r="E17" s="61">
        <v>0.03</v>
      </c>
      <c r="F17" s="61">
        <v>2.5000000000000001E-2</v>
      </c>
      <c r="G17" s="61">
        <v>2.1000000000000001E-2</v>
      </c>
      <c r="H17" s="61">
        <v>0.02</v>
      </c>
      <c r="I17" s="61">
        <v>0.02</v>
      </c>
      <c r="J17" s="61">
        <v>0.02</v>
      </c>
      <c r="K17" s="61">
        <v>9.1999999999999998E-2</v>
      </c>
      <c r="L17" s="61">
        <v>9.1999999999999998E-2</v>
      </c>
      <c r="M17" s="61">
        <v>9.1999999999999998E-2</v>
      </c>
      <c r="N17" s="61">
        <v>9.1999999999999998E-2</v>
      </c>
      <c r="O17" s="61">
        <v>9.1999999999999998E-2</v>
      </c>
      <c r="P17" s="61">
        <v>9.1999999999999998E-2</v>
      </c>
      <c r="Q17" s="61">
        <v>9.1999999999999998E-2</v>
      </c>
      <c r="R17" s="61">
        <v>9.1999999999999998E-2</v>
      </c>
      <c r="S17" s="74">
        <f>VLOOKUP($A17,turnover!$A$184:$Q$192,+S$4-$S$4+3,0)</f>
        <v>0</v>
      </c>
      <c r="T17" s="74">
        <f>VLOOKUP($A17,turnover!$A$184:$Q$192,+T$4-$S$4+3,0)</f>
        <v>41.239000000000004</v>
      </c>
      <c r="U17" s="74">
        <f>VLOOKUP($A17,turnover!$A$184:$Q$192,+U$4-$S$4+3,0)</f>
        <v>89.688040000000001</v>
      </c>
      <c r="V17" s="74">
        <f>VLOOKUP($A17,turnover!$A$184:$Q$192,+V$4-$S$4+3,0)</f>
        <v>56.612200000000001</v>
      </c>
      <c r="W17" s="74">
        <f>VLOOKUP($A17,turnover!$A$184:$Q$192,+W$4-$S$4+3,0)</f>
        <v>63.25</v>
      </c>
      <c r="X17" s="74">
        <f>VLOOKUP($A17,turnover!$A$184:$Q$192,+X$4-$S$4+3,0)</f>
        <v>59.407100000000021</v>
      </c>
      <c r="Y17" s="74">
        <f>VLOOKUP($A17,turnover!$A$184:$Q$192,+Y$4-$S$4+3,0)</f>
        <v>54.370100000000008</v>
      </c>
      <c r="Z17" s="74">
        <f>VLOOKUP($A17,turnover!$A$184:$Q$192,+Z$4-$S$4+3,0)</f>
        <v>48.859760000000009</v>
      </c>
      <c r="AA17" s="74">
        <f>VLOOKUP($A17,turnover!$A$184:$Q$192,+AA$4-$S$4+3,0)</f>
        <v>48.859760000000009</v>
      </c>
      <c r="AB17" s="74">
        <f>VLOOKUP($A17,turnover!$A$184:$Q$192,+AB$4-$S$4+3,0)</f>
        <v>48.859760000000009</v>
      </c>
      <c r="AC17" s="74">
        <f>VLOOKUP($A17,turnover!$A$184:$Q$192,+AC$4-$S$4+3,0)</f>
        <v>48.859760000000009</v>
      </c>
      <c r="AD17" s="74">
        <f>VLOOKUP($A17,turnover!$A$184:$Q$192,+AD$4-$S$4+3,0)</f>
        <v>48.859760000000009</v>
      </c>
      <c r="AE17" s="74">
        <f>VLOOKUP($A17,turnover!$A$184:$Q$192,+AE$4-$S$4+3,0)</f>
        <v>48.859760000000009</v>
      </c>
      <c r="AF17" s="74">
        <f>VLOOKUP($A17,turnover!$A$184:$Q$192,+AF$4-$S$4+3,0)</f>
        <v>48.859760000000009</v>
      </c>
      <c r="AG17" s="74">
        <f>VLOOKUP($A17,turnover!$A$184:$Q$192,+AG$4-$S$4+3,0)</f>
        <v>48.859760000000009</v>
      </c>
      <c r="AH17" s="61">
        <f t="shared" si="2"/>
        <v>0</v>
      </c>
      <c r="AI17" s="61">
        <f t="shared" si="3"/>
        <v>1.2371700000000001</v>
      </c>
      <c r="AJ17" s="61">
        <f t="shared" si="4"/>
        <v>2.2422010000000001</v>
      </c>
      <c r="AK17" s="61">
        <f t="shared" si="5"/>
        <v>1.1888562</v>
      </c>
      <c r="AL17" s="61">
        <f t="shared" si="6"/>
        <v>1.2650000000000001</v>
      </c>
      <c r="AM17" s="61">
        <f t="shared" si="7"/>
        <v>1.1881420000000005</v>
      </c>
      <c r="AN17" s="61">
        <f t="shared" si="8"/>
        <v>1.0874020000000002</v>
      </c>
      <c r="AO17" s="61">
        <f t="shared" si="9"/>
        <v>4.495097920000001</v>
      </c>
      <c r="AP17" s="61">
        <f t="shared" si="10"/>
        <v>4.495097920000001</v>
      </c>
      <c r="AQ17" s="61">
        <f t="shared" si="11"/>
        <v>4.495097920000001</v>
      </c>
      <c r="AR17" s="61">
        <f t="shared" si="12"/>
        <v>4.495097920000001</v>
      </c>
      <c r="AS17" s="61">
        <f t="shared" si="13"/>
        <v>4.495097920000001</v>
      </c>
      <c r="AT17" s="61">
        <f t="shared" si="14"/>
        <v>4.495097920000001</v>
      </c>
      <c r="AU17" s="61">
        <f t="shared" si="15"/>
        <v>4.495097920000001</v>
      </c>
      <c r="AV17" s="61">
        <f t="shared" si="16"/>
        <v>4.495097920000001</v>
      </c>
      <c r="AW17" s="101">
        <f>VLOOKUP($C17,'Cost RMs'!$B$5:$Q$22,+AW$4-$AW$4+2,0)</f>
        <v>27439</v>
      </c>
      <c r="AX17" s="101">
        <f>VLOOKUP($C17,'Cost RMs'!$B$5:$Q$22,+AX$4-$AW$4+2,0)</f>
        <v>32275</v>
      </c>
      <c r="AY17" s="101">
        <f>VLOOKUP($C17,'Cost RMs'!$B$5:$Q$22,+AY$4-$AW$4+2,0)</f>
        <v>45664</v>
      </c>
      <c r="AZ17" s="101">
        <f>VLOOKUP($C17,'Cost RMs'!$B$5:$Q$22,+AZ$4-$AW$4+2,0)</f>
        <v>50129</v>
      </c>
      <c r="BA17" s="101">
        <f ca="1">VLOOKUP($C17,'Cost RMs'!$B$5:$Q$22,+BA$4-$AW$4+2,0)</f>
        <v>75490</v>
      </c>
      <c r="BB17" s="101">
        <f ca="1">VLOOKUP($C17,'Cost RMs'!$B$5:$Q$22,+BB$4-$AW$4+2,0)</f>
        <v>84541</v>
      </c>
      <c r="BC17" s="101">
        <f ca="1">VLOOKUP($C17,'Cost RMs'!$B$5:$Q$22,+BC$4-$AW$4+2,0)</f>
        <v>94770</v>
      </c>
      <c r="BD17" s="101">
        <f ca="1">VLOOKUP($C17,'Cost RMs'!$B$5:$Q$22,+BD$4-$AW$4+2,0)</f>
        <v>106237</v>
      </c>
      <c r="BE17" s="101">
        <f ca="1">VLOOKUP($C17,'Cost RMs'!$B$5:$Q$22,+BE$4-$AW$4+2,0)</f>
        <v>119092</v>
      </c>
      <c r="BF17" s="101">
        <f ca="1">VLOOKUP($C17,'Cost RMs'!$B$5:$Q$22,+BF$4-$AW$4+2,0)</f>
        <v>133502</v>
      </c>
      <c r="BG17" s="101">
        <f ca="1">VLOOKUP($C17,'Cost RMs'!$B$5:$Q$22,+BG$4-$AW$4+2,0)</f>
        <v>149656</v>
      </c>
      <c r="BH17" s="101">
        <f ca="1">VLOOKUP($C17,'Cost RMs'!$B$5:$Q$22,+BH$4-$AW$4+2,0)</f>
        <v>167764</v>
      </c>
      <c r="BI17" s="101">
        <f ca="1">VLOOKUP($C17,'Cost RMs'!$B$5:$Q$22,+BI$4-$AW$4+2,0)</f>
        <v>188063</v>
      </c>
      <c r="BJ17" s="101">
        <f ca="1">VLOOKUP($C17,'Cost RMs'!$B$5:$Q$22,+BJ$4-$AW$4+2,0)</f>
        <v>210819</v>
      </c>
      <c r="BK17" s="101">
        <f ca="1">VLOOKUP($C17,'Cost RMs'!$B$5:$Q$22,+BK$4-$AW$4+2,0)</f>
        <v>236328</v>
      </c>
      <c r="BL17" s="102">
        <f t="shared" si="17"/>
        <v>0</v>
      </c>
      <c r="BM17" s="102">
        <f t="shared" si="18"/>
        <v>39929.661750000007</v>
      </c>
      <c r="BN17" s="102">
        <f t="shared" si="19"/>
        <v>102387.86646400001</v>
      </c>
      <c r="BO17" s="102">
        <f t="shared" si="20"/>
        <v>59596.172449800004</v>
      </c>
      <c r="BP17" s="102">
        <f t="shared" ca="1" si="21"/>
        <v>95494.85</v>
      </c>
      <c r="BQ17" s="102">
        <f t="shared" ca="1" si="22"/>
        <v>100446.71282200004</v>
      </c>
      <c r="BR17" s="102">
        <f t="shared" ca="1" si="23"/>
        <v>103053.08754000002</v>
      </c>
      <c r="BS17" s="102">
        <f t="shared" ca="1" si="24"/>
        <v>477545.71772704012</v>
      </c>
      <c r="BT17" s="102">
        <f t="shared" ca="1" si="25"/>
        <v>535330.20148864016</v>
      </c>
      <c r="BU17" s="102">
        <f t="shared" ca="1" si="26"/>
        <v>600104.56251584017</v>
      </c>
      <c r="BV17" s="102">
        <f t="shared" ca="1" si="27"/>
        <v>672718.37431552017</v>
      </c>
      <c r="BW17" s="102">
        <f t="shared" ca="1" si="28"/>
        <v>754115.60745088011</v>
      </c>
      <c r="BX17" s="102">
        <f t="shared" ca="1" si="29"/>
        <v>845361.60012896021</v>
      </c>
      <c r="BY17" s="102">
        <f t="shared" ca="1" si="30"/>
        <v>947652.04839648015</v>
      </c>
      <c r="BZ17" s="102">
        <f t="shared" ca="1" si="31"/>
        <v>1062317.5012377603</v>
      </c>
    </row>
    <row r="18" spans="1:78" x14ac:dyDescent="0.25">
      <c r="A18" s="26" t="s">
        <v>111</v>
      </c>
      <c r="B18" s="73">
        <v>0.46</v>
      </c>
      <c r="C18" s="59" t="s">
        <v>149</v>
      </c>
      <c r="D18" s="61">
        <v>0.89200000000000002</v>
      </c>
      <c r="E18" s="61">
        <v>0.89200000000000002</v>
      </c>
      <c r="F18" s="61">
        <v>0.68100000000000005</v>
      </c>
      <c r="G18" s="61">
        <v>0.71199999999999997</v>
      </c>
      <c r="H18" s="61">
        <v>0.72</v>
      </c>
      <c r="I18" s="61">
        <v>0.72</v>
      </c>
      <c r="J18" s="61">
        <v>0.72</v>
      </c>
      <c r="K18" s="61">
        <v>0.71</v>
      </c>
      <c r="L18" s="61">
        <v>0.71</v>
      </c>
      <c r="M18" s="61">
        <v>0.71</v>
      </c>
      <c r="N18" s="61">
        <v>0.71</v>
      </c>
      <c r="O18" s="61">
        <v>0.71</v>
      </c>
      <c r="P18" s="61">
        <v>0.71</v>
      </c>
      <c r="Q18" s="61">
        <v>0.71</v>
      </c>
      <c r="R18" s="61">
        <v>0.71</v>
      </c>
      <c r="S18" s="74">
        <f>VLOOKUP($A18,turnover!$A$184:$Q$192,+S$4-$S$4+3,0)</f>
        <v>0</v>
      </c>
      <c r="T18" s="74">
        <f>VLOOKUP($A18,turnover!$A$184:$Q$192,+T$4-$S$4+3,0)</f>
        <v>41.239000000000004</v>
      </c>
      <c r="U18" s="74">
        <f>VLOOKUP($A18,turnover!$A$184:$Q$192,+U$4-$S$4+3,0)</f>
        <v>89.688040000000001</v>
      </c>
      <c r="V18" s="74">
        <f>VLOOKUP($A18,turnover!$A$184:$Q$192,+V$4-$S$4+3,0)</f>
        <v>56.612200000000001</v>
      </c>
      <c r="W18" s="74">
        <f>VLOOKUP($A18,turnover!$A$184:$Q$192,+W$4-$S$4+3,0)</f>
        <v>63.25</v>
      </c>
      <c r="X18" s="74">
        <f>VLOOKUP($A18,turnover!$A$184:$Q$192,+X$4-$S$4+3,0)</f>
        <v>59.407100000000021</v>
      </c>
      <c r="Y18" s="74">
        <f>VLOOKUP($A18,turnover!$A$184:$Q$192,+Y$4-$S$4+3,0)</f>
        <v>54.370100000000008</v>
      </c>
      <c r="Z18" s="74">
        <f>VLOOKUP($A18,turnover!$A$184:$Q$192,+Z$4-$S$4+3,0)</f>
        <v>48.859760000000009</v>
      </c>
      <c r="AA18" s="74">
        <f>VLOOKUP($A18,turnover!$A$184:$Q$192,+AA$4-$S$4+3,0)</f>
        <v>48.859760000000009</v>
      </c>
      <c r="AB18" s="74">
        <f>VLOOKUP($A18,turnover!$A$184:$Q$192,+AB$4-$S$4+3,0)</f>
        <v>48.859760000000009</v>
      </c>
      <c r="AC18" s="74">
        <f>VLOOKUP($A18,turnover!$A$184:$Q$192,+AC$4-$S$4+3,0)</f>
        <v>48.859760000000009</v>
      </c>
      <c r="AD18" s="74">
        <f>VLOOKUP($A18,turnover!$A$184:$Q$192,+AD$4-$S$4+3,0)</f>
        <v>48.859760000000009</v>
      </c>
      <c r="AE18" s="74">
        <f>VLOOKUP($A18,turnover!$A$184:$Q$192,+AE$4-$S$4+3,0)</f>
        <v>48.859760000000009</v>
      </c>
      <c r="AF18" s="74">
        <f>VLOOKUP($A18,turnover!$A$184:$Q$192,+AF$4-$S$4+3,0)</f>
        <v>48.859760000000009</v>
      </c>
      <c r="AG18" s="74">
        <f>VLOOKUP($A18,turnover!$A$184:$Q$192,+AG$4-$S$4+3,0)</f>
        <v>48.859760000000009</v>
      </c>
      <c r="AH18" s="61">
        <f t="shared" si="2"/>
        <v>0</v>
      </c>
      <c r="AI18" s="61">
        <f t="shared" si="3"/>
        <v>36.785188000000005</v>
      </c>
      <c r="AJ18" s="61">
        <f t="shared" si="4"/>
        <v>61.077555240000002</v>
      </c>
      <c r="AK18" s="61">
        <f t="shared" si="5"/>
        <v>40.307886400000001</v>
      </c>
      <c r="AL18" s="61">
        <f t="shared" si="6"/>
        <v>45.54</v>
      </c>
      <c r="AM18" s="61">
        <f t="shared" si="7"/>
        <v>42.773112000000012</v>
      </c>
      <c r="AN18" s="61">
        <f t="shared" si="8"/>
        <v>39.146472000000003</v>
      </c>
      <c r="AO18" s="61">
        <f t="shared" si="9"/>
        <v>34.690429600000002</v>
      </c>
      <c r="AP18" s="61">
        <f t="shared" si="10"/>
        <v>34.690429600000002</v>
      </c>
      <c r="AQ18" s="61">
        <f t="shared" si="11"/>
        <v>34.690429600000002</v>
      </c>
      <c r="AR18" s="61">
        <f t="shared" si="12"/>
        <v>34.690429600000002</v>
      </c>
      <c r="AS18" s="61">
        <f t="shared" si="13"/>
        <v>34.690429600000002</v>
      </c>
      <c r="AT18" s="61">
        <f t="shared" si="14"/>
        <v>34.690429600000002</v>
      </c>
      <c r="AU18" s="61">
        <f t="shared" si="15"/>
        <v>34.690429600000002</v>
      </c>
      <c r="AV18" s="61">
        <f t="shared" si="16"/>
        <v>34.690429600000002</v>
      </c>
      <c r="AW18" s="101">
        <f>VLOOKUP($C18,'Cost RMs'!$B$5:$Q$22,+AW$4-$AW$4+2,0)</f>
        <v>9377</v>
      </c>
      <c r="AX18" s="101">
        <f>VLOOKUP($C18,'Cost RMs'!$B$5:$Q$22,+AX$4-$AW$4+2,0)</f>
        <v>9969</v>
      </c>
      <c r="AY18" s="101">
        <f>VLOOKUP($C18,'Cost RMs'!$B$5:$Q$22,+AY$4-$AW$4+2,0)</f>
        <v>14915</v>
      </c>
      <c r="AZ18" s="101">
        <f>VLOOKUP($C18,'Cost RMs'!$B$5:$Q$22,+AZ$4-$AW$4+2,0)</f>
        <v>16547</v>
      </c>
      <c r="BA18" s="101">
        <f ca="1">VLOOKUP($C18,'Cost RMs'!$B$5:$Q$22,+BA$4-$AW$4+2,0)</f>
        <v>17617</v>
      </c>
      <c r="BB18" s="101">
        <f ca="1">VLOOKUP($C18,'Cost RMs'!$B$5:$Q$22,+BB$4-$AW$4+2,0)</f>
        <v>19729</v>
      </c>
      <c r="BC18" s="101">
        <f ca="1">VLOOKUP($C18,'Cost RMs'!$B$5:$Q$22,+BC$4-$AW$4+2,0)</f>
        <v>22116</v>
      </c>
      <c r="BD18" s="101">
        <f ca="1">VLOOKUP($C18,'Cost RMs'!$B$5:$Q$22,+BD$4-$AW$4+2,0)</f>
        <v>24792</v>
      </c>
      <c r="BE18" s="101">
        <f ca="1">VLOOKUP($C18,'Cost RMs'!$B$5:$Q$22,+BE$4-$AW$4+2,0)</f>
        <v>27792</v>
      </c>
      <c r="BF18" s="101">
        <f ca="1">VLOOKUP($C18,'Cost RMs'!$B$5:$Q$22,+BF$4-$AW$4+2,0)</f>
        <v>31155</v>
      </c>
      <c r="BG18" s="101">
        <f ca="1">VLOOKUP($C18,'Cost RMs'!$B$5:$Q$22,+BG$4-$AW$4+2,0)</f>
        <v>34925</v>
      </c>
      <c r="BH18" s="101">
        <f ca="1">VLOOKUP($C18,'Cost RMs'!$B$5:$Q$22,+BH$4-$AW$4+2,0)</f>
        <v>39151</v>
      </c>
      <c r="BI18" s="101">
        <f ca="1">VLOOKUP($C18,'Cost RMs'!$B$5:$Q$22,+BI$4-$AW$4+2,0)</f>
        <v>43888</v>
      </c>
      <c r="BJ18" s="101">
        <f ca="1">VLOOKUP($C18,'Cost RMs'!$B$5:$Q$22,+BJ$4-$AW$4+2,0)</f>
        <v>49198</v>
      </c>
      <c r="BK18" s="101">
        <f ca="1">VLOOKUP($C18,'Cost RMs'!$B$5:$Q$22,+BK$4-$AW$4+2,0)</f>
        <v>55151</v>
      </c>
      <c r="BL18" s="102">
        <f t="shared" si="17"/>
        <v>0</v>
      </c>
      <c r="BM18" s="102">
        <f t="shared" si="18"/>
        <v>366711.53917200008</v>
      </c>
      <c r="BN18" s="102">
        <f t="shared" si="19"/>
        <v>910971.73640460009</v>
      </c>
      <c r="BO18" s="102">
        <f t="shared" si="20"/>
        <v>666974.59626080003</v>
      </c>
      <c r="BP18" s="102">
        <f t="shared" ca="1" si="21"/>
        <v>802278.17999999993</v>
      </c>
      <c r="BQ18" s="102">
        <f t="shared" ca="1" si="22"/>
        <v>843870.72664800019</v>
      </c>
      <c r="BR18" s="102">
        <f t="shared" ca="1" si="23"/>
        <v>865763.37475200009</v>
      </c>
      <c r="BS18" s="102">
        <f t="shared" ca="1" si="24"/>
        <v>860045.13064320001</v>
      </c>
      <c r="BT18" s="102">
        <f t="shared" ca="1" si="25"/>
        <v>964116.41944319999</v>
      </c>
      <c r="BU18" s="102">
        <f t="shared" ca="1" si="26"/>
        <v>1080780.3341880001</v>
      </c>
      <c r="BV18" s="102">
        <f t="shared" ca="1" si="27"/>
        <v>1211563.2537800001</v>
      </c>
      <c r="BW18" s="102">
        <f t="shared" ca="1" si="28"/>
        <v>1358165.0092696</v>
      </c>
      <c r="BX18" s="102">
        <f t="shared" ca="1" si="29"/>
        <v>1522493.5742848001</v>
      </c>
      <c r="BY18" s="102">
        <f t="shared" ca="1" si="30"/>
        <v>1706699.7554608001</v>
      </c>
      <c r="BZ18" s="102">
        <f t="shared" ca="1" si="31"/>
        <v>1913211.8828696001</v>
      </c>
    </row>
    <row r="19" spans="1:78" x14ac:dyDescent="0.25">
      <c r="A19" s="26" t="s">
        <v>112</v>
      </c>
      <c r="B19" s="73">
        <v>0.24</v>
      </c>
      <c r="C19" t="s">
        <v>123</v>
      </c>
      <c r="D19" s="61">
        <v>0.64500000000000002</v>
      </c>
      <c r="E19" s="61">
        <v>0.625</v>
      </c>
      <c r="F19" s="61">
        <v>0.64</v>
      </c>
      <c r="G19" s="61">
        <v>0.64900000000000002</v>
      </c>
      <c r="H19" s="61">
        <v>0.64900000000000002</v>
      </c>
      <c r="I19" s="61">
        <v>0.64900000000000002</v>
      </c>
      <c r="J19" s="61">
        <v>0.64900000000000002</v>
      </c>
      <c r="K19" s="61">
        <v>0.64900000000000002</v>
      </c>
      <c r="L19" s="61">
        <v>0.64900000000000002</v>
      </c>
      <c r="M19" s="61">
        <v>0.64900000000000002</v>
      </c>
      <c r="N19" s="61">
        <v>0.64900000000000002</v>
      </c>
      <c r="O19" s="61">
        <v>0.64900000000000002</v>
      </c>
      <c r="P19" s="61">
        <v>0.64900000000000002</v>
      </c>
      <c r="Q19" s="61">
        <v>0.64900000000000002</v>
      </c>
      <c r="R19" s="61">
        <v>0.64900000000000002</v>
      </c>
      <c r="S19" s="74">
        <f>VLOOKUP($A19,turnover!$A$184:$Q$192,+S$4-$S$4+3,0)</f>
        <v>0</v>
      </c>
      <c r="T19" s="74">
        <f>VLOOKUP($A19,turnover!$A$184:$Q$192,+T$4-$S$4+3,0)</f>
        <v>32.767200000000003</v>
      </c>
      <c r="U19" s="74">
        <f>VLOOKUP($A19,turnover!$A$184:$Q$192,+U$4-$S$4+3,0)</f>
        <v>60.321840000000002</v>
      </c>
      <c r="V19" s="74">
        <f>VLOOKUP($A19,turnover!$A$184:$Q$192,+V$4-$S$4+3,0)</f>
        <v>61.564799999999991</v>
      </c>
      <c r="W19" s="74">
        <f>VLOOKUP($A19,turnover!$A$184:$Q$192,+W$4-$S$4+3,0)</f>
        <v>48.216000000000001</v>
      </c>
      <c r="X19" s="74">
        <f>VLOOKUP($A19,turnover!$A$184:$Q$192,+X$4-$S$4+3,0)</f>
        <v>60.593519999999984</v>
      </c>
      <c r="Y19" s="74">
        <f>VLOOKUP($A19,turnover!$A$184:$Q$192,+Y$4-$S$4+3,0)</f>
        <v>57.359519999999996</v>
      </c>
      <c r="Z19" s="74">
        <f>VLOOKUP($A19,turnover!$A$184:$Q$192,+Z$4-$S$4+3,0)</f>
        <v>53.820239999999991</v>
      </c>
      <c r="AA19" s="74">
        <f>VLOOKUP($A19,turnover!$A$184:$Q$192,+AA$4-$S$4+3,0)</f>
        <v>53.820239999999991</v>
      </c>
      <c r="AB19" s="74">
        <f>VLOOKUP($A19,turnover!$A$184:$Q$192,+AB$4-$S$4+3,0)</f>
        <v>53.820239999999991</v>
      </c>
      <c r="AC19" s="74">
        <f>VLOOKUP($A19,turnover!$A$184:$Q$192,+AC$4-$S$4+3,0)</f>
        <v>53.820239999999991</v>
      </c>
      <c r="AD19" s="74">
        <f>VLOOKUP($A19,turnover!$A$184:$Q$192,+AD$4-$S$4+3,0)</f>
        <v>53.820239999999998</v>
      </c>
      <c r="AE19" s="74">
        <f>VLOOKUP($A19,turnover!$A$184:$Q$192,+AE$4-$S$4+3,0)</f>
        <v>53.820239999999991</v>
      </c>
      <c r="AF19" s="74">
        <f>VLOOKUP($A19,turnover!$A$184:$Q$192,+AF$4-$S$4+3,0)</f>
        <v>53.820239999999991</v>
      </c>
      <c r="AG19" s="74">
        <f>VLOOKUP($A19,turnover!$A$184:$Q$192,+AG$4-$S$4+3,0)</f>
        <v>53.820239999999991</v>
      </c>
      <c r="AH19" s="61">
        <f t="shared" si="2"/>
        <v>0</v>
      </c>
      <c r="AI19" s="61">
        <f t="shared" si="3"/>
        <v>20.479500000000002</v>
      </c>
      <c r="AJ19" s="61">
        <f t="shared" si="4"/>
        <v>38.605977600000003</v>
      </c>
      <c r="AK19" s="61">
        <f t="shared" si="5"/>
        <v>39.955555199999992</v>
      </c>
      <c r="AL19" s="61">
        <f t="shared" si="6"/>
        <v>31.292184000000002</v>
      </c>
      <c r="AM19" s="61">
        <f t="shared" si="7"/>
        <v>39.325194479999993</v>
      </c>
      <c r="AN19" s="61">
        <f t="shared" si="8"/>
        <v>37.226328479999999</v>
      </c>
      <c r="AO19" s="61">
        <f t="shared" si="9"/>
        <v>34.929335759999994</v>
      </c>
      <c r="AP19" s="61">
        <f t="shared" si="10"/>
        <v>34.929335759999994</v>
      </c>
      <c r="AQ19" s="61">
        <f t="shared" si="11"/>
        <v>34.929335759999994</v>
      </c>
      <c r="AR19" s="61">
        <f t="shared" si="12"/>
        <v>34.929335759999994</v>
      </c>
      <c r="AS19" s="61">
        <f t="shared" si="13"/>
        <v>34.929335760000001</v>
      </c>
      <c r="AT19" s="61">
        <f t="shared" si="14"/>
        <v>34.929335759999994</v>
      </c>
      <c r="AU19" s="61">
        <f t="shared" si="15"/>
        <v>34.929335759999994</v>
      </c>
      <c r="AV19" s="61">
        <f t="shared" si="16"/>
        <v>34.929335759999994</v>
      </c>
      <c r="AW19" s="101">
        <f>VLOOKUP($C19,'Cost RMs'!$B$5:$Q$22,+AW$4-$AW$4+2,0)</f>
        <v>191127</v>
      </c>
      <c r="AX19" s="101">
        <f>VLOOKUP($C19,'Cost RMs'!$B$5:$Q$22,+AX$4-$AW$4+2,0)</f>
        <v>196602</v>
      </c>
      <c r="AY19" s="101">
        <f>VLOOKUP($C19,'Cost RMs'!$B$5:$Q$22,+AY$4-$AW$4+2,0)</f>
        <v>209999</v>
      </c>
      <c r="AZ19" s="101">
        <f>VLOOKUP($C19,'Cost RMs'!$B$5:$Q$22,+AZ$4-$AW$4+2,0)</f>
        <v>266286</v>
      </c>
      <c r="BA19" s="101">
        <f>VLOOKUP($C19,'Cost RMs'!$B$5:$Q$22,+BA$4-$AW$4+2,0)</f>
        <v>275187</v>
      </c>
      <c r="BB19" s="101">
        <f>VLOOKUP($C19,'Cost RMs'!$B$5:$Q$22,+BB$4-$AW$4+2,0)</f>
        <v>308182</v>
      </c>
      <c r="BC19" s="101">
        <f>VLOOKUP($C19,'Cost RMs'!$B$5:$Q$22,+BC$4-$AW$4+2,0)</f>
        <v>345472</v>
      </c>
      <c r="BD19" s="101">
        <f>VLOOKUP($C19,'Cost RMs'!$B$5:$Q$22,+BD$4-$AW$4+2,0)</f>
        <v>387274</v>
      </c>
      <c r="BE19" s="101">
        <f>VLOOKUP($C19,'Cost RMs'!$B$5:$Q$22,+BE$4-$AW$4+2,0)</f>
        <v>434134</v>
      </c>
      <c r="BF19" s="101">
        <f>VLOOKUP($C19,'Cost RMs'!$B$5:$Q$22,+BF$4-$AW$4+2,0)</f>
        <v>486664</v>
      </c>
      <c r="BG19" s="101">
        <f>VLOOKUP($C19,'Cost RMs'!$B$5:$Q$22,+BG$4-$AW$4+2,0)</f>
        <v>545550</v>
      </c>
      <c r="BH19" s="101">
        <f>VLOOKUP($C19,'Cost RMs'!$B$5:$Q$22,+BH$4-$AW$4+2,0)</f>
        <v>611562</v>
      </c>
      <c r="BI19" s="101">
        <f>VLOOKUP($C19,'Cost RMs'!$B$5:$Q$22,+BI$4-$AW$4+2,0)</f>
        <v>685561</v>
      </c>
      <c r="BJ19" s="101">
        <f>VLOOKUP($C19,'Cost RMs'!$B$5:$Q$22,+BJ$4-$AW$4+2,0)</f>
        <v>768514</v>
      </c>
      <c r="BK19" s="101">
        <f>VLOOKUP($C19,'Cost RMs'!$B$5:$Q$22,+BK$4-$AW$4+2,0)</f>
        <v>861504</v>
      </c>
      <c r="BL19" s="102">
        <f t="shared" si="17"/>
        <v>0</v>
      </c>
      <c r="BM19" s="102">
        <f t="shared" si="18"/>
        <v>4026310.6590000005</v>
      </c>
      <c r="BN19" s="102">
        <f t="shared" si="19"/>
        <v>8107216.6900224006</v>
      </c>
      <c r="BO19" s="102">
        <f t="shared" si="20"/>
        <v>10639604.971987197</v>
      </c>
      <c r="BP19" s="102">
        <f t="shared" si="21"/>
        <v>8611202.2384080011</v>
      </c>
      <c r="BQ19" s="102">
        <f t="shared" si="22"/>
        <v>12119317.085235357</v>
      </c>
      <c r="BR19" s="102">
        <f t="shared" si="23"/>
        <v>12860654.152642559</v>
      </c>
      <c r="BS19" s="102">
        <f t="shared" si="24"/>
        <v>13527223.577118238</v>
      </c>
      <c r="BT19" s="102">
        <f t="shared" si="25"/>
        <v>15164012.250831837</v>
      </c>
      <c r="BU19" s="102">
        <f t="shared" si="26"/>
        <v>16998850.258304637</v>
      </c>
      <c r="BV19" s="102">
        <f t="shared" si="27"/>
        <v>19055699.123867996</v>
      </c>
      <c r="BW19" s="102">
        <f t="shared" si="28"/>
        <v>21361454.436057121</v>
      </c>
      <c r="BX19" s="102">
        <f t="shared" si="29"/>
        <v>23946190.352961354</v>
      </c>
      <c r="BY19" s="102">
        <f t="shared" si="30"/>
        <v>26843683.542260636</v>
      </c>
      <c r="BZ19" s="102">
        <f t="shared" si="31"/>
        <v>30091762.474583033</v>
      </c>
    </row>
    <row r="20" spans="1:78" x14ac:dyDescent="0.25">
      <c r="A20" s="26" t="s">
        <v>112</v>
      </c>
      <c r="B20" s="73">
        <v>0.24</v>
      </c>
      <c r="C20" t="s">
        <v>124</v>
      </c>
      <c r="D20" s="61"/>
      <c r="E20" s="61">
        <v>0.77500000000000002</v>
      </c>
      <c r="F20" s="61">
        <v>0.72799999999999998</v>
      </c>
      <c r="G20" s="61">
        <v>0.75700000000000001</v>
      </c>
      <c r="H20" s="61">
        <v>0.77</v>
      </c>
      <c r="I20" s="61">
        <v>0.77</v>
      </c>
      <c r="J20" s="61">
        <v>0.77</v>
      </c>
      <c r="K20" s="61">
        <v>0.77</v>
      </c>
      <c r="L20" s="61">
        <v>0.77</v>
      </c>
      <c r="M20" s="61">
        <v>0.77</v>
      </c>
      <c r="N20" s="61">
        <v>0.77</v>
      </c>
      <c r="O20" s="61">
        <v>0.77</v>
      </c>
      <c r="P20" s="61">
        <v>0.77</v>
      </c>
      <c r="Q20" s="61">
        <v>0.77</v>
      </c>
      <c r="R20" s="61">
        <v>0.77</v>
      </c>
      <c r="S20" s="74">
        <f>VLOOKUP($A20,turnover!$A$184:$Q$192,+S$4-$S$4+3,0)</f>
        <v>0</v>
      </c>
      <c r="T20" s="74">
        <f>VLOOKUP($A20,turnover!$A$184:$Q$192,+T$4-$S$4+3,0)</f>
        <v>32.767200000000003</v>
      </c>
      <c r="U20" s="74">
        <f>VLOOKUP($A20,turnover!$A$184:$Q$192,+U$4-$S$4+3,0)</f>
        <v>60.321840000000002</v>
      </c>
      <c r="V20" s="74">
        <f>VLOOKUP($A20,turnover!$A$184:$Q$192,+V$4-$S$4+3,0)</f>
        <v>61.564799999999991</v>
      </c>
      <c r="W20" s="74">
        <f>VLOOKUP($A20,turnover!$A$184:$Q$192,+W$4-$S$4+3,0)</f>
        <v>48.216000000000001</v>
      </c>
      <c r="X20" s="74">
        <f>VLOOKUP($A20,turnover!$A$184:$Q$192,+X$4-$S$4+3,0)</f>
        <v>60.593519999999984</v>
      </c>
      <c r="Y20" s="74">
        <f>VLOOKUP($A20,turnover!$A$184:$Q$192,+Y$4-$S$4+3,0)</f>
        <v>57.359519999999996</v>
      </c>
      <c r="Z20" s="74">
        <f>VLOOKUP($A20,turnover!$A$184:$Q$192,+Z$4-$S$4+3,0)</f>
        <v>53.820239999999991</v>
      </c>
      <c r="AA20" s="74">
        <f>VLOOKUP($A20,turnover!$A$184:$Q$192,+AA$4-$S$4+3,0)</f>
        <v>53.820239999999991</v>
      </c>
      <c r="AB20" s="74">
        <f>VLOOKUP($A20,turnover!$A$184:$Q$192,+AB$4-$S$4+3,0)</f>
        <v>53.820239999999991</v>
      </c>
      <c r="AC20" s="74">
        <f>VLOOKUP($A20,turnover!$A$184:$Q$192,+AC$4-$S$4+3,0)</f>
        <v>53.820239999999991</v>
      </c>
      <c r="AD20" s="74">
        <f>VLOOKUP($A20,turnover!$A$184:$Q$192,+AD$4-$S$4+3,0)</f>
        <v>53.820239999999998</v>
      </c>
      <c r="AE20" s="74">
        <f>VLOOKUP($A20,turnover!$A$184:$Q$192,+AE$4-$S$4+3,0)</f>
        <v>53.820239999999991</v>
      </c>
      <c r="AF20" s="74">
        <f>VLOOKUP($A20,turnover!$A$184:$Q$192,+AF$4-$S$4+3,0)</f>
        <v>53.820239999999991</v>
      </c>
      <c r="AG20" s="74">
        <f>VLOOKUP($A20,turnover!$A$184:$Q$192,+AG$4-$S$4+3,0)</f>
        <v>53.820239999999991</v>
      </c>
      <c r="AH20" s="61">
        <f t="shared" si="2"/>
        <v>0</v>
      </c>
      <c r="AI20" s="61">
        <f t="shared" si="3"/>
        <v>25.394580000000001</v>
      </c>
      <c r="AJ20" s="61">
        <f t="shared" si="4"/>
        <v>43.91429952</v>
      </c>
      <c r="AK20" s="61">
        <f t="shared" si="5"/>
        <v>46.604553599999996</v>
      </c>
      <c r="AL20" s="61">
        <f t="shared" si="6"/>
        <v>37.12632</v>
      </c>
      <c r="AM20" s="61">
        <f t="shared" si="7"/>
        <v>46.65701039999999</v>
      </c>
      <c r="AN20" s="61">
        <f t="shared" si="8"/>
        <v>44.166830399999995</v>
      </c>
      <c r="AO20" s="61">
        <f t="shared" si="9"/>
        <v>41.441584799999994</v>
      </c>
      <c r="AP20" s="61">
        <f t="shared" si="10"/>
        <v>41.441584799999994</v>
      </c>
      <c r="AQ20" s="61">
        <f t="shared" si="11"/>
        <v>41.441584799999994</v>
      </c>
      <c r="AR20" s="61">
        <f t="shared" si="12"/>
        <v>41.441584799999994</v>
      </c>
      <c r="AS20" s="61">
        <f t="shared" si="13"/>
        <v>41.441584800000001</v>
      </c>
      <c r="AT20" s="61">
        <f t="shared" si="14"/>
        <v>41.441584799999994</v>
      </c>
      <c r="AU20" s="61">
        <f t="shared" si="15"/>
        <v>41.441584799999994</v>
      </c>
      <c r="AV20" s="61">
        <f t="shared" si="16"/>
        <v>41.441584799999994</v>
      </c>
      <c r="AW20" s="101">
        <f>VLOOKUP($C20,'Cost RMs'!$B$5:$Q$22,+AW$4-$AW$4+2,0)</f>
        <v>235089</v>
      </c>
      <c r="AX20" s="101">
        <f>VLOOKUP($C20,'Cost RMs'!$B$5:$Q$22,+AX$4-$AW$4+2,0)</f>
        <v>283888</v>
      </c>
      <c r="AY20" s="101">
        <f>VLOOKUP($C20,'Cost RMs'!$B$5:$Q$22,+AY$4-$AW$4+2,0)</f>
        <v>306490</v>
      </c>
      <c r="AZ20" s="101">
        <f>VLOOKUP($C20,'Cost RMs'!$B$5:$Q$22,+AZ$4-$AW$4+2,0)</f>
        <v>318975</v>
      </c>
      <c r="BA20" s="101">
        <f>VLOOKUP($C20,'Cost RMs'!$B$5:$Q$22,+BA$4-$AW$4+2,0)</f>
        <v>365112</v>
      </c>
      <c r="BB20" s="101">
        <f>VLOOKUP($C20,'Cost RMs'!$B$5:$Q$22,+BB$4-$AW$4+2,0)</f>
        <v>408889</v>
      </c>
      <c r="BC20" s="101">
        <f>VLOOKUP($C20,'Cost RMs'!$B$5:$Q$22,+BC$4-$AW$4+2,0)</f>
        <v>458365</v>
      </c>
      <c r="BD20" s="101">
        <f>VLOOKUP($C20,'Cost RMs'!$B$5:$Q$22,+BD$4-$AW$4+2,0)</f>
        <v>513827</v>
      </c>
      <c r="BE20" s="101">
        <f>VLOOKUP($C20,'Cost RMs'!$B$5:$Q$22,+BE$4-$AW$4+2,0)</f>
        <v>576000</v>
      </c>
      <c r="BF20" s="101">
        <f>VLOOKUP($C20,'Cost RMs'!$B$5:$Q$22,+BF$4-$AW$4+2,0)</f>
        <v>645696</v>
      </c>
      <c r="BG20" s="101">
        <f>VLOOKUP($C20,'Cost RMs'!$B$5:$Q$22,+BG$4-$AW$4+2,0)</f>
        <v>723825</v>
      </c>
      <c r="BH20" s="101">
        <f>VLOOKUP($C20,'Cost RMs'!$B$5:$Q$22,+BH$4-$AW$4+2,0)</f>
        <v>811408</v>
      </c>
      <c r="BI20" s="101">
        <f>VLOOKUP($C20,'Cost RMs'!$B$5:$Q$22,+BI$4-$AW$4+2,0)</f>
        <v>909588</v>
      </c>
      <c r="BJ20" s="101">
        <f>VLOOKUP($C20,'Cost RMs'!$B$5:$Q$22,+BJ$4-$AW$4+2,0)</f>
        <v>1019648</v>
      </c>
      <c r="BK20" s="101">
        <f>VLOOKUP($C20,'Cost RMs'!$B$5:$Q$22,+BK$4-$AW$4+2,0)</f>
        <v>1143025</v>
      </c>
      <c r="BL20" s="102">
        <f t="shared" si="17"/>
        <v>0</v>
      </c>
      <c r="BM20" s="102">
        <f t="shared" si="18"/>
        <v>7209216.5270400001</v>
      </c>
      <c r="BN20" s="102">
        <f t="shared" si="19"/>
        <v>13459293.659884799</v>
      </c>
      <c r="BO20" s="102">
        <f t="shared" si="20"/>
        <v>14865687.484559998</v>
      </c>
      <c r="BP20" s="102">
        <f t="shared" si="21"/>
        <v>13555264.94784</v>
      </c>
      <c r="BQ20" s="102">
        <f t="shared" si="22"/>
        <v>19077538.325445596</v>
      </c>
      <c r="BR20" s="102">
        <f t="shared" si="23"/>
        <v>20244529.216295999</v>
      </c>
      <c r="BS20" s="102">
        <f t="shared" si="24"/>
        <v>21293805.193029597</v>
      </c>
      <c r="BT20" s="102">
        <f t="shared" si="25"/>
        <v>23870352.844799995</v>
      </c>
      <c r="BU20" s="102">
        <f t="shared" si="26"/>
        <v>26758665.539020795</v>
      </c>
      <c r="BV20" s="102">
        <f t="shared" si="27"/>
        <v>29996455.117859997</v>
      </c>
      <c r="BW20" s="102">
        <f t="shared" si="28"/>
        <v>33626033.4393984</v>
      </c>
      <c r="BX20" s="102">
        <f t="shared" si="29"/>
        <v>37694768.235062398</v>
      </c>
      <c r="BY20" s="102">
        <f t="shared" si="30"/>
        <v>42255829.058150396</v>
      </c>
      <c r="BZ20" s="102">
        <f t="shared" si="31"/>
        <v>47368767.466019996</v>
      </c>
    </row>
    <row r="21" spans="1:78" x14ac:dyDescent="0.25">
      <c r="A21" s="26" t="s">
        <v>112</v>
      </c>
      <c r="B21" s="73">
        <v>0.24</v>
      </c>
      <c r="C21" t="s">
        <v>125</v>
      </c>
      <c r="D21" s="61">
        <v>1.24</v>
      </c>
      <c r="E21" s="61"/>
      <c r="F21" s="7"/>
      <c r="G21" s="61"/>
      <c r="H21" s="7"/>
      <c r="I21" s="7"/>
      <c r="J21" s="7"/>
      <c r="K21" s="61"/>
      <c r="L21" s="61"/>
      <c r="M21" s="61"/>
      <c r="N21" s="61"/>
      <c r="O21" s="61"/>
      <c r="P21" s="61"/>
      <c r="Q21" s="61"/>
      <c r="R21" s="61"/>
      <c r="S21" s="74">
        <f>VLOOKUP($A21,turnover!$A$184:$Q$192,+S$4-$S$4+3,0)</f>
        <v>0</v>
      </c>
      <c r="T21" s="74">
        <f>VLOOKUP($A21,turnover!$A$184:$Q$192,+T$4-$S$4+3,0)</f>
        <v>32.767200000000003</v>
      </c>
      <c r="U21" s="74">
        <f>VLOOKUP($A21,turnover!$A$184:$Q$192,+U$4-$S$4+3,0)</f>
        <v>60.321840000000002</v>
      </c>
      <c r="V21" s="74">
        <f>VLOOKUP($A21,turnover!$A$184:$Q$192,+V$4-$S$4+3,0)</f>
        <v>61.564799999999991</v>
      </c>
      <c r="W21" s="74">
        <f>VLOOKUP($A21,turnover!$A$184:$Q$192,+W$4-$S$4+3,0)</f>
        <v>48.216000000000001</v>
      </c>
      <c r="X21" s="74">
        <f>VLOOKUP($A21,turnover!$A$184:$Q$192,+X$4-$S$4+3,0)</f>
        <v>60.593519999999984</v>
      </c>
      <c r="Y21" s="74">
        <f>VLOOKUP($A21,turnover!$A$184:$Q$192,+Y$4-$S$4+3,0)</f>
        <v>57.359519999999996</v>
      </c>
      <c r="Z21" s="74">
        <f>VLOOKUP($A21,turnover!$A$184:$Q$192,+Z$4-$S$4+3,0)</f>
        <v>53.820239999999991</v>
      </c>
      <c r="AA21" s="74">
        <f>VLOOKUP($A21,turnover!$A$184:$Q$192,+AA$4-$S$4+3,0)</f>
        <v>53.820239999999991</v>
      </c>
      <c r="AB21" s="74">
        <f>VLOOKUP($A21,turnover!$A$184:$Q$192,+AB$4-$S$4+3,0)</f>
        <v>53.820239999999991</v>
      </c>
      <c r="AC21" s="74">
        <f>VLOOKUP($A21,turnover!$A$184:$Q$192,+AC$4-$S$4+3,0)</f>
        <v>53.820239999999991</v>
      </c>
      <c r="AD21" s="74">
        <f>VLOOKUP($A21,turnover!$A$184:$Q$192,+AD$4-$S$4+3,0)</f>
        <v>53.820239999999998</v>
      </c>
      <c r="AE21" s="74">
        <f>VLOOKUP($A21,turnover!$A$184:$Q$192,+AE$4-$S$4+3,0)</f>
        <v>53.820239999999991</v>
      </c>
      <c r="AF21" s="74">
        <f>VLOOKUP($A21,turnover!$A$184:$Q$192,+AF$4-$S$4+3,0)</f>
        <v>53.820239999999991</v>
      </c>
      <c r="AG21" s="74">
        <f>VLOOKUP($A21,turnover!$A$184:$Q$192,+AG$4-$S$4+3,0)</f>
        <v>53.820239999999991</v>
      </c>
      <c r="AH21" s="61">
        <f t="shared" si="2"/>
        <v>0</v>
      </c>
      <c r="AI21" s="61">
        <f t="shared" si="3"/>
        <v>0</v>
      </c>
      <c r="AJ21" s="61">
        <f t="shared" si="4"/>
        <v>0</v>
      </c>
      <c r="AK21" s="61">
        <f t="shared" si="5"/>
        <v>0</v>
      </c>
      <c r="AL21" s="61">
        <f t="shared" si="6"/>
        <v>0</v>
      </c>
      <c r="AM21" s="61">
        <f t="shared" si="7"/>
        <v>0</v>
      </c>
      <c r="AN21" s="61">
        <f t="shared" si="8"/>
        <v>0</v>
      </c>
      <c r="AO21" s="61">
        <f t="shared" si="9"/>
        <v>0</v>
      </c>
      <c r="AP21" s="61">
        <f t="shared" si="10"/>
        <v>0</v>
      </c>
      <c r="AQ21" s="61">
        <f t="shared" si="11"/>
        <v>0</v>
      </c>
      <c r="AR21" s="61">
        <f t="shared" si="12"/>
        <v>0</v>
      </c>
      <c r="AS21" s="61">
        <f t="shared" si="13"/>
        <v>0</v>
      </c>
      <c r="AT21" s="61">
        <f t="shared" si="14"/>
        <v>0</v>
      </c>
      <c r="AU21" s="61">
        <f t="shared" si="15"/>
        <v>0</v>
      </c>
      <c r="AV21" s="61">
        <f t="shared" si="16"/>
        <v>0</v>
      </c>
      <c r="AW21" s="101">
        <f>VLOOKUP($C21,'Cost RMs'!$B$5:$Q$22,+AW$4-$AW$4+2,0)</f>
        <v>266257</v>
      </c>
      <c r="AX21" s="101">
        <f>VLOOKUP($C21,'Cost RMs'!$B$5:$Q$22,+AX$4-$AW$4+2,0)</f>
        <v>266257</v>
      </c>
      <c r="AY21" s="101">
        <f>VLOOKUP($C21,'Cost RMs'!$B$5:$Q$22,+AY$4-$AW$4+2,0)</f>
        <v>266257</v>
      </c>
      <c r="AZ21" s="101">
        <f ca="1">VLOOKUP($C21,'Cost RMs'!$B$5:$Q$22,+AZ$4-$AW$4+2,0)</f>
        <v>266257</v>
      </c>
      <c r="BA21" s="101">
        <f ca="1">VLOOKUP($C21,'Cost RMs'!$B$5:$Q$22,+BA$4-$AW$4+2,0)</f>
        <v>266257</v>
      </c>
      <c r="BB21" s="101">
        <f ca="1">VLOOKUP($C21,'Cost RMs'!$B$5:$Q$22,+BB$4-$AW$4+2,0)</f>
        <v>298181</v>
      </c>
      <c r="BC21" s="101">
        <f ca="1">VLOOKUP($C21,'Cost RMs'!$B$5:$Q$22,+BC$4-$AW$4+2,0)</f>
        <v>334261</v>
      </c>
      <c r="BD21" s="101">
        <f ca="1">VLOOKUP($C21,'Cost RMs'!$B$5:$Q$22,+BD$4-$AW$4+2,0)</f>
        <v>374707</v>
      </c>
      <c r="BE21" s="101">
        <f ca="1">VLOOKUP($C21,'Cost RMs'!$B$5:$Q$22,+BE$4-$AW$4+2,0)</f>
        <v>420047</v>
      </c>
      <c r="BF21" s="101">
        <f ca="1">VLOOKUP($C21,'Cost RMs'!$B$5:$Q$22,+BF$4-$AW$4+2,0)</f>
        <v>470873</v>
      </c>
      <c r="BG21" s="101">
        <f ca="1">VLOOKUP($C21,'Cost RMs'!$B$5:$Q$22,+BG$4-$AW$4+2,0)</f>
        <v>527849</v>
      </c>
      <c r="BH21" s="101">
        <f ca="1">VLOOKUP($C21,'Cost RMs'!$B$5:$Q$22,+BH$4-$AW$4+2,0)</f>
        <v>591719</v>
      </c>
      <c r="BI21" s="101">
        <f ca="1">VLOOKUP($C21,'Cost RMs'!$B$5:$Q$22,+BI$4-$AW$4+2,0)</f>
        <v>663317</v>
      </c>
      <c r="BJ21" s="101">
        <f ca="1">VLOOKUP($C21,'Cost RMs'!$B$5:$Q$22,+BJ$4-$AW$4+2,0)</f>
        <v>743578</v>
      </c>
      <c r="BK21" s="101">
        <f ca="1">VLOOKUP($C21,'Cost RMs'!$B$5:$Q$22,+BK$4-$AW$4+2,0)</f>
        <v>833551</v>
      </c>
      <c r="BL21" s="102">
        <f t="shared" si="17"/>
        <v>0</v>
      </c>
      <c r="BM21" s="102">
        <f t="shared" si="18"/>
        <v>0</v>
      </c>
      <c r="BN21" s="102">
        <f t="shared" si="19"/>
        <v>0</v>
      </c>
      <c r="BO21" s="102">
        <f t="shared" ca="1" si="20"/>
        <v>0</v>
      </c>
      <c r="BP21" s="102">
        <f t="shared" ca="1" si="21"/>
        <v>0</v>
      </c>
      <c r="BQ21" s="102">
        <f t="shared" ca="1" si="22"/>
        <v>0</v>
      </c>
      <c r="BR21" s="102">
        <f t="shared" ca="1" si="23"/>
        <v>0</v>
      </c>
      <c r="BS21" s="102">
        <f t="shared" ca="1" si="24"/>
        <v>0</v>
      </c>
      <c r="BT21" s="102">
        <f t="shared" ca="1" si="25"/>
        <v>0</v>
      </c>
      <c r="BU21" s="102">
        <f t="shared" ca="1" si="26"/>
        <v>0</v>
      </c>
      <c r="BV21" s="102">
        <f t="shared" ca="1" si="27"/>
        <v>0</v>
      </c>
      <c r="BW21" s="102">
        <f t="shared" ca="1" si="28"/>
        <v>0</v>
      </c>
      <c r="BX21" s="102">
        <f t="shared" ca="1" si="29"/>
        <v>0</v>
      </c>
      <c r="BY21" s="102">
        <f t="shared" ca="1" si="30"/>
        <v>0</v>
      </c>
      <c r="BZ21" s="102">
        <f t="shared" ca="1" si="31"/>
        <v>0</v>
      </c>
    </row>
    <row r="22" spans="1:78" x14ac:dyDescent="0.25">
      <c r="A22" s="26" t="s">
        <v>112</v>
      </c>
      <c r="B22" s="73">
        <v>0.24</v>
      </c>
      <c r="C22" t="s">
        <v>126</v>
      </c>
      <c r="D22" s="61"/>
      <c r="E22" s="61">
        <v>0.34699999999999998</v>
      </c>
      <c r="F22" s="61">
        <v>0.41099999999999998</v>
      </c>
      <c r="G22" s="61">
        <v>0.40400000000000003</v>
      </c>
      <c r="H22" s="61">
        <v>0.41</v>
      </c>
      <c r="I22" s="61">
        <v>0.41</v>
      </c>
      <c r="J22" s="61">
        <v>0.41</v>
      </c>
      <c r="K22" s="61">
        <v>0.41</v>
      </c>
      <c r="L22" s="61">
        <v>0.41</v>
      </c>
      <c r="M22" s="61">
        <v>0.41</v>
      </c>
      <c r="N22" s="61">
        <v>0.41</v>
      </c>
      <c r="O22" s="61">
        <v>0.41</v>
      </c>
      <c r="P22" s="61">
        <v>0.41</v>
      </c>
      <c r="Q22" s="61">
        <v>0.41</v>
      </c>
      <c r="R22" s="61">
        <v>0.41</v>
      </c>
      <c r="S22" s="74">
        <f>VLOOKUP($A22,turnover!$A$184:$Q$192,+S$4-$S$4+3,0)</f>
        <v>0</v>
      </c>
      <c r="T22" s="74">
        <f>VLOOKUP($A22,turnover!$A$184:$Q$192,+T$4-$S$4+3,0)</f>
        <v>32.767200000000003</v>
      </c>
      <c r="U22" s="74">
        <f>VLOOKUP($A22,turnover!$A$184:$Q$192,+U$4-$S$4+3,0)</f>
        <v>60.321840000000002</v>
      </c>
      <c r="V22" s="74">
        <f>VLOOKUP($A22,turnover!$A$184:$Q$192,+V$4-$S$4+3,0)</f>
        <v>61.564799999999991</v>
      </c>
      <c r="W22" s="74">
        <f>VLOOKUP($A22,turnover!$A$184:$Q$192,+W$4-$S$4+3,0)</f>
        <v>48.216000000000001</v>
      </c>
      <c r="X22" s="74">
        <f>VLOOKUP($A22,turnover!$A$184:$Q$192,+X$4-$S$4+3,0)</f>
        <v>60.593519999999984</v>
      </c>
      <c r="Y22" s="74">
        <f>VLOOKUP($A22,turnover!$A$184:$Q$192,+Y$4-$S$4+3,0)</f>
        <v>57.359519999999996</v>
      </c>
      <c r="Z22" s="74">
        <f>VLOOKUP($A22,turnover!$A$184:$Q$192,+Z$4-$S$4+3,0)</f>
        <v>53.820239999999991</v>
      </c>
      <c r="AA22" s="74">
        <f>VLOOKUP($A22,turnover!$A$184:$Q$192,+AA$4-$S$4+3,0)</f>
        <v>53.820239999999991</v>
      </c>
      <c r="AB22" s="74">
        <f>VLOOKUP($A22,turnover!$A$184:$Q$192,+AB$4-$S$4+3,0)</f>
        <v>53.820239999999991</v>
      </c>
      <c r="AC22" s="74">
        <f>VLOOKUP($A22,turnover!$A$184:$Q$192,+AC$4-$S$4+3,0)</f>
        <v>53.820239999999991</v>
      </c>
      <c r="AD22" s="74">
        <f>VLOOKUP($A22,turnover!$A$184:$Q$192,+AD$4-$S$4+3,0)</f>
        <v>53.820239999999998</v>
      </c>
      <c r="AE22" s="74">
        <f>VLOOKUP($A22,turnover!$A$184:$Q$192,+AE$4-$S$4+3,0)</f>
        <v>53.820239999999991</v>
      </c>
      <c r="AF22" s="74">
        <f>VLOOKUP($A22,turnover!$A$184:$Q$192,+AF$4-$S$4+3,0)</f>
        <v>53.820239999999991</v>
      </c>
      <c r="AG22" s="74">
        <f>VLOOKUP($A22,turnover!$A$184:$Q$192,+AG$4-$S$4+3,0)</f>
        <v>53.820239999999991</v>
      </c>
      <c r="AH22" s="61">
        <f t="shared" si="2"/>
        <v>0</v>
      </c>
      <c r="AI22" s="61">
        <f t="shared" si="3"/>
        <v>11.370218400000001</v>
      </c>
      <c r="AJ22" s="61">
        <f t="shared" si="4"/>
        <v>24.79227624</v>
      </c>
      <c r="AK22" s="61">
        <f t="shared" si="5"/>
        <v>24.872179199999998</v>
      </c>
      <c r="AL22" s="61">
        <f t="shared" si="6"/>
        <v>19.768560000000001</v>
      </c>
      <c r="AM22" s="61">
        <f t="shared" si="7"/>
        <v>24.843343199999993</v>
      </c>
      <c r="AN22" s="61">
        <f t="shared" si="8"/>
        <v>23.517403199999997</v>
      </c>
      <c r="AO22" s="61">
        <f t="shared" si="9"/>
        <v>22.066298399999994</v>
      </c>
      <c r="AP22" s="61">
        <f t="shared" si="10"/>
        <v>22.066298399999994</v>
      </c>
      <c r="AQ22" s="61">
        <f t="shared" si="11"/>
        <v>22.066298399999994</v>
      </c>
      <c r="AR22" s="61">
        <f t="shared" si="12"/>
        <v>22.066298399999994</v>
      </c>
      <c r="AS22" s="61">
        <f t="shared" si="13"/>
        <v>22.066298399999997</v>
      </c>
      <c r="AT22" s="61">
        <f t="shared" si="14"/>
        <v>22.066298399999994</v>
      </c>
      <c r="AU22" s="61">
        <f t="shared" si="15"/>
        <v>22.066298399999994</v>
      </c>
      <c r="AV22" s="61">
        <f t="shared" si="16"/>
        <v>22.066298399999994</v>
      </c>
      <c r="AW22" s="101">
        <f>VLOOKUP($C22,'Cost RMs'!$B$5:$Q$22,+AW$4-$AW$4+2,0)</f>
        <v>248821</v>
      </c>
      <c r="AX22" s="101">
        <f>VLOOKUP($C22,'Cost RMs'!$B$5:$Q$22,+AX$4-$AW$4+2,0)</f>
        <v>290296</v>
      </c>
      <c r="AY22" s="101">
        <f>VLOOKUP($C22,'Cost RMs'!$B$5:$Q$22,+AY$4-$AW$4+2,0)</f>
        <v>316267</v>
      </c>
      <c r="AZ22" s="101">
        <f>VLOOKUP($C22,'Cost RMs'!$B$5:$Q$22,+AZ$4-$AW$4+2,0)</f>
        <v>337089</v>
      </c>
      <c r="BA22" s="101">
        <f>VLOOKUP($C22,'Cost RMs'!$B$5:$Q$22,+BA$4-$AW$4+2,0)</f>
        <v>408568</v>
      </c>
      <c r="BB22" s="101">
        <f>VLOOKUP($C22,'Cost RMs'!$B$5:$Q$22,+BB$4-$AW$4+2,0)</f>
        <v>457555</v>
      </c>
      <c r="BC22" s="101">
        <f>VLOOKUP($C22,'Cost RMs'!$B$5:$Q$22,+BC$4-$AW$4+2,0)</f>
        <v>512919</v>
      </c>
      <c r="BD22" s="101">
        <f>VLOOKUP($C22,'Cost RMs'!$B$5:$Q$22,+BD$4-$AW$4+2,0)</f>
        <v>574982</v>
      </c>
      <c r="BE22" s="101">
        <f>VLOOKUP($C22,'Cost RMs'!$B$5:$Q$22,+BE$4-$AW$4+2,0)</f>
        <v>644555</v>
      </c>
      <c r="BF22" s="101">
        <f>VLOOKUP($C22,'Cost RMs'!$B$5:$Q$22,+BF$4-$AW$4+2,0)</f>
        <v>722546</v>
      </c>
      <c r="BG22" s="101">
        <f>VLOOKUP($C22,'Cost RMs'!$B$5:$Q$22,+BG$4-$AW$4+2,0)</f>
        <v>809974</v>
      </c>
      <c r="BH22" s="101">
        <f>VLOOKUP($C22,'Cost RMs'!$B$5:$Q$22,+BH$4-$AW$4+2,0)</f>
        <v>907981</v>
      </c>
      <c r="BI22" s="101">
        <f>VLOOKUP($C22,'Cost RMs'!$B$5:$Q$22,+BI$4-$AW$4+2,0)</f>
        <v>1017847</v>
      </c>
      <c r="BJ22" s="101">
        <f>VLOOKUP($C22,'Cost RMs'!$B$5:$Q$22,+BJ$4-$AW$4+2,0)</f>
        <v>1141006</v>
      </c>
      <c r="BK22" s="101">
        <f>VLOOKUP($C22,'Cost RMs'!$B$5:$Q$22,+BK$4-$AW$4+2,0)</f>
        <v>1279068</v>
      </c>
      <c r="BL22" s="102">
        <f t="shared" si="17"/>
        <v>0</v>
      </c>
      <c r="BM22" s="102">
        <f t="shared" si="18"/>
        <v>3300728.9206464002</v>
      </c>
      <c r="BN22" s="102">
        <f t="shared" si="19"/>
        <v>7840978.8295960799</v>
      </c>
      <c r="BO22" s="102">
        <f t="shared" si="20"/>
        <v>8384138.0143487994</v>
      </c>
      <c r="BP22" s="102">
        <f t="shared" si="21"/>
        <v>8076801.0220800005</v>
      </c>
      <c r="BQ22" s="102">
        <f t="shared" si="22"/>
        <v>11367195.897875996</v>
      </c>
      <c r="BR22" s="102">
        <f t="shared" si="23"/>
        <v>12062522.931940798</v>
      </c>
      <c r="BS22" s="102">
        <f t="shared" si="24"/>
        <v>12687724.386628797</v>
      </c>
      <c r="BT22" s="102">
        <f t="shared" si="25"/>
        <v>14222942.965211997</v>
      </c>
      <c r="BU22" s="102">
        <f t="shared" si="26"/>
        <v>15943915.643726395</v>
      </c>
      <c r="BV22" s="102">
        <f t="shared" si="27"/>
        <v>17873127.980241597</v>
      </c>
      <c r="BW22" s="102">
        <f t="shared" si="28"/>
        <v>20035779.687530398</v>
      </c>
      <c r="BX22" s="102">
        <f t="shared" si="29"/>
        <v>22460115.627544794</v>
      </c>
      <c r="BY22" s="102">
        <f t="shared" si="30"/>
        <v>25177778.872190394</v>
      </c>
      <c r="BZ22" s="102">
        <f t="shared" si="31"/>
        <v>28224296.161891192</v>
      </c>
    </row>
    <row r="23" spans="1:78" x14ac:dyDescent="0.25">
      <c r="A23" s="26" t="s">
        <v>112</v>
      </c>
      <c r="B23" s="73">
        <v>0.24</v>
      </c>
      <c r="C23" t="s">
        <v>127</v>
      </c>
      <c r="D23" s="61">
        <v>5.1150000000000002</v>
      </c>
      <c r="E23" s="61">
        <v>3.9039999999999999</v>
      </c>
      <c r="F23" s="61">
        <v>4.33</v>
      </c>
      <c r="G23" s="61">
        <v>4.5149999999999997</v>
      </c>
      <c r="H23" s="61">
        <v>4.8</v>
      </c>
      <c r="I23" s="61">
        <v>4.8</v>
      </c>
      <c r="J23" s="61">
        <v>4.8</v>
      </c>
      <c r="K23" s="61">
        <v>4.2</v>
      </c>
      <c r="L23" s="61">
        <v>4.2</v>
      </c>
      <c r="M23" s="61">
        <v>4.2</v>
      </c>
      <c r="N23" s="61">
        <v>4.2</v>
      </c>
      <c r="O23" s="61">
        <v>4.2</v>
      </c>
      <c r="P23" s="61">
        <v>4.2</v>
      </c>
      <c r="Q23" s="61">
        <v>4.2</v>
      </c>
      <c r="R23" s="61">
        <v>4.2</v>
      </c>
      <c r="S23" s="74">
        <f>VLOOKUP($A23,turnover!$A$184:$Q$192,+S$4-$S$4+3,0)</f>
        <v>0</v>
      </c>
      <c r="T23" s="74">
        <f>VLOOKUP($A23,turnover!$A$184:$Q$192,+T$4-$S$4+3,0)</f>
        <v>32.767200000000003</v>
      </c>
      <c r="U23" s="74">
        <f>VLOOKUP($A23,turnover!$A$184:$Q$192,+U$4-$S$4+3,0)</f>
        <v>60.321840000000002</v>
      </c>
      <c r="V23" s="74">
        <f>VLOOKUP($A23,turnover!$A$184:$Q$192,+V$4-$S$4+3,0)</f>
        <v>61.564799999999991</v>
      </c>
      <c r="W23" s="74">
        <f>VLOOKUP($A23,turnover!$A$184:$Q$192,+W$4-$S$4+3,0)</f>
        <v>48.216000000000001</v>
      </c>
      <c r="X23" s="74">
        <f>VLOOKUP($A23,turnover!$A$184:$Q$192,+X$4-$S$4+3,0)</f>
        <v>60.593519999999984</v>
      </c>
      <c r="Y23" s="74">
        <f>VLOOKUP($A23,turnover!$A$184:$Q$192,+Y$4-$S$4+3,0)</f>
        <v>57.359519999999996</v>
      </c>
      <c r="Z23" s="74">
        <f>VLOOKUP($A23,turnover!$A$184:$Q$192,+Z$4-$S$4+3,0)</f>
        <v>53.820239999999991</v>
      </c>
      <c r="AA23" s="74">
        <f>VLOOKUP($A23,turnover!$A$184:$Q$192,+AA$4-$S$4+3,0)</f>
        <v>53.820239999999991</v>
      </c>
      <c r="AB23" s="74">
        <f>VLOOKUP($A23,turnover!$A$184:$Q$192,+AB$4-$S$4+3,0)</f>
        <v>53.820239999999991</v>
      </c>
      <c r="AC23" s="74">
        <f>VLOOKUP($A23,turnover!$A$184:$Q$192,+AC$4-$S$4+3,0)</f>
        <v>53.820239999999991</v>
      </c>
      <c r="AD23" s="74">
        <f>VLOOKUP($A23,turnover!$A$184:$Q$192,+AD$4-$S$4+3,0)</f>
        <v>53.820239999999998</v>
      </c>
      <c r="AE23" s="74">
        <f>VLOOKUP($A23,turnover!$A$184:$Q$192,+AE$4-$S$4+3,0)</f>
        <v>53.820239999999991</v>
      </c>
      <c r="AF23" s="74">
        <f>VLOOKUP($A23,turnover!$A$184:$Q$192,+AF$4-$S$4+3,0)</f>
        <v>53.820239999999991</v>
      </c>
      <c r="AG23" s="74">
        <f>VLOOKUP($A23,turnover!$A$184:$Q$192,+AG$4-$S$4+3,0)</f>
        <v>53.820239999999991</v>
      </c>
      <c r="AH23" s="61">
        <f t="shared" si="2"/>
        <v>0</v>
      </c>
      <c r="AI23" s="61">
        <f t="shared" si="3"/>
        <v>127.92314880000001</v>
      </c>
      <c r="AJ23" s="61">
        <f t="shared" si="4"/>
        <v>261.19356720000002</v>
      </c>
      <c r="AK23" s="61">
        <f t="shared" si="5"/>
        <v>277.96507199999996</v>
      </c>
      <c r="AL23" s="61">
        <f t="shared" si="6"/>
        <v>231.43680000000001</v>
      </c>
      <c r="AM23" s="61">
        <f t="shared" si="7"/>
        <v>290.84889599999991</v>
      </c>
      <c r="AN23" s="61">
        <f t="shared" si="8"/>
        <v>275.32569599999999</v>
      </c>
      <c r="AO23" s="61">
        <f t="shared" si="9"/>
        <v>226.04500799999997</v>
      </c>
      <c r="AP23" s="61">
        <f t="shared" si="10"/>
        <v>226.04500799999997</v>
      </c>
      <c r="AQ23" s="61">
        <f t="shared" si="11"/>
        <v>226.04500799999997</v>
      </c>
      <c r="AR23" s="61">
        <f t="shared" si="12"/>
        <v>226.04500799999997</v>
      </c>
      <c r="AS23" s="61">
        <f t="shared" si="13"/>
        <v>226.045008</v>
      </c>
      <c r="AT23" s="61">
        <f t="shared" si="14"/>
        <v>226.04500799999997</v>
      </c>
      <c r="AU23" s="61">
        <f t="shared" si="15"/>
        <v>226.04500799999997</v>
      </c>
      <c r="AV23" s="61">
        <f t="shared" si="16"/>
        <v>226.04500799999997</v>
      </c>
      <c r="AW23" s="101">
        <f>VLOOKUP($C23,'Cost RMs'!$B$5:$Q$22,+AW$4-$AW$4+2,0)</f>
        <v>31510</v>
      </c>
      <c r="AX23" s="101">
        <f>VLOOKUP($C23,'Cost RMs'!$B$5:$Q$22,+AX$4-$AW$4+2,0)</f>
        <v>40370</v>
      </c>
      <c r="AY23" s="101">
        <f>VLOOKUP($C23,'Cost RMs'!$B$5:$Q$22,+AY$4-$AW$4+2,0)</f>
        <v>41166</v>
      </c>
      <c r="AZ23" s="101">
        <f>VLOOKUP($C23,'Cost RMs'!$B$5:$Q$22,+AZ$4-$AW$4+2,0)</f>
        <v>48881</v>
      </c>
      <c r="BA23" s="101">
        <f>VLOOKUP($C23,'Cost RMs'!$B$5:$Q$22,+BA$4-$AW$4+2,0)</f>
        <v>47121</v>
      </c>
      <c r="BB23" s="101">
        <f ca="1">VLOOKUP($C23,'Cost RMs'!$B$5:$Q$22,+BB$4-$AW$4+2,0)</f>
        <v>50566.413250959507</v>
      </c>
      <c r="BC23" s="101">
        <f ca="1">VLOOKUP($C23,'Cost RMs'!$B$5:$Q$22,+BC$4-$AW$4+2,0)</f>
        <v>56631.49986439231</v>
      </c>
      <c r="BD23" s="101">
        <f ca="1">VLOOKUP($C23,'Cost RMs'!$B$5:$Q$22,+BD$4-$AW$4+2,0)</f>
        <v>63938.797808160256</v>
      </c>
      <c r="BE23" s="101">
        <f ca="1">VLOOKUP($C23,'Cost RMs'!$B$5:$Q$22,+BE$4-$AW$4+2,0)</f>
        <v>72083.206654867696</v>
      </c>
      <c r="BF23" s="101">
        <f ca="1">VLOOKUP($C23,'Cost RMs'!$B$5:$Q$22,+BF$4-$AW$4+2,0)</f>
        <v>81313.760903297516</v>
      </c>
      <c r="BG23" s="101">
        <f ca="1">VLOOKUP($C23,'Cost RMs'!$B$5:$Q$22,+BG$4-$AW$4+2,0)</f>
        <v>91785.423765355576</v>
      </c>
      <c r="BH23" s="101">
        <f ca="1">VLOOKUP($C23,'Cost RMs'!$B$5:$Q$22,+BH$4-$AW$4+2,0)</f>
        <v>103677.12991004685</v>
      </c>
      <c r="BI23" s="101">
        <f ca="1">VLOOKUP($C23,'Cost RMs'!$B$5:$Q$22,+BI$4-$AW$4+2,0)</f>
        <v>117195.56148271105</v>
      </c>
      <c r="BJ23" s="101">
        <f ca="1">VLOOKUP($C23,'Cost RMs'!$B$5:$Q$22,+BJ$4-$AW$4+2,0)</f>
        <v>132580.59576203892</v>
      </c>
      <c r="BK23" s="101">
        <f ca="1">VLOOKUP($C23,'Cost RMs'!$B$5:$Q$22,+BK$4-$AW$4+2,0)</f>
        <v>150111.0973392961</v>
      </c>
      <c r="BL23" s="102">
        <f t="shared" si="17"/>
        <v>0</v>
      </c>
      <c r="BM23" s="102">
        <f t="shared" si="18"/>
        <v>5164257.5170560004</v>
      </c>
      <c r="BN23" s="102">
        <f t="shared" si="19"/>
        <v>10752294.387355201</v>
      </c>
      <c r="BO23" s="102">
        <f t="shared" si="20"/>
        <v>13587210.684431998</v>
      </c>
      <c r="BP23" s="102">
        <f t="shared" si="21"/>
        <v>10905533.4528</v>
      </c>
      <c r="BQ23" s="102">
        <f t="shared" ca="1" si="22"/>
        <v>14707185.468721339</v>
      </c>
      <c r="BR23" s="102">
        <f t="shared" ca="1" si="23"/>
        <v>15592107.115687719</v>
      </c>
      <c r="BS23" s="102">
        <f t="shared" ca="1" si="24"/>
        <v>14453046.062055966</v>
      </c>
      <c r="BT23" s="102">
        <f t="shared" ca="1" si="25"/>
        <v>16294049.024965219</v>
      </c>
      <c r="BU23" s="102">
        <f t="shared" ca="1" si="26"/>
        <v>18380569.733895972</v>
      </c>
      <c r="BV23" s="102">
        <f t="shared" ca="1" si="27"/>
        <v>20747636.849323187</v>
      </c>
      <c r="BW23" s="102">
        <f t="shared" ca="1" si="28"/>
        <v>23435697.659933578</v>
      </c>
      <c r="BX23" s="102">
        <f t="shared" ca="1" si="29"/>
        <v>26491471.632923909</v>
      </c>
      <c r="BY23" s="102">
        <f t="shared" ca="1" si="30"/>
        <v>29969181.829674851</v>
      </c>
      <c r="BZ23" s="102">
        <f t="shared" ca="1" si="31"/>
        <v>33931864.198949963</v>
      </c>
    </row>
    <row r="24" spans="1:78" x14ac:dyDescent="0.25">
      <c r="A24" s="26" t="s">
        <v>112</v>
      </c>
      <c r="B24" s="73">
        <v>0.24</v>
      </c>
      <c r="C24" s="26" t="s">
        <v>132</v>
      </c>
      <c r="D24" s="61"/>
      <c r="E24" s="61"/>
      <c r="F24" s="7"/>
      <c r="G24" s="61"/>
      <c r="H24" s="7"/>
      <c r="I24" s="7"/>
      <c r="J24" s="7"/>
      <c r="K24" s="61"/>
      <c r="L24" s="61"/>
      <c r="M24" s="61"/>
      <c r="N24" s="61"/>
      <c r="O24" s="61"/>
      <c r="P24" s="61"/>
      <c r="Q24" s="61"/>
      <c r="R24" s="61"/>
      <c r="S24" s="74">
        <f>VLOOKUP($A24,turnover!$A$184:$Q$192,+S$4-$S$4+3,0)</f>
        <v>0</v>
      </c>
      <c r="T24" s="74">
        <f>VLOOKUP($A24,turnover!$A$184:$Q$192,+T$4-$S$4+3,0)</f>
        <v>32.767200000000003</v>
      </c>
      <c r="U24" s="74">
        <f>VLOOKUP($A24,turnover!$A$184:$Q$192,+U$4-$S$4+3,0)</f>
        <v>60.321840000000002</v>
      </c>
      <c r="V24" s="74">
        <f>VLOOKUP($A24,turnover!$A$184:$Q$192,+V$4-$S$4+3,0)</f>
        <v>61.564799999999991</v>
      </c>
      <c r="W24" s="74">
        <f>VLOOKUP($A24,turnover!$A$184:$Q$192,+W$4-$S$4+3,0)</f>
        <v>48.216000000000001</v>
      </c>
      <c r="X24" s="74">
        <f>VLOOKUP($A24,turnover!$A$184:$Q$192,+X$4-$S$4+3,0)</f>
        <v>60.593519999999984</v>
      </c>
      <c r="Y24" s="74">
        <f>VLOOKUP($A24,turnover!$A$184:$Q$192,+Y$4-$S$4+3,0)</f>
        <v>57.359519999999996</v>
      </c>
      <c r="Z24" s="74">
        <f>VLOOKUP($A24,turnover!$A$184:$Q$192,+Z$4-$S$4+3,0)</f>
        <v>53.820239999999991</v>
      </c>
      <c r="AA24" s="74">
        <f>VLOOKUP($A24,turnover!$A$184:$Q$192,+AA$4-$S$4+3,0)</f>
        <v>53.820239999999991</v>
      </c>
      <c r="AB24" s="74">
        <f>VLOOKUP($A24,turnover!$A$184:$Q$192,+AB$4-$S$4+3,0)</f>
        <v>53.820239999999991</v>
      </c>
      <c r="AC24" s="74">
        <f>VLOOKUP($A24,turnover!$A$184:$Q$192,+AC$4-$S$4+3,0)</f>
        <v>53.820239999999991</v>
      </c>
      <c r="AD24" s="74">
        <f>VLOOKUP($A24,turnover!$A$184:$Q$192,+AD$4-$S$4+3,0)</f>
        <v>53.820239999999998</v>
      </c>
      <c r="AE24" s="74">
        <f>VLOOKUP($A24,turnover!$A$184:$Q$192,+AE$4-$S$4+3,0)</f>
        <v>53.820239999999991</v>
      </c>
      <c r="AF24" s="74">
        <f>VLOOKUP($A24,turnover!$A$184:$Q$192,+AF$4-$S$4+3,0)</f>
        <v>53.820239999999991</v>
      </c>
      <c r="AG24" s="74">
        <f>VLOOKUP($A24,turnover!$A$184:$Q$192,+AG$4-$S$4+3,0)</f>
        <v>53.820239999999991</v>
      </c>
      <c r="AH24" s="61">
        <f t="shared" si="2"/>
        <v>0</v>
      </c>
      <c r="AI24" s="61">
        <f t="shared" si="3"/>
        <v>0</v>
      </c>
      <c r="AJ24" s="61">
        <f t="shared" si="4"/>
        <v>0</v>
      </c>
      <c r="AK24" s="61">
        <f t="shared" si="5"/>
        <v>0</v>
      </c>
      <c r="AL24" s="61">
        <f t="shared" si="6"/>
        <v>0</v>
      </c>
      <c r="AM24" s="61">
        <f t="shared" si="7"/>
        <v>0</v>
      </c>
      <c r="AN24" s="61">
        <f t="shared" si="8"/>
        <v>0</v>
      </c>
      <c r="AO24" s="61">
        <f t="shared" si="9"/>
        <v>0</v>
      </c>
      <c r="AP24" s="61">
        <f t="shared" si="10"/>
        <v>0</v>
      </c>
      <c r="AQ24" s="61">
        <f t="shared" si="11"/>
        <v>0</v>
      </c>
      <c r="AR24" s="61">
        <f t="shared" si="12"/>
        <v>0</v>
      </c>
      <c r="AS24" s="61">
        <f t="shared" si="13"/>
        <v>0</v>
      </c>
      <c r="AT24" s="61">
        <f t="shared" si="14"/>
        <v>0</v>
      </c>
      <c r="AU24" s="61">
        <f t="shared" si="15"/>
        <v>0</v>
      </c>
      <c r="AV24" s="61">
        <f t="shared" si="16"/>
        <v>0</v>
      </c>
      <c r="AW24" s="101">
        <f>VLOOKUP($C24,'Cost RMs'!$B$5:$Q$22,+AW$4-$AW$4+2,0)</f>
        <v>37079</v>
      </c>
      <c r="AX24" s="101">
        <f>VLOOKUP($C24,'Cost RMs'!$B$5:$Q$22,+AX$4-$AW$4+2,0)</f>
        <v>52416</v>
      </c>
      <c r="AY24" s="101">
        <f>VLOOKUP($C24,'Cost RMs'!$B$5:$Q$22,+AY$4-$AW$4+2,0)</f>
        <v>45564</v>
      </c>
      <c r="AZ24" s="101">
        <f>VLOOKUP($C24,'Cost RMs'!$B$5:$Q$22,+AZ$4-$AW$4+2,0)</f>
        <v>49142</v>
      </c>
      <c r="BA24" s="101">
        <f>VLOOKUP($C24,'Cost RMs'!$B$5:$Q$22,+BA$4-$AW$4+2,0)</f>
        <v>50394</v>
      </c>
      <c r="BB24" s="101">
        <f>VLOOKUP($C24,'Cost RMs'!$B$5:$Q$22,+BB$4-$AW$4+2,0)</f>
        <v>56436</v>
      </c>
      <c r="BC24" s="101">
        <f>VLOOKUP($C24,'Cost RMs'!$B$5:$Q$22,+BC$4-$AW$4+2,0)</f>
        <v>63265</v>
      </c>
      <c r="BD24" s="101">
        <f>VLOOKUP($C24,'Cost RMs'!$B$5:$Q$22,+BD$4-$AW$4+2,0)</f>
        <v>70920</v>
      </c>
      <c r="BE24" s="101">
        <f>VLOOKUP($C24,'Cost RMs'!$B$5:$Q$22,+BE$4-$AW$4+2,0)</f>
        <v>79501</v>
      </c>
      <c r="BF24" s="101">
        <f>VLOOKUP($C24,'Cost RMs'!$B$5:$Q$22,+BF$4-$AW$4+2,0)</f>
        <v>89121</v>
      </c>
      <c r="BG24" s="101">
        <f>VLOOKUP($C24,'Cost RMs'!$B$5:$Q$22,+BG$4-$AW$4+2,0)</f>
        <v>99905</v>
      </c>
      <c r="BH24" s="101">
        <f>VLOOKUP($C24,'Cost RMs'!$B$5:$Q$22,+BH$4-$AW$4+2,0)</f>
        <v>111994</v>
      </c>
      <c r="BI24" s="101">
        <f>VLOOKUP($C24,'Cost RMs'!$B$5:$Q$22,+BI$4-$AW$4+2,0)</f>
        <v>125545</v>
      </c>
      <c r="BJ24" s="101">
        <f>VLOOKUP($C24,'Cost RMs'!$B$5:$Q$22,+BJ$4-$AW$4+2,0)</f>
        <v>140736</v>
      </c>
      <c r="BK24" s="101">
        <f>VLOOKUP($C24,'Cost RMs'!$B$5:$Q$22,+BK$4-$AW$4+2,0)</f>
        <v>157765</v>
      </c>
      <c r="BL24" s="102">
        <f t="shared" si="17"/>
        <v>0</v>
      </c>
      <c r="BM24" s="102">
        <f t="shared" si="18"/>
        <v>0</v>
      </c>
      <c r="BN24" s="102">
        <f t="shared" si="19"/>
        <v>0</v>
      </c>
      <c r="BO24" s="102">
        <f t="shared" si="20"/>
        <v>0</v>
      </c>
      <c r="BP24" s="102">
        <f t="shared" si="21"/>
        <v>0</v>
      </c>
      <c r="BQ24" s="102">
        <f t="shared" si="22"/>
        <v>0</v>
      </c>
      <c r="BR24" s="102">
        <f t="shared" si="23"/>
        <v>0</v>
      </c>
      <c r="BS24" s="102">
        <f t="shared" si="24"/>
        <v>0</v>
      </c>
      <c r="BT24" s="102">
        <f t="shared" si="25"/>
        <v>0</v>
      </c>
      <c r="BU24" s="102">
        <f t="shared" si="26"/>
        <v>0</v>
      </c>
      <c r="BV24" s="102">
        <f t="shared" si="27"/>
        <v>0</v>
      </c>
      <c r="BW24" s="102">
        <f t="shared" si="28"/>
        <v>0</v>
      </c>
      <c r="BX24" s="102">
        <f t="shared" si="29"/>
        <v>0</v>
      </c>
      <c r="BY24" s="102">
        <f t="shared" si="30"/>
        <v>0</v>
      </c>
      <c r="BZ24" s="102">
        <f t="shared" si="31"/>
        <v>0</v>
      </c>
    </row>
    <row r="25" spans="1:78" x14ac:dyDescent="0.25">
      <c r="A25" s="26" t="s">
        <v>112</v>
      </c>
      <c r="B25" s="73">
        <v>0.24</v>
      </c>
      <c r="C25" t="s">
        <v>128</v>
      </c>
      <c r="D25" s="61"/>
      <c r="E25" s="61"/>
      <c r="F25" s="7"/>
      <c r="G25" s="61"/>
      <c r="H25" s="7"/>
      <c r="I25" s="7"/>
      <c r="J25" s="7"/>
      <c r="K25" s="61"/>
      <c r="L25" s="61"/>
      <c r="M25" s="61"/>
      <c r="N25" s="61"/>
      <c r="O25" s="61"/>
      <c r="P25" s="61"/>
      <c r="Q25" s="61"/>
      <c r="R25" s="61"/>
      <c r="S25" s="74">
        <f>VLOOKUP($A25,turnover!$A$184:$Q$192,+S$4-$S$4+3,0)</f>
        <v>0</v>
      </c>
      <c r="T25" s="74">
        <f>VLOOKUP($A25,turnover!$A$184:$Q$192,+T$4-$S$4+3,0)</f>
        <v>32.767200000000003</v>
      </c>
      <c r="U25" s="74">
        <f>VLOOKUP($A25,turnover!$A$184:$Q$192,+U$4-$S$4+3,0)</f>
        <v>60.321840000000002</v>
      </c>
      <c r="V25" s="74">
        <f>VLOOKUP($A25,turnover!$A$184:$Q$192,+V$4-$S$4+3,0)</f>
        <v>61.564799999999991</v>
      </c>
      <c r="W25" s="74">
        <f>VLOOKUP($A25,turnover!$A$184:$Q$192,+W$4-$S$4+3,0)</f>
        <v>48.216000000000001</v>
      </c>
      <c r="X25" s="74">
        <f>VLOOKUP($A25,turnover!$A$184:$Q$192,+X$4-$S$4+3,0)</f>
        <v>60.593519999999984</v>
      </c>
      <c r="Y25" s="74">
        <f>VLOOKUP($A25,turnover!$A$184:$Q$192,+Y$4-$S$4+3,0)</f>
        <v>57.359519999999996</v>
      </c>
      <c r="Z25" s="74">
        <f>VLOOKUP($A25,turnover!$A$184:$Q$192,+Z$4-$S$4+3,0)</f>
        <v>53.820239999999991</v>
      </c>
      <c r="AA25" s="74">
        <f>VLOOKUP($A25,turnover!$A$184:$Q$192,+AA$4-$S$4+3,0)</f>
        <v>53.820239999999991</v>
      </c>
      <c r="AB25" s="74">
        <f>VLOOKUP($A25,turnover!$A$184:$Q$192,+AB$4-$S$4+3,0)</f>
        <v>53.820239999999991</v>
      </c>
      <c r="AC25" s="74">
        <f>VLOOKUP($A25,turnover!$A$184:$Q$192,+AC$4-$S$4+3,0)</f>
        <v>53.820239999999991</v>
      </c>
      <c r="AD25" s="74">
        <f>VLOOKUP($A25,turnover!$A$184:$Q$192,+AD$4-$S$4+3,0)</f>
        <v>53.820239999999998</v>
      </c>
      <c r="AE25" s="74">
        <f>VLOOKUP($A25,turnover!$A$184:$Q$192,+AE$4-$S$4+3,0)</f>
        <v>53.820239999999991</v>
      </c>
      <c r="AF25" s="74">
        <f>VLOOKUP($A25,turnover!$A$184:$Q$192,+AF$4-$S$4+3,0)</f>
        <v>53.820239999999991</v>
      </c>
      <c r="AG25" s="74">
        <f>VLOOKUP($A25,turnover!$A$184:$Q$192,+AG$4-$S$4+3,0)</f>
        <v>53.820239999999991</v>
      </c>
      <c r="AH25" s="61">
        <f t="shared" si="2"/>
        <v>0</v>
      </c>
      <c r="AI25" s="61">
        <f t="shared" si="3"/>
        <v>0</v>
      </c>
      <c r="AJ25" s="61">
        <f t="shared" si="4"/>
        <v>0</v>
      </c>
      <c r="AK25" s="61">
        <f t="shared" si="5"/>
        <v>0</v>
      </c>
      <c r="AL25" s="61">
        <f t="shared" si="6"/>
        <v>0</v>
      </c>
      <c r="AM25" s="61">
        <f t="shared" si="7"/>
        <v>0</v>
      </c>
      <c r="AN25" s="61">
        <f t="shared" si="8"/>
        <v>0</v>
      </c>
      <c r="AO25" s="61">
        <f t="shared" si="9"/>
        <v>0</v>
      </c>
      <c r="AP25" s="61">
        <f t="shared" si="10"/>
        <v>0</v>
      </c>
      <c r="AQ25" s="61">
        <f t="shared" si="11"/>
        <v>0</v>
      </c>
      <c r="AR25" s="61">
        <f t="shared" si="12"/>
        <v>0</v>
      </c>
      <c r="AS25" s="61">
        <f t="shared" si="13"/>
        <v>0</v>
      </c>
      <c r="AT25" s="61">
        <f t="shared" si="14"/>
        <v>0</v>
      </c>
      <c r="AU25" s="61">
        <f t="shared" si="15"/>
        <v>0</v>
      </c>
      <c r="AV25" s="61">
        <f t="shared" si="16"/>
        <v>0</v>
      </c>
      <c r="AW25" s="101">
        <f>VLOOKUP($C25,'Cost RMs'!$B$5:$Q$22,+AW$4-$AW$4+2,0)</f>
        <v>0</v>
      </c>
      <c r="AX25" s="101">
        <f>VLOOKUP($C25,'Cost RMs'!$B$5:$Q$22,+AX$4-$AW$4+2,0)</f>
        <v>0</v>
      </c>
      <c r="AY25" s="101">
        <f>VLOOKUP($C25,'Cost RMs'!$B$5:$Q$22,+AY$4-$AW$4+2,0)</f>
        <v>0</v>
      </c>
      <c r="AZ25" s="101">
        <f>VLOOKUP($C25,'Cost RMs'!$B$5:$Q$22,+AZ$4-$AW$4+2,0)</f>
        <v>0</v>
      </c>
      <c r="BA25" s="101">
        <f>VLOOKUP($C25,'Cost RMs'!$B$5:$Q$22,+BA$4-$AW$4+2,0)</f>
        <v>0</v>
      </c>
      <c r="BB25" s="101">
        <f>VLOOKUP($C25,'Cost RMs'!$B$5:$Q$22,+BB$4-$AW$4+2,0)</f>
        <v>0</v>
      </c>
      <c r="BC25" s="101">
        <f>VLOOKUP($C25,'Cost RMs'!$B$5:$Q$22,+BC$4-$AW$4+2,0)</f>
        <v>0</v>
      </c>
      <c r="BD25" s="101">
        <f>VLOOKUP($C25,'Cost RMs'!$B$5:$Q$22,+BD$4-$AW$4+2,0)</f>
        <v>0</v>
      </c>
      <c r="BE25" s="101">
        <f>VLOOKUP($C25,'Cost RMs'!$B$5:$Q$22,+BE$4-$AW$4+2,0)</f>
        <v>0</v>
      </c>
      <c r="BF25" s="101">
        <f>VLOOKUP($C25,'Cost RMs'!$B$5:$Q$22,+BF$4-$AW$4+2,0)</f>
        <v>0</v>
      </c>
      <c r="BG25" s="101">
        <f>VLOOKUP($C25,'Cost RMs'!$B$5:$Q$22,+BG$4-$AW$4+2,0)</f>
        <v>0</v>
      </c>
      <c r="BH25" s="101">
        <f>VLOOKUP($C25,'Cost RMs'!$B$5:$Q$22,+BH$4-$AW$4+2,0)</f>
        <v>0</v>
      </c>
      <c r="BI25" s="101">
        <f>VLOOKUP($C25,'Cost RMs'!$B$5:$Q$22,+BI$4-$AW$4+2,0)</f>
        <v>0</v>
      </c>
      <c r="BJ25" s="101">
        <f>VLOOKUP($C25,'Cost RMs'!$B$5:$Q$22,+BJ$4-$AW$4+2,0)</f>
        <v>0</v>
      </c>
      <c r="BK25" s="101">
        <f>VLOOKUP($C25,'Cost RMs'!$B$5:$Q$22,+BK$4-$AW$4+2,0)</f>
        <v>0</v>
      </c>
      <c r="BL25" s="102">
        <f t="shared" si="17"/>
        <v>0</v>
      </c>
      <c r="BM25" s="102">
        <f t="shared" si="18"/>
        <v>0</v>
      </c>
      <c r="BN25" s="102">
        <f t="shared" si="19"/>
        <v>0</v>
      </c>
      <c r="BO25" s="102">
        <f t="shared" si="20"/>
        <v>0</v>
      </c>
      <c r="BP25" s="102">
        <f t="shared" si="21"/>
        <v>0</v>
      </c>
      <c r="BQ25" s="102">
        <f t="shared" si="22"/>
        <v>0</v>
      </c>
      <c r="BR25" s="102">
        <f t="shared" si="23"/>
        <v>0</v>
      </c>
      <c r="BS25" s="102">
        <f t="shared" si="24"/>
        <v>0</v>
      </c>
      <c r="BT25" s="102">
        <f t="shared" si="25"/>
        <v>0</v>
      </c>
      <c r="BU25" s="102">
        <f t="shared" si="26"/>
        <v>0</v>
      </c>
      <c r="BV25" s="102">
        <f t="shared" si="27"/>
        <v>0</v>
      </c>
      <c r="BW25" s="102">
        <f t="shared" si="28"/>
        <v>0</v>
      </c>
      <c r="BX25" s="102">
        <f t="shared" si="29"/>
        <v>0</v>
      </c>
      <c r="BY25" s="102">
        <f t="shared" si="30"/>
        <v>0</v>
      </c>
      <c r="BZ25" s="102">
        <f t="shared" si="31"/>
        <v>0</v>
      </c>
    </row>
    <row r="26" spans="1:78" x14ac:dyDescent="0.25">
      <c r="A26" s="26" t="s">
        <v>112</v>
      </c>
      <c r="B26" s="73">
        <v>0.24</v>
      </c>
      <c r="C26" t="s">
        <v>129</v>
      </c>
      <c r="D26" s="61">
        <v>0.79300000000000004</v>
      </c>
      <c r="E26" s="61">
        <v>0.79300000000000004</v>
      </c>
      <c r="F26" s="61">
        <v>0.82</v>
      </c>
      <c r="G26" s="61">
        <v>0.8</v>
      </c>
      <c r="H26" s="61">
        <v>0.8</v>
      </c>
      <c r="I26" s="61">
        <v>0.8</v>
      </c>
      <c r="J26" s="61">
        <v>0.8</v>
      </c>
      <c r="K26" s="61">
        <v>0.68</v>
      </c>
      <c r="L26" s="61">
        <v>0.68</v>
      </c>
      <c r="M26" s="61">
        <v>0.68</v>
      </c>
      <c r="N26" s="61">
        <v>0.68</v>
      </c>
      <c r="O26" s="61">
        <v>0.68</v>
      </c>
      <c r="P26" s="61">
        <v>0.68</v>
      </c>
      <c r="Q26" s="61">
        <v>0.68</v>
      </c>
      <c r="R26" s="61">
        <v>0.68</v>
      </c>
      <c r="S26" s="74">
        <f>VLOOKUP($A26,turnover!$A$184:$Q$192,+S$4-$S$4+3,0)</f>
        <v>0</v>
      </c>
      <c r="T26" s="74">
        <f>VLOOKUP($A26,turnover!$A$184:$Q$192,+T$4-$S$4+3,0)</f>
        <v>32.767200000000003</v>
      </c>
      <c r="U26" s="74">
        <f>VLOOKUP($A26,turnover!$A$184:$Q$192,+U$4-$S$4+3,0)</f>
        <v>60.321840000000002</v>
      </c>
      <c r="V26" s="74">
        <f>VLOOKUP($A26,turnover!$A$184:$Q$192,+V$4-$S$4+3,0)</f>
        <v>61.564799999999991</v>
      </c>
      <c r="W26" s="74">
        <f>VLOOKUP($A26,turnover!$A$184:$Q$192,+W$4-$S$4+3,0)</f>
        <v>48.216000000000001</v>
      </c>
      <c r="X26" s="74">
        <f>VLOOKUP($A26,turnover!$A$184:$Q$192,+X$4-$S$4+3,0)</f>
        <v>60.593519999999984</v>
      </c>
      <c r="Y26" s="74">
        <f>VLOOKUP($A26,turnover!$A$184:$Q$192,+Y$4-$S$4+3,0)</f>
        <v>57.359519999999996</v>
      </c>
      <c r="Z26" s="74">
        <f>VLOOKUP($A26,turnover!$A$184:$Q$192,+Z$4-$S$4+3,0)</f>
        <v>53.820239999999991</v>
      </c>
      <c r="AA26" s="74">
        <f>VLOOKUP($A26,turnover!$A$184:$Q$192,+AA$4-$S$4+3,0)</f>
        <v>53.820239999999991</v>
      </c>
      <c r="AB26" s="74">
        <f>VLOOKUP($A26,turnover!$A$184:$Q$192,+AB$4-$S$4+3,0)</f>
        <v>53.820239999999991</v>
      </c>
      <c r="AC26" s="74">
        <f>VLOOKUP($A26,turnover!$A$184:$Q$192,+AC$4-$S$4+3,0)</f>
        <v>53.820239999999991</v>
      </c>
      <c r="AD26" s="74">
        <f>VLOOKUP($A26,turnover!$A$184:$Q$192,+AD$4-$S$4+3,0)</f>
        <v>53.820239999999998</v>
      </c>
      <c r="AE26" s="74">
        <f>VLOOKUP($A26,turnover!$A$184:$Q$192,+AE$4-$S$4+3,0)</f>
        <v>53.820239999999991</v>
      </c>
      <c r="AF26" s="74">
        <f>VLOOKUP($A26,turnover!$A$184:$Q$192,+AF$4-$S$4+3,0)</f>
        <v>53.820239999999991</v>
      </c>
      <c r="AG26" s="74">
        <f>VLOOKUP($A26,turnover!$A$184:$Q$192,+AG$4-$S$4+3,0)</f>
        <v>53.820239999999991</v>
      </c>
      <c r="AH26" s="61">
        <f t="shared" si="2"/>
        <v>0</v>
      </c>
      <c r="AI26" s="61">
        <f t="shared" si="3"/>
        <v>25.984389600000004</v>
      </c>
      <c r="AJ26" s="61">
        <f t="shared" si="4"/>
        <v>49.463908799999999</v>
      </c>
      <c r="AK26" s="61">
        <f t="shared" si="5"/>
        <v>49.251839999999994</v>
      </c>
      <c r="AL26" s="61">
        <f t="shared" si="6"/>
        <v>38.572800000000001</v>
      </c>
      <c r="AM26" s="61">
        <f t="shared" si="7"/>
        <v>48.47481599999999</v>
      </c>
      <c r="AN26" s="61">
        <f t="shared" si="8"/>
        <v>45.887616000000001</v>
      </c>
      <c r="AO26" s="61">
        <f t="shared" si="9"/>
        <v>36.597763199999996</v>
      </c>
      <c r="AP26" s="61">
        <f t="shared" si="10"/>
        <v>36.597763199999996</v>
      </c>
      <c r="AQ26" s="61">
        <f t="shared" si="11"/>
        <v>36.597763199999996</v>
      </c>
      <c r="AR26" s="61">
        <f t="shared" si="12"/>
        <v>36.597763199999996</v>
      </c>
      <c r="AS26" s="61">
        <f t="shared" si="13"/>
        <v>36.597763200000003</v>
      </c>
      <c r="AT26" s="61">
        <f t="shared" si="14"/>
        <v>36.597763199999996</v>
      </c>
      <c r="AU26" s="61">
        <f t="shared" si="15"/>
        <v>36.597763199999996</v>
      </c>
      <c r="AV26" s="61">
        <f t="shared" si="16"/>
        <v>36.597763199999996</v>
      </c>
      <c r="AW26" s="101">
        <f>VLOOKUP($C26,'Cost RMs'!$B$5:$Q$22,+AW$4-$AW$4+2,0)</f>
        <v>40086</v>
      </c>
      <c r="AX26" s="101">
        <f>VLOOKUP($C26,'Cost RMs'!$B$5:$Q$22,+AX$4-$AW$4+2,0)</f>
        <v>56197</v>
      </c>
      <c r="AY26" s="101">
        <f>VLOOKUP($C26,'Cost RMs'!$B$5:$Q$22,+AY$4-$AW$4+2,0)</f>
        <v>64582</v>
      </c>
      <c r="AZ26" s="101">
        <f>VLOOKUP($C26,'Cost RMs'!$B$5:$Q$22,+AZ$4-$AW$4+2,0)</f>
        <v>76567</v>
      </c>
      <c r="BA26" s="101">
        <f ca="1">VLOOKUP($C26,'Cost RMs'!$B$5:$Q$22,+BA$4-$AW$4+2,0)</f>
        <v>86638</v>
      </c>
      <c r="BB26" s="101">
        <f ca="1">VLOOKUP($C26,'Cost RMs'!$B$5:$Q$22,+BB$4-$AW$4+2,0)</f>
        <v>97026</v>
      </c>
      <c r="BC26" s="101">
        <f ca="1">VLOOKUP($C26,'Cost RMs'!$B$5:$Q$22,+BC$4-$AW$4+2,0)</f>
        <v>108766</v>
      </c>
      <c r="BD26" s="101">
        <f ca="1">VLOOKUP($C26,'Cost RMs'!$B$5:$Q$22,+BD$4-$AW$4+2,0)</f>
        <v>121927</v>
      </c>
      <c r="BE26" s="101">
        <f ca="1">VLOOKUP($C26,'Cost RMs'!$B$5:$Q$22,+BE$4-$AW$4+2,0)</f>
        <v>136680</v>
      </c>
      <c r="BF26" s="101">
        <f ca="1">VLOOKUP($C26,'Cost RMs'!$B$5:$Q$22,+BF$4-$AW$4+2,0)</f>
        <v>153218</v>
      </c>
      <c r="BG26" s="101">
        <f ca="1">VLOOKUP($C26,'Cost RMs'!$B$5:$Q$22,+BG$4-$AW$4+2,0)</f>
        <v>171757</v>
      </c>
      <c r="BH26" s="101">
        <f ca="1">VLOOKUP($C26,'Cost RMs'!$B$5:$Q$22,+BH$4-$AW$4+2,0)</f>
        <v>192540</v>
      </c>
      <c r="BI26" s="101">
        <f ca="1">VLOOKUP($C26,'Cost RMs'!$B$5:$Q$22,+BI$4-$AW$4+2,0)</f>
        <v>215837</v>
      </c>
      <c r="BJ26" s="101">
        <f ca="1">VLOOKUP($C26,'Cost RMs'!$B$5:$Q$22,+BJ$4-$AW$4+2,0)</f>
        <v>241953</v>
      </c>
      <c r="BK26" s="101">
        <f ca="1">VLOOKUP($C26,'Cost RMs'!$B$5:$Q$22,+BK$4-$AW$4+2,0)</f>
        <v>271229</v>
      </c>
      <c r="BL26" s="102">
        <f t="shared" si="17"/>
        <v>0</v>
      </c>
      <c r="BM26" s="102">
        <f t="shared" si="18"/>
        <v>1460244.7423512002</v>
      </c>
      <c r="BN26" s="102">
        <f t="shared" si="19"/>
        <v>3194478.1581215998</v>
      </c>
      <c r="BO26" s="102">
        <f t="shared" si="20"/>
        <v>3771065.6332799997</v>
      </c>
      <c r="BP26" s="102">
        <f t="shared" ca="1" si="21"/>
        <v>3341870.2464000001</v>
      </c>
      <c r="BQ26" s="102">
        <f t="shared" ca="1" si="22"/>
        <v>4703317.4972159993</v>
      </c>
      <c r="BR26" s="102">
        <f t="shared" ca="1" si="23"/>
        <v>4991012.4418560006</v>
      </c>
      <c r="BS26" s="102">
        <f t="shared" ca="1" si="24"/>
        <v>4462255.4736863999</v>
      </c>
      <c r="BT26" s="102">
        <f t="shared" ca="1" si="25"/>
        <v>5002182.2741759997</v>
      </c>
      <c r="BU26" s="102">
        <f t="shared" ca="1" si="26"/>
        <v>5607436.0819775993</v>
      </c>
      <c r="BV26" s="102">
        <f t="shared" ca="1" si="27"/>
        <v>6285922.0139423991</v>
      </c>
      <c r="BW26" s="102">
        <f t="shared" ca="1" si="28"/>
        <v>7046533.3265280006</v>
      </c>
      <c r="BX26" s="102">
        <f t="shared" ca="1" si="29"/>
        <v>7899151.4157983987</v>
      </c>
      <c r="BY26" s="102">
        <f t="shared" ca="1" si="30"/>
        <v>8854938.5995295998</v>
      </c>
      <c r="BZ26" s="102">
        <f t="shared" ca="1" si="31"/>
        <v>9926374.7149727996</v>
      </c>
    </row>
    <row r="27" spans="1:78" x14ac:dyDescent="0.25">
      <c r="A27" s="26" t="s">
        <v>112</v>
      </c>
      <c r="B27" s="73">
        <v>0.24</v>
      </c>
      <c r="C27" t="s">
        <v>130</v>
      </c>
      <c r="D27" s="61">
        <v>0.42699999999999999</v>
      </c>
      <c r="E27" s="61">
        <v>0.42699999999999999</v>
      </c>
      <c r="F27" s="61">
        <v>0.41</v>
      </c>
      <c r="G27" s="61">
        <v>0.38900000000000001</v>
      </c>
      <c r="H27" s="61">
        <v>0.38900000000000001</v>
      </c>
      <c r="I27" s="61">
        <v>0.38900000000000001</v>
      </c>
      <c r="J27" s="61">
        <v>0.38900000000000001</v>
      </c>
      <c r="K27" s="61">
        <v>0.376</v>
      </c>
      <c r="L27" s="61">
        <v>0.376</v>
      </c>
      <c r="M27" s="61">
        <v>0.376</v>
      </c>
      <c r="N27" s="61">
        <v>0.376</v>
      </c>
      <c r="O27" s="61">
        <v>0.376</v>
      </c>
      <c r="P27" s="61">
        <v>0.376</v>
      </c>
      <c r="Q27" s="61">
        <v>0.376</v>
      </c>
      <c r="R27" s="61">
        <v>0.376</v>
      </c>
      <c r="S27" s="74">
        <f>VLOOKUP($A27,turnover!$A$184:$Q$192,+S$4-$S$4+3,0)</f>
        <v>0</v>
      </c>
      <c r="T27" s="74">
        <f>VLOOKUP($A27,turnover!$A$184:$Q$192,+T$4-$S$4+3,0)</f>
        <v>32.767200000000003</v>
      </c>
      <c r="U27" s="74">
        <f>VLOOKUP($A27,turnover!$A$184:$Q$192,+U$4-$S$4+3,0)</f>
        <v>60.321840000000002</v>
      </c>
      <c r="V27" s="74">
        <f>VLOOKUP($A27,turnover!$A$184:$Q$192,+V$4-$S$4+3,0)</f>
        <v>61.564799999999991</v>
      </c>
      <c r="W27" s="74">
        <f>VLOOKUP($A27,turnover!$A$184:$Q$192,+W$4-$S$4+3,0)</f>
        <v>48.216000000000001</v>
      </c>
      <c r="X27" s="74">
        <f>VLOOKUP($A27,turnover!$A$184:$Q$192,+X$4-$S$4+3,0)</f>
        <v>60.593519999999984</v>
      </c>
      <c r="Y27" s="74">
        <f>VLOOKUP($A27,turnover!$A$184:$Q$192,+Y$4-$S$4+3,0)</f>
        <v>57.359519999999996</v>
      </c>
      <c r="Z27" s="74">
        <f>VLOOKUP($A27,turnover!$A$184:$Q$192,+Z$4-$S$4+3,0)</f>
        <v>53.820239999999991</v>
      </c>
      <c r="AA27" s="74">
        <f>VLOOKUP($A27,turnover!$A$184:$Q$192,+AA$4-$S$4+3,0)</f>
        <v>53.820239999999991</v>
      </c>
      <c r="AB27" s="74">
        <f>VLOOKUP($A27,turnover!$A$184:$Q$192,+AB$4-$S$4+3,0)</f>
        <v>53.820239999999991</v>
      </c>
      <c r="AC27" s="74">
        <f>VLOOKUP($A27,turnover!$A$184:$Q$192,+AC$4-$S$4+3,0)</f>
        <v>53.820239999999991</v>
      </c>
      <c r="AD27" s="74">
        <f>VLOOKUP($A27,turnover!$A$184:$Q$192,+AD$4-$S$4+3,0)</f>
        <v>53.820239999999998</v>
      </c>
      <c r="AE27" s="74">
        <f>VLOOKUP($A27,turnover!$A$184:$Q$192,+AE$4-$S$4+3,0)</f>
        <v>53.820239999999991</v>
      </c>
      <c r="AF27" s="74">
        <f>VLOOKUP($A27,turnover!$A$184:$Q$192,+AF$4-$S$4+3,0)</f>
        <v>53.820239999999991</v>
      </c>
      <c r="AG27" s="74">
        <f>VLOOKUP($A27,turnover!$A$184:$Q$192,+AG$4-$S$4+3,0)</f>
        <v>53.820239999999991</v>
      </c>
      <c r="AH27" s="61">
        <f t="shared" si="2"/>
        <v>0</v>
      </c>
      <c r="AI27" s="61">
        <f t="shared" si="3"/>
        <v>13.9915944</v>
      </c>
      <c r="AJ27" s="61">
        <f t="shared" si="4"/>
        <v>24.731954399999999</v>
      </c>
      <c r="AK27" s="61">
        <f t="shared" si="5"/>
        <v>23.948707199999998</v>
      </c>
      <c r="AL27" s="61">
        <f t="shared" si="6"/>
        <v>18.756024</v>
      </c>
      <c r="AM27" s="61">
        <f t="shared" si="7"/>
        <v>23.570879279999996</v>
      </c>
      <c r="AN27" s="61">
        <f t="shared" si="8"/>
        <v>22.312853279999999</v>
      </c>
      <c r="AO27" s="61">
        <f t="shared" si="9"/>
        <v>20.236410239999998</v>
      </c>
      <c r="AP27" s="61">
        <f t="shared" si="10"/>
        <v>20.236410239999998</v>
      </c>
      <c r="AQ27" s="61">
        <f t="shared" si="11"/>
        <v>20.236410239999998</v>
      </c>
      <c r="AR27" s="61">
        <f t="shared" si="12"/>
        <v>20.236410239999998</v>
      </c>
      <c r="AS27" s="61">
        <f t="shared" si="13"/>
        <v>20.236410239999998</v>
      </c>
      <c r="AT27" s="61">
        <f t="shared" si="14"/>
        <v>20.236410239999998</v>
      </c>
      <c r="AU27" s="61">
        <f t="shared" si="15"/>
        <v>20.236410239999998</v>
      </c>
      <c r="AV27" s="61">
        <f t="shared" si="16"/>
        <v>20.236410239999998</v>
      </c>
      <c r="AW27" s="101">
        <f>VLOOKUP($C27,'Cost RMs'!$B$5:$Q$22,+AW$4-$AW$4+2,0)</f>
        <v>42500</v>
      </c>
      <c r="AX27" s="101">
        <f>VLOOKUP($C27,'Cost RMs'!$B$5:$Q$22,+AX$4-$AW$4+2,0)</f>
        <v>63692</v>
      </c>
      <c r="AY27" s="101">
        <f>VLOOKUP($C27,'Cost RMs'!$B$5:$Q$22,+AY$4-$AW$4+2,0)</f>
        <v>71301</v>
      </c>
      <c r="AZ27" s="101">
        <f>VLOOKUP($C27,'Cost RMs'!$B$5:$Q$22,+AZ$4-$AW$4+2,0)</f>
        <v>82665</v>
      </c>
      <c r="BA27" s="101">
        <f ca="1">VLOOKUP($C27,'Cost RMs'!$B$5:$Q$22,+BA$4-$AW$4+2,0)</f>
        <v>96790</v>
      </c>
      <c r="BB27" s="101">
        <f ca="1">VLOOKUP($C27,'Cost RMs'!$B$5:$Q$22,+BB$4-$AW$4+2,0)</f>
        <v>108395</v>
      </c>
      <c r="BC27" s="101">
        <f ca="1">VLOOKUP($C27,'Cost RMs'!$B$5:$Q$22,+BC$4-$AW$4+2,0)</f>
        <v>121511</v>
      </c>
      <c r="BD27" s="101">
        <f ca="1">VLOOKUP($C27,'Cost RMs'!$B$5:$Q$22,+BD$4-$AW$4+2,0)</f>
        <v>136214</v>
      </c>
      <c r="BE27" s="101">
        <f ca="1">VLOOKUP($C27,'Cost RMs'!$B$5:$Q$22,+BE$4-$AW$4+2,0)</f>
        <v>152696</v>
      </c>
      <c r="BF27" s="101">
        <f ca="1">VLOOKUP($C27,'Cost RMs'!$B$5:$Q$22,+BF$4-$AW$4+2,0)</f>
        <v>171172</v>
      </c>
      <c r="BG27" s="101">
        <f ca="1">VLOOKUP($C27,'Cost RMs'!$B$5:$Q$22,+BG$4-$AW$4+2,0)</f>
        <v>191884</v>
      </c>
      <c r="BH27" s="101">
        <f ca="1">VLOOKUP($C27,'Cost RMs'!$B$5:$Q$22,+BH$4-$AW$4+2,0)</f>
        <v>215102</v>
      </c>
      <c r="BI27" s="101">
        <f ca="1">VLOOKUP($C27,'Cost RMs'!$B$5:$Q$22,+BI$4-$AW$4+2,0)</f>
        <v>241129</v>
      </c>
      <c r="BJ27" s="101">
        <f ca="1">VLOOKUP($C27,'Cost RMs'!$B$5:$Q$22,+BJ$4-$AW$4+2,0)</f>
        <v>270306</v>
      </c>
      <c r="BK27" s="101">
        <f ca="1">VLOOKUP($C27,'Cost RMs'!$B$5:$Q$22,+BK$4-$AW$4+2,0)</f>
        <v>303013</v>
      </c>
      <c r="BL27" s="102">
        <f t="shared" si="17"/>
        <v>0</v>
      </c>
      <c r="BM27" s="102">
        <f t="shared" si="18"/>
        <v>891152.63052480004</v>
      </c>
      <c r="BN27" s="102">
        <f t="shared" si="19"/>
        <v>1763413.0806743999</v>
      </c>
      <c r="BO27" s="102">
        <f t="shared" si="20"/>
        <v>1979719.8806879998</v>
      </c>
      <c r="BP27" s="102">
        <f t="shared" ca="1" si="21"/>
        <v>1815395.56296</v>
      </c>
      <c r="BQ27" s="102">
        <f t="shared" ca="1" si="22"/>
        <v>2554965.4595555994</v>
      </c>
      <c r="BR27" s="102">
        <f t="shared" ca="1" si="23"/>
        <v>2711257.1149060801</v>
      </c>
      <c r="BS27" s="102">
        <f t="shared" ca="1" si="24"/>
        <v>2756482.3844313598</v>
      </c>
      <c r="BT27" s="102">
        <f t="shared" ca="1" si="25"/>
        <v>3090018.8980070394</v>
      </c>
      <c r="BU27" s="102">
        <f t="shared" ca="1" si="26"/>
        <v>3463906.8136012796</v>
      </c>
      <c r="BV27" s="102">
        <f t="shared" ca="1" si="27"/>
        <v>3883043.3424921595</v>
      </c>
      <c r="BW27" s="102">
        <f t="shared" ca="1" si="28"/>
        <v>4352892.3154444797</v>
      </c>
      <c r="BX27" s="102">
        <f t="shared" ca="1" si="29"/>
        <v>4879585.3647609595</v>
      </c>
      <c r="BY27" s="102">
        <f t="shared" ca="1" si="30"/>
        <v>5470023.1063334392</v>
      </c>
      <c r="BZ27" s="102">
        <f t="shared" ca="1" si="31"/>
        <v>6131895.3760531191</v>
      </c>
    </row>
    <row r="28" spans="1:78" x14ac:dyDescent="0.25">
      <c r="A28" s="26" t="s">
        <v>112</v>
      </c>
      <c r="B28" s="73">
        <v>0.24</v>
      </c>
      <c r="C28" s="59" t="s">
        <v>146</v>
      </c>
      <c r="D28" s="61">
        <v>1.4490000000000001</v>
      </c>
      <c r="E28" s="61">
        <v>1.4490000000000001</v>
      </c>
      <c r="F28" s="61">
        <v>1.42</v>
      </c>
      <c r="G28" s="61">
        <v>1.41</v>
      </c>
      <c r="H28" s="61">
        <v>1.41</v>
      </c>
      <c r="I28" s="61">
        <v>1.41</v>
      </c>
      <c r="J28" s="61">
        <v>1.41</v>
      </c>
      <c r="K28" s="61">
        <v>1.41</v>
      </c>
      <c r="L28" s="61">
        <v>1.41</v>
      </c>
      <c r="M28" s="61">
        <v>1.41</v>
      </c>
      <c r="N28" s="61">
        <v>1.41</v>
      </c>
      <c r="O28" s="61">
        <v>1.41</v>
      </c>
      <c r="P28" s="61">
        <v>1.41</v>
      </c>
      <c r="Q28" s="61">
        <v>1.41</v>
      </c>
      <c r="R28" s="61">
        <v>1.41</v>
      </c>
      <c r="S28" s="74">
        <f>VLOOKUP($A28,turnover!$A$184:$Q$192,+S$4-$S$4+3,0)</f>
        <v>0</v>
      </c>
      <c r="T28" s="74">
        <f>VLOOKUP($A28,turnover!$A$184:$Q$192,+T$4-$S$4+3,0)</f>
        <v>32.767200000000003</v>
      </c>
      <c r="U28" s="74">
        <f>VLOOKUP($A28,turnover!$A$184:$Q$192,+U$4-$S$4+3,0)</f>
        <v>60.321840000000002</v>
      </c>
      <c r="V28" s="74">
        <f>VLOOKUP($A28,turnover!$A$184:$Q$192,+V$4-$S$4+3,0)</f>
        <v>61.564799999999991</v>
      </c>
      <c r="W28" s="74">
        <f>VLOOKUP($A28,turnover!$A$184:$Q$192,+W$4-$S$4+3,0)</f>
        <v>48.216000000000001</v>
      </c>
      <c r="X28" s="74">
        <f>VLOOKUP($A28,turnover!$A$184:$Q$192,+X$4-$S$4+3,0)</f>
        <v>60.593519999999984</v>
      </c>
      <c r="Y28" s="74">
        <f>VLOOKUP($A28,turnover!$A$184:$Q$192,+Y$4-$S$4+3,0)</f>
        <v>57.359519999999996</v>
      </c>
      <c r="Z28" s="74">
        <f>VLOOKUP($A28,turnover!$A$184:$Q$192,+Z$4-$S$4+3,0)</f>
        <v>53.820239999999991</v>
      </c>
      <c r="AA28" s="74">
        <f>VLOOKUP($A28,turnover!$A$184:$Q$192,+AA$4-$S$4+3,0)</f>
        <v>53.820239999999991</v>
      </c>
      <c r="AB28" s="74">
        <f>VLOOKUP($A28,turnover!$A$184:$Q$192,+AB$4-$S$4+3,0)</f>
        <v>53.820239999999991</v>
      </c>
      <c r="AC28" s="74">
        <f>VLOOKUP($A28,turnover!$A$184:$Q$192,+AC$4-$S$4+3,0)</f>
        <v>53.820239999999991</v>
      </c>
      <c r="AD28" s="74">
        <f>VLOOKUP($A28,turnover!$A$184:$Q$192,+AD$4-$S$4+3,0)</f>
        <v>53.820239999999998</v>
      </c>
      <c r="AE28" s="74">
        <f>VLOOKUP($A28,turnover!$A$184:$Q$192,+AE$4-$S$4+3,0)</f>
        <v>53.820239999999991</v>
      </c>
      <c r="AF28" s="74">
        <f>VLOOKUP($A28,turnover!$A$184:$Q$192,+AF$4-$S$4+3,0)</f>
        <v>53.820239999999991</v>
      </c>
      <c r="AG28" s="74">
        <f>VLOOKUP($A28,turnover!$A$184:$Q$192,+AG$4-$S$4+3,0)</f>
        <v>53.820239999999991</v>
      </c>
      <c r="AH28" s="61">
        <f t="shared" si="2"/>
        <v>0</v>
      </c>
      <c r="AI28" s="61">
        <f t="shared" si="3"/>
        <v>47.479672800000003</v>
      </c>
      <c r="AJ28" s="61">
        <f t="shared" si="4"/>
        <v>85.657012800000004</v>
      </c>
      <c r="AK28" s="61">
        <f t="shared" si="5"/>
        <v>86.806367999999978</v>
      </c>
      <c r="AL28" s="61">
        <f t="shared" si="6"/>
        <v>67.984560000000002</v>
      </c>
      <c r="AM28" s="61">
        <f t="shared" si="7"/>
        <v>85.436863199999976</v>
      </c>
      <c r="AN28" s="61">
        <f t="shared" si="8"/>
        <v>80.876923199999993</v>
      </c>
      <c r="AO28" s="61">
        <f t="shared" si="9"/>
        <v>75.886538399999978</v>
      </c>
      <c r="AP28" s="61">
        <f t="shared" si="10"/>
        <v>75.886538399999978</v>
      </c>
      <c r="AQ28" s="61">
        <f t="shared" si="11"/>
        <v>75.886538399999978</v>
      </c>
      <c r="AR28" s="61">
        <f t="shared" si="12"/>
        <v>75.886538399999978</v>
      </c>
      <c r="AS28" s="61">
        <f t="shared" si="13"/>
        <v>75.886538399999992</v>
      </c>
      <c r="AT28" s="61">
        <f t="shared" si="14"/>
        <v>75.886538399999978</v>
      </c>
      <c r="AU28" s="61">
        <f t="shared" si="15"/>
        <v>75.886538399999978</v>
      </c>
      <c r="AV28" s="61">
        <f t="shared" si="16"/>
        <v>75.886538399999978</v>
      </c>
      <c r="AW28" s="101">
        <f>VLOOKUP($C28,'Cost RMs'!$B$5:$Q$22,+AW$4-$AW$4+2,0)</f>
        <v>7020</v>
      </c>
      <c r="AX28" s="101">
        <f>VLOOKUP($C28,'Cost RMs'!$B$5:$Q$22,+AX$4-$AW$4+2,0)</f>
        <v>8883</v>
      </c>
      <c r="AY28" s="101">
        <f>VLOOKUP($C28,'Cost RMs'!$B$5:$Q$22,+AY$4-$AW$4+2,0)</f>
        <v>11764</v>
      </c>
      <c r="AZ28" s="101">
        <f>VLOOKUP($C28,'Cost RMs'!$B$5:$Q$22,+AZ$4-$AW$4+2,0)</f>
        <v>15733</v>
      </c>
      <c r="BA28" s="101">
        <f ca="1">VLOOKUP($C28,'Cost RMs'!$B$5:$Q$22,+BA$4-$AW$4+2,0)</f>
        <v>19200</v>
      </c>
      <c r="BB28" s="101">
        <f ca="1">VLOOKUP($C28,'Cost RMs'!$B$5:$Q$22,+BB$4-$AW$4+2,0)</f>
        <v>21502</v>
      </c>
      <c r="BC28" s="101">
        <f ca="1">VLOOKUP($C28,'Cost RMs'!$B$5:$Q$22,+BC$4-$AW$4+2,0)</f>
        <v>24104</v>
      </c>
      <c r="BD28" s="101">
        <f ca="1">VLOOKUP($C28,'Cost RMs'!$B$5:$Q$22,+BD$4-$AW$4+2,0)</f>
        <v>27021</v>
      </c>
      <c r="BE28" s="101">
        <f ca="1">VLOOKUP($C28,'Cost RMs'!$B$5:$Q$22,+BE$4-$AW$4+2,0)</f>
        <v>30291</v>
      </c>
      <c r="BF28" s="101">
        <f ca="1">VLOOKUP($C28,'Cost RMs'!$B$5:$Q$22,+BF$4-$AW$4+2,0)</f>
        <v>33956</v>
      </c>
      <c r="BG28" s="101">
        <f ca="1">VLOOKUP($C28,'Cost RMs'!$B$5:$Q$22,+BG$4-$AW$4+2,0)</f>
        <v>38065</v>
      </c>
      <c r="BH28" s="101">
        <f ca="1">VLOOKUP($C28,'Cost RMs'!$B$5:$Q$22,+BH$4-$AW$4+2,0)</f>
        <v>42671</v>
      </c>
      <c r="BI28" s="101">
        <f ca="1">VLOOKUP($C28,'Cost RMs'!$B$5:$Q$22,+BI$4-$AW$4+2,0)</f>
        <v>47834</v>
      </c>
      <c r="BJ28" s="101">
        <f ca="1">VLOOKUP($C28,'Cost RMs'!$B$5:$Q$22,+BJ$4-$AW$4+2,0)</f>
        <v>53622</v>
      </c>
      <c r="BK28" s="101">
        <f ca="1">VLOOKUP($C28,'Cost RMs'!$B$5:$Q$22,+BK$4-$AW$4+2,0)</f>
        <v>60110</v>
      </c>
      <c r="BL28" s="102">
        <f t="shared" si="17"/>
        <v>0</v>
      </c>
      <c r="BM28" s="102">
        <f t="shared" si="18"/>
        <v>421761.93348240003</v>
      </c>
      <c r="BN28" s="102">
        <f t="shared" si="19"/>
        <v>1007669.0985792001</v>
      </c>
      <c r="BO28" s="102">
        <f t="shared" si="20"/>
        <v>1365724.5877439997</v>
      </c>
      <c r="BP28" s="102">
        <f t="shared" ca="1" si="21"/>
        <v>1305303.5520000001</v>
      </c>
      <c r="BQ28" s="102">
        <f t="shared" ca="1" si="22"/>
        <v>1837063.4325263994</v>
      </c>
      <c r="BR28" s="102">
        <f t="shared" ca="1" si="23"/>
        <v>1949457.3568127998</v>
      </c>
      <c r="BS28" s="102">
        <f t="shared" ca="1" si="24"/>
        <v>2050530.1541063995</v>
      </c>
      <c r="BT28" s="102">
        <f t="shared" ca="1" si="25"/>
        <v>2298679.1346743992</v>
      </c>
      <c r="BU28" s="102">
        <f t="shared" ca="1" si="26"/>
        <v>2576803.2979103993</v>
      </c>
      <c r="BV28" s="102">
        <f t="shared" ca="1" si="27"/>
        <v>2888621.084195999</v>
      </c>
      <c r="BW28" s="102">
        <f t="shared" ca="1" si="28"/>
        <v>3238154.4800663996</v>
      </c>
      <c r="BX28" s="102">
        <f t="shared" ca="1" si="29"/>
        <v>3629956.677825599</v>
      </c>
      <c r="BY28" s="102">
        <f t="shared" ca="1" si="30"/>
        <v>4069187.9620847986</v>
      </c>
      <c r="BZ28" s="102">
        <f t="shared" ca="1" si="31"/>
        <v>4561539.8232239988</v>
      </c>
    </row>
    <row r="29" spans="1:78" x14ac:dyDescent="0.25">
      <c r="A29" s="26" t="s">
        <v>112</v>
      </c>
      <c r="B29" s="73">
        <v>0.24</v>
      </c>
      <c r="C29" s="59" t="s">
        <v>147</v>
      </c>
      <c r="D29" s="61">
        <v>0.24099999999999999</v>
      </c>
      <c r="E29" s="61">
        <v>0.24099999999999999</v>
      </c>
      <c r="F29" s="61">
        <v>0.23</v>
      </c>
      <c r="G29" s="61">
        <v>0.22800000000000001</v>
      </c>
      <c r="H29" s="61">
        <v>0.22800000000000001</v>
      </c>
      <c r="I29" s="61">
        <v>0.22800000000000001</v>
      </c>
      <c r="J29" s="61">
        <v>0.22800000000000001</v>
      </c>
      <c r="K29" s="61">
        <v>0.22800000000000001</v>
      </c>
      <c r="L29" s="61">
        <v>0.22800000000000001</v>
      </c>
      <c r="M29" s="61">
        <v>0.22800000000000001</v>
      </c>
      <c r="N29" s="61">
        <v>0.22800000000000001</v>
      </c>
      <c r="O29" s="61">
        <v>0.22800000000000001</v>
      </c>
      <c r="P29" s="61">
        <v>0.22800000000000001</v>
      </c>
      <c r="Q29" s="61">
        <v>0.22800000000000001</v>
      </c>
      <c r="R29" s="61">
        <v>0.22800000000000001</v>
      </c>
      <c r="S29" s="74">
        <f>VLOOKUP($A29,turnover!$A$184:$Q$192,+S$4-$S$4+3,0)</f>
        <v>0</v>
      </c>
      <c r="T29" s="74">
        <f>VLOOKUP($A29,turnover!$A$184:$Q$192,+T$4-$S$4+3,0)</f>
        <v>32.767200000000003</v>
      </c>
      <c r="U29" s="74">
        <f>VLOOKUP($A29,turnover!$A$184:$Q$192,+U$4-$S$4+3,0)</f>
        <v>60.321840000000002</v>
      </c>
      <c r="V29" s="74">
        <f>VLOOKUP($A29,turnover!$A$184:$Q$192,+V$4-$S$4+3,0)</f>
        <v>61.564799999999991</v>
      </c>
      <c r="W29" s="74">
        <f>VLOOKUP($A29,turnover!$A$184:$Q$192,+W$4-$S$4+3,0)</f>
        <v>48.216000000000001</v>
      </c>
      <c r="X29" s="74">
        <f>VLOOKUP($A29,turnover!$A$184:$Q$192,+X$4-$S$4+3,0)</f>
        <v>60.593519999999984</v>
      </c>
      <c r="Y29" s="74">
        <f>VLOOKUP($A29,turnover!$A$184:$Q$192,+Y$4-$S$4+3,0)</f>
        <v>57.359519999999996</v>
      </c>
      <c r="Z29" s="74">
        <f>VLOOKUP($A29,turnover!$A$184:$Q$192,+Z$4-$S$4+3,0)</f>
        <v>53.820239999999991</v>
      </c>
      <c r="AA29" s="74">
        <f>VLOOKUP($A29,turnover!$A$184:$Q$192,+AA$4-$S$4+3,0)</f>
        <v>53.820239999999991</v>
      </c>
      <c r="AB29" s="74">
        <f>VLOOKUP($A29,turnover!$A$184:$Q$192,+AB$4-$S$4+3,0)</f>
        <v>53.820239999999991</v>
      </c>
      <c r="AC29" s="74">
        <f>VLOOKUP($A29,turnover!$A$184:$Q$192,+AC$4-$S$4+3,0)</f>
        <v>53.820239999999991</v>
      </c>
      <c r="AD29" s="74">
        <f>VLOOKUP($A29,turnover!$A$184:$Q$192,+AD$4-$S$4+3,0)</f>
        <v>53.820239999999998</v>
      </c>
      <c r="AE29" s="74">
        <f>VLOOKUP($A29,turnover!$A$184:$Q$192,+AE$4-$S$4+3,0)</f>
        <v>53.820239999999991</v>
      </c>
      <c r="AF29" s="74">
        <f>VLOOKUP($A29,turnover!$A$184:$Q$192,+AF$4-$S$4+3,0)</f>
        <v>53.820239999999991</v>
      </c>
      <c r="AG29" s="74">
        <f>VLOOKUP($A29,turnover!$A$184:$Q$192,+AG$4-$S$4+3,0)</f>
        <v>53.820239999999991</v>
      </c>
      <c r="AH29" s="61">
        <f t="shared" si="2"/>
        <v>0</v>
      </c>
      <c r="AI29" s="61">
        <f t="shared" si="3"/>
        <v>7.8968952000000003</v>
      </c>
      <c r="AJ29" s="61">
        <f t="shared" si="4"/>
        <v>13.874023200000002</v>
      </c>
      <c r="AK29" s="61">
        <f t="shared" si="5"/>
        <v>14.036774399999999</v>
      </c>
      <c r="AL29" s="61">
        <f t="shared" si="6"/>
        <v>10.993248000000001</v>
      </c>
      <c r="AM29" s="61">
        <f t="shared" si="7"/>
        <v>13.815322559999997</v>
      </c>
      <c r="AN29" s="61">
        <f t="shared" si="8"/>
        <v>13.077970559999999</v>
      </c>
      <c r="AO29" s="61">
        <f t="shared" si="9"/>
        <v>12.271014719999998</v>
      </c>
      <c r="AP29" s="61">
        <f t="shared" si="10"/>
        <v>12.271014719999998</v>
      </c>
      <c r="AQ29" s="61">
        <f t="shared" si="11"/>
        <v>12.271014719999998</v>
      </c>
      <c r="AR29" s="61">
        <f t="shared" si="12"/>
        <v>12.271014719999998</v>
      </c>
      <c r="AS29" s="61">
        <f t="shared" si="13"/>
        <v>12.27101472</v>
      </c>
      <c r="AT29" s="61">
        <f t="shared" si="14"/>
        <v>12.271014719999998</v>
      </c>
      <c r="AU29" s="61">
        <f t="shared" si="15"/>
        <v>12.271014719999998</v>
      </c>
      <c r="AV29" s="61">
        <f t="shared" si="16"/>
        <v>12.271014719999998</v>
      </c>
      <c r="AW29" s="101">
        <f>VLOOKUP($C29,'Cost RMs'!$B$5:$Q$22,+AW$4-$AW$4+2,0)</f>
        <v>25380</v>
      </c>
      <c r="AX29" s="101">
        <f>VLOOKUP($C29,'Cost RMs'!$B$5:$Q$22,+AX$4-$AW$4+2,0)</f>
        <v>33957</v>
      </c>
      <c r="AY29" s="101">
        <f>VLOOKUP($C29,'Cost RMs'!$B$5:$Q$22,+AY$4-$AW$4+2,0)</f>
        <v>50212</v>
      </c>
      <c r="AZ29" s="101">
        <f>VLOOKUP($C29,'Cost RMs'!$B$5:$Q$22,+AZ$4-$AW$4+2,0)</f>
        <v>63581</v>
      </c>
      <c r="BA29" s="101">
        <f ca="1">VLOOKUP($C29,'Cost RMs'!$B$5:$Q$22,+BA$4-$AW$4+2,0)</f>
        <v>82384</v>
      </c>
      <c r="BB29" s="101">
        <f ca="1">VLOOKUP($C29,'Cost RMs'!$B$5:$Q$22,+BB$4-$AW$4+2,0)</f>
        <v>92262</v>
      </c>
      <c r="BC29" s="101">
        <f ca="1">VLOOKUP($C29,'Cost RMs'!$B$5:$Q$22,+BC$4-$AW$4+2,0)</f>
        <v>103426</v>
      </c>
      <c r="BD29" s="101">
        <f ca="1">VLOOKUP($C29,'Cost RMs'!$B$5:$Q$22,+BD$4-$AW$4+2,0)</f>
        <v>115941</v>
      </c>
      <c r="BE29" s="101">
        <f ca="1">VLOOKUP($C29,'Cost RMs'!$B$5:$Q$22,+BE$4-$AW$4+2,0)</f>
        <v>129970</v>
      </c>
      <c r="BF29" s="101">
        <f ca="1">VLOOKUP($C29,'Cost RMs'!$B$5:$Q$22,+BF$4-$AW$4+2,0)</f>
        <v>145696</v>
      </c>
      <c r="BG29" s="101">
        <f ca="1">VLOOKUP($C29,'Cost RMs'!$B$5:$Q$22,+BG$4-$AW$4+2,0)</f>
        <v>163325</v>
      </c>
      <c r="BH29" s="101">
        <f ca="1">VLOOKUP($C29,'Cost RMs'!$B$5:$Q$22,+BH$4-$AW$4+2,0)</f>
        <v>183087</v>
      </c>
      <c r="BI29" s="101">
        <f ca="1">VLOOKUP($C29,'Cost RMs'!$B$5:$Q$22,+BI$4-$AW$4+2,0)</f>
        <v>205241</v>
      </c>
      <c r="BJ29" s="101">
        <f ca="1">VLOOKUP($C29,'Cost RMs'!$B$5:$Q$22,+BJ$4-$AW$4+2,0)</f>
        <v>230075</v>
      </c>
      <c r="BK29" s="101">
        <f ca="1">VLOOKUP($C29,'Cost RMs'!$B$5:$Q$22,+BK$4-$AW$4+2,0)</f>
        <v>257914</v>
      </c>
      <c r="BL29" s="102">
        <f t="shared" si="17"/>
        <v>0</v>
      </c>
      <c r="BM29" s="102">
        <f t="shared" si="18"/>
        <v>268154.8703064</v>
      </c>
      <c r="BN29" s="102">
        <f t="shared" si="19"/>
        <v>696642.45291840006</v>
      </c>
      <c r="BO29" s="102">
        <f t="shared" si="20"/>
        <v>892472.15312639996</v>
      </c>
      <c r="BP29" s="102">
        <f t="shared" ca="1" si="21"/>
        <v>905667.74323200015</v>
      </c>
      <c r="BQ29" s="102">
        <f t="shared" ca="1" si="22"/>
        <v>1274629.2900307197</v>
      </c>
      <c r="BR29" s="102">
        <f t="shared" ca="1" si="23"/>
        <v>1352602.1831385598</v>
      </c>
      <c r="BS29" s="102">
        <f t="shared" ca="1" si="24"/>
        <v>1422713.7176515199</v>
      </c>
      <c r="BT29" s="102">
        <f t="shared" ca="1" si="25"/>
        <v>1594863.7831583999</v>
      </c>
      <c r="BU29" s="102">
        <f t="shared" ca="1" si="26"/>
        <v>1787837.7606451197</v>
      </c>
      <c r="BV29" s="102">
        <f t="shared" ca="1" si="27"/>
        <v>2004163.4791439997</v>
      </c>
      <c r="BW29" s="102">
        <f t="shared" ca="1" si="28"/>
        <v>2246663.27204064</v>
      </c>
      <c r="BX29" s="102">
        <f t="shared" ca="1" si="29"/>
        <v>2518515.3321475196</v>
      </c>
      <c r="BY29" s="102">
        <f t="shared" ca="1" si="30"/>
        <v>2823253.7117039994</v>
      </c>
      <c r="BZ29" s="102">
        <f t="shared" ca="1" si="31"/>
        <v>3164866.4904940794</v>
      </c>
    </row>
    <row r="30" spans="1:78" x14ac:dyDescent="0.25">
      <c r="A30" s="26" t="s">
        <v>112</v>
      </c>
      <c r="B30" s="73">
        <v>0.24</v>
      </c>
      <c r="C30" s="59" t="s">
        <v>148</v>
      </c>
      <c r="D30" s="61">
        <v>4.2999999999999997E-2</v>
      </c>
      <c r="E30" s="61">
        <v>4.2999999999999997E-2</v>
      </c>
      <c r="F30" s="61">
        <v>0.04</v>
      </c>
      <c r="G30" s="61">
        <v>3.4000000000000002E-2</v>
      </c>
      <c r="H30" s="61">
        <v>3.4000000000000002E-2</v>
      </c>
      <c r="I30" s="61">
        <v>3.4000000000000002E-2</v>
      </c>
      <c r="J30" s="61">
        <v>3.4000000000000002E-2</v>
      </c>
      <c r="K30" s="61">
        <v>3.4000000000000002E-2</v>
      </c>
      <c r="L30" s="61">
        <v>3.4000000000000002E-2</v>
      </c>
      <c r="M30" s="61">
        <v>3.4000000000000002E-2</v>
      </c>
      <c r="N30" s="61">
        <v>3.4000000000000002E-2</v>
      </c>
      <c r="O30" s="61">
        <v>3.4000000000000002E-2</v>
      </c>
      <c r="P30" s="61">
        <v>3.4000000000000002E-2</v>
      </c>
      <c r="Q30" s="61">
        <v>3.4000000000000002E-2</v>
      </c>
      <c r="R30" s="61">
        <v>3.4000000000000002E-2</v>
      </c>
      <c r="S30" s="74">
        <f>VLOOKUP($A30,turnover!$A$184:$Q$192,+S$4-$S$4+3,0)</f>
        <v>0</v>
      </c>
      <c r="T30" s="74">
        <f>VLOOKUP($A30,turnover!$A$184:$Q$192,+T$4-$S$4+3,0)</f>
        <v>32.767200000000003</v>
      </c>
      <c r="U30" s="74">
        <f>VLOOKUP($A30,turnover!$A$184:$Q$192,+U$4-$S$4+3,0)</f>
        <v>60.321840000000002</v>
      </c>
      <c r="V30" s="74">
        <f>VLOOKUP($A30,turnover!$A$184:$Q$192,+V$4-$S$4+3,0)</f>
        <v>61.564799999999991</v>
      </c>
      <c r="W30" s="74">
        <f>VLOOKUP($A30,turnover!$A$184:$Q$192,+W$4-$S$4+3,0)</f>
        <v>48.216000000000001</v>
      </c>
      <c r="X30" s="74">
        <f>VLOOKUP($A30,turnover!$A$184:$Q$192,+X$4-$S$4+3,0)</f>
        <v>60.593519999999984</v>
      </c>
      <c r="Y30" s="74">
        <f>VLOOKUP($A30,turnover!$A$184:$Q$192,+Y$4-$S$4+3,0)</f>
        <v>57.359519999999996</v>
      </c>
      <c r="Z30" s="74">
        <f>VLOOKUP($A30,turnover!$A$184:$Q$192,+Z$4-$S$4+3,0)</f>
        <v>53.820239999999991</v>
      </c>
      <c r="AA30" s="74">
        <f>VLOOKUP($A30,turnover!$A$184:$Q$192,+AA$4-$S$4+3,0)</f>
        <v>53.820239999999991</v>
      </c>
      <c r="AB30" s="74">
        <f>VLOOKUP($A30,turnover!$A$184:$Q$192,+AB$4-$S$4+3,0)</f>
        <v>53.820239999999991</v>
      </c>
      <c r="AC30" s="74">
        <f>VLOOKUP($A30,turnover!$A$184:$Q$192,+AC$4-$S$4+3,0)</f>
        <v>53.820239999999991</v>
      </c>
      <c r="AD30" s="74">
        <f>VLOOKUP($A30,turnover!$A$184:$Q$192,+AD$4-$S$4+3,0)</f>
        <v>53.820239999999998</v>
      </c>
      <c r="AE30" s="74">
        <f>VLOOKUP($A30,turnover!$A$184:$Q$192,+AE$4-$S$4+3,0)</f>
        <v>53.820239999999991</v>
      </c>
      <c r="AF30" s="74">
        <f>VLOOKUP($A30,turnover!$A$184:$Q$192,+AF$4-$S$4+3,0)</f>
        <v>53.820239999999991</v>
      </c>
      <c r="AG30" s="74">
        <f>VLOOKUP($A30,turnover!$A$184:$Q$192,+AG$4-$S$4+3,0)</f>
        <v>53.820239999999991</v>
      </c>
      <c r="AH30" s="61">
        <f t="shared" si="2"/>
        <v>0</v>
      </c>
      <c r="AI30" s="61">
        <f t="shared" si="3"/>
        <v>1.4089896</v>
      </c>
      <c r="AJ30" s="61">
        <f t="shared" si="4"/>
        <v>2.4128736000000002</v>
      </c>
      <c r="AK30" s="61">
        <f t="shared" si="5"/>
        <v>2.0932032</v>
      </c>
      <c r="AL30" s="61">
        <f t="shared" si="6"/>
        <v>1.6393440000000001</v>
      </c>
      <c r="AM30" s="61">
        <f t="shared" si="7"/>
        <v>2.0601796799999996</v>
      </c>
      <c r="AN30" s="61">
        <f t="shared" si="8"/>
        <v>1.9502236799999999</v>
      </c>
      <c r="AO30" s="61">
        <f t="shared" si="9"/>
        <v>1.8298881599999999</v>
      </c>
      <c r="AP30" s="61">
        <f t="shared" si="10"/>
        <v>1.8298881599999999</v>
      </c>
      <c r="AQ30" s="61">
        <f t="shared" si="11"/>
        <v>1.8298881599999999</v>
      </c>
      <c r="AR30" s="61">
        <f t="shared" si="12"/>
        <v>1.8298881599999999</v>
      </c>
      <c r="AS30" s="61">
        <f t="shared" si="13"/>
        <v>1.8298881600000001</v>
      </c>
      <c r="AT30" s="61">
        <f t="shared" si="14"/>
        <v>1.8298881599999999</v>
      </c>
      <c r="AU30" s="61">
        <f t="shared" si="15"/>
        <v>1.8298881599999999</v>
      </c>
      <c r="AV30" s="61">
        <f t="shared" si="16"/>
        <v>1.8298881599999999</v>
      </c>
      <c r="AW30" s="101">
        <f>VLOOKUP($C30,'Cost RMs'!$B$5:$Q$22,+AW$4-$AW$4+2,0)</f>
        <v>27439</v>
      </c>
      <c r="AX30" s="101">
        <f>VLOOKUP($C30,'Cost RMs'!$B$5:$Q$22,+AX$4-$AW$4+2,0)</f>
        <v>32275</v>
      </c>
      <c r="AY30" s="101">
        <f>VLOOKUP($C30,'Cost RMs'!$B$5:$Q$22,+AY$4-$AW$4+2,0)</f>
        <v>45664</v>
      </c>
      <c r="AZ30" s="101">
        <f>VLOOKUP($C30,'Cost RMs'!$B$5:$Q$22,+AZ$4-$AW$4+2,0)</f>
        <v>50129</v>
      </c>
      <c r="BA30" s="101">
        <f ca="1">VLOOKUP($C30,'Cost RMs'!$B$5:$Q$22,+BA$4-$AW$4+2,0)</f>
        <v>75490</v>
      </c>
      <c r="BB30" s="101">
        <f ca="1">VLOOKUP($C30,'Cost RMs'!$B$5:$Q$22,+BB$4-$AW$4+2,0)</f>
        <v>84541</v>
      </c>
      <c r="BC30" s="101">
        <f ca="1">VLOOKUP($C30,'Cost RMs'!$B$5:$Q$22,+BC$4-$AW$4+2,0)</f>
        <v>94770</v>
      </c>
      <c r="BD30" s="101">
        <f ca="1">VLOOKUP($C30,'Cost RMs'!$B$5:$Q$22,+BD$4-$AW$4+2,0)</f>
        <v>106237</v>
      </c>
      <c r="BE30" s="101">
        <f ca="1">VLOOKUP($C30,'Cost RMs'!$B$5:$Q$22,+BE$4-$AW$4+2,0)</f>
        <v>119092</v>
      </c>
      <c r="BF30" s="101">
        <f ca="1">VLOOKUP($C30,'Cost RMs'!$B$5:$Q$22,+BF$4-$AW$4+2,0)</f>
        <v>133502</v>
      </c>
      <c r="BG30" s="101">
        <f ca="1">VLOOKUP($C30,'Cost RMs'!$B$5:$Q$22,+BG$4-$AW$4+2,0)</f>
        <v>149656</v>
      </c>
      <c r="BH30" s="101">
        <f ca="1">VLOOKUP($C30,'Cost RMs'!$B$5:$Q$22,+BH$4-$AW$4+2,0)</f>
        <v>167764</v>
      </c>
      <c r="BI30" s="101">
        <f ca="1">VLOOKUP($C30,'Cost RMs'!$B$5:$Q$22,+BI$4-$AW$4+2,0)</f>
        <v>188063</v>
      </c>
      <c r="BJ30" s="101">
        <f ca="1">VLOOKUP($C30,'Cost RMs'!$B$5:$Q$22,+BJ$4-$AW$4+2,0)</f>
        <v>210819</v>
      </c>
      <c r="BK30" s="101">
        <f ca="1">VLOOKUP($C30,'Cost RMs'!$B$5:$Q$22,+BK$4-$AW$4+2,0)</f>
        <v>236328</v>
      </c>
      <c r="BL30" s="102">
        <f t="shared" si="17"/>
        <v>0</v>
      </c>
      <c r="BM30" s="102">
        <f t="shared" si="18"/>
        <v>45475.139340000002</v>
      </c>
      <c r="BN30" s="102">
        <f t="shared" si="19"/>
        <v>110181.4600704</v>
      </c>
      <c r="BO30" s="102">
        <f t="shared" si="20"/>
        <v>104930.1832128</v>
      </c>
      <c r="BP30" s="102">
        <f t="shared" ca="1" si="21"/>
        <v>123754.07856000001</v>
      </c>
      <c r="BQ30" s="102">
        <f t="shared" ca="1" si="22"/>
        <v>174169.65032687996</v>
      </c>
      <c r="BR30" s="102">
        <f t="shared" ca="1" si="23"/>
        <v>184822.69815359998</v>
      </c>
      <c r="BS30" s="102">
        <f t="shared" ca="1" si="24"/>
        <v>194401.82845392</v>
      </c>
      <c r="BT30" s="102">
        <f t="shared" ca="1" si="25"/>
        <v>217925.04075071999</v>
      </c>
      <c r="BU30" s="102">
        <f t="shared" ca="1" si="26"/>
        <v>244293.72913631998</v>
      </c>
      <c r="BV30" s="102">
        <f t="shared" ca="1" si="27"/>
        <v>273853.74247295997</v>
      </c>
      <c r="BW30" s="102">
        <f t="shared" ca="1" si="28"/>
        <v>306989.35727424</v>
      </c>
      <c r="BX30" s="102">
        <f t="shared" ca="1" si="29"/>
        <v>344134.25703407999</v>
      </c>
      <c r="BY30" s="102">
        <f t="shared" ca="1" si="30"/>
        <v>385775.19200303999</v>
      </c>
      <c r="BZ30" s="102">
        <f t="shared" ca="1" si="31"/>
        <v>432453.80907647999</v>
      </c>
    </row>
    <row r="31" spans="1:78" x14ac:dyDescent="0.25">
      <c r="A31" s="26" t="s">
        <v>112</v>
      </c>
      <c r="B31" s="73">
        <v>0.24</v>
      </c>
      <c r="C31" s="59" t="s">
        <v>149</v>
      </c>
      <c r="D31" s="61">
        <v>0.64</v>
      </c>
      <c r="E31" s="61">
        <v>0.64</v>
      </c>
      <c r="F31" s="61">
        <v>0.62</v>
      </c>
      <c r="G31" s="61">
        <v>0.59</v>
      </c>
      <c r="H31" s="61">
        <v>0.59</v>
      </c>
      <c r="I31" s="61">
        <v>0.59</v>
      </c>
      <c r="J31" s="61">
        <v>0.59</v>
      </c>
      <c r="K31" s="61">
        <v>0.59</v>
      </c>
      <c r="L31" s="61">
        <v>0.59</v>
      </c>
      <c r="M31" s="61">
        <v>0.59</v>
      </c>
      <c r="N31" s="61">
        <v>0.59</v>
      </c>
      <c r="O31" s="61">
        <v>0.59</v>
      </c>
      <c r="P31" s="61">
        <v>0.59</v>
      </c>
      <c r="Q31" s="61">
        <v>0.59</v>
      </c>
      <c r="R31" s="61">
        <v>0.59</v>
      </c>
      <c r="S31" s="74">
        <f>VLOOKUP($A31,turnover!$A$184:$Q$192,+S$4-$S$4+3,0)</f>
        <v>0</v>
      </c>
      <c r="T31" s="74">
        <f>VLOOKUP($A31,turnover!$A$184:$Q$192,+T$4-$S$4+3,0)</f>
        <v>32.767200000000003</v>
      </c>
      <c r="U31" s="74">
        <f>VLOOKUP($A31,turnover!$A$184:$Q$192,+U$4-$S$4+3,0)</f>
        <v>60.321840000000002</v>
      </c>
      <c r="V31" s="74">
        <f>VLOOKUP($A31,turnover!$A$184:$Q$192,+V$4-$S$4+3,0)</f>
        <v>61.564799999999991</v>
      </c>
      <c r="W31" s="74">
        <f>VLOOKUP($A31,turnover!$A$184:$Q$192,+W$4-$S$4+3,0)</f>
        <v>48.216000000000001</v>
      </c>
      <c r="X31" s="74">
        <f>VLOOKUP($A31,turnover!$A$184:$Q$192,+X$4-$S$4+3,0)</f>
        <v>60.593519999999984</v>
      </c>
      <c r="Y31" s="74">
        <f>VLOOKUP($A31,turnover!$A$184:$Q$192,+Y$4-$S$4+3,0)</f>
        <v>57.359519999999996</v>
      </c>
      <c r="Z31" s="74">
        <f>VLOOKUP($A31,turnover!$A$184:$Q$192,+Z$4-$S$4+3,0)</f>
        <v>53.820239999999991</v>
      </c>
      <c r="AA31" s="74">
        <f>VLOOKUP($A31,turnover!$A$184:$Q$192,+AA$4-$S$4+3,0)</f>
        <v>53.820239999999991</v>
      </c>
      <c r="AB31" s="74">
        <f>VLOOKUP($A31,turnover!$A$184:$Q$192,+AB$4-$S$4+3,0)</f>
        <v>53.820239999999991</v>
      </c>
      <c r="AC31" s="74">
        <f>VLOOKUP($A31,turnover!$A$184:$Q$192,+AC$4-$S$4+3,0)</f>
        <v>53.820239999999991</v>
      </c>
      <c r="AD31" s="74">
        <f>VLOOKUP($A31,turnover!$A$184:$Q$192,+AD$4-$S$4+3,0)</f>
        <v>53.820239999999998</v>
      </c>
      <c r="AE31" s="74">
        <f>VLOOKUP($A31,turnover!$A$184:$Q$192,+AE$4-$S$4+3,0)</f>
        <v>53.820239999999991</v>
      </c>
      <c r="AF31" s="74">
        <f>VLOOKUP($A31,turnover!$A$184:$Q$192,+AF$4-$S$4+3,0)</f>
        <v>53.820239999999991</v>
      </c>
      <c r="AG31" s="74">
        <f>VLOOKUP($A31,turnover!$A$184:$Q$192,+AG$4-$S$4+3,0)</f>
        <v>53.820239999999991</v>
      </c>
      <c r="AH31" s="61">
        <f t="shared" si="2"/>
        <v>0</v>
      </c>
      <c r="AI31" s="61">
        <f t="shared" si="3"/>
        <v>20.971008000000001</v>
      </c>
      <c r="AJ31" s="61">
        <f t="shared" si="4"/>
        <v>37.399540800000004</v>
      </c>
      <c r="AK31" s="61">
        <f t="shared" si="5"/>
        <v>36.32323199999999</v>
      </c>
      <c r="AL31" s="61">
        <f t="shared" si="6"/>
        <v>28.44744</v>
      </c>
      <c r="AM31" s="61">
        <f t="shared" si="7"/>
        <v>35.750176799999991</v>
      </c>
      <c r="AN31" s="61">
        <f t="shared" si="8"/>
        <v>33.842116799999999</v>
      </c>
      <c r="AO31" s="61">
        <f t="shared" si="9"/>
        <v>31.753941599999994</v>
      </c>
      <c r="AP31" s="61">
        <f t="shared" si="10"/>
        <v>31.753941599999994</v>
      </c>
      <c r="AQ31" s="61">
        <f t="shared" si="11"/>
        <v>31.753941599999994</v>
      </c>
      <c r="AR31" s="61">
        <f t="shared" si="12"/>
        <v>31.753941599999994</v>
      </c>
      <c r="AS31" s="61">
        <f t="shared" si="13"/>
        <v>31.753941599999997</v>
      </c>
      <c r="AT31" s="61">
        <f t="shared" si="14"/>
        <v>31.753941599999994</v>
      </c>
      <c r="AU31" s="61">
        <f t="shared" si="15"/>
        <v>31.753941599999994</v>
      </c>
      <c r="AV31" s="61">
        <f t="shared" si="16"/>
        <v>31.753941599999994</v>
      </c>
      <c r="AW31" s="101">
        <f>VLOOKUP($C31,'Cost RMs'!$B$5:$Q$22,+AW$4-$AW$4+2,0)</f>
        <v>9377</v>
      </c>
      <c r="AX31" s="101">
        <f>VLOOKUP($C31,'Cost RMs'!$B$5:$Q$22,+AX$4-$AW$4+2,0)</f>
        <v>9969</v>
      </c>
      <c r="AY31" s="101">
        <f>VLOOKUP($C31,'Cost RMs'!$B$5:$Q$22,+AY$4-$AW$4+2,0)</f>
        <v>14915</v>
      </c>
      <c r="AZ31" s="101">
        <f>VLOOKUP($C31,'Cost RMs'!$B$5:$Q$22,+AZ$4-$AW$4+2,0)</f>
        <v>16547</v>
      </c>
      <c r="BA31" s="101">
        <f ca="1">VLOOKUP($C31,'Cost RMs'!$B$5:$Q$22,+BA$4-$AW$4+2,0)</f>
        <v>17617</v>
      </c>
      <c r="BB31" s="101">
        <f ca="1">VLOOKUP($C31,'Cost RMs'!$B$5:$Q$22,+BB$4-$AW$4+2,0)</f>
        <v>19729</v>
      </c>
      <c r="BC31" s="101">
        <f ca="1">VLOOKUP($C31,'Cost RMs'!$B$5:$Q$22,+BC$4-$AW$4+2,0)</f>
        <v>22116</v>
      </c>
      <c r="BD31" s="101">
        <f ca="1">VLOOKUP($C31,'Cost RMs'!$B$5:$Q$22,+BD$4-$AW$4+2,0)</f>
        <v>24792</v>
      </c>
      <c r="BE31" s="101">
        <f ca="1">VLOOKUP($C31,'Cost RMs'!$B$5:$Q$22,+BE$4-$AW$4+2,0)</f>
        <v>27792</v>
      </c>
      <c r="BF31" s="101">
        <f ca="1">VLOOKUP($C31,'Cost RMs'!$B$5:$Q$22,+BF$4-$AW$4+2,0)</f>
        <v>31155</v>
      </c>
      <c r="BG31" s="101">
        <f ca="1">VLOOKUP($C31,'Cost RMs'!$B$5:$Q$22,+BG$4-$AW$4+2,0)</f>
        <v>34925</v>
      </c>
      <c r="BH31" s="101">
        <f ca="1">VLOOKUP($C31,'Cost RMs'!$B$5:$Q$22,+BH$4-$AW$4+2,0)</f>
        <v>39151</v>
      </c>
      <c r="BI31" s="101">
        <f ca="1">VLOOKUP($C31,'Cost RMs'!$B$5:$Q$22,+BI$4-$AW$4+2,0)</f>
        <v>43888</v>
      </c>
      <c r="BJ31" s="101">
        <f ca="1">VLOOKUP($C31,'Cost RMs'!$B$5:$Q$22,+BJ$4-$AW$4+2,0)</f>
        <v>49198</v>
      </c>
      <c r="BK31" s="101">
        <f ca="1">VLOOKUP($C31,'Cost RMs'!$B$5:$Q$22,+BK$4-$AW$4+2,0)</f>
        <v>55151</v>
      </c>
      <c r="BL31" s="102">
        <f t="shared" si="17"/>
        <v>0</v>
      </c>
      <c r="BM31" s="102">
        <f t="shared" si="18"/>
        <v>209059.97875200002</v>
      </c>
      <c r="BN31" s="102">
        <f t="shared" si="19"/>
        <v>557814.15103200008</v>
      </c>
      <c r="BO31" s="102">
        <f t="shared" si="20"/>
        <v>601040.51990399987</v>
      </c>
      <c r="BP31" s="102">
        <f t="shared" ca="1" si="21"/>
        <v>501158.55047999998</v>
      </c>
      <c r="BQ31" s="102">
        <f t="shared" ca="1" si="22"/>
        <v>705315.23808719986</v>
      </c>
      <c r="BR31" s="102">
        <f t="shared" ca="1" si="23"/>
        <v>748452.25514879997</v>
      </c>
      <c r="BS31" s="102">
        <f t="shared" ca="1" si="24"/>
        <v>787243.72014719981</v>
      </c>
      <c r="BT31" s="102">
        <f t="shared" ca="1" si="25"/>
        <v>882505.54494719987</v>
      </c>
      <c r="BU31" s="102">
        <f t="shared" ca="1" si="26"/>
        <v>989294.0505479998</v>
      </c>
      <c r="BV31" s="102">
        <f t="shared" ca="1" si="27"/>
        <v>1109006.4103799998</v>
      </c>
      <c r="BW31" s="102">
        <f t="shared" ca="1" si="28"/>
        <v>1243198.5675815998</v>
      </c>
      <c r="BX31" s="102">
        <f t="shared" ca="1" si="29"/>
        <v>1393616.9889407998</v>
      </c>
      <c r="BY31" s="102">
        <f t="shared" ca="1" si="30"/>
        <v>1562230.4188367997</v>
      </c>
      <c r="BZ31" s="102">
        <f t="shared" ca="1" si="31"/>
        <v>1751261.6331815997</v>
      </c>
    </row>
    <row r="32" spans="1:78" x14ac:dyDescent="0.25">
      <c r="A32" s="26" t="s">
        <v>113</v>
      </c>
      <c r="B32" s="73">
        <v>0.23</v>
      </c>
      <c r="C32" t="s">
        <v>123</v>
      </c>
      <c r="S32" s="74">
        <f>VLOOKUP($A32,turnover!$A$184:$Q$192,+S$4-$S$4+3,0)</f>
        <v>0</v>
      </c>
      <c r="T32" s="74">
        <f>VLOOKUP($A32,turnover!$A$184:$Q$192,+T$4-$S$4+3,0)</f>
        <v>0</v>
      </c>
      <c r="U32" s="74">
        <f>VLOOKUP($A32,turnover!$A$184:$Q$192,+U$4-$S$4+3,0)</f>
        <v>0</v>
      </c>
      <c r="V32" s="74">
        <f>VLOOKUP($A32,turnover!$A$184:$Q$192,+V$4-$S$4+3,0)</f>
        <v>0</v>
      </c>
      <c r="W32" s="74">
        <f>VLOOKUP($A32,turnover!$A$184:$Q$192,+W$4-$S$4+3,0)</f>
        <v>0</v>
      </c>
      <c r="X32" s="74">
        <f>VLOOKUP($A32,turnover!$A$184:$Q$192,+X$4-$S$4+3,0)</f>
        <v>0</v>
      </c>
      <c r="Y32" s="74">
        <f>VLOOKUP($A32,turnover!$A$184:$Q$192,+Y$4-$S$4+3,0)</f>
        <v>0</v>
      </c>
      <c r="Z32" s="74">
        <f>VLOOKUP($A32,turnover!$A$184:$Q$192,+Z$4-$S$4+3,0)</f>
        <v>0</v>
      </c>
      <c r="AA32" s="74">
        <f>VLOOKUP($A32,turnover!$A$184:$Q$192,+AA$4-$S$4+3,0)</f>
        <v>0</v>
      </c>
      <c r="AB32" s="74">
        <f>VLOOKUP($A32,turnover!$A$184:$Q$192,+AB$4-$S$4+3,0)</f>
        <v>0</v>
      </c>
      <c r="AC32" s="74">
        <f>VLOOKUP($A32,turnover!$A$184:$Q$192,+AC$4-$S$4+3,0)</f>
        <v>0</v>
      </c>
      <c r="AD32" s="74">
        <f>VLOOKUP($A32,turnover!$A$184:$Q$192,+AD$4-$S$4+3,0)</f>
        <v>0</v>
      </c>
      <c r="AE32" s="74">
        <f>VLOOKUP($A32,turnover!$A$184:$Q$192,+AE$4-$S$4+3,0)</f>
        <v>0</v>
      </c>
      <c r="AF32" s="74">
        <f>VLOOKUP($A32,turnover!$A$184:$Q$192,+AF$4-$S$4+3,0)</f>
        <v>0</v>
      </c>
      <c r="AG32" s="74">
        <f>VLOOKUP($A32,turnover!$A$184:$Q$192,+AG$4-$S$4+3,0)</f>
        <v>0</v>
      </c>
      <c r="AH32" s="61">
        <f t="shared" si="2"/>
        <v>0</v>
      </c>
      <c r="AI32" s="61">
        <f t="shared" si="3"/>
        <v>0</v>
      </c>
      <c r="AJ32" s="61">
        <f t="shared" si="4"/>
        <v>0</v>
      </c>
      <c r="AK32" s="61">
        <f t="shared" si="5"/>
        <v>0</v>
      </c>
      <c r="AL32" s="61">
        <f t="shared" si="6"/>
        <v>0</v>
      </c>
      <c r="AM32" s="61">
        <f t="shared" si="7"/>
        <v>0</v>
      </c>
      <c r="AN32" s="61">
        <f t="shared" si="8"/>
        <v>0</v>
      </c>
      <c r="AO32" s="61">
        <f t="shared" si="9"/>
        <v>0</v>
      </c>
      <c r="AP32" s="61">
        <f t="shared" si="10"/>
        <v>0</v>
      </c>
      <c r="AQ32" s="61">
        <f t="shared" si="11"/>
        <v>0</v>
      </c>
      <c r="AR32" s="61">
        <f t="shared" si="12"/>
        <v>0</v>
      </c>
      <c r="AS32" s="61">
        <f t="shared" si="13"/>
        <v>0</v>
      </c>
      <c r="AT32" s="61">
        <f t="shared" si="14"/>
        <v>0</v>
      </c>
      <c r="AU32" s="61">
        <f t="shared" si="15"/>
        <v>0</v>
      </c>
      <c r="AV32" s="61">
        <f t="shared" si="16"/>
        <v>0</v>
      </c>
      <c r="AW32" s="101">
        <f>VLOOKUP($C32,'Cost RMs'!$B$5:$Q$22,+AW$4-$AW$4+2,0)</f>
        <v>191127</v>
      </c>
      <c r="AX32" s="101">
        <f>VLOOKUP($C32,'Cost RMs'!$B$5:$Q$22,+AX$4-$AW$4+2,0)</f>
        <v>196602</v>
      </c>
      <c r="AY32" s="101">
        <f>VLOOKUP($C32,'Cost RMs'!$B$5:$Q$22,+AY$4-$AW$4+2,0)</f>
        <v>209999</v>
      </c>
      <c r="AZ32" s="101">
        <f>VLOOKUP($C32,'Cost RMs'!$B$5:$Q$22,+AZ$4-$AW$4+2,0)</f>
        <v>266286</v>
      </c>
      <c r="BA32" s="101">
        <f>VLOOKUP($C32,'Cost RMs'!$B$5:$Q$22,+BA$4-$AW$4+2,0)</f>
        <v>275187</v>
      </c>
      <c r="BB32" s="101">
        <f>VLOOKUP($C32,'Cost RMs'!$B$5:$Q$22,+BB$4-$AW$4+2,0)</f>
        <v>308182</v>
      </c>
      <c r="BC32" s="101">
        <f>VLOOKUP($C32,'Cost RMs'!$B$5:$Q$22,+BC$4-$AW$4+2,0)</f>
        <v>345472</v>
      </c>
      <c r="BD32" s="101">
        <f>VLOOKUP($C32,'Cost RMs'!$B$5:$Q$22,+BD$4-$AW$4+2,0)</f>
        <v>387274</v>
      </c>
      <c r="BE32" s="101">
        <f>VLOOKUP($C32,'Cost RMs'!$B$5:$Q$22,+BE$4-$AW$4+2,0)</f>
        <v>434134</v>
      </c>
      <c r="BF32" s="101">
        <f>VLOOKUP($C32,'Cost RMs'!$B$5:$Q$22,+BF$4-$AW$4+2,0)</f>
        <v>486664</v>
      </c>
      <c r="BG32" s="101">
        <f>VLOOKUP($C32,'Cost RMs'!$B$5:$Q$22,+BG$4-$AW$4+2,0)</f>
        <v>545550</v>
      </c>
      <c r="BH32" s="101">
        <f>VLOOKUP($C32,'Cost RMs'!$B$5:$Q$22,+BH$4-$AW$4+2,0)</f>
        <v>611562</v>
      </c>
      <c r="BI32" s="101">
        <f>VLOOKUP($C32,'Cost RMs'!$B$5:$Q$22,+BI$4-$AW$4+2,0)</f>
        <v>685561</v>
      </c>
      <c r="BJ32" s="101">
        <f>VLOOKUP($C32,'Cost RMs'!$B$5:$Q$22,+BJ$4-$AW$4+2,0)</f>
        <v>768514</v>
      </c>
      <c r="BK32" s="101">
        <f>VLOOKUP($C32,'Cost RMs'!$B$5:$Q$22,+BK$4-$AW$4+2,0)</f>
        <v>861504</v>
      </c>
      <c r="BL32" s="102">
        <f t="shared" si="17"/>
        <v>0</v>
      </c>
      <c r="BM32" s="102">
        <f t="shared" si="18"/>
        <v>0</v>
      </c>
      <c r="BN32" s="102">
        <f t="shared" si="19"/>
        <v>0</v>
      </c>
      <c r="BO32" s="102">
        <f t="shared" si="20"/>
        <v>0</v>
      </c>
      <c r="BP32" s="102">
        <f t="shared" si="21"/>
        <v>0</v>
      </c>
      <c r="BQ32" s="102">
        <f t="shared" si="22"/>
        <v>0</v>
      </c>
      <c r="BR32" s="102">
        <f t="shared" si="23"/>
        <v>0</v>
      </c>
      <c r="BS32" s="102">
        <f t="shared" si="24"/>
        <v>0</v>
      </c>
      <c r="BT32" s="102">
        <f t="shared" si="25"/>
        <v>0</v>
      </c>
      <c r="BU32" s="102">
        <f t="shared" si="26"/>
        <v>0</v>
      </c>
      <c r="BV32" s="102">
        <f t="shared" si="27"/>
        <v>0</v>
      </c>
      <c r="BW32" s="102">
        <f t="shared" si="28"/>
        <v>0</v>
      </c>
      <c r="BX32" s="102">
        <f t="shared" si="29"/>
        <v>0</v>
      </c>
      <c r="BY32" s="102">
        <f t="shared" si="30"/>
        <v>0</v>
      </c>
      <c r="BZ32" s="102">
        <f t="shared" si="31"/>
        <v>0</v>
      </c>
    </row>
    <row r="33" spans="1:78" x14ac:dyDescent="0.25">
      <c r="A33" s="26" t="s">
        <v>113</v>
      </c>
      <c r="B33" s="73">
        <v>0.23</v>
      </c>
      <c r="C33" t="s">
        <v>124</v>
      </c>
      <c r="S33" s="74">
        <f>VLOOKUP($A33,turnover!$A$184:$Q$192,+S$4-$S$4+3,0)</f>
        <v>0</v>
      </c>
      <c r="T33" s="74">
        <f>VLOOKUP($A33,turnover!$A$184:$Q$192,+T$4-$S$4+3,0)</f>
        <v>0</v>
      </c>
      <c r="U33" s="74">
        <f>VLOOKUP($A33,turnover!$A$184:$Q$192,+U$4-$S$4+3,0)</f>
        <v>0</v>
      </c>
      <c r="V33" s="74">
        <f>VLOOKUP($A33,turnover!$A$184:$Q$192,+V$4-$S$4+3,0)</f>
        <v>0</v>
      </c>
      <c r="W33" s="74">
        <f>VLOOKUP($A33,turnover!$A$184:$Q$192,+W$4-$S$4+3,0)</f>
        <v>0</v>
      </c>
      <c r="X33" s="74">
        <f>VLOOKUP($A33,turnover!$A$184:$Q$192,+X$4-$S$4+3,0)</f>
        <v>0</v>
      </c>
      <c r="Y33" s="74">
        <f>VLOOKUP($A33,turnover!$A$184:$Q$192,+Y$4-$S$4+3,0)</f>
        <v>0</v>
      </c>
      <c r="Z33" s="74">
        <f>VLOOKUP($A33,turnover!$A$184:$Q$192,+Z$4-$S$4+3,0)</f>
        <v>0</v>
      </c>
      <c r="AA33" s="74">
        <f>VLOOKUP($A33,turnover!$A$184:$Q$192,+AA$4-$S$4+3,0)</f>
        <v>0</v>
      </c>
      <c r="AB33" s="74">
        <f>VLOOKUP($A33,turnover!$A$184:$Q$192,+AB$4-$S$4+3,0)</f>
        <v>0</v>
      </c>
      <c r="AC33" s="74">
        <f>VLOOKUP($A33,turnover!$A$184:$Q$192,+AC$4-$S$4+3,0)</f>
        <v>0</v>
      </c>
      <c r="AD33" s="74">
        <f>VLOOKUP($A33,turnover!$A$184:$Q$192,+AD$4-$S$4+3,0)</f>
        <v>0</v>
      </c>
      <c r="AE33" s="74">
        <f>VLOOKUP($A33,turnover!$A$184:$Q$192,+AE$4-$S$4+3,0)</f>
        <v>0</v>
      </c>
      <c r="AF33" s="74">
        <f>VLOOKUP($A33,turnover!$A$184:$Q$192,+AF$4-$S$4+3,0)</f>
        <v>0</v>
      </c>
      <c r="AG33" s="74">
        <f>VLOOKUP($A33,turnover!$A$184:$Q$192,+AG$4-$S$4+3,0)</f>
        <v>0</v>
      </c>
      <c r="AH33" s="61">
        <f t="shared" si="2"/>
        <v>0</v>
      </c>
      <c r="AI33" s="61">
        <f t="shared" si="3"/>
        <v>0</v>
      </c>
      <c r="AJ33" s="61">
        <f t="shared" si="4"/>
        <v>0</v>
      </c>
      <c r="AK33" s="61">
        <f t="shared" si="5"/>
        <v>0</v>
      </c>
      <c r="AL33" s="61">
        <f t="shared" si="6"/>
        <v>0</v>
      </c>
      <c r="AM33" s="61">
        <f t="shared" si="7"/>
        <v>0</v>
      </c>
      <c r="AN33" s="61">
        <f t="shared" si="8"/>
        <v>0</v>
      </c>
      <c r="AO33" s="61">
        <f t="shared" si="9"/>
        <v>0</v>
      </c>
      <c r="AP33" s="61">
        <f t="shared" si="10"/>
        <v>0</v>
      </c>
      <c r="AQ33" s="61">
        <f t="shared" si="11"/>
        <v>0</v>
      </c>
      <c r="AR33" s="61">
        <f t="shared" si="12"/>
        <v>0</v>
      </c>
      <c r="AS33" s="61">
        <f t="shared" si="13"/>
        <v>0</v>
      </c>
      <c r="AT33" s="61">
        <f t="shared" si="14"/>
        <v>0</v>
      </c>
      <c r="AU33" s="61">
        <f t="shared" si="15"/>
        <v>0</v>
      </c>
      <c r="AV33" s="61">
        <f t="shared" si="16"/>
        <v>0</v>
      </c>
      <c r="AW33" s="101">
        <f>VLOOKUP($C33,'Cost RMs'!$B$5:$Q$22,+AW$4-$AW$4+2,0)</f>
        <v>235089</v>
      </c>
      <c r="AX33" s="101">
        <f>VLOOKUP($C33,'Cost RMs'!$B$5:$Q$22,+AX$4-$AW$4+2,0)</f>
        <v>283888</v>
      </c>
      <c r="AY33" s="101">
        <f>VLOOKUP($C33,'Cost RMs'!$B$5:$Q$22,+AY$4-$AW$4+2,0)</f>
        <v>306490</v>
      </c>
      <c r="AZ33" s="101">
        <f>VLOOKUP($C33,'Cost RMs'!$B$5:$Q$22,+AZ$4-$AW$4+2,0)</f>
        <v>318975</v>
      </c>
      <c r="BA33" s="101">
        <f>VLOOKUP($C33,'Cost RMs'!$B$5:$Q$22,+BA$4-$AW$4+2,0)</f>
        <v>365112</v>
      </c>
      <c r="BB33" s="101">
        <f>VLOOKUP($C33,'Cost RMs'!$B$5:$Q$22,+BB$4-$AW$4+2,0)</f>
        <v>408889</v>
      </c>
      <c r="BC33" s="101">
        <f>VLOOKUP($C33,'Cost RMs'!$B$5:$Q$22,+BC$4-$AW$4+2,0)</f>
        <v>458365</v>
      </c>
      <c r="BD33" s="101">
        <f>VLOOKUP($C33,'Cost RMs'!$B$5:$Q$22,+BD$4-$AW$4+2,0)</f>
        <v>513827</v>
      </c>
      <c r="BE33" s="101">
        <f>VLOOKUP($C33,'Cost RMs'!$B$5:$Q$22,+BE$4-$AW$4+2,0)</f>
        <v>576000</v>
      </c>
      <c r="BF33" s="101">
        <f>VLOOKUP($C33,'Cost RMs'!$B$5:$Q$22,+BF$4-$AW$4+2,0)</f>
        <v>645696</v>
      </c>
      <c r="BG33" s="101">
        <f>VLOOKUP($C33,'Cost RMs'!$B$5:$Q$22,+BG$4-$AW$4+2,0)</f>
        <v>723825</v>
      </c>
      <c r="BH33" s="101">
        <f>VLOOKUP($C33,'Cost RMs'!$B$5:$Q$22,+BH$4-$AW$4+2,0)</f>
        <v>811408</v>
      </c>
      <c r="BI33" s="101">
        <f>VLOOKUP($C33,'Cost RMs'!$B$5:$Q$22,+BI$4-$AW$4+2,0)</f>
        <v>909588</v>
      </c>
      <c r="BJ33" s="101">
        <f>VLOOKUP($C33,'Cost RMs'!$B$5:$Q$22,+BJ$4-$AW$4+2,0)</f>
        <v>1019648</v>
      </c>
      <c r="BK33" s="101">
        <f>VLOOKUP($C33,'Cost RMs'!$B$5:$Q$22,+BK$4-$AW$4+2,0)</f>
        <v>1143025</v>
      </c>
      <c r="BL33" s="102">
        <f t="shared" si="17"/>
        <v>0</v>
      </c>
      <c r="BM33" s="102">
        <f t="shared" si="18"/>
        <v>0</v>
      </c>
      <c r="BN33" s="102">
        <f t="shared" si="19"/>
        <v>0</v>
      </c>
      <c r="BO33" s="102">
        <f t="shared" si="20"/>
        <v>0</v>
      </c>
      <c r="BP33" s="102">
        <f t="shared" si="21"/>
        <v>0</v>
      </c>
      <c r="BQ33" s="102">
        <f t="shared" si="22"/>
        <v>0</v>
      </c>
      <c r="BR33" s="102">
        <f t="shared" si="23"/>
        <v>0</v>
      </c>
      <c r="BS33" s="102">
        <f t="shared" si="24"/>
        <v>0</v>
      </c>
      <c r="BT33" s="102">
        <f t="shared" si="25"/>
        <v>0</v>
      </c>
      <c r="BU33" s="102">
        <f t="shared" si="26"/>
        <v>0</v>
      </c>
      <c r="BV33" s="102">
        <f t="shared" si="27"/>
        <v>0</v>
      </c>
      <c r="BW33" s="102">
        <f t="shared" si="28"/>
        <v>0</v>
      </c>
      <c r="BX33" s="102">
        <f t="shared" si="29"/>
        <v>0</v>
      </c>
      <c r="BY33" s="102">
        <f t="shared" si="30"/>
        <v>0</v>
      </c>
      <c r="BZ33" s="102">
        <f t="shared" si="31"/>
        <v>0</v>
      </c>
    </row>
    <row r="34" spans="1:78" x14ac:dyDescent="0.25">
      <c r="A34" s="26" t="s">
        <v>113</v>
      </c>
      <c r="B34" s="73">
        <v>0.23</v>
      </c>
      <c r="C34" t="s">
        <v>125</v>
      </c>
      <c r="S34" s="74">
        <f>VLOOKUP($A34,turnover!$A$184:$Q$192,+S$4-$S$4+3,0)</f>
        <v>0</v>
      </c>
      <c r="T34" s="74">
        <f>VLOOKUP($A34,turnover!$A$184:$Q$192,+T$4-$S$4+3,0)</f>
        <v>0</v>
      </c>
      <c r="U34" s="74">
        <f>VLOOKUP($A34,turnover!$A$184:$Q$192,+U$4-$S$4+3,0)</f>
        <v>0</v>
      </c>
      <c r="V34" s="74">
        <f>VLOOKUP($A34,turnover!$A$184:$Q$192,+V$4-$S$4+3,0)</f>
        <v>0</v>
      </c>
      <c r="W34" s="74">
        <f>VLOOKUP($A34,turnover!$A$184:$Q$192,+W$4-$S$4+3,0)</f>
        <v>0</v>
      </c>
      <c r="X34" s="74">
        <f>VLOOKUP($A34,turnover!$A$184:$Q$192,+X$4-$S$4+3,0)</f>
        <v>0</v>
      </c>
      <c r="Y34" s="74">
        <f>VLOOKUP($A34,turnover!$A$184:$Q$192,+Y$4-$S$4+3,0)</f>
        <v>0</v>
      </c>
      <c r="Z34" s="74">
        <f>VLOOKUP($A34,turnover!$A$184:$Q$192,+Z$4-$S$4+3,0)</f>
        <v>0</v>
      </c>
      <c r="AA34" s="74">
        <f>VLOOKUP($A34,turnover!$A$184:$Q$192,+AA$4-$S$4+3,0)</f>
        <v>0</v>
      </c>
      <c r="AB34" s="74">
        <f>VLOOKUP($A34,turnover!$A$184:$Q$192,+AB$4-$S$4+3,0)</f>
        <v>0</v>
      </c>
      <c r="AC34" s="74">
        <f>VLOOKUP($A34,turnover!$A$184:$Q$192,+AC$4-$S$4+3,0)</f>
        <v>0</v>
      </c>
      <c r="AD34" s="74">
        <f>VLOOKUP($A34,turnover!$A$184:$Q$192,+AD$4-$S$4+3,0)</f>
        <v>0</v>
      </c>
      <c r="AE34" s="74">
        <f>VLOOKUP($A34,turnover!$A$184:$Q$192,+AE$4-$S$4+3,0)</f>
        <v>0</v>
      </c>
      <c r="AF34" s="74">
        <f>VLOOKUP($A34,turnover!$A$184:$Q$192,+AF$4-$S$4+3,0)</f>
        <v>0</v>
      </c>
      <c r="AG34" s="74">
        <f>VLOOKUP($A34,turnover!$A$184:$Q$192,+AG$4-$S$4+3,0)</f>
        <v>0</v>
      </c>
      <c r="AH34" s="61">
        <f t="shared" si="2"/>
        <v>0</v>
      </c>
      <c r="AI34" s="61">
        <f t="shared" si="3"/>
        <v>0</v>
      </c>
      <c r="AJ34" s="61">
        <f t="shared" si="4"/>
        <v>0</v>
      </c>
      <c r="AK34" s="61">
        <f t="shared" si="5"/>
        <v>0</v>
      </c>
      <c r="AL34" s="61">
        <f t="shared" si="6"/>
        <v>0</v>
      </c>
      <c r="AM34" s="61">
        <f t="shared" si="7"/>
        <v>0</v>
      </c>
      <c r="AN34" s="61">
        <f t="shared" si="8"/>
        <v>0</v>
      </c>
      <c r="AO34" s="61">
        <f t="shared" si="9"/>
        <v>0</v>
      </c>
      <c r="AP34" s="61">
        <f t="shared" si="10"/>
        <v>0</v>
      </c>
      <c r="AQ34" s="61">
        <f t="shared" si="11"/>
        <v>0</v>
      </c>
      <c r="AR34" s="61">
        <f t="shared" si="12"/>
        <v>0</v>
      </c>
      <c r="AS34" s="61">
        <f t="shared" si="13"/>
        <v>0</v>
      </c>
      <c r="AT34" s="61">
        <f t="shared" si="14"/>
        <v>0</v>
      </c>
      <c r="AU34" s="61">
        <f t="shared" si="15"/>
        <v>0</v>
      </c>
      <c r="AV34" s="61">
        <f t="shared" si="16"/>
        <v>0</v>
      </c>
      <c r="AW34" s="101">
        <f>VLOOKUP($C34,'Cost RMs'!$B$5:$Q$22,+AW$4-$AW$4+2,0)</f>
        <v>266257</v>
      </c>
      <c r="AX34" s="101">
        <f>VLOOKUP($C34,'Cost RMs'!$B$5:$Q$22,+AX$4-$AW$4+2,0)</f>
        <v>266257</v>
      </c>
      <c r="AY34" s="101">
        <f>VLOOKUP($C34,'Cost RMs'!$B$5:$Q$22,+AY$4-$AW$4+2,0)</f>
        <v>266257</v>
      </c>
      <c r="AZ34" s="101">
        <f ca="1">VLOOKUP($C34,'Cost RMs'!$B$5:$Q$22,+AZ$4-$AW$4+2,0)</f>
        <v>266257</v>
      </c>
      <c r="BA34" s="101">
        <f ca="1">VLOOKUP($C34,'Cost RMs'!$B$5:$Q$22,+BA$4-$AW$4+2,0)</f>
        <v>266257</v>
      </c>
      <c r="BB34" s="101">
        <f ca="1">VLOOKUP($C34,'Cost RMs'!$B$5:$Q$22,+BB$4-$AW$4+2,0)</f>
        <v>298181</v>
      </c>
      <c r="BC34" s="101">
        <f ca="1">VLOOKUP($C34,'Cost RMs'!$B$5:$Q$22,+BC$4-$AW$4+2,0)</f>
        <v>334261</v>
      </c>
      <c r="BD34" s="101">
        <f ca="1">VLOOKUP($C34,'Cost RMs'!$B$5:$Q$22,+BD$4-$AW$4+2,0)</f>
        <v>374707</v>
      </c>
      <c r="BE34" s="101">
        <f ca="1">VLOOKUP($C34,'Cost RMs'!$B$5:$Q$22,+BE$4-$AW$4+2,0)</f>
        <v>420047</v>
      </c>
      <c r="BF34" s="101">
        <f ca="1">VLOOKUP($C34,'Cost RMs'!$B$5:$Q$22,+BF$4-$AW$4+2,0)</f>
        <v>470873</v>
      </c>
      <c r="BG34" s="101">
        <f ca="1">VLOOKUP($C34,'Cost RMs'!$B$5:$Q$22,+BG$4-$AW$4+2,0)</f>
        <v>527849</v>
      </c>
      <c r="BH34" s="101">
        <f ca="1">VLOOKUP($C34,'Cost RMs'!$B$5:$Q$22,+BH$4-$AW$4+2,0)</f>
        <v>591719</v>
      </c>
      <c r="BI34" s="101">
        <f ca="1">VLOOKUP($C34,'Cost RMs'!$B$5:$Q$22,+BI$4-$AW$4+2,0)</f>
        <v>663317</v>
      </c>
      <c r="BJ34" s="101">
        <f ca="1">VLOOKUP($C34,'Cost RMs'!$B$5:$Q$22,+BJ$4-$AW$4+2,0)</f>
        <v>743578</v>
      </c>
      <c r="BK34" s="101">
        <f ca="1">VLOOKUP($C34,'Cost RMs'!$B$5:$Q$22,+BK$4-$AW$4+2,0)</f>
        <v>833551</v>
      </c>
      <c r="BL34" s="102">
        <f t="shared" si="17"/>
        <v>0</v>
      </c>
      <c r="BM34" s="102">
        <f t="shared" si="18"/>
        <v>0</v>
      </c>
      <c r="BN34" s="102">
        <f t="shared" si="19"/>
        <v>0</v>
      </c>
      <c r="BO34" s="102">
        <f t="shared" ca="1" si="20"/>
        <v>0</v>
      </c>
      <c r="BP34" s="102">
        <f t="shared" ca="1" si="21"/>
        <v>0</v>
      </c>
      <c r="BQ34" s="102">
        <f t="shared" ca="1" si="22"/>
        <v>0</v>
      </c>
      <c r="BR34" s="102">
        <f t="shared" ca="1" si="23"/>
        <v>0</v>
      </c>
      <c r="BS34" s="102">
        <f t="shared" ca="1" si="24"/>
        <v>0</v>
      </c>
      <c r="BT34" s="102">
        <f t="shared" ca="1" si="25"/>
        <v>0</v>
      </c>
      <c r="BU34" s="102">
        <f t="shared" ca="1" si="26"/>
        <v>0</v>
      </c>
      <c r="BV34" s="102">
        <f t="shared" ca="1" si="27"/>
        <v>0</v>
      </c>
      <c r="BW34" s="102">
        <f t="shared" ca="1" si="28"/>
        <v>0</v>
      </c>
      <c r="BX34" s="102">
        <f t="shared" ca="1" si="29"/>
        <v>0</v>
      </c>
      <c r="BY34" s="102">
        <f t="shared" ca="1" si="30"/>
        <v>0</v>
      </c>
      <c r="BZ34" s="102">
        <f t="shared" ca="1" si="31"/>
        <v>0</v>
      </c>
    </row>
    <row r="35" spans="1:78" x14ac:dyDescent="0.25">
      <c r="A35" s="26" t="s">
        <v>113</v>
      </c>
      <c r="B35" s="73">
        <v>0.23</v>
      </c>
      <c r="C35" t="s">
        <v>126</v>
      </c>
      <c r="S35" s="74">
        <f>VLOOKUP($A35,turnover!$A$184:$Q$192,+S$4-$S$4+3,0)</f>
        <v>0</v>
      </c>
      <c r="T35" s="74">
        <f>VLOOKUP($A35,turnover!$A$184:$Q$192,+T$4-$S$4+3,0)</f>
        <v>0</v>
      </c>
      <c r="U35" s="74">
        <f>VLOOKUP($A35,turnover!$A$184:$Q$192,+U$4-$S$4+3,0)</f>
        <v>0</v>
      </c>
      <c r="V35" s="74">
        <f>VLOOKUP($A35,turnover!$A$184:$Q$192,+V$4-$S$4+3,0)</f>
        <v>0</v>
      </c>
      <c r="W35" s="74">
        <f>VLOOKUP($A35,turnover!$A$184:$Q$192,+W$4-$S$4+3,0)</f>
        <v>0</v>
      </c>
      <c r="X35" s="74">
        <f>VLOOKUP($A35,turnover!$A$184:$Q$192,+X$4-$S$4+3,0)</f>
        <v>0</v>
      </c>
      <c r="Y35" s="74">
        <f>VLOOKUP($A35,turnover!$A$184:$Q$192,+Y$4-$S$4+3,0)</f>
        <v>0</v>
      </c>
      <c r="Z35" s="74">
        <f>VLOOKUP($A35,turnover!$A$184:$Q$192,+Z$4-$S$4+3,0)</f>
        <v>0</v>
      </c>
      <c r="AA35" s="74">
        <f>VLOOKUP($A35,turnover!$A$184:$Q$192,+AA$4-$S$4+3,0)</f>
        <v>0</v>
      </c>
      <c r="AB35" s="74">
        <f>VLOOKUP($A35,turnover!$A$184:$Q$192,+AB$4-$S$4+3,0)</f>
        <v>0</v>
      </c>
      <c r="AC35" s="74">
        <f>VLOOKUP($A35,turnover!$A$184:$Q$192,+AC$4-$S$4+3,0)</f>
        <v>0</v>
      </c>
      <c r="AD35" s="74">
        <f>VLOOKUP($A35,turnover!$A$184:$Q$192,+AD$4-$S$4+3,0)</f>
        <v>0</v>
      </c>
      <c r="AE35" s="74">
        <f>VLOOKUP($A35,turnover!$A$184:$Q$192,+AE$4-$S$4+3,0)</f>
        <v>0</v>
      </c>
      <c r="AF35" s="74">
        <f>VLOOKUP($A35,turnover!$A$184:$Q$192,+AF$4-$S$4+3,0)</f>
        <v>0</v>
      </c>
      <c r="AG35" s="74">
        <f>VLOOKUP($A35,turnover!$A$184:$Q$192,+AG$4-$S$4+3,0)</f>
        <v>0</v>
      </c>
      <c r="AH35" s="61">
        <f t="shared" si="2"/>
        <v>0</v>
      </c>
      <c r="AI35" s="61">
        <f t="shared" si="3"/>
        <v>0</v>
      </c>
      <c r="AJ35" s="61">
        <f t="shared" si="4"/>
        <v>0</v>
      </c>
      <c r="AK35" s="61">
        <f t="shared" si="5"/>
        <v>0</v>
      </c>
      <c r="AL35" s="61">
        <f t="shared" si="6"/>
        <v>0</v>
      </c>
      <c r="AM35" s="61">
        <f t="shared" si="7"/>
        <v>0</v>
      </c>
      <c r="AN35" s="61">
        <f t="shared" si="8"/>
        <v>0</v>
      </c>
      <c r="AO35" s="61">
        <f t="shared" si="9"/>
        <v>0</v>
      </c>
      <c r="AP35" s="61">
        <f t="shared" si="10"/>
        <v>0</v>
      </c>
      <c r="AQ35" s="61">
        <f t="shared" si="11"/>
        <v>0</v>
      </c>
      <c r="AR35" s="61">
        <f t="shared" si="12"/>
        <v>0</v>
      </c>
      <c r="AS35" s="61">
        <f t="shared" si="13"/>
        <v>0</v>
      </c>
      <c r="AT35" s="61">
        <f t="shared" si="14"/>
        <v>0</v>
      </c>
      <c r="AU35" s="61">
        <f t="shared" si="15"/>
        <v>0</v>
      </c>
      <c r="AV35" s="61">
        <f t="shared" si="16"/>
        <v>0</v>
      </c>
      <c r="AW35" s="101">
        <f>VLOOKUP($C35,'Cost RMs'!$B$5:$Q$22,+AW$4-$AW$4+2,0)</f>
        <v>248821</v>
      </c>
      <c r="AX35" s="101">
        <f>VLOOKUP($C35,'Cost RMs'!$B$5:$Q$22,+AX$4-$AW$4+2,0)</f>
        <v>290296</v>
      </c>
      <c r="AY35" s="101">
        <f>VLOOKUP($C35,'Cost RMs'!$B$5:$Q$22,+AY$4-$AW$4+2,0)</f>
        <v>316267</v>
      </c>
      <c r="AZ35" s="101">
        <f>VLOOKUP($C35,'Cost RMs'!$B$5:$Q$22,+AZ$4-$AW$4+2,0)</f>
        <v>337089</v>
      </c>
      <c r="BA35" s="101">
        <f>VLOOKUP($C35,'Cost RMs'!$B$5:$Q$22,+BA$4-$AW$4+2,0)</f>
        <v>408568</v>
      </c>
      <c r="BB35" s="101">
        <f>VLOOKUP($C35,'Cost RMs'!$B$5:$Q$22,+BB$4-$AW$4+2,0)</f>
        <v>457555</v>
      </c>
      <c r="BC35" s="101">
        <f>VLOOKUP($C35,'Cost RMs'!$B$5:$Q$22,+BC$4-$AW$4+2,0)</f>
        <v>512919</v>
      </c>
      <c r="BD35" s="101">
        <f>VLOOKUP($C35,'Cost RMs'!$B$5:$Q$22,+BD$4-$AW$4+2,0)</f>
        <v>574982</v>
      </c>
      <c r="BE35" s="101">
        <f>VLOOKUP($C35,'Cost RMs'!$B$5:$Q$22,+BE$4-$AW$4+2,0)</f>
        <v>644555</v>
      </c>
      <c r="BF35" s="101">
        <f>VLOOKUP($C35,'Cost RMs'!$B$5:$Q$22,+BF$4-$AW$4+2,0)</f>
        <v>722546</v>
      </c>
      <c r="BG35" s="101">
        <f>VLOOKUP($C35,'Cost RMs'!$B$5:$Q$22,+BG$4-$AW$4+2,0)</f>
        <v>809974</v>
      </c>
      <c r="BH35" s="101">
        <f>VLOOKUP($C35,'Cost RMs'!$B$5:$Q$22,+BH$4-$AW$4+2,0)</f>
        <v>907981</v>
      </c>
      <c r="BI35" s="101">
        <f>VLOOKUP($C35,'Cost RMs'!$B$5:$Q$22,+BI$4-$AW$4+2,0)</f>
        <v>1017847</v>
      </c>
      <c r="BJ35" s="101">
        <f>VLOOKUP($C35,'Cost RMs'!$B$5:$Q$22,+BJ$4-$AW$4+2,0)</f>
        <v>1141006</v>
      </c>
      <c r="BK35" s="101">
        <f>VLOOKUP($C35,'Cost RMs'!$B$5:$Q$22,+BK$4-$AW$4+2,0)</f>
        <v>1279068</v>
      </c>
      <c r="BL35" s="102">
        <f t="shared" si="17"/>
        <v>0</v>
      </c>
      <c r="BM35" s="102">
        <f t="shared" si="18"/>
        <v>0</v>
      </c>
      <c r="BN35" s="102">
        <f t="shared" si="19"/>
        <v>0</v>
      </c>
      <c r="BO35" s="102">
        <f t="shared" si="20"/>
        <v>0</v>
      </c>
      <c r="BP35" s="102">
        <f t="shared" si="21"/>
        <v>0</v>
      </c>
      <c r="BQ35" s="102">
        <f t="shared" si="22"/>
        <v>0</v>
      </c>
      <c r="BR35" s="102">
        <f t="shared" si="23"/>
        <v>0</v>
      </c>
      <c r="BS35" s="102">
        <f t="shared" si="24"/>
        <v>0</v>
      </c>
      <c r="BT35" s="102">
        <f t="shared" si="25"/>
        <v>0</v>
      </c>
      <c r="BU35" s="102">
        <f t="shared" si="26"/>
        <v>0</v>
      </c>
      <c r="BV35" s="102">
        <f t="shared" si="27"/>
        <v>0</v>
      </c>
      <c r="BW35" s="102">
        <f t="shared" si="28"/>
        <v>0</v>
      </c>
      <c r="BX35" s="102">
        <f t="shared" si="29"/>
        <v>0</v>
      </c>
      <c r="BY35" s="102">
        <f t="shared" si="30"/>
        <v>0</v>
      </c>
      <c r="BZ35" s="102">
        <f t="shared" si="31"/>
        <v>0</v>
      </c>
    </row>
    <row r="36" spans="1:78" x14ac:dyDescent="0.25">
      <c r="A36" s="26" t="s">
        <v>113</v>
      </c>
      <c r="B36" s="73">
        <v>0.23</v>
      </c>
      <c r="C36" t="s">
        <v>127</v>
      </c>
      <c r="S36" s="74">
        <f>VLOOKUP($A36,turnover!$A$184:$Q$192,+S$4-$S$4+3,0)</f>
        <v>0</v>
      </c>
      <c r="T36" s="74">
        <f>VLOOKUP($A36,turnover!$A$184:$Q$192,+T$4-$S$4+3,0)</f>
        <v>0</v>
      </c>
      <c r="U36" s="74">
        <f>VLOOKUP($A36,turnover!$A$184:$Q$192,+U$4-$S$4+3,0)</f>
        <v>0</v>
      </c>
      <c r="V36" s="74">
        <f>VLOOKUP($A36,turnover!$A$184:$Q$192,+V$4-$S$4+3,0)</f>
        <v>0</v>
      </c>
      <c r="W36" s="74">
        <f>VLOOKUP($A36,turnover!$A$184:$Q$192,+W$4-$S$4+3,0)</f>
        <v>0</v>
      </c>
      <c r="X36" s="74">
        <f>VLOOKUP($A36,turnover!$A$184:$Q$192,+X$4-$S$4+3,0)</f>
        <v>0</v>
      </c>
      <c r="Y36" s="74">
        <f>VLOOKUP($A36,turnover!$A$184:$Q$192,+Y$4-$S$4+3,0)</f>
        <v>0</v>
      </c>
      <c r="Z36" s="74">
        <f>VLOOKUP($A36,turnover!$A$184:$Q$192,+Z$4-$S$4+3,0)</f>
        <v>0</v>
      </c>
      <c r="AA36" s="74">
        <f>VLOOKUP($A36,turnover!$A$184:$Q$192,+AA$4-$S$4+3,0)</f>
        <v>0</v>
      </c>
      <c r="AB36" s="74">
        <f>VLOOKUP($A36,turnover!$A$184:$Q$192,+AB$4-$S$4+3,0)</f>
        <v>0</v>
      </c>
      <c r="AC36" s="74">
        <f>VLOOKUP($A36,turnover!$A$184:$Q$192,+AC$4-$S$4+3,0)</f>
        <v>0</v>
      </c>
      <c r="AD36" s="74">
        <f>VLOOKUP($A36,turnover!$A$184:$Q$192,+AD$4-$S$4+3,0)</f>
        <v>0</v>
      </c>
      <c r="AE36" s="74">
        <f>VLOOKUP($A36,turnover!$A$184:$Q$192,+AE$4-$S$4+3,0)</f>
        <v>0</v>
      </c>
      <c r="AF36" s="74">
        <f>VLOOKUP($A36,turnover!$A$184:$Q$192,+AF$4-$S$4+3,0)</f>
        <v>0</v>
      </c>
      <c r="AG36" s="74">
        <f>VLOOKUP($A36,turnover!$A$184:$Q$192,+AG$4-$S$4+3,0)</f>
        <v>0</v>
      </c>
      <c r="AH36" s="61">
        <f t="shared" si="2"/>
        <v>0</v>
      </c>
      <c r="AI36" s="61">
        <f t="shared" si="3"/>
        <v>0</v>
      </c>
      <c r="AJ36" s="61">
        <f t="shared" si="4"/>
        <v>0</v>
      </c>
      <c r="AK36" s="61">
        <f t="shared" si="5"/>
        <v>0</v>
      </c>
      <c r="AL36" s="61">
        <f t="shared" si="6"/>
        <v>0</v>
      </c>
      <c r="AM36" s="61">
        <f t="shared" si="7"/>
        <v>0</v>
      </c>
      <c r="AN36" s="61">
        <f t="shared" si="8"/>
        <v>0</v>
      </c>
      <c r="AO36" s="61">
        <f t="shared" si="9"/>
        <v>0</v>
      </c>
      <c r="AP36" s="61">
        <f t="shared" si="10"/>
        <v>0</v>
      </c>
      <c r="AQ36" s="61">
        <f t="shared" si="11"/>
        <v>0</v>
      </c>
      <c r="AR36" s="61">
        <f t="shared" si="12"/>
        <v>0</v>
      </c>
      <c r="AS36" s="61">
        <f t="shared" si="13"/>
        <v>0</v>
      </c>
      <c r="AT36" s="61">
        <f t="shared" si="14"/>
        <v>0</v>
      </c>
      <c r="AU36" s="61">
        <f t="shared" si="15"/>
        <v>0</v>
      </c>
      <c r="AV36" s="61">
        <f t="shared" si="16"/>
        <v>0</v>
      </c>
      <c r="AW36" s="101">
        <f>VLOOKUP($C36,'Cost RMs'!$B$5:$Q$22,+AW$4-$AW$4+2,0)</f>
        <v>31510</v>
      </c>
      <c r="AX36" s="101">
        <f>VLOOKUP($C36,'Cost RMs'!$B$5:$Q$22,+AX$4-$AW$4+2,0)</f>
        <v>40370</v>
      </c>
      <c r="AY36" s="101">
        <f>VLOOKUP($C36,'Cost RMs'!$B$5:$Q$22,+AY$4-$AW$4+2,0)</f>
        <v>41166</v>
      </c>
      <c r="AZ36" s="101">
        <f>VLOOKUP($C36,'Cost RMs'!$B$5:$Q$22,+AZ$4-$AW$4+2,0)</f>
        <v>48881</v>
      </c>
      <c r="BA36" s="101">
        <f>VLOOKUP($C36,'Cost RMs'!$B$5:$Q$22,+BA$4-$AW$4+2,0)</f>
        <v>47121</v>
      </c>
      <c r="BB36" s="101">
        <f ca="1">VLOOKUP($C36,'Cost RMs'!$B$5:$Q$22,+BB$4-$AW$4+2,0)</f>
        <v>50566.413250959507</v>
      </c>
      <c r="BC36" s="101">
        <f ca="1">VLOOKUP($C36,'Cost RMs'!$B$5:$Q$22,+BC$4-$AW$4+2,0)</f>
        <v>56631.49986439231</v>
      </c>
      <c r="BD36" s="101">
        <f ca="1">VLOOKUP($C36,'Cost RMs'!$B$5:$Q$22,+BD$4-$AW$4+2,0)</f>
        <v>63938.797808160256</v>
      </c>
      <c r="BE36" s="101">
        <f ca="1">VLOOKUP($C36,'Cost RMs'!$B$5:$Q$22,+BE$4-$AW$4+2,0)</f>
        <v>72083.206654867696</v>
      </c>
      <c r="BF36" s="101">
        <f ca="1">VLOOKUP($C36,'Cost RMs'!$B$5:$Q$22,+BF$4-$AW$4+2,0)</f>
        <v>81313.760903297516</v>
      </c>
      <c r="BG36" s="101">
        <f ca="1">VLOOKUP($C36,'Cost RMs'!$B$5:$Q$22,+BG$4-$AW$4+2,0)</f>
        <v>91785.423765355576</v>
      </c>
      <c r="BH36" s="101">
        <f ca="1">VLOOKUP($C36,'Cost RMs'!$B$5:$Q$22,+BH$4-$AW$4+2,0)</f>
        <v>103677.12991004685</v>
      </c>
      <c r="BI36" s="101">
        <f ca="1">VLOOKUP($C36,'Cost RMs'!$B$5:$Q$22,+BI$4-$AW$4+2,0)</f>
        <v>117195.56148271105</v>
      </c>
      <c r="BJ36" s="101">
        <f ca="1">VLOOKUP($C36,'Cost RMs'!$B$5:$Q$22,+BJ$4-$AW$4+2,0)</f>
        <v>132580.59576203892</v>
      </c>
      <c r="BK36" s="101">
        <f ca="1">VLOOKUP($C36,'Cost RMs'!$B$5:$Q$22,+BK$4-$AW$4+2,0)</f>
        <v>150111.0973392961</v>
      </c>
      <c r="BL36" s="102">
        <f t="shared" si="17"/>
        <v>0</v>
      </c>
      <c r="BM36" s="102">
        <f t="shared" si="18"/>
        <v>0</v>
      </c>
      <c r="BN36" s="102">
        <f t="shared" si="19"/>
        <v>0</v>
      </c>
      <c r="BO36" s="102">
        <f t="shared" si="20"/>
        <v>0</v>
      </c>
      <c r="BP36" s="102">
        <f t="shared" si="21"/>
        <v>0</v>
      </c>
      <c r="BQ36" s="102">
        <f t="shared" ca="1" si="22"/>
        <v>0</v>
      </c>
      <c r="BR36" s="102">
        <f t="shared" ca="1" si="23"/>
        <v>0</v>
      </c>
      <c r="BS36" s="102">
        <f t="shared" ca="1" si="24"/>
        <v>0</v>
      </c>
      <c r="BT36" s="102">
        <f t="shared" ca="1" si="25"/>
        <v>0</v>
      </c>
      <c r="BU36" s="102">
        <f t="shared" ca="1" si="26"/>
        <v>0</v>
      </c>
      <c r="BV36" s="102">
        <f t="shared" ca="1" si="27"/>
        <v>0</v>
      </c>
      <c r="BW36" s="102">
        <f t="shared" ca="1" si="28"/>
        <v>0</v>
      </c>
      <c r="BX36" s="102">
        <f t="shared" ca="1" si="29"/>
        <v>0</v>
      </c>
      <c r="BY36" s="102">
        <f t="shared" ca="1" si="30"/>
        <v>0</v>
      </c>
      <c r="BZ36" s="102">
        <f t="shared" ca="1" si="31"/>
        <v>0</v>
      </c>
    </row>
    <row r="37" spans="1:78" x14ac:dyDescent="0.25">
      <c r="A37" s="26" t="s">
        <v>113</v>
      </c>
      <c r="B37" s="73">
        <v>0.23</v>
      </c>
      <c r="C37" s="26" t="s">
        <v>132</v>
      </c>
      <c r="S37" s="74">
        <f>VLOOKUP($A37,turnover!$A$184:$Q$192,+S$4-$S$4+3,0)</f>
        <v>0</v>
      </c>
      <c r="T37" s="74">
        <f>VLOOKUP($A37,turnover!$A$184:$Q$192,+T$4-$S$4+3,0)</f>
        <v>0</v>
      </c>
      <c r="U37" s="74">
        <f>VLOOKUP($A37,turnover!$A$184:$Q$192,+U$4-$S$4+3,0)</f>
        <v>0</v>
      </c>
      <c r="V37" s="74">
        <f>VLOOKUP($A37,turnover!$A$184:$Q$192,+V$4-$S$4+3,0)</f>
        <v>0</v>
      </c>
      <c r="W37" s="74">
        <f>VLOOKUP($A37,turnover!$A$184:$Q$192,+W$4-$S$4+3,0)</f>
        <v>0</v>
      </c>
      <c r="X37" s="74">
        <f>VLOOKUP($A37,turnover!$A$184:$Q$192,+X$4-$S$4+3,0)</f>
        <v>0</v>
      </c>
      <c r="Y37" s="74">
        <f>VLOOKUP($A37,turnover!$A$184:$Q$192,+Y$4-$S$4+3,0)</f>
        <v>0</v>
      </c>
      <c r="Z37" s="74">
        <f>VLOOKUP($A37,turnover!$A$184:$Q$192,+Z$4-$S$4+3,0)</f>
        <v>0</v>
      </c>
      <c r="AA37" s="74">
        <f>VLOOKUP($A37,turnover!$A$184:$Q$192,+AA$4-$S$4+3,0)</f>
        <v>0</v>
      </c>
      <c r="AB37" s="74">
        <f>VLOOKUP($A37,turnover!$A$184:$Q$192,+AB$4-$S$4+3,0)</f>
        <v>0</v>
      </c>
      <c r="AC37" s="74">
        <f>VLOOKUP($A37,turnover!$A$184:$Q$192,+AC$4-$S$4+3,0)</f>
        <v>0</v>
      </c>
      <c r="AD37" s="74">
        <f>VLOOKUP($A37,turnover!$A$184:$Q$192,+AD$4-$S$4+3,0)</f>
        <v>0</v>
      </c>
      <c r="AE37" s="74">
        <f>VLOOKUP($A37,turnover!$A$184:$Q$192,+AE$4-$S$4+3,0)</f>
        <v>0</v>
      </c>
      <c r="AF37" s="74">
        <f>VLOOKUP($A37,turnover!$A$184:$Q$192,+AF$4-$S$4+3,0)</f>
        <v>0</v>
      </c>
      <c r="AG37" s="74">
        <f>VLOOKUP($A37,turnover!$A$184:$Q$192,+AG$4-$S$4+3,0)</f>
        <v>0</v>
      </c>
      <c r="AH37" s="61">
        <f t="shared" si="2"/>
        <v>0</v>
      </c>
      <c r="AI37" s="61">
        <f t="shared" si="3"/>
        <v>0</v>
      </c>
      <c r="AJ37" s="61">
        <f t="shared" si="4"/>
        <v>0</v>
      </c>
      <c r="AK37" s="61">
        <f t="shared" si="5"/>
        <v>0</v>
      </c>
      <c r="AL37" s="61">
        <f t="shared" si="6"/>
        <v>0</v>
      </c>
      <c r="AM37" s="61">
        <f t="shared" si="7"/>
        <v>0</v>
      </c>
      <c r="AN37" s="61">
        <f t="shared" si="8"/>
        <v>0</v>
      </c>
      <c r="AO37" s="61">
        <f t="shared" si="9"/>
        <v>0</v>
      </c>
      <c r="AP37" s="61">
        <f t="shared" si="10"/>
        <v>0</v>
      </c>
      <c r="AQ37" s="61">
        <f t="shared" si="11"/>
        <v>0</v>
      </c>
      <c r="AR37" s="61">
        <f t="shared" si="12"/>
        <v>0</v>
      </c>
      <c r="AS37" s="61">
        <f t="shared" si="13"/>
        <v>0</v>
      </c>
      <c r="AT37" s="61">
        <f t="shared" si="14"/>
        <v>0</v>
      </c>
      <c r="AU37" s="61">
        <f t="shared" si="15"/>
        <v>0</v>
      </c>
      <c r="AV37" s="61">
        <f t="shared" si="16"/>
        <v>0</v>
      </c>
      <c r="AW37" s="101">
        <f>VLOOKUP($C37,'Cost RMs'!$B$5:$Q$22,+AW$4-$AW$4+2,0)</f>
        <v>37079</v>
      </c>
      <c r="AX37" s="101">
        <f>VLOOKUP($C37,'Cost RMs'!$B$5:$Q$22,+AX$4-$AW$4+2,0)</f>
        <v>52416</v>
      </c>
      <c r="AY37" s="101">
        <f>VLOOKUP($C37,'Cost RMs'!$B$5:$Q$22,+AY$4-$AW$4+2,0)</f>
        <v>45564</v>
      </c>
      <c r="AZ37" s="101">
        <f>VLOOKUP($C37,'Cost RMs'!$B$5:$Q$22,+AZ$4-$AW$4+2,0)</f>
        <v>49142</v>
      </c>
      <c r="BA37" s="101">
        <f>VLOOKUP($C37,'Cost RMs'!$B$5:$Q$22,+BA$4-$AW$4+2,0)</f>
        <v>50394</v>
      </c>
      <c r="BB37" s="101">
        <f>VLOOKUP($C37,'Cost RMs'!$B$5:$Q$22,+BB$4-$AW$4+2,0)</f>
        <v>56436</v>
      </c>
      <c r="BC37" s="101">
        <f>VLOOKUP($C37,'Cost RMs'!$B$5:$Q$22,+BC$4-$AW$4+2,0)</f>
        <v>63265</v>
      </c>
      <c r="BD37" s="101">
        <f>VLOOKUP($C37,'Cost RMs'!$B$5:$Q$22,+BD$4-$AW$4+2,0)</f>
        <v>70920</v>
      </c>
      <c r="BE37" s="101">
        <f>VLOOKUP($C37,'Cost RMs'!$B$5:$Q$22,+BE$4-$AW$4+2,0)</f>
        <v>79501</v>
      </c>
      <c r="BF37" s="101">
        <f>VLOOKUP($C37,'Cost RMs'!$B$5:$Q$22,+BF$4-$AW$4+2,0)</f>
        <v>89121</v>
      </c>
      <c r="BG37" s="101">
        <f>VLOOKUP($C37,'Cost RMs'!$B$5:$Q$22,+BG$4-$AW$4+2,0)</f>
        <v>99905</v>
      </c>
      <c r="BH37" s="101">
        <f>VLOOKUP($C37,'Cost RMs'!$B$5:$Q$22,+BH$4-$AW$4+2,0)</f>
        <v>111994</v>
      </c>
      <c r="BI37" s="101">
        <f>VLOOKUP($C37,'Cost RMs'!$B$5:$Q$22,+BI$4-$AW$4+2,0)</f>
        <v>125545</v>
      </c>
      <c r="BJ37" s="101">
        <f>VLOOKUP($C37,'Cost RMs'!$B$5:$Q$22,+BJ$4-$AW$4+2,0)</f>
        <v>140736</v>
      </c>
      <c r="BK37" s="101">
        <f>VLOOKUP($C37,'Cost RMs'!$B$5:$Q$22,+BK$4-$AW$4+2,0)</f>
        <v>157765</v>
      </c>
      <c r="BL37" s="102">
        <f t="shared" si="17"/>
        <v>0</v>
      </c>
      <c r="BM37" s="102">
        <f t="shared" si="18"/>
        <v>0</v>
      </c>
      <c r="BN37" s="102">
        <f t="shared" si="19"/>
        <v>0</v>
      </c>
      <c r="BO37" s="102">
        <f t="shared" si="20"/>
        <v>0</v>
      </c>
      <c r="BP37" s="102">
        <f t="shared" si="21"/>
        <v>0</v>
      </c>
      <c r="BQ37" s="102">
        <f t="shared" si="22"/>
        <v>0</v>
      </c>
      <c r="BR37" s="102">
        <f t="shared" si="23"/>
        <v>0</v>
      </c>
      <c r="BS37" s="102">
        <f t="shared" si="24"/>
        <v>0</v>
      </c>
      <c r="BT37" s="102">
        <f t="shared" si="25"/>
        <v>0</v>
      </c>
      <c r="BU37" s="102">
        <f t="shared" si="26"/>
        <v>0</v>
      </c>
      <c r="BV37" s="102">
        <f t="shared" si="27"/>
        <v>0</v>
      </c>
      <c r="BW37" s="102">
        <f t="shared" si="28"/>
        <v>0</v>
      </c>
      <c r="BX37" s="102">
        <f t="shared" si="29"/>
        <v>0</v>
      </c>
      <c r="BY37" s="102">
        <f t="shared" si="30"/>
        <v>0</v>
      </c>
      <c r="BZ37" s="102">
        <f t="shared" si="31"/>
        <v>0</v>
      </c>
    </row>
    <row r="38" spans="1:78" x14ac:dyDescent="0.25">
      <c r="A38" s="26" t="s">
        <v>113</v>
      </c>
      <c r="B38" s="73">
        <v>0.23</v>
      </c>
      <c r="C38" t="s">
        <v>128</v>
      </c>
      <c r="S38" s="74">
        <f>VLOOKUP($A38,turnover!$A$184:$Q$192,+S$4-$S$4+3,0)</f>
        <v>0</v>
      </c>
      <c r="T38" s="74">
        <f>VLOOKUP($A38,turnover!$A$184:$Q$192,+T$4-$S$4+3,0)</f>
        <v>0</v>
      </c>
      <c r="U38" s="74">
        <f>VLOOKUP($A38,turnover!$A$184:$Q$192,+U$4-$S$4+3,0)</f>
        <v>0</v>
      </c>
      <c r="V38" s="74">
        <f>VLOOKUP($A38,turnover!$A$184:$Q$192,+V$4-$S$4+3,0)</f>
        <v>0</v>
      </c>
      <c r="W38" s="74">
        <f>VLOOKUP($A38,turnover!$A$184:$Q$192,+W$4-$S$4+3,0)</f>
        <v>0</v>
      </c>
      <c r="X38" s="74">
        <f>VLOOKUP($A38,turnover!$A$184:$Q$192,+X$4-$S$4+3,0)</f>
        <v>0</v>
      </c>
      <c r="Y38" s="74">
        <f>VLOOKUP($A38,turnover!$A$184:$Q$192,+Y$4-$S$4+3,0)</f>
        <v>0</v>
      </c>
      <c r="Z38" s="74">
        <f>VLOOKUP($A38,turnover!$A$184:$Q$192,+Z$4-$S$4+3,0)</f>
        <v>0</v>
      </c>
      <c r="AA38" s="74">
        <f>VLOOKUP($A38,turnover!$A$184:$Q$192,+AA$4-$S$4+3,0)</f>
        <v>0</v>
      </c>
      <c r="AB38" s="74">
        <f>VLOOKUP($A38,turnover!$A$184:$Q$192,+AB$4-$S$4+3,0)</f>
        <v>0</v>
      </c>
      <c r="AC38" s="74">
        <f>VLOOKUP($A38,turnover!$A$184:$Q$192,+AC$4-$S$4+3,0)</f>
        <v>0</v>
      </c>
      <c r="AD38" s="74">
        <f>VLOOKUP($A38,turnover!$A$184:$Q$192,+AD$4-$S$4+3,0)</f>
        <v>0</v>
      </c>
      <c r="AE38" s="74">
        <f>VLOOKUP($A38,turnover!$A$184:$Q$192,+AE$4-$S$4+3,0)</f>
        <v>0</v>
      </c>
      <c r="AF38" s="74">
        <f>VLOOKUP($A38,turnover!$A$184:$Q$192,+AF$4-$S$4+3,0)</f>
        <v>0</v>
      </c>
      <c r="AG38" s="74">
        <f>VLOOKUP($A38,turnover!$A$184:$Q$192,+AG$4-$S$4+3,0)</f>
        <v>0</v>
      </c>
      <c r="AH38" s="61">
        <f t="shared" ref="AH38:AH69" si="33">+D38*S38</f>
        <v>0</v>
      </c>
      <c r="AI38" s="61">
        <f t="shared" ref="AI38:AI69" si="34">+E38*T38</f>
        <v>0</v>
      </c>
      <c r="AJ38" s="61">
        <f t="shared" ref="AJ38:AJ69" si="35">+F38*U38</f>
        <v>0</v>
      </c>
      <c r="AK38" s="61">
        <f t="shared" ref="AK38:AK69" si="36">+G38*V38</f>
        <v>0</v>
      </c>
      <c r="AL38" s="61">
        <f t="shared" ref="AL38:AL69" si="37">+H38*W38</f>
        <v>0</v>
      </c>
      <c r="AM38" s="61">
        <f t="shared" ref="AM38:AM69" si="38">+I38*X38</f>
        <v>0</v>
      </c>
      <c r="AN38" s="61">
        <f t="shared" ref="AN38:AN69" si="39">+J38*Y38</f>
        <v>0</v>
      </c>
      <c r="AO38" s="61">
        <f t="shared" ref="AO38:AO69" si="40">+K38*Z38</f>
        <v>0</v>
      </c>
      <c r="AP38" s="61">
        <f t="shared" ref="AP38:AP69" si="41">+L38*AA38</f>
        <v>0</v>
      </c>
      <c r="AQ38" s="61">
        <f t="shared" ref="AQ38:AQ69" si="42">+M38*AB38</f>
        <v>0</v>
      </c>
      <c r="AR38" s="61">
        <f t="shared" ref="AR38:AR69" si="43">+N38*AC38</f>
        <v>0</v>
      </c>
      <c r="AS38" s="61">
        <f t="shared" ref="AS38:AS69" si="44">+O38*AD38</f>
        <v>0</v>
      </c>
      <c r="AT38" s="61">
        <f t="shared" ref="AT38:AT69" si="45">+P38*AE38</f>
        <v>0</v>
      </c>
      <c r="AU38" s="61">
        <f t="shared" ref="AU38:AU69" si="46">+Q38*AF38</f>
        <v>0</v>
      </c>
      <c r="AV38" s="61">
        <f t="shared" ref="AV38:AV69" si="47">+R38*AG38</f>
        <v>0</v>
      </c>
      <c r="AW38" s="101">
        <f>VLOOKUP($C38,'Cost RMs'!$B$5:$Q$22,+AW$4-$AW$4+2,0)</f>
        <v>0</v>
      </c>
      <c r="AX38" s="101">
        <f>VLOOKUP($C38,'Cost RMs'!$B$5:$Q$22,+AX$4-$AW$4+2,0)</f>
        <v>0</v>
      </c>
      <c r="AY38" s="101">
        <f>VLOOKUP($C38,'Cost RMs'!$B$5:$Q$22,+AY$4-$AW$4+2,0)</f>
        <v>0</v>
      </c>
      <c r="AZ38" s="101">
        <f>VLOOKUP($C38,'Cost RMs'!$B$5:$Q$22,+AZ$4-$AW$4+2,0)</f>
        <v>0</v>
      </c>
      <c r="BA38" s="101">
        <f>VLOOKUP($C38,'Cost RMs'!$B$5:$Q$22,+BA$4-$AW$4+2,0)</f>
        <v>0</v>
      </c>
      <c r="BB38" s="101">
        <f>VLOOKUP($C38,'Cost RMs'!$B$5:$Q$22,+BB$4-$AW$4+2,0)</f>
        <v>0</v>
      </c>
      <c r="BC38" s="101">
        <f>VLOOKUP($C38,'Cost RMs'!$B$5:$Q$22,+BC$4-$AW$4+2,0)</f>
        <v>0</v>
      </c>
      <c r="BD38" s="101">
        <f>VLOOKUP($C38,'Cost RMs'!$B$5:$Q$22,+BD$4-$AW$4+2,0)</f>
        <v>0</v>
      </c>
      <c r="BE38" s="101">
        <f>VLOOKUP($C38,'Cost RMs'!$B$5:$Q$22,+BE$4-$AW$4+2,0)</f>
        <v>0</v>
      </c>
      <c r="BF38" s="101">
        <f>VLOOKUP($C38,'Cost RMs'!$B$5:$Q$22,+BF$4-$AW$4+2,0)</f>
        <v>0</v>
      </c>
      <c r="BG38" s="101">
        <f>VLOOKUP($C38,'Cost RMs'!$B$5:$Q$22,+BG$4-$AW$4+2,0)</f>
        <v>0</v>
      </c>
      <c r="BH38" s="101">
        <f>VLOOKUP($C38,'Cost RMs'!$B$5:$Q$22,+BH$4-$AW$4+2,0)</f>
        <v>0</v>
      </c>
      <c r="BI38" s="101">
        <f>VLOOKUP($C38,'Cost RMs'!$B$5:$Q$22,+BI$4-$AW$4+2,0)</f>
        <v>0</v>
      </c>
      <c r="BJ38" s="101">
        <f>VLOOKUP($C38,'Cost RMs'!$B$5:$Q$22,+BJ$4-$AW$4+2,0)</f>
        <v>0</v>
      </c>
      <c r="BK38" s="101">
        <f>VLOOKUP($C38,'Cost RMs'!$B$5:$Q$22,+BK$4-$AW$4+2,0)</f>
        <v>0</v>
      </c>
      <c r="BL38" s="102">
        <f t="shared" ref="BL38:BL69" si="48">+AH38*AW38</f>
        <v>0</v>
      </c>
      <c r="BM38" s="102">
        <f t="shared" ref="BM38:BM69" si="49">+AI38*AX38</f>
        <v>0</v>
      </c>
      <c r="BN38" s="102">
        <f t="shared" ref="BN38:BN69" si="50">+AJ38*AY38</f>
        <v>0</v>
      </c>
      <c r="BO38" s="102">
        <f t="shared" ref="BO38:BO69" si="51">+AK38*AZ38</f>
        <v>0</v>
      </c>
      <c r="BP38" s="102">
        <f t="shared" ref="BP38:BP69" si="52">+AL38*BA38</f>
        <v>0</v>
      </c>
      <c r="BQ38" s="102">
        <f t="shared" ref="BQ38:BQ69" si="53">+AM38*BB38</f>
        <v>0</v>
      </c>
      <c r="BR38" s="102">
        <f t="shared" ref="BR38:BR69" si="54">+AN38*BC38</f>
        <v>0</v>
      </c>
      <c r="BS38" s="102">
        <f t="shared" ref="BS38:BS69" si="55">+AO38*BD38</f>
        <v>0</v>
      </c>
      <c r="BT38" s="102">
        <f t="shared" ref="BT38:BT69" si="56">+AP38*BE38</f>
        <v>0</v>
      </c>
      <c r="BU38" s="102">
        <f t="shared" ref="BU38:BU69" si="57">+AQ38*BF38</f>
        <v>0</v>
      </c>
      <c r="BV38" s="102">
        <f t="shared" ref="BV38:BV69" si="58">+AR38*BG38</f>
        <v>0</v>
      </c>
      <c r="BW38" s="102">
        <f t="shared" ref="BW38:BW69" si="59">+AS38*BH38</f>
        <v>0</v>
      </c>
      <c r="BX38" s="102">
        <f t="shared" ref="BX38:BX69" si="60">+AT38*BI38</f>
        <v>0</v>
      </c>
      <c r="BY38" s="102">
        <f t="shared" ref="BY38:BY69" si="61">+AU38*BJ38</f>
        <v>0</v>
      </c>
      <c r="BZ38" s="102">
        <f t="shared" ref="BZ38:BZ69" si="62">+AV38*BK38</f>
        <v>0</v>
      </c>
    </row>
    <row r="39" spans="1:78" x14ac:dyDescent="0.25">
      <c r="A39" s="26" t="s">
        <v>113</v>
      </c>
      <c r="B39" s="73">
        <v>0.23</v>
      </c>
      <c r="C39" t="s">
        <v>129</v>
      </c>
      <c r="S39" s="74">
        <f>VLOOKUP($A39,turnover!$A$184:$Q$192,+S$4-$S$4+3,0)</f>
        <v>0</v>
      </c>
      <c r="T39" s="74">
        <f>VLOOKUP($A39,turnover!$A$184:$Q$192,+T$4-$S$4+3,0)</f>
        <v>0</v>
      </c>
      <c r="U39" s="74">
        <f>VLOOKUP($A39,turnover!$A$184:$Q$192,+U$4-$S$4+3,0)</f>
        <v>0</v>
      </c>
      <c r="V39" s="74">
        <f>VLOOKUP($A39,turnover!$A$184:$Q$192,+V$4-$S$4+3,0)</f>
        <v>0</v>
      </c>
      <c r="W39" s="74">
        <f>VLOOKUP($A39,turnover!$A$184:$Q$192,+W$4-$S$4+3,0)</f>
        <v>0</v>
      </c>
      <c r="X39" s="74">
        <f>VLOOKUP($A39,turnover!$A$184:$Q$192,+X$4-$S$4+3,0)</f>
        <v>0</v>
      </c>
      <c r="Y39" s="74">
        <f>VLOOKUP($A39,turnover!$A$184:$Q$192,+Y$4-$S$4+3,0)</f>
        <v>0</v>
      </c>
      <c r="Z39" s="74">
        <f>VLOOKUP($A39,turnover!$A$184:$Q$192,+Z$4-$S$4+3,0)</f>
        <v>0</v>
      </c>
      <c r="AA39" s="74">
        <f>VLOOKUP($A39,turnover!$A$184:$Q$192,+AA$4-$S$4+3,0)</f>
        <v>0</v>
      </c>
      <c r="AB39" s="74">
        <f>VLOOKUP($A39,turnover!$A$184:$Q$192,+AB$4-$S$4+3,0)</f>
        <v>0</v>
      </c>
      <c r="AC39" s="74">
        <f>VLOOKUP($A39,turnover!$A$184:$Q$192,+AC$4-$S$4+3,0)</f>
        <v>0</v>
      </c>
      <c r="AD39" s="74">
        <f>VLOOKUP($A39,turnover!$A$184:$Q$192,+AD$4-$S$4+3,0)</f>
        <v>0</v>
      </c>
      <c r="AE39" s="74">
        <f>VLOOKUP($A39,turnover!$A$184:$Q$192,+AE$4-$S$4+3,0)</f>
        <v>0</v>
      </c>
      <c r="AF39" s="74">
        <f>VLOOKUP($A39,turnover!$A$184:$Q$192,+AF$4-$S$4+3,0)</f>
        <v>0</v>
      </c>
      <c r="AG39" s="74">
        <f>VLOOKUP($A39,turnover!$A$184:$Q$192,+AG$4-$S$4+3,0)</f>
        <v>0</v>
      </c>
      <c r="AH39" s="61">
        <f t="shared" si="33"/>
        <v>0</v>
      </c>
      <c r="AI39" s="61">
        <f t="shared" si="34"/>
        <v>0</v>
      </c>
      <c r="AJ39" s="61">
        <f t="shared" si="35"/>
        <v>0</v>
      </c>
      <c r="AK39" s="61">
        <f t="shared" si="36"/>
        <v>0</v>
      </c>
      <c r="AL39" s="61">
        <f t="shared" si="37"/>
        <v>0</v>
      </c>
      <c r="AM39" s="61">
        <f t="shared" si="38"/>
        <v>0</v>
      </c>
      <c r="AN39" s="61">
        <f t="shared" si="39"/>
        <v>0</v>
      </c>
      <c r="AO39" s="61">
        <f t="shared" si="40"/>
        <v>0</v>
      </c>
      <c r="AP39" s="61">
        <f t="shared" si="41"/>
        <v>0</v>
      </c>
      <c r="AQ39" s="61">
        <f t="shared" si="42"/>
        <v>0</v>
      </c>
      <c r="AR39" s="61">
        <f t="shared" si="43"/>
        <v>0</v>
      </c>
      <c r="AS39" s="61">
        <f t="shared" si="44"/>
        <v>0</v>
      </c>
      <c r="AT39" s="61">
        <f t="shared" si="45"/>
        <v>0</v>
      </c>
      <c r="AU39" s="61">
        <f t="shared" si="46"/>
        <v>0</v>
      </c>
      <c r="AV39" s="61">
        <f t="shared" si="47"/>
        <v>0</v>
      </c>
      <c r="AW39" s="101">
        <f>VLOOKUP($C39,'Cost RMs'!$B$5:$Q$22,+AW$4-$AW$4+2,0)</f>
        <v>40086</v>
      </c>
      <c r="AX39" s="101">
        <f>VLOOKUP($C39,'Cost RMs'!$B$5:$Q$22,+AX$4-$AW$4+2,0)</f>
        <v>56197</v>
      </c>
      <c r="AY39" s="101">
        <f>VLOOKUP($C39,'Cost RMs'!$B$5:$Q$22,+AY$4-$AW$4+2,0)</f>
        <v>64582</v>
      </c>
      <c r="AZ39" s="101">
        <f>VLOOKUP($C39,'Cost RMs'!$B$5:$Q$22,+AZ$4-$AW$4+2,0)</f>
        <v>76567</v>
      </c>
      <c r="BA39" s="101">
        <f ca="1">VLOOKUP($C39,'Cost RMs'!$B$5:$Q$22,+BA$4-$AW$4+2,0)</f>
        <v>86638</v>
      </c>
      <c r="BB39" s="101">
        <f ca="1">VLOOKUP($C39,'Cost RMs'!$B$5:$Q$22,+BB$4-$AW$4+2,0)</f>
        <v>97026</v>
      </c>
      <c r="BC39" s="101">
        <f ca="1">VLOOKUP($C39,'Cost RMs'!$B$5:$Q$22,+BC$4-$AW$4+2,0)</f>
        <v>108766</v>
      </c>
      <c r="BD39" s="101">
        <f ca="1">VLOOKUP($C39,'Cost RMs'!$B$5:$Q$22,+BD$4-$AW$4+2,0)</f>
        <v>121927</v>
      </c>
      <c r="BE39" s="101">
        <f ca="1">VLOOKUP($C39,'Cost RMs'!$B$5:$Q$22,+BE$4-$AW$4+2,0)</f>
        <v>136680</v>
      </c>
      <c r="BF39" s="101">
        <f ca="1">VLOOKUP($C39,'Cost RMs'!$B$5:$Q$22,+BF$4-$AW$4+2,0)</f>
        <v>153218</v>
      </c>
      <c r="BG39" s="101">
        <f ca="1">VLOOKUP($C39,'Cost RMs'!$B$5:$Q$22,+BG$4-$AW$4+2,0)</f>
        <v>171757</v>
      </c>
      <c r="BH39" s="101">
        <f ca="1">VLOOKUP($C39,'Cost RMs'!$B$5:$Q$22,+BH$4-$AW$4+2,0)</f>
        <v>192540</v>
      </c>
      <c r="BI39" s="101">
        <f ca="1">VLOOKUP($C39,'Cost RMs'!$B$5:$Q$22,+BI$4-$AW$4+2,0)</f>
        <v>215837</v>
      </c>
      <c r="BJ39" s="101">
        <f ca="1">VLOOKUP($C39,'Cost RMs'!$B$5:$Q$22,+BJ$4-$AW$4+2,0)</f>
        <v>241953</v>
      </c>
      <c r="BK39" s="101">
        <f ca="1">VLOOKUP($C39,'Cost RMs'!$B$5:$Q$22,+BK$4-$AW$4+2,0)</f>
        <v>271229</v>
      </c>
      <c r="BL39" s="102">
        <f t="shared" si="48"/>
        <v>0</v>
      </c>
      <c r="BM39" s="102">
        <f t="shared" si="49"/>
        <v>0</v>
      </c>
      <c r="BN39" s="102">
        <f t="shared" si="50"/>
        <v>0</v>
      </c>
      <c r="BO39" s="102">
        <f t="shared" si="51"/>
        <v>0</v>
      </c>
      <c r="BP39" s="102">
        <f t="shared" ca="1" si="52"/>
        <v>0</v>
      </c>
      <c r="BQ39" s="102">
        <f t="shared" ca="1" si="53"/>
        <v>0</v>
      </c>
      <c r="BR39" s="102">
        <f t="shared" ca="1" si="54"/>
        <v>0</v>
      </c>
      <c r="BS39" s="102">
        <f t="shared" ca="1" si="55"/>
        <v>0</v>
      </c>
      <c r="BT39" s="102">
        <f t="shared" ca="1" si="56"/>
        <v>0</v>
      </c>
      <c r="BU39" s="102">
        <f t="shared" ca="1" si="57"/>
        <v>0</v>
      </c>
      <c r="BV39" s="102">
        <f t="shared" ca="1" si="58"/>
        <v>0</v>
      </c>
      <c r="BW39" s="102">
        <f t="shared" ca="1" si="59"/>
        <v>0</v>
      </c>
      <c r="BX39" s="102">
        <f t="shared" ca="1" si="60"/>
        <v>0</v>
      </c>
      <c r="BY39" s="102">
        <f t="shared" ca="1" si="61"/>
        <v>0</v>
      </c>
      <c r="BZ39" s="102">
        <f t="shared" ca="1" si="62"/>
        <v>0</v>
      </c>
    </row>
    <row r="40" spans="1:78" x14ac:dyDescent="0.25">
      <c r="A40" s="26" t="s">
        <v>113</v>
      </c>
      <c r="B40" s="73">
        <v>0.23</v>
      </c>
      <c r="C40" t="s">
        <v>130</v>
      </c>
      <c r="S40" s="74">
        <f>VLOOKUP($A40,turnover!$A$184:$Q$192,+S$4-$S$4+3,0)</f>
        <v>0</v>
      </c>
      <c r="T40" s="74">
        <f>VLOOKUP($A40,turnover!$A$184:$Q$192,+T$4-$S$4+3,0)</f>
        <v>0</v>
      </c>
      <c r="U40" s="74">
        <f>VLOOKUP($A40,turnover!$A$184:$Q$192,+U$4-$S$4+3,0)</f>
        <v>0</v>
      </c>
      <c r="V40" s="74">
        <f>VLOOKUP($A40,turnover!$A$184:$Q$192,+V$4-$S$4+3,0)</f>
        <v>0</v>
      </c>
      <c r="W40" s="74">
        <f>VLOOKUP($A40,turnover!$A$184:$Q$192,+W$4-$S$4+3,0)</f>
        <v>0</v>
      </c>
      <c r="X40" s="74">
        <f>VLOOKUP($A40,turnover!$A$184:$Q$192,+X$4-$S$4+3,0)</f>
        <v>0</v>
      </c>
      <c r="Y40" s="74">
        <f>VLOOKUP($A40,turnover!$A$184:$Q$192,+Y$4-$S$4+3,0)</f>
        <v>0</v>
      </c>
      <c r="Z40" s="74">
        <f>VLOOKUP($A40,turnover!$A$184:$Q$192,+Z$4-$S$4+3,0)</f>
        <v>0</v>
      </c>
      <c r="AA40" s="74">
        <f>VLOOKUP($A40,turnover!$A$184:$Q$192,+AA$4-$S$4+3,0)</f>
        <v>0</v>
      </c>
      <c r="AB40" s="74">
        <f>VLOOKUP($A40,turnover!$A$184:$Q$192,+AB$4-$S$4+3,0)</f>
        <v>0</v>
      </c>
      <c r="AC40" s="74">
        <f>VLOOKUP($A40,turnover!$A$184:$Q$192,+AC$4-$S$4+3,0)</f>
        <v>0</v>
      </c>
      <c r="AD40" s="74">
        <f>VLOOKUP($A40,turnover!$A$184:$Q$192,+AD$4-$S$4+3,0)</f>
        <v>0</v>
      </c>
      <c r="AE40" s="74">
        <f>VLOOKUP($A40,turnover!$A$184:$Q$192,+AE$4-$S$4+3,0)</f>
        <v>0</v>
      </c>
      <c r="AF40" s="74">
        <f>VLOOKUP($A40,turnover!$A$184:$Q$192,+AF$4-$S$4+3,0)</f>
        <v>0</v>
      </c>
      <c r="AG40" s="74">
        <f>VLOOKUP($A40,turnover!$A$184:$Q$192,+AG$4-$S$4+3,0)</f>
        <v>0</v>
      </c>
      <c r="AH40" s="61">
        <f t="shared" si="33"/>
        <v>0</v>
      </c>
      <c r="AI40" s="61">
        <f t="shared" si="34"/>
        <v>0</v>
      </c>
      <c r="AJ40" s="61">
        <f t="shared" si="35"/>
        <v>0</v>
      </c>
      <c r="AK40" s="61">
        <f t="shared" si="36"/>
        <v>0</v>
      </c>
      <c r="AL40" s="61">
        <f t="shared" si="37"/>
        <v>0</v>
      </c>
      <c r="AM40" s="61">
        <f t="shared" si="38"/>
        <v>0</v>
      </c>
      <c r="AN40" s="61">
        <f t="shared" si="39"/>
        <v>0</v>
      </c>
      <c r="AO40" s="61">
        <f t="shared" si="40"/>
        <v>0</v>
      </c>
      <c r="AP40" s="61">
        <f t="shared" si="41"/>
        <v>0</v>
      </c>
      <c r="AQ40" s="61">
        <f t="shared" si="42"/>
        <v>0</v>
      </c>
      <c r="AR40" s="61">
        <f t="shared" si="43"/>
        <v>0</v>
      </c>
      <c r="AS40" s="61">
        <f t="shared" si="44"/>
        <v>0</v>
      </c>
      <c r="AT40" s="61">
        <f t="shared" si="45"/>
        <v>0</v>
      </c>
      <c r="AU40" s="61">
        <f t="shared" si="46"/>
        <v>0</v>
      </c>
      <c r="AV40" s="61">
        <f t="shared" si="47"/>
        <v>0</v>
      </c>
      <c r="AW40" s="101">
        <f>VLOOKUP($C40,'Cost RMs'!$B$5:$Q$22,+AW$4-$AW$4+2,0)</f>
        <v>42500</v>
      </c>
      <c r="AX40" s="101">
        <f>VLOOKUP($C40,'Cost RMs'!$B$5:$Q$22,+AX$4-$AW$4+2,0)</f>
        <v>63692</v>
      </c>
      <c r="AY40" s="101">
        <f>VLOOKUP($C40,'Cost RMs'!$B$5:$Q$22,+AY$4-$AW$4+2,0)</f>
        <v>71301</v>
      </c>
      <c r="AZ40" s="101">
        <f>VLOOKUP($C40,'Cost RMs'!$B$5:$Q$22,+AZ$4-$AW$4+2,0)</f>
        <v>82665</v>
      </c>
      <c r="BA40" s="101">
        <f ca="1">VLOOKUP($C40,'Cost RMs'!$B$5:$Q$22,+BA$4-$AW$4+2,0)</f>
        <v>96790</v>
      </c>
      <c r="BB40" s="101">
        <f ca="1">VLOOKUP($C40,'Cost RMs'!$B$5:$Q$22,+BB$4-$AW$4+2,0)</f>
        <v>108395</v>
      </c>
      <c r="BC40" s="101">
        <f ca="1">VLOOKUP($C40,'Cost RMs'!$B$5:$Q$22,+BC$4-$AW$4+2,0)</f>
        <v>121511</v>
      </c>
      <c r="BD40" s="101">
        <f ca="1">VLOOKUP($C40,'Cost RMs'!$B$5:$Q$22,+BD$4-$AW$4+2,0)</f>
        <v>136214</v>
      </c>
      <c r="BE40" s="101">
        <f ca="1">VLOOKUP($C40,'Cost RMs'!$B$5:$Q$22,+BE$4-$AW$4+2,0)</f>
        <v>152696</v>
      </c>
      <c r="BF40" s="101">
        <f ca="1">VLOOKUP($C40,'Cost RMs'!$B$5:$Q$22,+BF$4-$AW$4+2,0)</f>
        <v>171172</v>
      </c>
      <c r="BG40" s="101">
        <f ca="1">VLOOKUP($C40,'Cost RMs'!$B$5:$Q$22,+BG$4-$AW$4+2,0)</f>
        <v>191884</v>
      </c>
      <c r="BH40" s="101">
        <f ca="1">VLOOKUP($C40,'Cost RMs'!$B$5:$Q$22,+BH$4-$AW$4+2,0)</f>
        <v>215102</v>
      </c>
      <c r="BI40" s="101">
        <f ca="1">VLOOKUP($C40,'Cost RMs'!$B$5:$Q$22,+BI$4-$AW$4+2,0)</f>
        <v>241129</v>
      </c>
      <c r="BJ40" s="101">
        <f ca="1">VLOOKUP($C40,'Cost RMs'!$B$5:$Q$22,+BJ$4-$AW$4+2,0)</f>
        <v>270306</v>
      </c>
      <c r="BK40" s="101">
        <f ca="1">VLOOKUP($C40,'Cost RMs'!$B$5:$Q$22,+BK$4-$AW$4+2,0)</f>
        <v>303013</v>
      </c>
      <c r="BL40" s="102">
        <f t="shared" si="48"/>
        <v>0</v>
      </c>
      <c r="BM40" s="102">
        <f t="shared" si="49"/>
        <v>0</v>
      </c>
      <c r="BN40" s="102">
        <f t="shared" si="50"/>
        <v>0</v>
      </c>
      <c r="BO40" s="102">
        <f t="shared" si="51"/>
        <v>0</v>
      </c>
      <c r="BP40" s="102">
        <f t="shared" ca="1" si="52"/>
        <v>0</v>
      </c>
      <c r="BQ40" s="102">
        <f t="shared" ca="1" si="53"/>
        <v>0</v>
      </c>
      <c r="BR40" s="102">
        <f t="shared" ca="1" si="54"/>
        <v>0</v>
      </c>
      <c r="BS40" s="102">
        <f t="shared" ca="1" si="55"/>
        <v>0</v>
      </c>
      <c r="BT40" s="102">
        <f t="shared" ca="1" si="56"/>
        <v>0</v>
      </c>
      <c r="BU40" s="102">
        <f t="shared" ca="1" si="57"/>
        <v>0</v>
      </c>
      <c r="BV40" s="102">
        <f t="shared" ca="1" si="58"/>
        <v>0</v>
      </c>
      <c r="BW40" s="102">
        <f t="shared" ca="1" si="59"/>
        <v>0</v>
      </c>
      <c r="BX40" s="102">
        <f t="shared" ca="1" si="60"/>
        <v>0</v>
      </c>
      <c r="BY40" s="102">
        <f t="shared" ca="1" si="61"/>
        <v>0</v>
      </c>
      <c r="BZ40" s="102">
        <f t="shared" ca="1" si="62"/>
        <v>0</v>
      </c>
    </row>
    <row r="41" spans="1:78" x14ac:dyDescent="0.25">
      <c r="A41" s="26" t="s">
        <v>113</v>
      </c>
      <c r="B41" s="73">
        <v>0.23</v>
      </c>
      <c r="C41" s="59" t="s">
        <v>146</v>
      </c>
      <c r="S41" s="74">
        <f>VLOOKUP($A41,turnover!$A$184:$Q$192,+S$4-$S$4+3,0)</f>
        <v>0</v>
      </c>
      <c r="T41" s="74">
        <f>VLOOKUP($A41,turnover!$A$184:$Q$192,+T$4-$S$4+3,0)</f>
        <v>0</v>
      </c>
      <c r="U41" s="74">
        <f>VLOOKUP($A41,turnover!$A$184:$Q$192,+U$4-$S$4+3,0)</f>
        <v>0</v>
      </c>
      <c r="V41" s="74">
        <f>VLOOKUP($A41,turnover!$A$184:$Q$192,+V$4-$S$4+3,0)</f>
        <v>0</v>
      </c>
      <c r="W41" s="74">
        <f>VLOOKUP($A41,turnover!$A$184:$Q$192,+W$4-$S$4+3,0)</f>
        <v>0</v>
      </c>
      <c r="X41" s="74">
        <f>VLOOKUP($A41,turnover!$A$184:$Q$192,+X$4-$S$4+3,0)</f>
        <v>0</v>
      </c>
      <c r="Y41" s="74">
        <f>VLOOKUP($A41,turnover!$A$184:$Q$192,+Y$4-$S$4+3,0)</f>
        <v>0</v>
      </c>
      <c r="Z41" s="74">
        <f>VLOOKUP($A41,turnover!$A$184:$Q$192,+Z$4-$S$4+3,0)</f>
        <v>0</v>
      </c>
      <c r="AA41" s="74">
        <f>VLOOKUP($A41,turnover!$A$184:$Q$192,+AA$4-$S$4+3,0)</f>
        <v>0</v>
      </c>
      <c r="AB41" s="74">
        <f>VLOOKUP($A41,turnover!$A$184:$Q$192,+AB$4-$S$4+3,0)</f>
        <v>0</v>
      </c>
      <c r="AC41" s="74">
        <f>VLOOKUP($A41,turnover!$A$184:$Q$192,+AC$4-$S$4+3,0)</f>
        <v>0</v>
      </c>
      <c r="AD41" s="74">
        <f>VLOOKUP($A41,turnover!$A$184:$Q$192,+AD$4-$S$4+3,0)</f>
        <v>0</v>
      </c>
      <c r="AE41" s="74">
        <f>VLOOKUP($A41,turnover!$A$184:$Q$192,+AE$4-$S$4+3,0)</f>
        <v>0</v>
      </c>
      <c r="AF41" s="74">
        <f>VLOOKUP($A41,turnover!$A$184:$Q$192,+AF$4-$S$4+3,0)</f>
        <v>0</v>
      </c>
      <c r="AG41" s="74">
        <f>VLOOKUP($A41,turnover!$A$184:$Q$192,+AG$4-$S$4+3,0)</f>
        <v>0</v>
      </c>
      <c r="AH41" s="61">
        <f t="shared" si="33"/>
        <v>0</v>
      </c>
      <c r="AI41" s="61">
        <f t="shared" si="34"/>
        <v>0</v>
      </c>
      <c r="AJ41" s="61">
        <f t="shared" si="35"/>
        <v>0</v>
      </c>
      <c r="AK41" s="61">
        <f t="shared" si="36"/>
        <v>0</v>
      </c>
      <c r="AL41" s="61">
        <f t="shared" si="37"/>
        <v>0</v>
      </c>
      <c r="AM41" s="61">
        <f t="shared" si="38"/>
        <v>0</v>
      </c>
      <c r="AN41" s="61">
        <f t="shared" si="39"/>
        <v>0</v>
      </c>
      <c r="AO41" s="61">
        <f t="shared" si="40"/>
        <v>0</v>
      </c>
      <c r="AP41" s="61">
        <f t="shared" si="41"/>
        <v>0</v>
      </c>
      <c r="AQ41" s="61">
        <f t="shared" si="42"/>
        <v>0</v>
      </c>
      <c r="AR41" s="61">
        <f t="shared" si="43"/>
        <v>0</v>
      </c>
      <c r="AS41" s="61">
        <f t="shared" si="44"/>
        <v>0</v>
      </c>
      <c r="AT41" s="61">
        <f t="shared" si="45"/>
        <v>0</v>
      </c>
      <c r="AU41" s="61">
        <f t="shared" si="46"/>
        <v>0</v>
      </c>
      <c r="AV41" s="61">
        <f t="shared" si="47"/>
        <v>0</v>
      </c>
      <c r="AW41" s="101">
        <f>VLOOKUP($C41,'Cost RMs'!$B$5:$Q$22,+AW$4-$AW$4+2,0)</f>
        <v>7020</v>
      </c>
      <c r="AX41" s="101">
        <f>VLOOKUP($C41,'Cost RMs'!$B$5:$Q$22,+AX$4-$AW$4+2,0)</f>
        <v>8883</v>
      </c>
      <c r="AY41" s="101">
        <f>VLOOKUP($C41,'Cost RMs'!$B$5:$Q$22,+AY$4-$AW$4+2,0)</f>
        <v>11764</v>
      </c>
      <c r="AZ41" s="101">
        <f>VLOOKUP($C41,'Cost RMs'!$B$5:$Q$22,+AZ$4-$AW$4+2,0)</f>
        <v>15733</v>
      </c>
      <c r="BA41" s="101">
        <f ca="1">VLOOKUP($C41,'Cost RMs'!$B$5:$Q$22,+BA$4-$AW$4+2,0)</f>
        <v>19200</v>
      </c>
      <c r="BB41" s="101">
        <f ca="1">VLOOKUP($C41,'Cost RMs'!$B$5:$Q$22,+BB$4-$AW$4+2,0)</f>
        <v>21502</v>
      </c>
      <c r="BC41" s="101">
        <f ca="1">VLOOKUP($C41,'Cost RMs'!$B$5:$Q$22,+BC$4-$AW$4+2,0)</f>
        <v>24104</v>
      </c>
      <c r="BD41" s="101">
        <f ca="1">VLOOKUP($C41,'Cost RMs'!$B$5:$Q$22,+BD$4-$AW$4+2,0)</f>
        <v>27021</v>
      </c>
      <c r="BE41" s="101">
        <f ca="1">VLOOKUP($C41,'Cost RMs'!$B$5:$Q$22,+BE$4-$AW$4+2,0)</f>
        <v>30291</v>
      </c>
      <c r="BF41" s="101">
        <f ca="1">VLOOKUP($C41,'Cost RMs'!$B$5:$Q$22,+BF$4-$AW$4+2,0)</f>
        <v>33956</v>
      </c>
      <c r="BG41" s="101">
        <f ca="1">VLOOKUP($C41,'Cost RMs'!$B$5:$Q$22,+BG$4-$AW$4+2,0)</f>
        <v>38065</v>
      </c>
      <c r="BH41" s="101">
        <f ca="1">VLOOKUP($C41,'Cost RMs'!$B$5:$Q$22,+BH$4-$AW$4+2,0)</f>
        <v>42671</v>
      </c>
      <c r="BI41" s="101">
        <f ca="1">VLOOKUP($C41,'Cost RMs'!$B$5:$Q$22,+BI$4-$AW$4+2,0)</f>
        <v>47834</v>
      </c>
      <c r="BJ41" s="101">
        <f ca="1">VLOOKUP($C41,'Cost RMs'!$B$5:$Q$22,+BJ$4-$AW$4+2,0)</f>
        <v>53622</v>
      </c>
      <c r="BK41" s="101">
        <f ca="1">VLOOKUP($C41,'Cost RMs'!$B$5:$Q$22,+BK$4-$AW$4+2,0)</f>
        <v>60110</v>
      </c>
      <c r="BL41" s="102">
        <f t="shared" si="48"/>
        <v>0</v>
      </c>
      <c r="BM41" s="102">
        <f t="shared" si="49"/>
        <v>0</v>
      </c>
      <c r="BN41" s="102">
        <f t="shared" si="50"/>
        <v>0</v>
      </c>
      <c r="BO41" s="102">
        <f t="shared" si="51"/>
        <v>0</v>
      </c>
      <c r="BP41" s="102">
        <f t="shared" ca="1" si="52"/>
        <v>0</v>
      </c>
      <c r="BQ41" s="102">
        <f t="shared" ca="1" si="53"/>
        <v>0</v>
      </c>
      <c r="BR41" s="102">
        <f t="shared" ca="1" si="54"/>
        <v>0</v>
      </c>
      <c r="BS41" s="102">
        <f t="shared" ca="1" si="55"/>
        <v>0</v>
      </c>
      <c r="BT41" s="102">
        <f t="shared" ca="1" si="56"/>
        <v>0</v>
      </c>
      <c r="BU41" s="102">
        <f t="shared" ca="1" si="57"/>
        <v>0</v>
      </c>
      <c r="BV41" s="102">
        <f t="shared" ca="1" si="58"/>
        <v>0</v>
      </c>
      <c r="BW41" s="102">
        <f t="shared" ca="1" si="59"/>
        <v>0</v>
      </c>
      <c r="BX41" s="102">
        <f t="shared" ca="1" si="60"/>
        <v>0</v>
      </c>
      <c r="BY41" s="102">
        <f t="shared" ca="1" si="61"/>
        <v>0</v>
      </c>
      <c r="BZ41" s="102">
        <f t="shared" ca="1" si="62"/>
        <v>0</v>
      </c>
    </row>
    <row r="42" spans="1:78" x14ac:dyDescent="0.25">
      <c r="A42" s="26" t="s">
        <v>113</v>
      </c>
      <c r="B42" s="73">
        <v>0.23</v>
      </c>
      <c r="C42" s="59" t="s">
        <v>147</v>
      </c>
      <c r="S42" s="74">
        <f>VLOOKUP($A42,turnover!$A$184:$Q$192,+S$4-$S$4+3,0)</f>
        <v>0</v>
      </c>
      <c r="T42" s="74">
        <f>VLOOKUP($A42,turnover!$A$184:$Q$192,+T$4-$S$4+3,0)</f>
        <v>0</v>
      </c>
      <c r="U42" s="74">
        <f>VLOOKUP($A42,turnover!$A$184:$Q$192,+U$4-$S$4+3,0)</f>
        <v>0</v>
      </c>
      <c r="V42" s="74">
        <f>VLOOKUP($A42,turnover!$A$184:$Q$192,+V$4-$S$4+3,0)</f>
        <v>0</v>
      </c>
      <c r="W42" s="74">
        <f>VLOOKUP($A42,turnover!$A$184:$Q$192,+W$4-$S$4+3,0)</f>
        <v>0</v>
      </c>
      <c r="X42" s="74">
        <f>VLOOKUP($A42,turnover!$A$184:$Q$192,+X$4-$S$4+3,0)</f>
        <v>0</v>
      </c>
      <c r="Y42" s="74">
        <f>VLOOKUP($A42,turnover!$A$184:$Q$192,+Y$4-$S$4+3,0)</f>
        <v>0</v>
      </c>
      <c r="Z42" s="74">
        <f>VLOOKUP($A42,turnover!$A$184:$Q$192,+Z$4-$S$4+3,0)</f>
        <v>0</v>
      </c>
      <c r="AA42" s="74">
        <f>VLOOKUP($A42,turnover!$A$184:$Q$192,+AA$4-$S$4+3,0)</f>
        <v>0</v>
      </c>
      <c r="AB42" s="74">
        <f>VLOOKUP($A42,turnover!$A$184:$Q$192,+AB$4-$S$4+3,0)</f>
        <v>0</v>
      </c>
      <c r="AC42" s="74">
        <f>VLOOKUP($A42,turnover!$A$184:$Q$192,+AC$4-$S$4+3,0)</f>
        <v>0</v>
      </c>
      <c r="AD42" s="74">
        <f>VLOOKUP($A42,turnover!$A$184:$Q$192,+AD$4-$S$4+3,0)</f>
        <v>0</v>
      </c>
      <c r="AE42" s="74">
        <f>VLOOKUP($A42,turnover!$A$184:$Q$192,+AE$4-$S$4+3,0)</f>
        <v>0</v>
      </c>
      <c r="AF42" s="74">
        <f>VLOOKUP($A42,turnover!$A$184:$Q$192,+AF$4-$S$4+3,0)</f>
        <v>0</v>
      </c>
      <c r="AG42" s="74">
        <f>VLOOKUP($A42,turnover!$A$184:$Q$192,+AG$4-$S$4+3,0)</f>
        <v>0</v>
      </c>
      <c r="AH42" s="61">
        <f t="shared" si="33"/>
        <v>0</v>
      </c>
      <c r="AI42" s="61">
        <f t="shared" si="34"/>
        <v>0</v>
      </c>
      <c r="AJ42" s="61">
        <f t="shared" si="35"/>
        <v>0</v>
      </c>
      <c r="AK42" s="61">
        <f t="shared" si="36"/>
        <v>0</v>
      </c>
      <c r="AL42" s="61">
        <f t="shared" si="37"/>
        <v>0</v>
      </c>
      <c r="AM42" s="61">
        <f t="shared" si="38"/>
        <v>0</v>
      </c>
      <c r="AN42" s="61">
        <f t="shared" si="39"/>
        <v>0</v>
      </c>
      <c r="AO42" s="61">
        <f t="shared" si="40"/>
        <v>0</v>
      </c>
      <c r="AP42" s="61">
        <f t="shared" si="41"/>
        <v>0</v>
      </c>
      <c r="AQ42" s="61">
        <f t="shared" si="42"/>
        <v>0</v>
      </c>
      <c r="AR42" s="61">
        <f t="shared" si="43"/>
        <v>0</v>
      </c>
      <c r="AS42" s="61">
        <f t="shared" si="44"/>
        <v>0</v>
      </c>
      <c r="AT42" s="61">
        <f t="shared" si="45"/>
        <v>0</v>
      </c>
      <c r="AU42" s="61">
        <f t="shared" si="46"/>
        <v>0</v>
      </c>
      <c r="AV42" s="61">
        <f t="shared" si="47"/>
        <v>0</v>
      </c>
      <c r="AW42" s="101">
        <f>VLOOKUP($C42,'Cost RMs'!$B$5:$Q$22,+AW$4-$AW$4+2,0)</f>
        <v>25380</v>
      </c>
      <c r="AX42" s="101">
        <f>VLOOKUP($C42,'Cost RMs'!$B$5:$Q$22,+AX$4-$AW$4+2,0)</f>
        <v>33957</v>
      </c>
      <c r="AY42" s="101">
        <f>VLOOKUP($C42,'Cost RMs'!$B$5:$Q$22,+AY$4-$AW$4+2,0)</f>
        <v>50212</v>
      </c>
      <c r="AZ42" s="101">
        <f>VLOOKUP($C42,'Cost RMs'!$B$5:$Q$22,+AZ$4-$AW$4+2,0)</f>
        <v>63581</v>
      </c>
      <c r="BA42" s="101">
        <f ca="1">VLOOKUP($C42,'Cost RMs'!$B$5:$Q$22,+BA$4-$AW$4+2,0)</f>
        <v>82384</v>
      </c>
      <c r="BB42" s="101">
        <f ca="1">VLOOKUP($C42,'Cost RMs'!$B$5:$Q$22,+BB$4-$AW$4+2,0)</f>
        <v>92262</v>
      </c>
      <c r="BC42" s="101">
        <f ca="1">VLOOKUP($C42,'Cost RMs'!$B$5:$Q$22,+BC$4-$AW$4+2,0)</f>
        <v>103426</v>
      </c>
      <c r="BD42" s="101">
        <f ca="1">VLOOKUP($C42,'Cost RMs'!$B$5:$Q$22,+BD$4-$AW$4+2,0)</f>
        <v>115941</v>
      </c>
      <c r="BE42" s="101">
        <f ca="1">VLOOKUP($C42,'Cost RMs'!$B$5:$Q$22,+BE$4-$AW$4+2,0)</f>
        <v>129970</v>
      </c>
      <c r="BF42" s="101">
        <f ca="1">VLOOKUP($C42,'Cost RMs'!$B$5:$Q$22,+BF$4-$AW$4+2,0)</f>
        <v>145696</v>
      </c>
      <c r="BG42" s="101">
        <f ca="1">VLOOKUP($C42,'Cost RMs'!$B$5:$Q$22,+BG$4-$AW$4+2,0)</f>
        <v>163325</v>
      </c>
      <c r="BH42" s="101">
        <f ca="1">VLOOKUP($C42,'Cost RMs'!$B$5:$Q$22,+BH$4-$AW$4+2,0)</f>
        <v>183087</v>
      </c>
      <c r="BI42" s="101">
        <f ca="1">VLOOKUP($C42,'Cost RMs'!$B$5:$Q$22,+BI$4-$AW$4+2,0)</f>
        <v>205241</v>
      </c>
      <c r="BJ42" s="101">
        <f ca="1">VLOOKUP($C42,'Cost RMs'!$B$5:$Q$22,+BJ$4-$AW$4+2,0)</f>
        <v>230075</v>
      </c>
      <c r="BK42" s="101">
        <f ca="1">VLOOKUP($C42,'Cost RMs'!$B$5:$Q$22,+BK$4-$AW$4+2,0)</f>
        <v>257914</v>
      </c>
      <c r="BL42" s="102">
        <f t="shared" si="48"/>
        <v>0</v>
      </c>
      <c r="BM42" s="102">
        <f t="shared" si="49"/>
        <v>0</v>
      </c>
      <c r="BN42" s="102">
        <f t="shared" si="50"/>
        <v>0</v>
      </c>
      <c r="BO42" s="102">
        <f t="shared" si="51"/>
        <v>0</v>
      </c>
      <c r="BP42" s="102">
        <f t="shared" ca="1" si="52"/>
        <v>0</v>
      </c>
      <c r="BQ42" s="102">
        <f t="shared" ca="1" si="53"/>
        <v>0</v>
      </c>
      <c r="BR42" s="102">
        <f t="shared" ca="1" si="54"/>
        <v>0</v>
      </c>
      <c r="BS42" s="102">
        <f t="shared" ca="1" si="55"/>
        <v>0</v>
      </c>
      <c r="BT42" s="102">
        <f t="shared" ca="1" si="56"/>
        <v>0</v>
      </c>
      <c r="BU42" s="102">
        <f t="shared" ca="1" si="57"/>
        <v>0</v>
      </c>
      <c r="BV42" s="102">
        <f t="shared" ca="1" si="58"/>
        <v>0</v>
      </c>
      <c r="BW42" s="102">
        <f t="shared" ca="1" si="59"/>
        <v>0</v>
      </c>
      <c r="BX42" s="102">
        <f t="shared" ca="1" si="60"/>
        <v>0</v>
      </c>
      <c r="BY42" s="102">
        <f t="shared" ca="1" si="61"/>
        <v>0</v>
      </c>
      <c r="BZ42" s="102">
        <f t="shared" ca="1" si="62"/>
        <v>0</v>
      </c>
    </row>
    <row r="43" spans="1:78" x14ac:dyDescent="0.25">
      <c r="A43" s="26" t="s">
        <v>113</v>
      </c>
      <c r="B43" s="73">
        <v>0.23</v>
      </c>
      <c r="C43" s="59" t="s">
        <v>148</v>
      </c>
      <c r="S43" s="74">
        <f>VLOOKUP($A43,turnover!$A$184:$Q$192,+S$4-$S$4+3,0)</f>
        <v>0</v>
      </c>
      <c r="T43" s="74">
        <f>VLOOKUP($A43,turnover!$A$184:$Q$192,+T$4-$S$4+3,0)</f>
        <v>0</v>
      </c>
      <c r="U43" s="74">
        <f>VLOOKUP($A43,turnover!$A$184:$Q$192,+U$4-$S$4+3,0)</f>
        <v>0</v>
      </c>
      <c r="V43" s="74">
        <f>VLOOKUP($A43,turnover!$A$184:$Q$192,+V$4-$S$4+3,0)</f>
        <v>0</v>
      </c>
      <c r="W43" s="74">
        <f>VLOOKUP($A43,turnover!$A$184:$Q$192,+W$4-$S$4+3,0)</f>
        <v>0</v>
      </c>
      <c r="X43" s="74">
        <f>VLOOKUP($A43,turnover!$A$184:$Q$192,+X$4-$S$4+3,0)</f>
        <v>0</v>
      </c>
      <c r="Y43" s="74">
        <f>VLOOKUP($A43,turnover!$A$184:$Q$192,+Y$4-$S$4+3,0)</f>
        <v>0</v>
      </c>
      <c r="Z43" s="74">
        <f>VLOOKUP($A43,turnover!$A$184:$Q$192,+Z$4-$S$4+3,0)</f>
        <v>0</v>
      </c>
      <c r="AA43" s="74">
        <f>VLOOKUP($A43,turnover!$A$184:$Q$192,+AA$4-$S$4+3,0)</f>
        <v>0</v>
      </c>
      <c r="AB43" s="74">
        <f>VLOOKUP($A43,turnover!$A$184:$Q$192,+AB$4-$S$4+3,0)</f>
        <v>0</v>
      </c>
      <c r="AC43" s="74">
        <f>VLOOKUP($A43,turnover!$A$184:$Q$192,+AC$4-$S$4+3,0)</f>
        <v>0</v>
      </c>
      <c r="AD43" s="74">
        <f>VLOOKUP($A43,turnover!$A$184:$Q$192,+AD$4-$S$4+3,0)</f>
        <v>0</v>
      </c>
      <c r="AE43" s="74">
        <f>VLOOKUP($A43,turnover!$A$184:$Q$192,+AE$4-$S$4+3,0)</f>
        <v>0</v>
      </c>
      <c r="AF43" s="74">
        <f>VLOOKUP($A43,turnover!$A$184:$Q$192,+AF$4-$S$4+3,0)</f>
        <v>0</v>
      </c>
      <c r="AG43" s="74">
        <f>VLOOKUP($A43,turnover!$A$184:$Q$192,+AG$4-$S$4+3,0)</f>
        <v>0</v>
      </c>
      <c r="AH43" s="61">
        <f t="shared" si="33"/>
        <v>0</v>
      </c>
      <c r="AI43" s="61">
        <f t="shared" si="34"/>
        <v>0</v>
      </c>
      <c r="AJ43" s="61">
        <f t="shared" si="35"/>
        <v>0</v>
      </c>
      <c r="AK43" s="61">
        <f t="shared" si="36"/>
        <v>0</v>
      </c>
      <c r="AL43" s="61">
        <f t="shared" si="37"/>
        <v>0</v>
      </c>
      <c r="AM43" s="61">
        <f t="shared" si="38"/>
        <v>0</v>
      </c>
      <c r="AN43" s="61">
        <f t="shared" si="39"/>
        <v>0</v>
      </c>
      <c r="AO43" s="61">
        <f t="shared" si="40"/>
        <v>0</v>
      </c>
      <c r="AP43" s="61">
        <f t="shared" si="41"/>
        <v>0</v>
      </c>
      <c r="AQ43" s="61">
        <f t="shared" si="42"/>
        <v>0</v>
      </c>
      <c r="AR43" s="61">
        <f t="shared" si="43"/>
        <v>0</v>
      </c>
      <c r="AS43" s="61">
        <f t="shared" si="44"/>
        <v>0</v>
      </c>
      <c r="AT43" s="61">
        <f t="shared" si="45"/>
        <v>0</v>
      </c>
      <c r="AU43" s="61">
        <f t="shared" si="46"/>
        <v>0</v>
      </c>
      <c r="AV43" s="61">
        <f t="shared" si="47"/>
        <v>0</v>
      </c>
      <c r="AW43" s="101">
        <f>VLOOKUP($C43,'Cost RMs'!$B$5:$Q$22,+AW$4-$AW$4+2,0)</f>
        <v>27439</v>
      </c>
      <c r="AX43" s="101">
        <f>VLOOKUP($C43,'Cost RMs'!$B$5:$Q$22,+AX$4-$AW$4+2,0)</f>
        <v>32275</v>
      </c>
      <c r="AY43" s="101">
        <f>VLOOKUP($C43,'Cost RMs'!$B$5:$Q$22,+AY$4-$AW$4+2,0)</f>
        <v>45664</v>
      </c>
      <c r="AZ43" s="101">
        <f>VLOOKUP($C43,'Cost RMs'!$B$5:$Q$22,+AZ$4-$AW$4+2,0)</f>
        <v>50129</v>
      </c>
      <c r="BA43" s="101">
        <f ca="1">VLOOKUP($C43,'Cost RMs'!$B$5:$Q$22,+BA$4-$AW$4+2,0)</f>
        <v>75490</v>
      </c>
      <c r="BB43" s="101">
        <f ca="1">VLOOKUP($C43,'Cost RMs'!$B$5:$Q$22,+BB$4-$AW$4+2,0)</f>
        <v>84541</v>
      </c>
      <c r="BC43" s="101">
        <f ca="1">VLOOKUP($C43,'Cost RMs'!$B$5:$Q$22,+BC$4-$AW$4+2,0)</f>
        <v>94770</v>
      </c>
      <c r="BD43" s="101">
        <f ca="1">VLOOKUP($C43,'Cost RMs'!$B$5:$Q$22,+BD$4-$AW$4+2,0)</f>
        <v>106237</v>
      </c>
      <c r="BE43" s="101">
        <f ca="1">VLOOKUP($C43,'Cost RMs'!$B$5:$Q$22,+BE$4-$AW$4+2,0)</f>
        <v>119092</v>
      </c>
      <c r="BF43" s="101">
        <f ca="1">VLOOKUP($C43,'Cost RMs'!$B$5:$Q$22,+BF$4-$AW$4+2,0)</f>
        <v>133502</v>
      </c>
      <c r="BG43" s="101">
        <f ca="1">VLOOKUP($C43,'Cost RMs'!$B$5:$Q$22,+BG$4-$AW$4+2,0)</f>
        <v>149656</v>
      </c>
      <c r="BH43" s="101">
        <f ca="1">VLOOKUP($C43,'Cost RMs'!$B$5:$Q$22,+BH$4-$AW$4+2,0)</f>
        <v>167764</v>
      </c>
      <c r="BI43" s="101">
        <f ca="1">VLOOKUP($C43,'Cost RMs'!$B$5:$Q$22,+BI$4-$AW$4+2,0)</f>
        <v>188063</v>
      </c>
      <c r="BJ43" s="101">
        <f ca="1">VLOOKUP($C43,'Cost RMs'!$B$5:$Q$22,+BJ$4-$AW$4+2,0)</f>
        <v>210819</v>
      </c>
      <c r="BK43" s="101">
        <f ca="1">VLOOKUP($C43,'Cost RMs'!$B$5:$Q$22,+BK$4-$AW$4+2,0)</f>
        <v>236328</v>
      </c>
      <c r="BL43" s="102">
        <f t="shared" si="48"/>
        <v>0</v>
      </c>
      <c r="BM43" s="102">
        <f t="shared" si="49"/>
        <v>0</v>
      </c>
      <c r="BN43" s="102">
        <f t="shared" si="50"/>
        <v>0</v>
      </c>
      <c r="BO43" s="102">
        <f t="shared" si="51"/>
        <v>0</v>
      </c>
      <c r="BP43" s="102">
        <f t="shared" ca="1" si="52"/>
        <v>0</v>
      </c>
      <c r="BQ43" s="102">
        <f t="shared" ca="1" si="53"/>
        <v>0</v>
      </c>
      <c r="BR43" s="102">
        <f t="shared" ca="1" si="54"/>
        <v>0</v>
      </c>
      <c r="BS43" s="102">
        <f t="shared" ca="1" si="55"/>
        <v>0</v>
      </c>
      <c r="BT43" s="102">
        <f t="shared" ca="1" si="56"/>
        <v>0</v>
      </c>
      <c r="BU43" s="102">
        <f t="shared" ca="1" si="57"/>
        <v>0</v>
      </c>
      <c r="BV43" s="102">
        <f t="shared" ca="1" si="58"/>
        <v>0</v>
      </c>
      <c r="BW43" s="102">
        <f t="shared" ca="1" si="59"/>
        <v>0</v>
      </c>
      <c r="BX43" s="102">
        <f t="shared" ca="1" si="60"/>
        <v>0</v>
      </c>
      <c r="BY43" s="102">
        <f t="shared" ca="1" si="61"/>
        <v>0</v>
      </c>
      <c r="BZ43" s="102">
        <f t="shared" ca="1" si="62"/>
        <v>0</v>
      </c>
    </row>
    <row r="44" spans="1:78" x14ac:dyDescent="0.25">
      <c r="A44" s="26" t="s">
        <v>113</v>
      </c>
      <c r="B44" s="73">
        <v>0.23</v>
      </c>
      <c r="C44" s="59" t="s">
        <v>149</v>
      </c>
      <c r="S44" s="74">
        <f>VLOOKUP($A44,turnover!$A$184:$Q$192,+S$4-$S$4+3,0)</f>
        <v>0</v>
      </c>
      <c r="T44" s="74">
        <f>VLOOKUP($A44,turnover!$A$184:$Q$192,+T$4-$S$4+3,0)</f>
        <v>0</v>
      </c>
      <c r="U44" s="74">
        <f>VLOOKUP($A44,turnover!$A$184:$Q$192,+U$4-$S$4+3,0)</f>
        <v>0</v>
      </c>
      <c r="V44" s="74">
        <f>VLOOKUP($A44,turnover!$A$184:$Q$192,+V$4-$S$4+3,0)</f>
        <v>0</v>
      </c>
      <c r="W44" s="74">
        <f>VLOOKUP($A44,turnover!$A$184:$Q$192,+W$4-$S$4+3,0)</f>
        <v>0</v>
      </c>
      <c r="X44" s="74">
        <f>VLOOKUP($A44,turnover!$A$184:$Q$192,+X$4-$S$4+3,0)</f>
        <v>0</v>
      </c>
      <c r="Y44" s="74">
        <f>VLOOKUP($A44,turnover!$A$184:$Q$192,+Y$4-$S$4+3,0)</f>
        <v>0</v>
      </c>
      <c r="Z44" s="74">
        <f>VLOOKUP($A44,turnover!$A$184:$Q$192,+Z$4-$S$4+3,0)</f>
        <v>0</v>
      </c>
      <c r="AA44" s="74">
        <f>VLOOKUP($A44,turnover!$A$184:$Q$192,+AA$4-$S$4+3,0)</f>
        <v>0</v>
      </c>
      <c r="AB44" s="74">
        <f>VLOOKUP($A44,turnover!$A$184:$Q$192,+AB$4-$S$4+3,0)</f>
        <v>0</v>
      </c>
      <c r="AC44" s="74">
        <f>VLOOKUP($A44,turnover!$A$184:$Q$192,+AC$4-$S$4+3,0)</f>
        <v>0</v>
      </c>
      <c r="AD44" s="74">
        <f>VLOOKUP($A44,turnover!$A$184:$Q$192,+AD$4-$S$4+3,0)</f>
        <v>0</v>
      </c>
      <c r="AE44" s="74">
        <f>VLOOKUP($A44,turnover!$A$184:$Q$192,+AE$4-$S$4+3,0)</f>
        <v>0</v>
      </c>
      <c r="AF44" s="74">
        <f>VLOOKUP($A44,turnover!$A$184:$Q$192,+AF$4-$S$4+3,0)</f>
        <v>0</v>
      </c>
      <c r="AG44" s="74">
        <f>VLOOKUP($A44,turnover!$A$184:$Q$192,+AG$4-$S$4+3,0)</f>
        <v>0</v>
      </c>
      <c r="AH44" s="61">
        <f t="shared" si="33"/>
        <v>0</v>
      </c>
      <c r="AI44" s="61">
        <f t="shared" si="34"/>
        <v>0</v>
      </c>
      <c r="AJ44" s="61">
        <f t="shared" si="35"/>
        <v>0</v>
      </c>
      <c r="AK44" s="61">
        <f t="shared" si="36"/>
        <v>0</v>
      </c>
      <c r="AL44" s="61">
        <f t="shared" si="37"/>
        <v>0</v>
      </c>
      <c r="AM44" s="61">
        <f t="shared" si="38"/>
        <v>0</v>
      </c>
      <c r="AN44" s="61">
        <f t="shared" si="39"/>
        <v>0</v>
      </c>
      <c r="AO44" s="61">
        <f t="shared" si="40"/>
        <v>0</v>
      </c>
      <c r="AP44" s="61">
        <f t="shared" si="41"/>
        <v>0</v>
      </c>
      <c r="AQ44" s="61">
        <f t="shared" si="42"/>
        <v>0</v>
      </c>
      <c r="AR44" s="61">
        <f t="shared" si="43"/>
        <v>0</v>
      </c>
      <c r="AS44" s="61">
        <f t="shared" si="44"/>
        <v>0</v>
      </c>
      <c r="AT44" s="61">
        <f t="shared" si="45"/>
        <v>0</v>
      </c>
      <c r="AU44" s="61">
        <f t="shared" si="46"/>
        <v>0</v>
      </c>
      <c r="AV44" s="61">
        <f t="shared" si="47"/>
        <v>0</v>
      </c>
      <c r="AW44" s="101">
        <f>VLOOKUP($C44,'Cost RMs'!$B$5:$Q$22,+AW$4-$AW$4+2,0)</f>
        <v>9377</v>
      </c>
      <c r="AX44" s="101">
        <f>VLOOKUP($C44,'Cost RMs'!$B$5:$Q$22,+AX$4-$AW$4+2,0)</f>
        <v>9969</v>
      </c>
      <c r="AY44" s="101">
        <f>VLOOKUP($C44,'Cost RMs'!$B$5:$Q$22,+AY$4-$AW$4+2,0)</f>
        <v>14915</v>
      </c>
      <c r="AZ44" s="101">
        <f>VLOOKUP($C44,'Cost RMs'!$B$5:$Q$22,+AZ$4-$AW$4+2,0)</f>
        <v>16547</v>
      </c>
      <c r="BA44" s="101">
        <f ca="1">VLOOKUP($C44,'Cost RMs'!$B$5:$Q$22,+BA$4-$AW$4+2,0)</f>
        <v>17617</v>
      </c>
      <c r="BB44" s="101">
        <f ca="1">VLOOKUP($C44,'Cost RMs'!$B$5:$Q$22,+BB$4-$AW$4+2,0)</f>
        <v>19729</v>
      </c>
      <c r="BC44" s="101">
        <f ca="1">VLOOKUP($C44,'Cost RMs'!$B$5:$Q$22,+BC$4-$AW$4+2,0)</f>
        <v>22116</v>
      </c>
      <c r="BD44" s="101">
        <f ca="1">VLOOKUP($C44,'Cost RMs'!$B$5:$Q$22,+BD$4-$AW$4+2,0)</f>
        <v>24792</v>
      </c>
      <c r="BE44" s="101">
        <f ca="1">VLOOKUP($C44,'Cost RMs'!$B$5:$Q$22,+BE$4-$AW$4+2,0)</f>
        <v>27792</v>
      </c>
      <c r="BF44" s="101">
        <f ca="1">VLOOKUP($C44,'Cost RMs'!$B$5:$Q$22,+BF$4-$AW$4+2,0)</f>
        <v>31155</v>
      </c>
      <c r="BG44" s="101">
        <f ca="1">VLOOKUP($C44,'Cost RMs'!$B$5:$Q$22,+BG$4-$AW$4+2,0)</f>
        <v>34925</v>
      </c>
      <c r="BH44" s="101">
        <f ca="1">VLOOKUP($C44,'Cost RMs'!$B$5:$Q$22,+BH$4-$AW$4+2,0)</f>
        <v>39151</v>
      </c>
      <c r="BI44" s="101">
        <f ca="1">VLOOKUP($C44,'Cost RMs'!$B$5:$Q$22,+BI$4-$AW$4+2,0)</f>
        <v>43888</v>
      </c>
      <c r="BJ44" s="101">
        <f ca="1">VLOOKUP($C44,'Cost RMs'!$B$5:$Q$22,+BJ$4-$AW$4+2,0)</f>
        <v>49198</v>
      </c>
      <c r="BK44" s="101">
        <f ca="1">VLOOKUP($C44,'Cost RMs'!$B$5:$Q$22,+BK$4-$AW$4+2,0)</f>
        <v>55151</v>
      </c>
      <c r="BL44" s="102">
        <f t="shared" si="48"/>
        <v>0</v>
      </c>
      <c r="BM44" s="102">
        <f t="shared" si="49"/>
        <v>0</v>
      </c>
      <c r="BN44" s="102">
        <f t="shared" si="50"/>
        <v>0</v>
      </c>
      <c r="BO44" s="102">
        <f t="shared" si="51"/>
        <v>0</v>
      </c>
      <c r="BP44" s="102">
        <f t="shared" ca="1" si="52"/>
        <v>0</v>
      </c>
      <c r="BQ44" s="102">
        <f t="shared" ca="1" si="53"/>
        <v>0</v>
      </c>
      <c r="BR44" s="102">
        <f t="shared" ca="1" si="54"/>
        <v>0</v>
      </c>
      <c r="BS44" s="102">
        <f t="shared" ca="1" si="55"/>
        <v>0</v>
      </c>
      <c r="BT44" s="102">
        <f t="shared" ca="1" si="56"/>
        <v>0</v>
      </c>
      <c r="BU44" s="102">
        <f t="shared" ca="1" si="57"/>
        <v>0</v>
      </c>
      <c r="BV44" s="102">
        <f t="shared" ca="1" si="58"/>
        <v>0</v>
      </c>
      <c r="BW44" s="102">
        <f t="shared" ca="1" si="59"/>
        <v>0</v>
      </c>
      <c r="BX44" s="102">
        <f t="shared" ca="1" si="60"/>
        <v>0</v>
      </c>
      <c r="BY44" s="102">
        <f t="shared" ca="1" si="61"/>
        <v>0</v>
      </c>
      <c r="BZ44" s="102">
        <f t="shared" ca="1" si="62"/>
        <v>0</v>
      </c>
    </row>
    <row r="45" spans="1:78" x14ac:dyDescent="0.25">
      <c r="A45" s="26" t="s">
        <v>152</v>
      </c>
      <c r="B45" s="73">
        <v>1</v>
      </c>
      <c r="C45" t="s">
        <v>123</v>
      </c>
      <c r="S45" s="74">
        <f>VLOOKUP($A45,turnover!$A$184:$Q$192,+S$4-$S$4+3,0)</f>
        <v>0</v>
      </c>
      <c r="T45" s="74">
        <f>VLOOKUP($A45,turnover!$A$184:$Q$192,+T$4-$S$4+3,0)</f>
        <v>0</v>
      </c>
      <c r="U45" s="74">
        <f>VLOOKUP($A45,turnover!$A$184:$Q$192,+U$4-$S$4+3,0)</f>
        <v>0</v>
      </c>
      <c r="V45" s="74">
        <f>VLOOKUP($A45,turnover!$A$184:$Q$192,+V$4-$S$4+3,0)</f>
        <v>0</v>
      </c>
      <c r="W45" s="74">
        <f>VLOOKUP($A45,turnover!$A$184:$Q$192,+W$4-$S$4+3,0)</f>
        <v>0</v>
      </c>
      <c r="X45" s="74">
        <f>VLOOKUP($A45,turnover!$A$184:$Q$192,+X$4-$S$4+3,0)</f>
        <v>0</v>
      </c>
      <c r="Y45" s="74">
        <f>VLOOKUP($A45,turnover!$A$184:$Q$192,+Y$4-$S$4+3,0)</f>
        <v>0</v>
      </c>
      <c r="Z45" s="74">
        <f>VLOOKUP($A45,turnover!$A$184:$Q$192,+Z$4-$S$4+3,0)</f>
        <v>0</v>
      </c>
      <c r="AA45" s="74">
        <f>VLOOKUP($A45,turnover!$A$184:$Q$192,+AA$4-$S$4+3,0)</f>
        <v>0</v>
      </c>
      <c r="AB45" s="74">
        <f>VLOOKUP($A45,turnover!$A$184:$Q$192,+AB$4-$S$4+3,0)</f>
        <v>0</v>
      </c>
      <c r="AC45" s="74">
        <f>VLOOKUP($A45,turnover!$A$184:$Q$192,+AC$4-$S$4+3,0)</f>
        <v>0</v>
      </c>
      <c r="AD45" s="74">
        <f>VLOOKUP($A45,turnover!$A$184:$Q$192,+AD$4-$S$4+3,0)</f>
        <v>0</v>
      </c>
      <c r="AE45" s="74">
        <f>VLOOKUP($A45,turnover!$A$184:$Q$192,+AE$4-$S$4+3,0)</f>
        <v>0</v>
      </c>
      <c r="AF45" s="74">
        <f>VLOOKUP($A45,turnover!$A$184:$Q$192,+AF$4-$S$4+3,0)</f>
        <v>0</v>
      </c>
      <c r="AG45" s="74">
        <f>VLOOKUP($A45,turnover!$A$184:$Q$192,+AG$4-$S$4+3,0)</f>
        <v>0</v>
      </c>
      <c r="AH45" s="61">
        <f t="shared" si="33"/>
        <v>0</v>
      </c>
      <c r="AI45" s="61">
        <f t="shared" si="34"/>
        <v>0</v>
      </c>
      <c r="AJ45" s="61">
        <f t="shared" si="35"/>
        <v>0</v>
      </c>
      <c r="AK45" s="61">
        <f t="shared" si="36"/>
        <v>0</v>
      </c>
      <c r="AL45" s="61">
        <f t="shared" si="37"/>
        <v>0</v>
      </c>
      <c r="AM45" s="61">
        <f t="shared" si="38"/>
        <v>0</v>
      </c>
      <c r="AN45" s="61">
        <f t="shared" si="39"/>
        <v>0</v>
      </c>
      <c r="AO45" s="61">
        <f t="shared" si="40"/>
        <v>0</v>
      </c>
      <c r="AP45" s="61">
        <f t="shared" si="41"/>
        <v>0</v>
      </c>
      <c r="AQ45" s="61">
        <f t="shared" si="42"/>
        <v>0</v>
      </c>
      <c r="AR45" s="61">
        <f t="shared" si="43"/>
        <v>0</v>
      </c>
      <c r="AS45" s="61">
        <f t="shared" si="44"/>
        <v>0</v>
      </c>
      <c r="AT45" s="61">
        <f t="shared" si="45"/>
        <v>0</v>
      </c>
      <c r="AU45" s="61">
        <f t="shared" si="46"/>
        <v>0</v>
      </c>
      <c r="AV45" s="61">
        <f t="shared" si="47"/>
        <v>0</v>
      </c>
      <c r="AW45" s="101">
        <f>VLOOKUP($C45,'Cost RMs'!$B$5:$Q$22,+AW$4-$AW$4+2,0)</f>
        <v>191127</v>
      </c>
      <c r="AX45" s="101">
        <f>VLOOKUP($C45,'Cost RMs'!$B$5:$Q$22,+AX$4-$AW$4+2,0)</f>
        <v>196602</v>
      </c>
      <c r="AY45" s="101">
        <f>VLOOKUP($C45,'Cost RMs'!$B$5:$Q$22,+AY$4-$AW$4+2,0)</f>
        <v>209999</v>
      </c>
      <c r="AZ45" s="101">
        <f>VLOOKUP($C45,'Cost RMs'!$B$5:$Q$22,+AZ$4-$AW$4+2,0)</f>
        <v>266286</v>
      </c>
      <c r="BA45" s="101">
        <f>VLOOKUP($C45,'Cost RMs'!$B$5:$Q$22,+BA$4-$AW$4+2,0)</f>
        <v>275187</v>
      </c>
      <c r="BB45" s="101">
        <f>VLOOKUP($C45,'Cost RMs'!$B$5:$Q$22,+BB$4-$AW$4+2,0)</f>
        <v>308182</v>
      </c>
      <c r="BC45" s="101">
        <f>VLOOKUP($C45,'Cost RMs'!$B$5:$Q$22,+BC$4-$AW$4+2,0)</f>
        <v>345472</v>
      </c>
      <c r="BD45" s="101">
        <f>VLOOKUP($C45,'Cost RMs'!$B$5:$Q$22,+BD$4-$AW$4+2,0)</f>
        <v>387274</v>
      </c>
      <c r="BE45" s="101">
        <f>VLOOKUP($C45,'Cost RMs'!$B$5:$Q$22,+BE$4-$AW$4+2,0)</f>
        <v>434134</v>
      </c>
      <c r="BF45" s="101">
        <f>VLOOKUP($C45,'Cost RMs'!$B$5:$Q$22,+BF$4-$AW$4+2,0)</f>
        <v>486664</v>
      </c>
      <c r="BG45" s="101">
        <f>VLOOKUP($C45,'Cost RMs'!$B$5:$Q$22,+BG$4-$AW$4+2,0)</f>
        <v>545550</v>
      </c>
      <c r="BH45" s="101">
        <f>VLOOKUP($C45,'Cost RMs'!$B$5:$Q$22,+BH$4-$AW$4+2,0)</f>
        <v>611562</v>
      </c>
      <c r="BI45" s="101">
        <f>VLOOKUP($C45,'Cost RMs'!$B$5:$Q$22,+BI$4-$AW$4+2,0)</f>
        <v>685561</v>
      </c>
      <c r="BJ45" s="101">
        <f>VLOOKUP($C45,'Cost RMs'!$B$5:$Q$22,+BJ$4-$AW$4+2,0)</f>
        <v>768514</v>
      </c>
      <c r="BK45" s="101">
        <f>VLOOKUP($C45,'Cost RMs'!$B$5:$Q$22,+BK$4-$AW$4+2,0)</f>
        <v>861504</v>
      </c>
      <c r="BL45" s="102">
        <f t="shared" si="48"/>
        <v>0</v>
      </c>
      <c r="BM45" s="102">
        <f t="shared" si="49"/>
        <v>0</v>
      </c>
      <c r="BN45" s="102">
        <f t="shared" si="50"/>
        <v>0</v>
      </c>
      <c r="BO45" s="102">
        <f t="shared" si="51"/>
        <v>0</v>
      </c>
      <c r="BP45" s="102">
        <f t="shared" si="52"/>
        <v>0</v>
      </c>
      <c r="BQ45" s="102">
        <f t="shared" si="53"/>
        <v>0</v>
      </c>
      <c r="BR45" s="102">
        <f t="shared" si="54"/>
        <v>0</v>
      </c>
      <c r="BS45" s="102">
        <f t="shared" si="55"/>
        <v>0</v>
      </c>
      <c r="BT45" s="102">
        <f t="shared" si="56"/>
        <v>0</v>
      </c>
      <c r="BU45" s="102">
        <f t="shared" si="57"/>
        <v>0</v>
      </c>
      <c r="BV45" s="102">
        <f t="shared" si="58"/>
        <v>0</v>
      </c>
      <c r="BW45" s="102">
        <f t="shared" si="59"/>
        <v>0</v>
      </c>
      <c r="BX45" s="102">
        <f t="shared" si="60"/>
        <v>0</v>
      </c>
      <c r="BY45" s="102">
        <f t="shared" si="61"/>
        <v>0</v>
      </c>
      <c r="BZ45" s="102">
        <f t="shared" si="62"/>
        <v>0</v>
      </c>
    </row>
    <row r="46" spans="1:78" x14ac:dyDescent="0.25">
      <c r="A46" s="26" t="s">
        <v>152</v>
      </c>
      <c r="B46" s="73">
        <v>1</v>
      </c>
      <c r="C46" t="s">
        <v>124</v>
      </c>
      <c r="S46" s="74">
        <f>VLOOKUP($A46,turnover!$A$184:$Q$192,+S$4-$S$4+3,0)</f>
        <v>0</v>
      </c>
      <c r="T46" s="74">
        <f>VLOOKUP($A46,turnover!$A$184:$Q$192,+T$4-$S$4+3,0)</f>
        <v>0</v>
      </c>
      <c r="U46" s="74">
        <f>VLOOKUP($A46,turnover!$A$184:$Q$192,+U$4-$S$4+3,0)</f>
        <v>0</v>
      </c>
      <c r="V46" s="74">
        <f>VLOOKUP($A46,turnover!$A$184:$Q$192,+V$4-$S$4+3,0)</f>
        <v>0</v>
      </c>
      <c r="W46" s="74">
        <f>VLOOKUP($A46,turnover!$A$184:$Q$192,+W$4-$S$4+3,0)</f>
        <v>0</v>
      </c>
      <c r="X46" s="74">
        <f>VLOOKUP($A46,turnover!$A$184:$Q$192,+X$4-$S$4+3,0)</f>
        <v>0</v>
      </c>
      <c r="Y46" s="74">
        <f>VLOOKUP($A46,turnover!$A$184:$Q$192,+Y$4-$S$4+3,0)</f>
        <v>0</v>
      </c>
      <c r="Z46" s="74">
        <f>VLOOKUP($A46,turnover!$A$184:$Q$192,+Z$4-$S$4+3,0)</f>
        <v>0</v>
      </c>
      <c r="AA46" s="74">
        <f>VLOOKUP($A46,turnover!$A$184:$Q$192,+AA$4-$S$4+3,0)</f>
        <v>0</v>
      </c>
      <c r="AB46" s="74">
        <f>VLOOKUP($A46,turnover!$A$184:$Q$192,+AB$4-$S$4+3,0)</f>
        <v>0</v>
      </c>
      <c r="AC46" s="74">
        <f>VLOOKUP($A46,turnover!$A$184:$Q$192,+AC$4-$S$4+3,0)</f>
        <v>0</v>
      </c>
      <c r="AD46" s="74">
        <f>VLOOKUP($A46,turnover!$A$184:$Q$192,+AD$4-$S$4+3,0)</f>
        <v>0</v>
      </c>
      <c r="AE46" s="74">
        <f>VLOOKUP($A46,turnover!$A$184:$Q$192,+AE$4-$S$4+3,0)</f>
        <v>0</v>
      </c>
      <c r="AF46" s="74">
        <f>VLOOKUP($A46,turnover!$A$184:$Q$192,+AF$4-$S$4+3,0)</f>
        <v>0</v>
      </c>
      <c r="AG46" s="74">
        <f>VLOOKUP($A46,turnover!$A$184:$Q$192,+AG$4-$S$4+3,0)</f>
        <v>0</v>
      </c>
      <c r="AH46" s="61">
        <f t="shared" si="33"/>
        <v>0</v>
      </c>
      <c r="AI46" s="61">
        <f t="shared" si="34"/>
        <v>0</v>
      </c>
      <c r="AJ46" s="61">
        <f t="shared" si="35"/>
        <v>0</v>
      </c>
      <c r="AK46" s="61">
        <f t="shared" si="36"/>
        <v>0</v>
      </c>
      <c r="AL46" s="61">
        <f t="shared" si="37"/>
        <v>0</v>
      </c>
      <c r="AM46" s="61">
        <f t="shared" si="38"/>
        <v>0</v>
      </c>
      <c r="AN46" s="61">
        <f t="shared" si="39"/>
        <v>0</v>
      </c>
      <c r="AO46" s="61">
        <f t="shared" si="40"/>
        <v>0</v>
      </c>
      <c r="AP46" s="61">
        <f t="shared" si="41"/>
        <v>0</v>
      </c>
      <c r="AQ46" s="61">
        <f t="shared" si="42"/>
        <v>0</v>
      </c>
      <c r="AR46" s="61">
        <f t="shared" si="43"/>
        <v>0</v>
      </c>
      <c r="AS46" s="61">
        <f t="shared" si="44"/>
        <v>0</v>
      </c>
      <c r="AT46" s="61">
        <f t="shared" si="45"/>
        <v>0</v>
      </c>
      <c r="AU46" s="61">
        <f t="shared" si="46"/>
        <v>0</v>
      </c>
      <c r="AV46" s="61">
        <f t="shared" si="47"/>
        <v>0</v>
      </c>
      <c r="AW46" s="101">
        <f>VLOOKUP($C46,'Cost RMs'!$B$5:$Q$22,+AW$4-$AW$4+2,0)</f>
        <v>235089</v>
      </c>
      <c r="AX46" s="101">
        <f>VLOOKUP($C46,'Cost RMs'!$B$5:$Q$22,+AX$4-$AW$4+2,0)</f>
        <v>283888</v>
      </c>
      <c r="AY46" s="101">
        <f>VLOOKUP($C46,'Cost RMs'!$B$5:$Q$22,+AY$4-$AW$4+2,0)</f>
        <v>306490</v>
      </c>
      <c r="AZ46" s="101">
        <f>VLOOKUP($C46,'Cost RMs'!$B$5:$Q$22,+AZ$4-$AW$4+2,0)</f>
        <v>318975</v>
      </c>
      <c r="BA46" s="101">
        <f>VLOOKUP($C46,'Cost RMs'!$B$5:$Q$22,+BA$4-$AW$4+2,0)</f>
        <v>365112</v>
      </c>
      <c r="BB46" s="101">
        <f>VLOOKUP($C46,'Cost RMs'!$B$5:$Q$22,+BB$4-$AW$4+2,0)</f>
        <v>408889</v>
      </c>
      <c r="BC46" s="101">
        <f>VLOOKUP($C46,'Cost RMs'!$B$5:$Q$22,+BC$4-$AW$4+2,0)</f>
        <v>458365</v>
      </c>
      <c r="BD46" s="101">
        <f>VLOOKUP($C46,'Cost RMs'!$B$5:$Q$22,+BD$4-$AW$4+2,0)</f>
        <v>513827</v>
      </c>
      <c r="BE46" s="101">
        <f>VLOOKUP($C46,'Cost RMs'!$B$5:$Q$22,+BE$4-$AW$4+2,0)</f>
        <v>576000</v>
      </c>
      <c r="BF46" s="101">
        <f>VLOOKUP($C46,'Cost RMs'!$B$5:$Q$22,+BF$4-$AW$4+2,0)</f>
        <v>645696</v>
      </c>
      <c r="BG46" s="101">
        <f>VLOOKUP($C46,'Cost RMs'!$B$5:$Q$22,+BG$4-$AW$4+2,0)</f>
        <v>723825</v>
      </c>
      <c r="BH46" s="101">
        <f>VLOOKUP($C46,'Cost RMs'!$B$5:$Q$22,+BH$4-$AW$4+2,0)</f>
        <v>811408</v>
      </c>
      <c r="BI46" s="101">
        <f>VLOOKUP($C46,'Cost RMs'!$B$5:$Q$22,+BI$4-$AW$4+2,0)</f>
        <v>909588</v>
      </c>
      <c r="BJ46" s="101">
        <f>VLOOKUP($C46,'Cost RMs'!$B$5:$Q$22,+BJ$4-$AW$4+2,0)</f>
        <v>1019648</v>
      </c>
      <c r="BK46" s="101">
        <f>VLOOKUP($C46,'Cost RMs'!$B$5:$Q$22,+BK$4-$AW$4+2,0)</f>
        <v>1143025</v>
      </c>
      <c r="BL46" s="102">
        <f t="shared" si="48"/>
        <v>0</v>
      </c>
      <c r="BM46" s="102">
        <f t="shared" si="49"/>
        <v>0</v>
      </c>
      <c r="BN46" s="102">
        <f t="shared" si="50"/>
        <v>0</v>
      </c>
      <c r="BO46" s="102">
        <f t="shared" si="51"/>
        <v>0</v>
      </c>
      <c r="BP46" s="102">
        <f t="shared" si="52"/>
        <v>0</v>
      </c>
      <c r="BQ46" s="102">
        <f t="shared" si="53"/>
        <v>0</v>
      </c>
      <c r="BR46" s="102">
        <f t="shared" si="54"/>
        <v>0</v>
      </c>
      <c r="BS46" s="102">
        <f t="shared" si="55"/>
        <v>0</v>
      </c>
      <c r="BT46" s="102">
        <f t="shared" si="56"/>
        <v>0</v>
      </c>
      <c r="BU46" s="102">
        <f t="shared" si="57"/>
        <v>0</v>
      </c>
      <c r="BV46" s="102">
        <f t="shared" si="58"/>
        <v>0</v>
      </c>
      <c r="BW46" s="102">
        <f t="shared" si="59"/>
        <v>0</v>
      </c>
      <c r="BX46" s="102">
        <f t="shared" si="60"/>
        <v>0</v>
      </c>
      <c r="BY46" s="102">
        <f t="shared" si="61"/>
        <v>0</v>
      </c>
      <c r="BZ46" s="102">
        <f t="shared" si="62"/>
        <v>0</v>
      </c>
    </row>
    <row r="47" spans="1:78" x14ac:dyDescent="0.25">
      <c r="A47" s="26" t="s">
        <v>152</v>
      </c>
      <c r="B47" s="73">
        <v>1</v>
      </c>
      <c r="C47" t="s">
        <v>125</v>
      </c>
      <c r="S47" s="74">
        <f>VLOOKUP($A47,turnover!$A$184:$Q$192,+S$4-$S$4+3,0)</f>
        <v>0</v>
      </c>
      <c r="T47" s="74">
        <f>VLOOKUP($A47,turnover!$A$184:$Q$192,+T$4-$S$4+3,0)</f>
        <v>0</v>
      </c>
      <c r="U47" s="74">
        <f>VLOOKUP($A47,turnover!$A$184:$Q$192,+U$4-$S$4+3,0)</f>
        <v>0</v>
      </c>
      <c r="V47" s="74">
        <f>VLOOKUP($A47,turnover!$A$184:$Q$192,+V$4-$S$4+3,0)</f>
        <v>0</v>
      </c>
      <c r="W47" s="74">
        <f>VLOOKUP($A47,turnover!$A$184:$Q$192,+W$4-$S$4+3,0)</f>
        <v>0</v>
      </c>
      <c r="X47" s="74">
        <f>VLOOKUP($A47,turnover!$A$184:$Q$192,+X$4-$S$4+3,0)</f>
        <v>0</v>
      </c>
      <c r="Y47" s="74">
        <f>VLOOKUP($A47,turnover!$A$184:$Q$192,+Y$4-$S$4+3,0)</f>
        <v>0</v>
      </c>
      <c r="Z47" s="74">
        <f>VLOOKUP($A47,turnover!$A$184:$Q$192,+Z$4-$S$4+3,0)</f>
        <v>0</v>
      </c>
      <c r="AA47" s="74">
        <f>VLOOKUP($A47,turnover!$A$184:$Q$192,+AA$4-$S$4+3,0)</f>
        <v>0</v>
      </c>
      <c r="AB47" s="74">
        <f>VLOOKUP($A47,turnover!$A$184:$Q$192,+AB$4-$S$4+3,0)</f>
        <v>0</v>
      </c>
      <c r="AC47" s="74">
        <f>VLOOKUP($A47,turnover!$A$184:$Q$192,+AC$4-$S$4+3,0)</f>
        <v>0</v>
      </c>
      <c r="AD47" s="74">
        <f>VLOOKUP($A47,turnover!$A$184:$Q$192,+AD$4-$S$4+3,0)</f>
        <v>0</v>
      </c>
      <c r="AE47" s="74">
        <f>VLOOKUP($A47,turnover!$A$184:$Q$192,+AE$4-$S$4+3,0)</f>
        <v>0</v>
      </c>
      <c r="AF47" s="74">
        <f>VLOOKUP($A47,turnover!$A$184:$Q$192,+AF$4-$S$4+3,0)</f>
        <v>0</v>
      </c>
      <c r="AG47" s="74">
        <f>VLOOKUP($A47,turnover!$A$184:$Q$192,+AG$4-$S$4+3,0)</f>
        <v>0</v>
      </c>
      <c r="AH47" s="61">
        <f t="shared" si="33"/>
        <v>0</v>
      </c>
      <c r="AI47" s="61">
        <f t="shared" si="34"/>
        <v>0</v>
      </c>
      <c r="AJ47" s="61">
        <f t="shared" si="35"/>
        <v>0</v>
      </c>
      <c r="AK47" s="61">
        <f t="shared" si="36"/>
        <v>0</v>
      </c>
      <c r="AL47" s="61">
        <f t="shared" si="37"/>
        <v>0</v>
      </c>
      <c r="AM47" s="61">
        <f t="shared" si="38"/>
        <v>0</v>
      </c>
      <c r="AN47" s="61">
        <f t="shared" si="39"/>
        <v>0</v>
      </c>
      <c r="AO47" s="61">
        <f t="shared" si="40"/>
        <v>0</v>
      </c>
      <c r="AP47" s="61">
        <f t="shared" si="41"/>
        <v>0</v>
      </c>
      <c r="AQ47" s="61">
        <f t="shared" si="42"/>
        <v>0</v>
      </c>
      <c r="AR47" s="61">
        <f t="shared" si="43"/>
        <v>0</v>
      </c>
      <c r="AS47" s="61">
        <f t="shared" si="44"/>
        <v>0</v>
      </c>
      <c r="AT47" s="61">
        <f t="shared" si="45"/>
        <v>0</v>
      </c>
      <c r="AU47" s="61">
        <f t="shared" si="46"/>
        <v>0</v>
      </c>
      <c r="AV47" s="61">
        <f t="shared" si="47"/>
        <v>0</v>
      </c>
      <c r="AW47" s="101">
        <f>VLOOKUP($C47,'Cost RMs'!$B$5:$Q$22,+AW$4-$AW$4+2,0)</f>
        <v>266257</v>
      </c>
      <c r="AX47" s="101">
        <f>VLOOKUP($C47,'Cost RMs'!$B$5:$Q$22,+AX$4-$AW$4+2,0)</f>
        <v>266257</v>
      </c>
      <c r="AY47" s="101">
        <f>VLOOKUP($C47,'Cost RMs'!$B$5:$Q$22,+AY$4-$AW$4+2,0)</f>
        <v>266257</v>
      </c>
      <c r="AZ47" s="101">
        <f ca="1">VLOOKUP($C47,'Cost RMs'!$B$5:$Q$22,+AZ$4-$AW$4+2,0)</f>
        <v>266257</v>
      </c>
      <c r="BA47" s="101">
        <f ca="1">VLOOKUP($C47,'Cost RMs'!$B$5:$Q$22,+BA$4-$AW$4+2,0)</f>
        <v>266257</v>
      </c>
      <c r="BB47" s="101">
        <f ca="1">VLOOKUP($C47,'Cost RMs'!$B$5:$Q$22,+BB$4-$AW$4+2,0)</f>
        <v>298181</v>
      </c>
      <c r="BC47" s="101">
        <f ca="1">VLOOKUP($C47,'Cost RMs'!$B$5:$Q$22,+BC$4-$AW$4+2,0)</f>
        <v>334261</v>
      </c>
      <c r="BD47" s="101">
        <f ca="1">VLOOKUP($C47,'Cost RMs'!$B$5:$Q$22,+BD$4-$AW$4+2,0)</f>
        <v>374707</v>
      </c>
      <c r="BE47" s="101">
        <f ca="1">VLOOKUP($C47,'Cost RMs'!$B$5:$Q$22,+BE$4-$AW$4+2,0)</f>
        <v>420047</v>
      </c>
      <c r="BF47" s="101">
        <f ca="1">VLOOKUP($C47,'Cost RMs'!$B$5:$Q$22,+BF$4-$AW$4+2,0)</f>
        <v>470873</v>
      </c>
      <c r="BG47" s="101">
        <f ca="1">VLOOKUP($C47,'Cost RMs'!$B$5:$Q$22,+BG$4-$AW$4+2,0)</f>
        <v>527849</v>
      </c>
      <c r="BH47" s="101">
        <f ca="1">VLOOKUP($C47,'Cost RMs'!$B$5:$Q$22,+BH$4-$AW$4+2,0)</f>
        <v>591719</v>
      </c>
      <c r="BI47" s="101">
        <f ca="1">VLOOKUP($C47,'Cost RMs'!$B$5:$Q$22,+BI$4-$AW$4+2,0)</f>
        <v>663317</v>
      </c>
      <c r="BJ47" s="101">
        <f ca="1">VLOOKUP($C47,'Cost RMs'!$B$5:$Q$22,+BJ$4-$AW$4+2,0)</f>
        <v>743578</v>
      </c>
      <c r="BK47" s="101">
        <f ca="1">VLOOKUP($C47,'Cost RMs'!$B$5:$Q$22,+BK$4-$AW$4+2,0)</f>
        <v>833551</v>
      </c>
      <c r="BL47" s="102">
        <f t="shared" si="48"/>
        <v>0</v>
      </c>
      <c r="BM47" s="102">
        <f t="shared" si="49"/>
        <v>0</v>
      </c>
      <c r="BN47" s="102">
        <f t="shared" si="50"/>
        <v>0</v>
      </c>
      <c r="BO47" s="102">
        <f t="shared" ca="1" si="51"/>
        <v>0</v>
      </c>
      <c r="BP47" s="102">
        <f t="shared" ca="1" si="52"/>
        <v>0</v>
      </c>
      <c r="BQ47" s="102">
        <f t="shared" ca="1" si="53"/>
        <v>0</v>
      </c>
      <c r="BR47" s="102">
        <f t="shared" ca="1" si="54"/>
        <v>0</v>
      </c>
      <c r="BS47" s="102">
        <f t="shared" ca="1" si="55"/>
        <v>0</v>
      </c>
      <c r="BT47" s="102">
        <f t="shared" ca="1" si="56"/>
        <v>0</v>
      </c>
      <c r="BU47" s="102">
        <f t="shared" ca="1" si="57"/>
        <v>0</v>
      </c>
      <c r="BV47" s="102">
        <f t="shared" ca="1" si="58"/>
        <v>0</v>
      </c>
      <c r="BW47" s="102">
        <f t="shared" ca="1" si="59"/>
        <v>0</v>
      </c>
      <c r="BX47" s="102">
        <f t="shared" ca="1" si="60"/>
        <v>0</v>
      </c>
      <c r="BY47" s="102">
        <f t="shared" ca="1" si="61"/>
        <v>0</v>
      </c>
      <c r="BZ47" s="102">
        <f t="shared" ca="1" si="62"/>
        <v>0</v>
      </c>
    </row>
    <row r="48" spans="1:78" x14ac:dyDescent="0.25">
      <c r="A48" s="26" t="s">
        <v>152</v>
      </c>
      <c r="B48" s="73">
        <v>1</v>
      </c>
      <c r="C48" t="s">
        <v>126</v>
      </c>
      <c r="S48" s="74">
        <f>VLOOKUP($A48,turnover!$A$184:$Q$192,+S$4-$S$4+3,0)</f>
        <v>0</v>
      </c>
      <c r="T48" s="74">
        <f>VLOOKUP($A48,turnover!$A$184:$Q$192,+T$4-$S$4+3,0)</f>
        <v>0</v>
      </c>
      <c r="U48" s="74">
        <f>VLOOKUP($A48,turnover!$A$184:$Q$192,+U$4-$S$4+3,0)</f>
        <v>0</v>
      </c>
      <c r="V48" s="74">
        <f>VLOOKUP($A48,turnover!$A$184:$Q$192,+V$4-$S$4+3,0)</f>
        <v>0</v>
      </c>
      <c r="W48" s="74">
        <f>VLOOKUP($A48,turnover!$A$184:$Q$192,+W$4-$S$4+3,0)</f>
        <v>0</v>
      </c>
      <c r="X48" s="74">
        <f>VLOOKUP($A48,turnover!$A$184:$Q$192,+X$4-$S$4+3,0)</f>
        <v>0</v>
      </c>
      <c r="Y48" s="74">
        <f>VLOOKUP($A48,turnover!$A$184:$Q$192,+Y$4-$S$4+3,0)</f>
        <v>0</v>
      </c>
      <c r="Z48" s="74">
        <f>VLOOKUP($A48,turnover!$A$184:$Q$192,+Z$4-$S$4+3,0)</f>
        <v>0</v>
      </c>
      <c r="AA48" s="74">
        <f>VLOOKUP($A48,turnover!$A$184:$Q$192,+AA$4-$S$4+3,0)</f>
        <v>0</v>
      </c>
      <c r="AB48" s="74">
        <f>VLOOKUP($A48,turnover!$A$184:$Q$192,+AB$4-$S$4+3,0)</f>
        <v>0</v>
      </c>
      <c r="AC48" s="74">
        <f>VLOOKUP($A48,turnover!$A$184:$Q$192,+AC$4-$S$4+3,0)</f>
        <v>0</v>
      </c>
      <c r="AD48" s="74">
        <f>VLOOKUP($A48,turnover!$A$184:$Q$192,+AD$4-$S$4+3,0)</f>
        <v>0</v>
      </c>
      <c r="AE48" s="74">
        <f>VLOOKUP($A48,turnover!$A$184:$Q$192,+AE$4-$S$4+3,0)</f>
        <v>0</v>
      </c>
      <c r="AF48" s="74">
        <f>VLOOKUP($A48,turnover!$A$184:$Q$192,+AF$4-$S$4+3,0)</f>
        <v>0</v>
      </c>
      <c r="AG48" s="74">
        <f>VLOOKUP($A48,turnover!$A$184:$Q$192,+AG$4-$S$4+3,0)</f>
        <v>0</v>
      </c>
      <c r="AH48" s="61">
        <f t="shared" si="33"/>
        <v>0</v>
      </c>
      <c r="AI48" s="61">
        <f t="shared" si="34"/>
        <v>0</v>
      </c>
      <c r="AJ48" s="61">
        <f t="shared" si="35"/>
        <v>0</v>
      </c>
      <c r="AK48" s="61">
        <f t="shared" si="36"/>
        <v>0</v>
      </c>
      <c r="AL48" s="61">
        <f t="shared" si="37"/>
        <v>0</v>
      </c>
      <c r="AM48" s="61">
        <f t="shared" si="38"/>
        <v>0</v>
      </c>
      <c r="AN48" s="61">
        <f t="shared" si="39"/>
        <v>0</v>
      </c>
      <c r="AO48" s="61">
        <f t="shared" si="40"/>
        <v>0</v>
      </c>
      <c r="AP48" s="61">
        <f t="shared" si="41"/>
        <v>0</v>
      </c>
      <c r="AQ48" s="61">
        <f t="shared" si="42"/>
        <v>0</v>
      </c>
      <c r="AR48" s="61">
        <f t="shared" si="43"/>
        <v>0</v>
      </c>
      <c r="AS48" s="61">
        <f t="shared" si="44"/>
        <v>0</v>
      </c>
      <c r="AT48" s="61">
        <f t="shared" si="45"/>
        <v>0</v>
      </c>
      <c r="AU48" s="61">
        <f t="shared" si="46"/>
        <v>0</v>
      </c>
      <c r="AV48" s="61">
        <f t="shared" si="47"/>
        <v>0</v>
      </c>
      <c r="AW48" s="101">
        <f>VLOOKUP($C48,'Cost RMs'!$B$5:$Q$22,+AW$4-$AW$4+2,0)</f>
        <v>248821</v>
      </c>
      <c r="AX48" s="101">
        <f>VLOOKUP($C48,'Cost RMs'!$B$5:$Q$22,+AX$4-$AW$4+2,0)</f>
        <v>290296</v>
      </c>
      <c r="AY48" s="101">
        <f>VLOOKUP($C48,'Cost RMs'!$B$5:$Q$22,+AY$4-$AW$4+2,0)</f>
        <v>316267</v>
      </c>
      <c r="AZ48" s="101">
        <f>VLOOKUP($C48,'Cost RMs'!$B$5:$Q$22,+AZ$4-$AW$4+2,0)</f>
        <v>337089</v>
      </c>
      <c r="BA48" s="101">
        <f>VLOOKUP($C48,'Cost RMs'!$B$5:$Q$22,+BA$4-$AW$4+2,0)</f>
        <v>408568</v>
      </c>
      <c r="BB48" s="101">
        <f>VLOOKUP($C48,'Cost RMs'!$B$5:$Q$22,+BB$4-$AW$4+2,0)</f>
        <v>457555</v>
      </c>
      <c r="BC48" s="101">
        <f>VLOOKUP($C48,'Cost RMs'!$B$5:$Q$22,+BC$4-$AW$4+2,0)</f>
        <v>512919</v>
      </c>
      <c r="BD48" s="101">
        <f>VLOOKUP($C48,'Cost RMs'!$B$5:$Q$22,+BD$4-$AW$4+2,0)</f>
        <v>574982</v>
      </c>
      <c r="BE48" s="101">
        <f>VLOOKUP($C48,'Cost RMs'!$B$5:$Q$22,+BE$4-$AW$4+2,0)</f>
        <v>644555</v>
      </c>
      <c r="BF48" s="101">
        <f>VLOOKUP($C48,'Cost RMs'!$B$5:$Q$22,+BF$4-$AW$4+2,0)</f>
        <v>722546</v>
      </c>
      <c r="BG48" s="101">
        <f>VLOOKUP($C48,'Cost RMs'!$B$5:$Q$22,+BG$4-$AW$4+2,0)</f>
        <v>809974</v>
      </c>
      <c r="BH48" s="101">
        <f>VLOOKUP($C48,'Cost RMs'!$B$5:$Q$22,+BH$4-$AW$4+2,0)</f>
        <v>907981</v>
      </c>
      <c r="BI48" s="101">
        <f>VLOOKUP($C48,'Cost RMs'!$B$5:$Q$22,+BI$4-$AW$4+2,0)</f>
        <v>1017847</v>
      </c>
      <c r="BJ48" s="101">
        <f>VLOOKUP($C48,'Cost RMs'!$B$5:$Q$22,+BJ$4-$AW$4+2,0)</f>
        <v>1141006</v>
      </c>
      <c r="BK48" s="101">
        <f>VLOOKUP($C48,'Cost RMs'!$B$5:$Q$22,+BK$4-$AW$4+2,0)</f>
        <v>1279068</v>
      </c>
      <c r="BL48" s="102">
        <f t="shared" si="48"/>
        <v>0</v>
      </c>
      <c r="BM48" s="102">
        <f t="shared" si="49"/>
        <v>0</v>
      </c>
      <c r="BN48" s="102">
        <f t="shared" si="50"/>
        <v>0</v>
      </c>
      <c r="BO48" s="102">
        <f t="shared" si="51"/>
        <v>0</v>
      </c>
      <c r="BP48" s="102">
        <f t="shared" si="52"/>
        <v>0</v>
      </c>
      <c r="BQ48" s="102">
        <f t="shared" si="53"/>
        <v>0</v>
      </c>
      <c r="BR48" s="102">
        <f t="shared" si="54"/>
        <v>0</v>
      </c>
      <c r="BS48" s="102">
        <f t="shared" si="55"/>
        <v>0</v>
      </c>
      <c r="BT48" s="102">
        <f t="shared" si="56"/>
        <v>0</v>
      </c>
      <c r="BU48" s="102">
        <f t="shared" si="57"/>
        <v>0</v>
      </c>
      <c r="BV48" s="102">
        <f t="shared" si="58"/>
        <v>0</v>
      </c>
      <c r="BW48" s="102">
        <f t="shared" si="59"/>
        <v>0</v>
      </c>
      <c r="BX48" s="102">
        <f t="shared" si="60"/>
        <v>0</v>
      </c>
      <c r="BY48" s="102">
        <f t="shared" si="61"/>
        <v>0</v>
      </c>
      <c r="BZ48" s="102">
        <f t="shared" si="62"/>
        <v>0</v>
      </c>
    </row>
    <row r="49" spans="1:78" x14ac:dyDescent="0.25">
      <c r="A49" s="26" t="s">
        <v>152</v>
      </c>
      <c r="B49" s="73">
        <v>1</v>
      </c>
      <c r="C49" t="s">
        <v>127</v>
      </c>
      <c r="S49" s="74">
        <f>VLOOKUP($A49,turnover!$A$184:$Q$192,+S$4-$S$4+3,0)</f>
        <v>0</v>
      </c>
      <c r="T49" s="74">
        <f>VLOOKUP($A49,turnover!$A$184:$Q$192,+T$4-$S$4+3,0)</f>
        <v>0</v>
      </c>
      <c r="U49" s="74">
        <f>VLOOKUP($A49,turnover!$A$184:$Q$192,+U$4-$S$4+3,0)</f>
        <v>0</v>
      </c>
      <c r="V49" s="74">
        <f>VLOOKUP($A49,turnover!$A$184:$Q$192,+V$4-$S$4+3,0)</f>
        <v>0</v>
      </c>
      <c r="W49" s="74">
        <f>VLOOKUP($A49,turnover!$A$184:$Q$192,+W$4-$S$4+3,0)</f>
        <v>0</v>
      </c>
      <c r="X49" s="74">
        <f>VLOOKUP($A49,turnover!$A$184:$Q$192,+X$4-$S$4+3,0)</f>
        <v>0</v>
      </c>
      <c r="Y49" s="74">
        <f>VLOOKUP($A49,turnover!$A$184:$Q$192,+Y$4-$S$4+3,0)</f>
        <v>0</v>
      </c>
      <c r="Z49" s="74">
        <f>VLOOKUP($A49,turnover!$A$184:$Q$192,+Z$4-$S$4+3,0)</f>
        <v>0</v>
      </c>
      <c r="AA49" s="74">
        <f>VLOOKUP($A49,turnover!$A$184:$Q$192,+AA$4-$S$4+3,0)</f>
        <v>0</v>
      </c>
      <c r="AB49" s="74">
        <f>VLOOKUP($A49,turnover!$A$184:$Q$192,+AB$4-$S$4+3,0)</f>
        <v>0</v>
      </c>
      <c r="AC49" s="74">
        <f>VLOOKUP($A49,turnover!$A$184:$Q$192,+AC$4-$S$4+3,0)</f>
        <v>0</v>
      </c>
      <c r="AD49" s="74">
        <f>VLOOKUP($A49,turnover!$A$184:$Q$192,+AD$4-$S$4+3,0)</f>
        <v>0</v>
      </c>
      <c r="AE49" s="74">
        <f>VLOOKUP($A49,turnover!$A$184:$Q$192,+AE$4-$S$4+3,0)</f>
        <v>0</v>
      </c>
      <c r="AF49" s="74">
        <f>VLOOKUP($A49,turnover!$A$184:$Q$192,+AF$4-$S$4+3,0)</f>
        <v>0</v>
      </c>
      <c r="AG49" s="74">
        <f>VLOOKUP($A49,turnover!$A$184:$Q$192,+AG$4-$S$4+3,0)</f>
        <v>0</v>
      </c>
      <c r="AH49" s="61">
        <f t="shared" si="33"/>
        <v>0</v>
      </c>
      <c r="AI49" s="61">
        <f t="shared" si="34"/>
        <v>0</v>
      </c>
      <c r="AJ49" s="61">
        <f t="shared" si="35"/>
        <v>0</v>
      </c>
      <c r="AK49" s="61">
        <f t="shared" si="36"/>
        <v>0</v>
      </c>
      <c r="AL49" s="61">
        <f t="shared" si="37"/>
        <v>0</v>
      </c>
      <c r="AM49" s="61">
        <f t="shared" si="38"/>
        <v>0</v>
      </c>
      <c r="AN49" s="61">
        <f t="shared" si="39"/>
        <v>0</v>
      </c>
      <c r="AO49" s="61">
        <f t="shared" si="40"/>
        <v>0</v>
      </c>
      <c r="AP49" s="61">
        <f t="shared" si="41"/>
        <v>0</v>
      </c>
      <c r="AQ49" s="61">
        <f t="shared" si="42"/>
        <v>0</v>
      </c>
      <c r="AR49" s="61">
        <f t="shared" si="43"/>
        <v>0</v>
      </c>
      <c r="AS49" s="61">
        <f t="shared" si="44"/>
        <v>0</v>
      </c>
      <c r="AT49" s="61">
        <f t="shared" si="45"/>
        <v>0</v>
      </c>
      <c r="AU49" s="61">
        <f t="shared" si="46"/>
        <v>0</v>
      </c>
      <c r="AV49" s="61">
        <f t="shared" si="47"/>
        <v>0</v>
      </c>
      <c r="AW49" s="101">
        <f>VLOOKUP($C49,'Cost RMs'!$B$5:$Q$22,+AW$4-$AW$4+2,0)</f>
        <v>31510</v>
      </c>
      <c r="AX49" s="101">
        <f>VLOOKUP($C49,'Cost RMs'!$B$5:$Q$22,+AX$4-$AW$4+2,0)</f>
        <v>40370</v>
      </c>
      <c r="AY49" s="101">
        <f>VLOOKUP($C49,'Cost RMs'!$B$5:$Q$22,+AY$4-$AW$4+2,0)</f>
        <v>41166</v>
      </c>
      <c r="AZ49" s="101">
        <f>VLOOKUP($C49,'Cost RMs'!$B$5:$Q$22,+AZ$4-$AW$4+2,0)</f>
        <v>48881</v>
      </c>
      <c r="BA49" s="101">
        <f>VLOOKUP($C49,'Cost RMs'!$B$5:$Q$22,+BA$4-$AW$4+2,0)</f>
        <v>47121</v>
      </c>
      <c r="BB49" s="101">
        <f ca="1">VLOOKUP($C49,'Cost RMs'!$B$5:$Q$22,+BB$4-$AW$4+2,0)</f>
        <v>50566.413250959507</v>
      </c>
      <c r="BC49" s="101">
        <f ca="1">VLOOKUP($C49,'Cost RMs'!$B$5:$Q$22,+BC$4-$AW$4+2,0)</f>
        <v>56631.49986439231</v>
      </c>
      <c r="BD49" s="101">
        <f ca="1">VLOOKUP($C49,'Cost RMs'!$B$5:$Q$22,+BD$4-$AW$4+2,0)</f>
        <v>63938.797808160256</v>
      </c>
      <c r="BE49" s="101">
        <f ca="1">VLOOKUP($C49,'Cost RMs'!$B$5:$Q$22,+BE$4-$AW$4+2,0)</f>
        <v>72083.206654867696</v>
      </c>
      <c r="BF49" s="101">
        <f ca="1">VLOOKUP($C49,'Cost RMs'!$B$5:$Q$22,+BF$4-$AW$4+2,0)</f>
        <v>81313.760903297516</v>
      </c>
      <c r="BG49" s="101">
        <f ca="1">VLOOKUP($C49,'Cost RMs'!$B$5:$Q$22,+BG$4-$AW$4+2,0)</f>
        <v>91785.423765355576</v>
      </c>
      <c r="BH49" s="101">
        <f ca="1">VLOOKUP($C49,'Cost RMs'!$B$5:$Q$22,+BH$4-$AW$4+2,0)</f>
        <v>103677.12991004685</v>
      </c>
      <c r="BI49" s="101">
        <f ca="1">VLOOKUP($C49,'Cost RMs'!$B$5:$Q$22,+BI$4-$AW$4+2,0)</f>
        <v>117195.56148271105</v>
      </c>
      <c r="BJ49" s="101">
        <f ca="1">VLOOKUP($C49,'Cost RMs'!$B$5:$Q$22,+BJ$4-$AW$4+2,0)</f>
        <v>132580.59576203892</v>
      </c>
      <c r="BK49" s="101">
        <f ca="1">VLOOKUP($C49,'Cost RMs'!$B$5:$Q$22,+BK$4-$AW$4+2,0)</f>
        <v>150111.0973392961</v>
      </c>
      <c r="BL49" s="102">
        <f t="shared" si="48"/>
        <v>0</v>
      </c>
      <c r="BM49" s="102">
        <f t="shared" si="49"/>
        <v>0</v>
      </c>
      <c r="BN49" s="102">
        <f t="shared" si="50"/>
        <v>0</v>
      </c>
      <c r="BO49" s="102">
        <f t="shared" si="51"/>
        <v>0</v>
      </c>
      <c r="BP49" s="102">
        <f t="shared" si="52"/>
        <v>0</v>
      </c>
      <c r="BQ49" s="102">
        <f t="shared" ca="1" si="53"/>
        <v>0</v>
      </c>
      <c r="BR49" s="102">
        <f t="shared" ca="1" si="54"/>
        <v>0</v>
      </c>
      <c r="BS49" s="102">
        <f t="shared" ca="1" si="55"/>
        <v>0</v>
      </c>
      <c r="BT49" s="102">
        <f t="shared" ca="1" si="56"/>
        <v>0</v>
      </c>
      <c r="BU49" s="102">
        <f t="shared" ca="1" si="57"/>
        <v>0</v>
      </c>
      <c r="BV49" s="102">
        <f t="shared" ca="1" si="58"/>
        <v>0</v>
      </c>
      <c r="BW49" s="102">
        <f t="shared" ca="1" si="59"/>
        <v>0</v>
      </c>
      <c r="BX49" s="102">
        <f t="shared" ca="1" si="60"/>
        <v>0</v>
      </c>
      <c r="BY49" s="102">
        <f t="shared" ca="1" si="61"/>
        <v>0</v>
      </c>
      <c r="BZ49" s="102">
        <f t="shared" ca="1" si="62"/>
        <v>0</v>
      </c>
    </row>
    <row r="50" spans="1:78" x14ac:dyDescent="0.25">
      <c r="A50" s="26" t="s">
        <v>152</v>
      </c>
      <c r="B50" s="73">
        <v>1</v>
      </c>
      <c r="C50" s="26" t="s">
        <v>132</v>
      </c>
      <c r="E50">
        <v>0.33600000000000002</v>
      </c>
      <c r="F50">
        <v>0.34</v>
      </c>
      <c r="G50">
        <v>0.33600000000000002</v>
      </c>
      <c r="H50">
        <v>0.33600000000000002</v>
      </c>
      <c r="I50">
        <v>0.33600000000000002</v>
      </c>
      <c r="J50">
        <v>0.33600000000000002</v>
      </c>
      <c r="K50">
        <v>0.33600000000000002</v>
      </c>
      <c r="L50">
        <v>0.33600000000000002</v>
      </c>
      <c r="M50">
        <v>0.33600000000000002</v>
      </c>
      <c r="N50">
        <v>0.33600000000000002</v>
      </c>
      <c r="O50">
        <v>0.33600000000000002</v>
      </c>
      <c r="P50">
        <v>0.33600000000000002</v>
      </c>
      <c r="Q50">
        <v>0.33600000000000002</v>
      </c>
      <c r="R50">
        <v>0.33600000000000002</v>
      </c>
      <c r="S50" s="74">
        <f>VLOOKUP($A50,turnover!$A$184:$Q$192,+S$4-$S$4+3,0)</f>
        <v>0</v>
      </c>
      <c r="T50" s="74">
        <f>VLOOKUP($A50,turnover!$A$184:$Q$192,+T$4-$S$4+3,0)</f>
        <v>0</v>
      </c>
      <c r="U50" s="74">
        <f>VLOOKUP($A50,turnover!$A$184:$Q$192,+U$4-$S$4+3,0)</f>
        <v>0</v>
      </c>
      <c r="V50" s="74">
        <f>VLOOKUP($A50,turnover!$A$184:$Q$192,+V$4-$S$4+3,0)</f>
        <v>0</v>
      </c>
      <c r="W50" s="74">
        <f>VLOOKUP($A50,turnover!$A$184:$Q$192,+W$4-$S$4+3,0)</f>
        <v>0</v>
      </c>
      <c r="X50" s="74">
        <f>VLOOKUP($A50,turnover!$A$184:$Q$192,+X$4-$S$4+3,0)</f>
        <v>0</v>
      </c>
      <c r="Y50" s="74">
        <f>VLOOKUP($A50,turnover!$A$184:$Q$192,+Y$4-$S$4+3,0)</f>
        <v>0</v>
      </c>
      <c r="Z50" s="74">
        <f>VLOOKUP($A50,turnover!$A$184:$Q$192,+Z$4-$S$4+3,0)</f>
        <v>0</v>
      </c>
      <c r="AA50" s="74">
        <f>VLOOKUP($A50,turnover!$A$184:$Q$192,+AA$4-$S$4+3,0)</f>
        <v>0</v>
      </c>
      <c r="AB50" s="74">
        <f>VLOOKUP($A50,turnover!$A$184:$Q$192,+AB$4-$S$4+3,0)</f>
        <v>0</v>
      </c>
      <c r="AC50" s="74">
        <f>VLOOKUP($A50,turnover!$A$184:$Q$192,+AC$4-$S$4+3,0)</f>
        <v>0</v>
      </c>
      <c r="AD50" s="74">
        <f>VLOOKUP($A50,turnover!$A$184:$Q$192,+AD$4-$S$4+3,0)</f>
        <v>0</v>
      </c>
      <c r="AE50" s="74">
        <f>VLOOKUP($A50,turnover!$A$184:$Q$192,+AE$4-$S$4+3,0)</f>
        <v>0</v>
      </c>
      <c r="AF50" s="74">
        <f>VLOOKUP($A50,turnover!$A$184:$Q$192,+AF$4-$S$4+3,0)</f>
        <v>0</v>
      </c>
      <c r="AG50" s="74">
        <f>VLOOKUP($A50,turnover!$A$184:$Q$192,+AG$4-$S$4+3,0)</f>
        <v>0</v>
      </c>
      <c r="AH50" s="61">
        <f t="shared" si="33"/>
        <v>0</v>
      </c>
      <c r="AI50" s="61">
        <f t="shared" si="34"/>
        <v>0</v>
      </c>
      <c r="AJ50" s="61">
        <f t="shared" si="35"/>
        <v>0</v>
      </c>
      <c r="AK50" s="61">
        <f t="shared" si="36"/>
        <v>0</v>
      </c>
      <c r="AL50" s="61">
        <f t="shared" si="37"/>
        <v>0</v>
      </c>
      <c r="AM50" s="61">
        <f t="shared" si="38"/>
        <v>0</v>
      </c>
      <c r="AN50" s="61">
        <f t="shared" si="39"/>
        <v>0</v>
      </c>
      <c r="AO50" s="61">
        <f t="shared" si="40"/>
        <v>0</v>
      </c>
      <c r="AP50" s="61">
        <f t="shared" si="41"/>
        <v>0</v>
      </c>
      <c r="AQ50" s="61">
        <f t="shared" si="42"/>
        <v>0</v>
      </c>
      <c r="AR50" s="61">
        <f t="shared" si="43"/>
        <v>0</v>
      </c>
      <c r="AS50" s="61">
        <f t="shared" si="44"/>
        <v>0</v>
      </c>
      <c r="AT50" s="61">
        <f t="shared" si="45"/>
        <v>0</v>
      </c>
      <c r="AU50" s="61">
        <f t="shared" si="46"/>
        <v>0</v>
      </c>
      <c r="AV50" s="61">
        <f t="shared" si="47"/>
        <v>0</v>
      </c>
      <c r="AW50" s="101">
        <f>VLOOKUP($C50,'Cost RMs'!$B$5:$Q$22,+AW$4-$AW$4+2,0)</f>
        <v>37079</v>
      </c>
      <c r="AX50" s="101">
        <f>VLOOKUP($C50,'Cost RMs'!$B$5:$Q$22,+AX$4-$AW$4+2,0)</f>
        <v>52416</v>
      </c>
      <c r="AY50" s="101">
        <f>VLOOKUP($C50,'Cost RMs'!$B$5:$Q$22,+AY$4-$AW$4+2,0)</f>
        <v>45564</v>
      </c>
      <c r="AZ50" s="101">
        <f>VLOOKUP($C50,'Cost RMs'!$B$5:$Q$22,+AZ$4-$AW$4+2,0)</f>
        <v>49142</v>
      </c>
      <c r="BA50" s="101">
        <f>VLOOKUP($C50,'Cost RMs'!$B$5:$Q$22,+BA$4-$AW$4+2,0)</f>
        <v>50394</v>
      </c>
      <c r="BB50" s="101">
        <f>VLOOKUP($C50,'Cost RMs'!$B$5:$Q$22,+BB$4-$AW$4+2,0)</f>
        <v>56436</v>
      </c>
      <c r="BC50" s="101">
        <f>VLOOKUP($C50,'Cost RMs'!$B$5:$Q$22,+BC$4-$AW$4+2,0)</f>
        <v>63265</v>
      </c>
      <c r="BD50" s="101">
        <f>VLOOKUP($C50,'Cost RMs'!$B$5:$Q$22,+BD$4-$AW$4+2,0)</f>
        <v>70920</v>
      </c>
      <c r="BE50" s="101">
        <f>VLOOKUP($C50,'Cost RMs'!$B$5:$Q$22,+BE$4-$AW$4+2,0)</f>
        <v>79501</v>
      </c>
      <c r="BF50" s="101">
        <f>VLOOKUP($C50,'Cost RMs'!$B$5:$Q$22,+BF$4-$AW$4+2,0)</f>
        <v>89121</v>
      </c>
      <c r="BG50" s="101">
        <f>VLOOKUP($C50,'Cost RMs'!$B$5:$Q$22,+BG$4-$AW$4+2,0)</f>
        <v>99905</v>
      </c>
      <c r="BH50" s="101">
        <f>VLOOKUP($C50,'Cost RMs'!$B$5:$Q$22,+BH$4-$AW$4+2,0)</f>
        <v>111994</v>
      </c>
      <c r="BI50" s="101">
        <f>VLOOKUP($C50,'Cost RMs'!$B$5:$Q$22,+BI$4-$AW$4+2,0)</f>
        <v>125545</v>
      </c>
      <c r="BJ50" s="101">
        <f>VLOOKUP($C50,'Cost RMs'!$B$5:$Q$22,+BJ$4-$AW$4+2,0)</f>
        <v>140736</v>
      </c>
      <c r="BK50" s="101">
        <f>VLOOKUP($C50,'Cost RMs'!$B$5:$Q$22,+BK$4-$AW$4+2,0)</f>
        <v>157765</v>
      </c>
      <c r="BL50" s="102">
        <f t="shared" si="48"/>
        <v>0</v>
      </c>
      <c r="BM50" s="102">
        <f t="shared" si="49"/>
        <v>0</v>
      </c>
      <c r="BN50" s="102">
        <f t="shared" si="50"/>
        <v>0</v>
      </c>
      <c r="BO50" s="102">
        <f t="shared" si="51"/>
        <v>0</v>
      </c>
      <c r="BP50" s="102">
        <f t="shared" si="52"/>
        <v>0</v>
      </c>
      <c r="BQ50" s="102">
        <f t="shared" si="53"/>
        <v>0</v>
      </c>
      <c r="BR50" s="102">
        <f t="shared" si="54"/>
        <v>0</v>
      </c>
      <c r="BS50" s="102">
        <f t="shared" si="55"/>
        <v>0</v>
      </c>
      <c r="BT50" s="102">
        <f t="shared" si="56"/>
        <v>0</v>
      </c>
      <c r="BU50" s="102">
        <f t="shared" si="57"/>
        <v>0</v>
      </c>
      <c r="BV50" s="102">
        <f t="shared" si="58"/>
        <v>0</v>
      </c>
      <c r="BW50" s="102">
        <f t="shared" si="59"/>
        <v>0</v>
      </c>
      <c r="BX50" s="102">
        <f t="shared" si="60"/>
        <v>0</v>
      </c>
      <c r="BY50" s="102">
        <f t="shared" si="61"/>
        <v>0</v>
      </c>
      <c r="BZ50" s="102">
        <f t="shared" si="62"/>
        <v>0</v>
      </c>
    </row>
    <row r="51" spans="1:78" x14ac:dyDescent="0.25">
      <c r="A51" s="26" t="s">
        <v>152</v>
      </c>
      <c r="B51" s="73">
        <v>1</v>
      </c>
      <c r="C51" t="s">
        <v>128</v>
      </c>
      <c r="S51" s="74">
        <f>VLOOKUP($A51,turnover!$A$184:$Q$192,+S$4-$S$4+3,0)</f>
        <v>0</v>
      </c>
      <c r="T51" s="74">
        <f>VLOOKUP($A51,turnover!$A$184:$Q$192,+T$4-$S$4+3,0)</f>
        <v>0</v>
      </c>
      <c r="U51" s="74">
        <f>VLOOKUP($A51,turnover!$A$184:$Q$192,+U$4-$S$4+3,0)</f>
        <v>0</v>
      </c>
      <c r="V51" s="74">
        <f>VLOOKUP($A51,turnover!$A$184:$Q$192,+V$4-$S$4+3,0)</f>
        <v>0</v>
      </c>
      <c r="W51" s="74">
        <f>VLOOKUP($A51,turnover!$A$184:$Q$192,+W$4-$S$4+3,0)</f>
        <v>0</v>
      </c>
      <c r="X51" s="74">
        <f>VLOOKUP($A51,turnover!$A$184:$Q$192,+X$4-$S$4+3,0)</f>
        <v>0</v>
      </c>
      <c r="Y51" s="74">
        <f>VLOOKUP($A51,turnover!$A$184:$Q$192,+Y$4-$S$4+3,0)</f>
        <v>0</v>
      </c>
      <c r="Z51" s="74">
        <f>VLOOKUP($A51,turnover!$A$184:$Q$192,+Z$4-$S$4+3,0)</f>
        <v>0</v>
      </c>
      <c r="AA51" s="74">
        <f>VLOOKUP($A51,turnover!$A$184:$Q$192,+AA$4-$S$4+3,0)</f>
        <v>0</v>
      </c>
      <c r="AB51" s="74">
        <f>VLOOKUP($A51,turnover!$A$184:$Q$192,+AB$4-$S$4+3,0)</f>
        <v>0</v>
      </c>
      <c r="AC51" s="74">
        <f>VLOOKUP($A51,turnover!$A$184:$Q$192,+AC$4-$S$4+3,0)</f>
        <v>0</v>
      </c>
      <c r="AD51" s="74">
        <f>VLOOKUP($A51,turnover!$A$184:$Q$192,+AD$4-$S$4+3,0)</f>
        <v>0</v>
      </c>
      <c r="AE51" s="74">
        <f>VLOOKUP($A51,turnover!$A$184:$Q$192,+AE$4-$S$4+3,0)</f>
        <v>0</v>
      </c>
      <c r="AF51" s="74">
        <f>VLOOKUP($A51,turnover!$A$184:$Q$192,+AF$4-$S$4+3,0)</f>
        <v>0</v>
      </c>
      <c r="AG51" s="74">
        <f>VLOOKUP($A51,turnover!$A$184:$Q$192,+AG$4-$S$4+3,0)</f>
        <v>0</v>
      </c>
      <c r="AH51" s="61">
        <f t="shared" si="33"/>
        <v>0</v>
      </c>
      <c r="AI51" s="61">
        <f t="shared" si="34"/>
        <v>0</v>
      </c>
      <c r="AJ51" s="61">
        <f t="shared" si="35"/>
        <v>0</v>
      </c>
      <c r="AK51" s="61">
        <f t="shared" si="36"/>
        <v>0</v>
      </c>
      <c r="AL51" s="61">
        <f t="shared" si="37"/>
        <v>0</v>
      </c>
      <c r="AM51" s="61">
        <f t="shared" si="38"/>
        <v>0</v>
      </c>
      <c r="AN51" s="61">
        <f t="shared" si="39"/>
        <v>0</v>
      </c>
      <c r="AO51" s="61">
        <f t="shared" si="40"/>
        <v>0</v>
      </c>
      <c r="AP51" s="61">
        <f t="shared" si="41"/>
        <v>0</v>
      </c>
      <c r="AQ51" s="61">
        <f t="shared" si="42"/>
        <v>0</v>
      </c>
      <c r="AR51" s="61">
        <f t="shared" si="43"/>
        <v>0</v>
      </c>
      <c r="AS51" s="61">
        <f t="shared" si="44"/>
        <v>0</v>
      </c>
      <c r="AT51" s="61">
        <f t="shared" si="45"/>
        <v>0</v>
      </c>
      <c r="AU51" s="61">
        <f t="shared" si="46"/>
        <v>0</v>
      </c>
      <c r="AV51" s="61">
        <f t="shared" si="47"/>
        <v>0</v>
      </c>
      <c r="AW51" s="101">
        <f>VLOOKUP($C51,'Cost RMs'!$B$5:$Q$22,+AW$4-$AW$4+2,0)</f>
        <v>0</v>
      </c>
      <c r="AX51" s="101">
        <f>VLOOKUP($C51,'Cost RMs'!$B$5:$Q$22,+AX$4-$AW$4+2,0)</f>
        <v>0</v>
      </c>
      <c r="AY51" s="101">
        <f>VLOOKUP($C51,'Cost RMs'!$B$5:$Q$22,+AY$4-$AW$4+2,0)</f>
        <v>0</v>
      </c>
      <c r="AZ51" s="101">
        <f>VLOOKUP($C51,'Cost RMs'!$B$5:$Q$22,+AZ$4-$AW$4+2,0)</f>
        <v>0</v>
      </c>
      <c r="BA51" s="101">
        <f>VLOOKUP($C51,'Cost RMs'!$B$5:$Q$22,+BA$4-$AW$4+2,0)</f>
        <v>0</v>
      </c>
      <c r="BB51" s="101">
        <f>VLOOKUP($C51,'Cost RMs'!$B$5:$Q$22,+BB$4-$AW$4+2,0)</f>
        <v>0</v>
      </c>
      <c r="BC51" s="101">
        <f>VLOOKUP($C51,'Cost RMs'!$B$5:$Q$22,+BC$4-$AW$4+2,0)</f>
        <v>0</v>
      </c>
      <c r="BD51" s="101">
        <f>VLOOKUP($C51,'Cost RMs'!$B$5:$Q$22,+BD$4-$AW$4+2,0)</f>
        <v>0</v>
      </c>
      <c r="BE51" s="101">
        <f>VLOOKUP($C51,'Cost RMs'!$B$5:$Q$22,+BE$4-$AW$4+2,0)</f>
        <v>0</v>
      </c>
      <c r="BF51" s="101">
        <f>VLOOKUP($C51,'Cost RMs'!$B$5:$Q$22,+BF$4-$AW$4+2,0)</f>
        <v>0</v>
      </c>
      <c r="BG51" s="101">
        <f>VLOOKUP($C51,'Cost RMs'!$B$5:$Q$22,+BG$4-$AW$4+2,0)</f>
        <v>0</v>
      </c>
      <c r="BH51" s="101">
        <f>VLOOKUP($C51,'Cost RMs'!$B$5:$Q$22,+BH$4-$AW$4+2,0)</f>
        <v>0</v>
      </c>
      <c r="BI51" s="101">
        <f>VLOOKUP($C51,'Cost RMs'!$B$5:$Q$22,+BI$4-$AW$4+2,0)</f>
        <v>0</v>
      </c>
      <c r="BJ51" s="101">
        <f>VLOOKUP($C51,'Cost RMs'!$B$5:$Q$22,+BJ$4-$AW$4+2,0)</f>
        <v>0</v>
      </c>
      <c r="BK51" s="101">
        <f>VLOOKUP($C51,'Cost RMs'!$B$5:$Q$22,+BK$4-$AW$4+2,0)</f>
        <v>0</v>
      </c>
      <c r="BL51" s="102">
        <f t="shared" si="48"/>
        <v>0</v>
      </c>
      <c r="BM51" s="102">
        <f t="shared" si="49"/>
        <v>0</v>
      </c>
      <c r="BN51" s="102">
        <f t="shared" si="50"/>
        <v>0</v>
      </c>
      <c r="BO51" s="102">
        <f t="shared" si="51"/>
        <v>0</v>
      </c>
      <c r="BP51" s="102">
        <f t="shared" si="52"/>
        <v>0</v>
      </c>
      <c r="BQ51" s="102">
        <f t="shared" si="53"/>
        <v>0</v>
      </c>
      <c r="BR51" s="102">
        <f t="shared" si="54"/>
        <v>0</v>
      </c>
      <c r="BS51" s="102">
        <f t="shared" si="55"/>
        <v>0</v>
      </c>
      <c r="BT51" s="102">
        <f t="shared" si="56"/>
        <v>0</v>
      </c>
      <c r="BU51" s="102">
        <f t="shared" si="57"/>
        <v>0</v>
      </c>
      <c r="BV51" s="102">
        <f t="shared" si="58"/>
        <v>0</v>
      </c>
      <c r="BW51" s="102">
        <f t="shared" si="59"/>
        <v>0</v>
      </c>
      <c r="BX51" s="102">
        <f t="shared" si="60"/>
        <v>0</v>
      </c>
      <c r="BY51" s="102">
        <f t="shared" si="61"/>
        <v>0</v>
      </c>
      <c r="BZ51" s="102">
        <f t="shared" si="62"/>
        <v>0</v>
      </c>
    </row>
    <row r="52" spans="1:78" x14ac:dyDescent="0.25">
      <c r="A52" s="26" t="s">
        <v>152</v>
      </c>
      <c r="B52" s="73">
        <v>1</v>
      </c>
      <c r="C52" t="s">
        <v>129</v>
      </c>
      <c r="E52" s="71">
        <v>0.10638</v>
      </c>
      <c r="F52" s="71">
        <v>0.10638</v>
      </c>
      <c r="G52" s="71">
        <v>0.10638</v>
      </c>
      <c r="H52" s="71">
        <v>0.10638</v>
      </c>
      <c r="I52" s="71">
        <v>0.10638</v>
      </c>
      <c r="J52" s="71">
        <v>0.10638</v>
      </c>
      <c r="K52" s="71">
        <v>0.10638</v>
      </c>
      <c r="L52" s="71">
        <v>0.10638</v>
      </c>
      <c r="M52" s="71">
        <v>0.10638</v>
      </c>
      <c r="N52" s="71">
        <v>0.10638</v>
      </c>
      <c r="O52" s="71">
        <v>0.10638</v>
      </c>
      <c r="P52" s="71">
        <v>0.10638</v>
      </c>
      <c r="Q52" s="71">
        <v>0.10638</v>
      </c>
      <c r="R52" s="71">
        <v>0.10638</v>
      </c>
      <c r="S52" s="74">
        <f>VLOOKUP($A52,turnover!$A$184:$Q$192,+S$4-$S$4+3,0)</f>
        <v>0</v>
      </c>
      <c r="T52" s="74">
        <f>VLOOKUP($A52,turnover!$A$184:$Q$192,+T$4-$S$4+3,0)</f>
        <v>0</v>
      </c>
      <c r="U52" s="74">
        <f>VLOOKUP($A52,turnover!$A$184:$Q$192,+U$4-$S$4+3,0)</f>
        <v>0</v>
      </c>
      <c r="V52" s="74">
        <f>VLOOKUP($A52,turnover!$A$184:$Q$192,+V$4-$S$4+3,0)</f>
        <v>0</v>
      </c>
      <c r="W52" s="74">
        <f>VLOOKUP($A52,turnover!$A$184:$Q$192,+W$4-$S$4+3,0)</f>
        <v>0</v>
      </c>
      <c r="X52" s="74">
        <f>VLOOKUP($A52,turnover!$A$184:$Q$192,+X$4-$S$4+3,0)</f>
        <v>0</v>
      </c>
      <c r="Y52" s="74">
        <f>VLOOKUP($A52,turnover!$A$184:$Q$192,+Y$4-$S$4+3,0)</f>
        <v>0</v>
      </c>
      <c r="Z52" s="74">
        <f>VLOOKUP($A52,turnover!$A$184:$Q$192,+Z$4-$S$4+3,0)</f>
        <v>0</v>
      </c>
      <c r="AA52" s="74">
        <f>VLOOKUP($A52,turnover!$A$184:$Q$192,+AA$4-$S$4+3,0)</f>
        <v>0</v>
      </c>
      <c r="AB52" s="74">
        <f>VLOOKUP($A52,turnover!$A$184:$Q$192,+AB$4-$S$4+3,0)</f>
        <v>0</v>
      </c>
      <c r="AC52" s="74">
        <f>VLOOKUP($A52,turnover!$A$184:$Q$192,+AC$4-$S$4+3,0)</f>
        <v>0</v>
      </c>
      <c r="AD52" s="74">
        <f>VLOOKUP($A52,turnover!$A$184:$Q$192,+AD$4-$S$4+3,0)</f>
        <v>0</v>
      </c>
      <c r="AE52" s="74">
        <f>VLOOKUP($A52,turnover!$A$184:$Q$192,+AE$4-$S$4+3,0)</f>
        <v>0</v>
      </c>
      <c r="AF52" s="74">
        <f>VLOOKUP($A52,turnover!$A$184:$Q$192,+AF$4-$S$4+3,0)</f>
        <v>0</v>
      </c>
      <c r="AG52" s="74">
        <f>VLOOKUP($A52,turnover!$A$184:$Q$192,+AG$4-$S$4+3,0)</f>
        <v>0</v>
      </c>
      <c r="AH52" s="61">
        <f t="shared" si="33"/>
        <v>0</v>
      </c>
      <c r="AI52" s="61">
        <f t="shared" si="34"/>
        <v>0</v>
      </c>
      <c r="AJ52" s="61">
        <f t="shared" si="35"/>
        <v>0</v>
      </c>
      <c r="AK52" s="61">
        <f t="shared" si="36"/>
        <v>0</v>
      </c>
      <c r="AL52" s="61">
        <f t="shared" si="37"/>
        <v>0</v>
      </c>
      <c r="AM52" s="61">
        <f t="shared" si="38"/>
        <v>0</v>
      </c>
      <c r="AN52" s="61">
        <f t="shared" si="39"/>
        <v>0</v>
      </c>
      <c r="AO52" s="61">
        <f t="shared" si="40"/>
        <v>0</v>
      </c>
      <c r="AP52" s="61">
        <f t="shared" si="41"/>
        <v>0</v>
      </c>
      <c r="AQ52" s="61">
        <f t="shared" si="42"/>
        <v>0</v>
      </c>
      <c r="AR52" s="61">
        <f t="shared" si="43"/>
        <v>0</v>
      </c>
      <c r="AS52" s="61">
        <f t="shared" si="44"/>
        <v>0</v>
      </c>
      <c r="AT52" s="61">
        <f t="shared" si="45"/>
        <v>0</v>
      </c>
      <c r="AU52" s="61">
        <f t="shared" si="46"/>
        <v>0</v>
      </c>
      <c r="AV52" s="61">
        <f t="shared" si="47"/>
        <v>0</v>
      </c>
      <c r="AW52" s="101">
        <f>VLOOKUP($C52,'Cost RMs'!$B$5:$Q$22,+AW$4-$AW$4+2,0)</f>
        <v>40086</v>
      </c>
      <c r="AX52" s="101">
        <f>VLOOKUP($C52,'Cost RMs'!$B$5:$Q$22,+AX$4-$AW$4+2,0)</f>
        <v>56197</v>
      </c>
      <c r="AY52" s="101">
        <f>VLOOKUP($C52,'Cost RMs'!$B$5:$Q$22,+AY$4-$AW$4+2,0)</f>
        <v>64582</v>
      </c>
      <c r="AZ52" s="101">
        <f>VLOOKUP($C52,'Cost RMs'!$B$5:$Q$22,+AZ$4-$AW$4+2,0)</f>
        <v>76567</v>
      </c>
      <c r="BA52" s="101">
        <f ca="1">VLOOKUP($C52,'Cost RMs'!$B$5:$Q$22,+BA$4-$AW$4+2,0)</f>
        <v>86638</v>
      </c>
      <c r="BB52" s="101">
        <f ca="1">VLOOKUP($C52,'Cost RMs'!$B$5:$Q$22,+BB$4-$AW$4+2,0)</f>
        <v>97026</v>
      </c>
      <c r="BC52" s="101">
        <f ca="1">VLOOKUP($C52,'Cost RMs'!$B$5:$Q$22,+BC$4-$AW$4+2,0)</f>
        <v>108766</v>
      </c>
      <c r="BD52" s="101">
        <f ca="1">VLOOKUP($C52,'Cost RMs'!$B$5:$Q$22,+BD$4-$AW$4+2,0)</f>
        <v>121927</v>
      </c>
      <c r="BE52" s="101">
        <f ca="1">VLOOKUP($C52,'Cost RMs'!$B$5:$Q$22,+BE$4-$AW$4+2,0)</f>
        <v>136680</v>
      </c>
      <c r="BF52" s="101">
        <f ca="1">VLOOKUP($C52,'Cost RMs'!$B$5:$Q$22,+BF$4-$AW$4+2,0)</f>
        <v>153218</v>
      </c>
      <c r="BG52" s="101">
        <f ca="1">VLOOKUP($C52,'Cost RMs'!$B$5:$Q$22,+BG$4-$AW$4+2,0)</f>
        <v>171757</v>
      </c>
      <c r="BH52" s="101">
        <f ca="1">VLOOKUP($C52,'Cost RMs'!$B$5:$Q$22,+BH$4-$AW$4+2,0)</f>
        <v>192540</v>
      </c>
      <c r="BI52" s="101">
        <f ca="1">VLOOKUP($C52,'Cost RMs'!$B$5:$Q$22,+BI$4-$AW$4+2,0)</f>
        <v>215837</v>
      </c>
      <c r="BJ52" s="101">
        <f ca="1">VLOOKUP($C52,'Cost RMs'!$B$5:$Q$22,+BJ$4-$AW$4+2,0)</f>
        <v>241953</v>
      </c>
      <c r="BK52" s="101">
        <f ca="1">VLOOKUP($C52,'Cost RMs'!$B$5:$Q$22,+BK$4-$AW$4+2,0)</f>
        <v>271229</v>
      </c>
      <c r="BL52" s="102">
        <f t="shared" si="48"/>
        <v>0</v>
      </c>
      <c r="BM52" s="102">
        <f t="shared" si="49"/>
        <v>0</v>
      </c>
      <c r="BN52" s="102">
        <f t="shared" si="50"/>
        <v>0</v>
      </c>
      <c r="BO52" s="102">
        <f t="shared" si="51"/>
        <v>0</v>
      </c>
      <c r="BP52" s="102">
        <f t="shared" ca="1" si="52"/>
        <v>0</v>
      </c>
      <c r="BQ52" s="102">
        <f t="shared" ca="1" si="53"/>
        <v>0</v>
      </c>
      <c r="BR52" s="102">
        <f t="shared" ca="1" si="54"/>
        <v>0</v>
      </c>
      <c r="BS52" s="102">
        <f t="shared" ca="1" si="55"/>
        <v>0</v>
      </c>
      <c r="BT52" s="102">
        <f t="shared" ca="1" si="56"/>
        <v>0</v>
      </c>
      <c r="BU52" s="102">
        <f t="shared" ca="1" si="57"/>
        <v>0</v>
      </c>
      <c r="BV52" s="102">
        <f t="shared" ca="1" si="58"/>
        <v>0</v>
      </c>
      <c r="BW52" s="102">
        <f t="shared" ca="1" si="59"/>
        <v>0</v>
      </c>
      <c r="BX52" s="102">
        <f t="shared" ca="1" si="60"/>
        <v>0</v>
      </c>
      <c r="BY52" s="102">
        <f t="shared" ca="1" si="61"/>
        <v>0</v>
      </c>
      <c r="BZ52" s="102">
        <f t="shared" ca="1" si="62"/>
        <v>0</v>
      </c>
    </row>
    <row r="53" spans="1:78" x14ac:dyDescent="0.25">
      <c r="A53" s="26" t="s">
        <v>152</v>
      </c>
      <c r="B53" s="73">
        <v>1</v>
      </c>
      <c r="C53" t="s">
        <v>130</v>
      </c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74">
        <f>VLOOKUP($A53,turnover!$A$184:$Q$192,+S$4-$S$4+3,0)</f>
        <v>0</v>
      </c>
      <c r="T53" s="74">
        <f>VLOOKUP($A53,turnover!$A$184:$Q$192,+T$4-$S$4+3,0)</f>
        <v>0</v>
      </c>
      <c r="U53" s="74">
        <f>VLOOKUP($A53,turnover!$A$184:$Q$192,+U$4-$S$4+3,0)</f>
        <v>0</v>
      </c>
      <c r="V53" s="74">
        <f>VLOOKUP($A53,turnover!$A$184:$Q$192,+V$4-$S$4+3,0)</f>
        <v>0</v>
      </c>
      <c r="W53" s="74">
        <f>VLOOKUP($A53,turnover!$A$184:$Q$192,+W$4-$S$4+3,0)</f>
        <v>0</v>
      </c>
      <c r="X53" s="74">
        <f>VLOOKUP($A53,turnover!$A$184:$Q$192,+X$4-$S$4+3,0)</f>
        <v>0</v>
      </c>
      <c r="Y53" s="74">
        <f>VLOOKUP($A53,turnover!$A$184:$Q$192,+Y$4-$S$4+3,0)</f>
        <v>0</v>
      </c>
      <c r="Z53" s="74">
        <f>VLOOKUP($A53,turnover!$A$184:$Q$192,+Z$4-$S$4+3,0)</f>
        <v>0</v>
      </c>
      <c r="AA53" s="74">
        <f>VLOOKUP($A53,turnover!$A$184:$Q$192,+AA$4-$S$4+3,0)</f>
        <v>0</v>
      </c>
      <c r="AB53" s="74">
        <f>VLOOKUP($A53,turnover!$A$184:$Q$192,+AB$4-$S$4+3,0)</f>
        <v>0</v>
      </c>
      <c r="AC53" s="74">
        <f>VLOOKUP($A53,turnover!$A$184:$Q$192,+AC$4-$S$4+3,0)</f>
        <v>0</v>
      </c>
      <c r="AD53" s="74">
        <f>VLOOKUP($A53,turnover!$A$184:$Q$192,+AD$4-$S$4+3,0)</f>
        <v>0</v>
      </c>
      <c r="AE53" s="74">
        <f>VLOOKUP($A53,turnover!$A$184:$Q$192,+AE$4-$S$4+3,0)</f>
        <v>0</v>
      </c>
      <c r="AF53" s="74">
        <f>VLOOKUP($A53,turnover!$A$184:$Q$192,+AF$4-$S$4+3,0)</f>
        <v>0</v>
      </c>
      <c r="AG53" s="74">
        <f>VLOOKUP($A53,turnover!$A$184:$Q$192,+AG$4-$S$4+3,0)</f>
        <v>0</v>
      </c>
      <c r="AH53" s="61">
        <f t="shared" si="33"/>
        <v>0</v>
      </c>
      <c r="AI53" s="61">
        <f t="shared" si="34"/>
        <v>0</v>
      </c>
      <c r="AJ53" s="61">
        <f t="shared" si="35"/>
        <v>0</v>
      </c>
      <c r="AK53" s="61">
        <f t="shared" si="36"/>
        <v>0</v>
      </c>
      <c r="AL53" s="61">
        <f t="shared" si="37"/>
        <v>0</v>
      </c>
      <c r="AM53" s="61">
        <f t="shared" si="38"/>
        <v>0</v>
      </c>
      <c r="AN53" s="61">
        <f t="shared" si="39"/>
        <v>0</v>
      </c>
      <c r="AO53" s="61">
        <f t="shared" si="40"/>
        <v>0</v>
      </c>
      <c r="AP53" s="61">
        <f t="shared" si="41"/>
        <v>0</v>
      </c>
      <c r="AQ53" s="61">
        <f t="shared" si="42"/>
        <v>0</v>
      </c>
      <c r="AR53" s="61">
        <f t="shared" si="43"/>
        <v>0</v>
      </c>
      <c r="AS53" s="61">
        <f t="shared" si="44"/>
        <v>0</v>
      </c>
      <c r="AT53" s="61">
        <f t="shared" si="45"/>
        <v>0</v>
      </c>
      <c r="AU53" s="61">
        <f t="shared" si="46"/>
        <v>0</v>
      </c>
      <c r="AV53" s="61">
        <f t="shared" si="47"/>
        <v>0</v>
      </c>
      <c r="AW53" s="101">
        <f>VLOOKUP($C53,'Cost RMs'!$B$5:$Q$22,+AW$4-$AW$4+2,0)</f>
        <v>42500</v>
      </c>
      <c r="AX53" s="101">
        <f>VLOOKUP($C53,'Cost RMs'!$B$5:$Q$22,+AX$4-$AW$4+2,0)</f>
        <v>63692</v>
      </c>
      <c r="AY53" s="101">
        <f>VLOOKUP($C53,'Cost RMs'!$B$5:$Q$22,+AY$4-$AW$4+2,0)</f>
        <v>71301</v>
      </c>
      <c r="AZ53" s="101">
        <f>VLOOKUP($C53,'Cost RMs'!$B$5:$Q$22,+AZ$4-$AW$4+2,0)</f>
        <v>82665</v>
      </c>
      <c r="BA53" s="101">
        <f ca="1">VLOOKUP($C53,'Cost RMs'!$B$5:$Q$22,+BA$4-$AW$4+2,0)</f>
        <v>96790</v>
      </c>
      <c r="BB53" s="101">
        <f ca="1">VLOOKUP($C53,'Cost RMs'!$B$5:$Q$22,+BB$4-$AW$4+2,0)</f>
        <v>108395</v>
      </c>
      <c r="BC53" s="101">
        <f ca="1">VLOOKUP($C53,'Cost RMs'!$B$5:$Q$22,+BC$4-$AW$4+2,0)</f>
        <v>121511</v>
      </c>
      <c r="BD53" s="101">
        <f ca="1">VLOOKUP($C53,'Cost RMs'!$B$5:$Q$22,+BD$4-$AW$4+2,0)</f>
        <v>136214</v>
      </c>
      <c r="BE53" s="101">
        <f ca="1">VLOOKUP($C53,'Cost RMs'!$B$5:$Q$22,+BE$4-$AW$4+2,0)</f>
        <v>152696</v>
      </c>
      <c r="BF53" s="101">
        <f ca="1">VLOOKUP($C53,'Cost RMs'!$B$5:$Q$22,+BF$4-$AW$4+2,0)</f>
        <v>171172</v>
      </c>
      <c r="BG53" s="101">
        <f ca="1">VLOOKUP($C53,'Cost RMs'!$B$5:$Q$22,+BG$4-$AW$4+2,0)</f>
        <v>191884</v>
      </c>
      <c r="BH53" s="101">
        <f ca="1">VLOOKUP($C53,'Cost RMs'!$B$5:$Q$22,+BH$4-$AW$4+2,0)</f>
        <v>215102</v>
      </c>
      <c r="BI53" s="101">
        <f ca="1">VLOOKUP($C53,'Cost RMs'!$B$5:$Q$22,+BI$4-$AW$4+2,0)</f>
        <v>241129</v>
      </c>
      <c r="BJ53" s="101">
        <f ca="1">VLOOKUP($C53,'Cost RMs'!$B$5:$Q$22,+BJ$4-$AW$4+2,0)</f>
        <v>270306</v>
      </c>
      <c r="BK53" s="101">
        <f ca="1">VLOOKUP($C53,'Cost RMs'!$B$5:$Q$22,+BK$4-$AW$4+2,0)</f>
        <v>303013</v>
      </c>
      <c r="BL53" s="102">
        <f t="shared" si="48"/>
        <v>0</v>
      </c>
      <c r="BM53" s="102">
        <f t="shared" si="49"/>
        <v>0</v>
      </c>
      <c r="BN53" s="102">
        <f t="shared" si="50"/>
        <v>0</v>
      </c>
      <c r="BO53" s="102">
        <f t="shared" si="51"/>
        <v>0</v>
      </c>
      <c r="BP53" s="102">
        <f t="shared" ca="1" si="52"/>
        <v>0</v>
      </c>
      <c r="BQ53" s="102">
        <f t="shared" ca="1" si="53"/>
        <v>0</v>
      </c>
      <c r="BR53" s="102">
        <f t="shared" ca="1" si="54"/>
        <v>0</v>
      </c>
      <c r="BS53" s="102">
        <f t="shared" ca="1" si="55"/>
        <v>0</v>
      </c>
      <c r="BT53" s="102">
        <f t="shared" ca="1" si="56"/>
        <v>0</v>
      </c>
      <c r="BU53" s="102">
        <f t="shared" ca="1" si="57"/>
        <v>0</v>
      </c>
      <c r="BV53" s="102">
        <f t="shared" ca="1" si="58"/>
        <v>0</v>
      </c>
      <c r="BW53" s="102">
        <f t="shared" ca="1" si="59"/>
        <v>0</v>
      </c>
      <c r="BX53" s="102">
        <f t="shared" ca="1" si="60"/>
        <v>0</v>
      </c>
      <c r="BY53" s="102">
        <f t="shared" ca="1" si="61"/>
        <v>0</v>
      </c>
      <c r="BZ53" s="102">
        <f t="shared" ca="1" si="62"/>
        <v>0</v>
      </c>
    </row>
    <row r="54" spans="1:78" x14ac:dyDescent="0.25">
      <c r="A54" s="26" t="s">
        <v>152</v>
      </c>
      <c r="B54" s="73">
        <v>1</v>
      </c>
      <c r="C54" s="59" t="s">
        <v>146</v>
      </c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74">
        <f>VLOOKUP($A54,turnover!$A$184:$Q$192,+S$4-$S$4+3,0)</f>
        <v>0</v>
      </c>
      <c r="T54" s="74">
        <f>VLOOKUP($A54,turnover!$A$184:$Q$192,+T$4-$S$4+3,0)</f>
        <v>0</v>
      </c>
      <c r="U54" s="74">
        <f>VLOOKUP($A54,turnover!$A$184:$Q$192,+U$4-$S$4+3,0)</f>
        <v>0</v>
      </c>
      <c r="V54" s="74">
        <f>VLOOKUP($A54,turnover!$A$184:$Q$192,+V$4-$S$4+3,0)</f>
        <v>0</v>
      </c>
      <c r="W54" s="74">
        <f>VLOOKUP($A54,turnover!$A$184:$Q$192,+W$4-$S$4+3,0)</f>
        <v>0</v>
      </c>
      <c r="X54" s="74">
        <f>VLOOKUP($A54,turnover!$A$184:$Q$192,+X$4-$S$4+3,0)</f>
        <v>0</v>
      </c>
      <c r="Y54" s="74">
        <f>VLOOKUP($A54,turnover!$A$184:$Q$192,+Y$4-$S$4+3,0)</f>
        <v>0</v>
      </c>
      <c r="Z54" s="74">
        <f>VLOOKUP($A54,turnover!$A$184:$Q$192,+Z$4-$S$4+3,0)</f>
        <v>0</v>
      </c>
      <c r="AA54" s="74">
        <f>VLOOKUP($A54,turnover!$A$184:$Q$192,+AA$4-$S$4+3,0)</f>
        <v>0</v>
      </c>
      <c r="AB54" s="74">
        <f>VLOOKUP($A54,turnover!$A$184:$Q$192,+AB$4-$S$4+3,0)</f>
        <v>0</v>
      </c>
      <c r="AC54" s="74">
        <f>VLOOKUP($A54,turnover!$A$184:$Q$192,+AC$4-$S$4+3,0)</f>
        <v>0</v>
      </c>
      <c r="AD54" s="74">
        <f>VLOOKUP($A54,turnover!$A$184:$Q$192,+AD$4-$S$4+3,0)</f>
        <v>0</v>
      </c>
      <c r="AE54" s="74">
        <f>VLOOKUP($A54,turnover!$A$184:$Q$192,+AE$4-$S$4+3,0)</f>
        <v>0</v>
      </c>
      <c r="AF54" s="74">
        <f>VLOOKUP($A54,turnover!$A$184:$Q$192,+AF$4-$S$4+3,0)</f>
        <v>0</v>
      </c>
      <c r="AG54" s="74">
        <f>VLOOKUP($A54,turnover!$A$184:$Q$192,+AG$4-$S$4+3,0)</f>
        <v>0</v>
      </c>
      <c r="AH54" s="61">
        <f t="shared" si="33"/>
        <v>0</v>
      </c>
      <c r="AI54" s="61">
        <f t="shared" si="34"/>
        <v>0</v>
      </c>
      <c r="AJ54" s="61">
        <f t="shared" si="35"/>
        <v>0</v>
      </c>
      <c r="AK54" s="61">
        <f t="shared" si="36"/>
        <v>0</v>
      </c>
      <c r="AL54" s="61">
        <f t="shared" si="37"/>
        <v>0</v>
      </c>
      <c r="AM54" s="61">
        <f t="shared" si="38"/>
        <v>0</v>
      </c>
      <c r="AN54" s="61">
        <f t="shared" si="39"/>
        <v>0</v>
      </c>
      <c r="AO54" s="61">
        <f t="shared" si="40"/>
        <v>0</v>
      </c>
      <c r="AP54" s="61">
        <f t="shared" si="41"/>
        <v>0</v>
      </c>
      <c r="AQ54" s="61">
        <f t="shared" si="42"/>
        <v>0</v>
      </c>
      <c r="AR54" s="61">
        <f t="shared" si="43"/>
        <v>0</v>
      </c>
      <c r="AS54" s="61">
        <f t="shared" si="44"/>
        <v>0</v>
      </c>
      <c r="AT54" s="61">
        <f t="shared" si="45"/>
        <v>0</v>
      </c>
      <c r="AU54" s="61">
        <f t="shared" si="46"/>
        <v>0</v>
      </c>
      <c r="AV54" s="61">
        <f t="shared" si="47"/>
        <v>0</v>
      </c>
      <c r="AW54" s="101">
        <f>VLOOKUP($C54,'Cost RMs'!$B$5:$Q$22,+AW$4-$AW$4+2,0)</f>
        <v>7020</v>
      </c>
      <c r="AX54" s="101">
        <f>VLOOKUP($C54,'Cost RMs'!$B$5:$Q$22,+AX$4-$AW$4+2,0)</f>
        <v>8883</v>
      </c>
      <c r="AY54" s="101">
        <f>VLOOKUP($C54,'Cost RMs'!$B$5:$Q$22,+AY$4-$AW$4+2,0)</f>
        <v>11764</v>
      </c>
      <c r="AZ54" s="101">
        <f>VLOOKUP($C54,'Cost RMs'!$B$5:$Q$22,+AZ$4-$AW$4+2,0)</f>
        <v>15733</v>
      </c>
      <c r="BA54" s="101">
        <f ca="1">VLOOKUP($C54,'Cost RMs'!$B$5:$Q$22,+BA$4-$AW$4+2,0)</f>
        <v>19200</v>
      </c>
      <c r="BB54" s="101">
        <f ca="1">VLOOKUP($C54,'Cost RMs'!$B$5:$Q$22,+BB$4-$AW$4+2,0)</f>
        <v>21502</v>
      </c>
      <c r="BC54" s="101">
        <f ca="1">VLOOKUP($C54,'Cost RMs'!$B$5:$Q$22,+BC$4-$AW$4+2,0)</f>
        <v>24104</v>
      </c>
      <c r="BD54" s="101">
        <f ca="1">VLOOKUP($C54,'Cost RMs'!$B$5:$Q$22,+BD$4-$AW$4+2,0)</f>
        <v>27021</v>
      </c>
      <c r="BE54" s="101">
        <f ca="1">VLOOKUP($C54,'Cost RMs'!$B$5:$Q$22,+BE$4-$AW$4+2,0)</f>
        <v>30291</v>
      </c>
      <c r="BF54" s="101">
        <f ca="1">VLOOKUP($C54,'Cost RMs'!$B$5:$Q$22,+BF$4-$AW$4+2,0)</f>
        <v>33956</v>
      </c>
      <c r="BG54" s="101">
        <f ca="1">VLOOKUP($C54,'Cost RMs'!$B$5:$Q$22,+BG$4-$AW$4+2,0)</f>
        <v>38065</v>
      </c>
      <c r="BH54" s="101">
        <f ca="1">VLOOKUP($C54,'Cost RMs'!$B$5:$Q$22,+BH$4-$AW$4+2,0)</f>
        <v>42671</v>
      </c>
      <c r="BI54" s="101">
        <f ca="1">VLOOKUP($C54,'Cost RMs'!$B$5:$Q$22,+BI$4-$AW$4+2,0)</f>
        <v>47834</v>
      </c>
      <c r="BJ54" s="101">
        <f ca="1">VLOOKUP($C54,'Cost RMs'!$B$5:$Q$22,+BJ$4-$AW$4+2,0)</f>
        <v>53622</v>
      </c>
      <c r="BK54" s="101">
        <f ca="1">VLOOKUP($C54,'Cost RMs'!$B$5:$Q$22,+BK$4-$AW$4+2,0)</f>
        <v>60110</v>
      </c>
      <c r="BL54" s="102">
        <f t="shared" si="48"/>
        <v>0</v>
      </c>
      <c r="BM54" s="102">
        <f t="shared" si="49"/>
        <v>0</v>
      </c>
      <c r="BN54" s="102">
        <f t="shared" si="50"/>
        <v>0</v>
      </c>
      <c r="BO54" s="102">
        <f t="shared" si="51"/>
        <v>0</v>
      </c>
      <c r="BP54" s="102">
        <f t="shared" ca="1" si="52"/>
        <v>0</v>
      </c>
      <c r="BQ54" s="102">
        <f t="shared" ca="1" si="53"/>
        <v>0</v>
      </c>
      <c r="BR54" s="102">
        <f t="shared" ca="1" si="54"/>
        <v>0</v>
      </c>
      <c r="BS54" s="102">
        <f t="shared" ca="1" si="55"/>
        <v>0</v>
      </c>
      <c r="BT54" s="102">
        <f t="shared" ca="1" si="56"/>
        <v>0</v>
      </c>
      <c r="BU54" s="102">
        <f t="shared" ca="1" si="57"/>
        <v>0</v>
      </c>
      <c r="BV54" s="102">
        <f t="shared" ca="1" si="58"/>
        <v>0</v>
      </c>
      <c r="BW54" s="102">
        <f t="shared" ca="1" si="59"/>
        <v>0</v>
      </c>
      <c r="BX54" s="102">
        <f t="shared" ca="1" si="60"/>
        <v>0</v>
      </c>
      <c r="BY54" s="102">
        <f t="shared" ca="1" si="61"/>
        <v>0</v>
      </c>
      <c r="BZ54" s="102">
        <f t="shared" ca="1" si="62"/>
        <v>0</v>
      </c>
    </row>
    <row r="55" spans="1:78" x14ac:dyDescent="0.25">
      <c r="A55" s="26" t="s">
        <v>152</v>
      </c>
      <c r="B55" s="73">
        <v>1</v>
      </c>
      <c r="C55" s="59" t="s">
        <v>147</v>
      </c>
      <c r="E55" s="71">
        <v>3.947E-3</v>
      </c>
      <c r="F55" s="71">
        <v>3.947E-3</v>
      </c>
      <c r="G55" s="71">
        <v>3.947E-3</v>
      </c>
      <c r="H55" s="71">
        <v>3.947E-3</v>
      </c>
      <c r="I55" s="71">
        <v>3.947E-3</v>
      </c>
      <c r="J55" s="71">
        <v>3.947E-3</v>
      </c>
      <c r="K55" s="71">
        <v>3.947E-3</v>
      </c>
      <c r="L55" s="71">
        <v>3.947E-3</v>
      </c>
      <c r="M55" s="71">
        <v>3.947E-3</v>
      </c>
      <c r="N55" s="71">
        <v>3.947E-3</v>
      </c>
      <c r="O55" s="71">
        <v>3.947E-3</v>
      </c>
      <c r="P55" s="71">
        <v>3.947E-3</v>
      </c>
      <c r="Q55" s="71">
        <v>3.947E-3</v>
      </c>
      <c r="R55" s="71">
        <v>3.947E-3</v>
      </c>
      <c r="S55" s="74">
        <f>VLOOKUP($A55,turnover!$A$184:$Q$192,+S$4-$S$4+3,0)</f>
        <v>0</v>
      </c>
      <c r="T55" s="74">
        <f>VLOOKUP($A55,turnover!$A$184:$Q$192,+T$4-$S$4+3,0)</f>
        <v>0</v>
      </c>
      <c r="U55" s="74">
        <f>VLOOKUP($A55,turnover!$A$184:$Q$192,+U$4-$S$4+3,0)</f>
        <v>0</v>
      </c>
      <c r="V55" s="74">
        <f>VLOOKUP($A55,turnover!$A$184:$Q$192,+V$4-$S$4+3,0)</f>
        <v>0</v>
      </c>
      <c r="W55" s="74">
        <f>VLOOKUP($A55,turnover!$A$184:$Q$192,+W$4-$S$4+3,0)</f>
        <v>0</v>
      </c>
      <c r="X55" s="74">
        <f>VLOOKUP($A55,turnover!$A$184:$Q$192,+X$4-$S$4+3,0)</f>
        <v>0</v>
      </c>
      <c r="Y55" s="74">
        <f>VLOOKUP($A55,turnover!$A$184:$Q$192,+Y$4-$S$4+3,0)</f>
        <v>0</v>
      </c>
      <c r="Z55" s="74">
        <f>VLOOKUP($A55,turnover!$A$184:$Q$192,+Z$4-$S$4+3,0)</f>
        <v>0</v>
      </c>
      <c r="AA55" s="74">
        <f>VLOOKUP($A55,turnover!$A$184:$Q$192,+AA$4-$S$4+3,0)</f>
        <v>0</v>
      </c>
      <c r="AB55" s="74">
        <f>VLOOKUP($A55,turnover!$A$184:$Q$192,+AB$4-$S$4+3,0)</f>
        <v>0</v>
      </c>
      <c r="AC55" s="74">
        <f>VLOOKUP($A55,turnover!$A$184:$Q$192,+AC$4-$S$4+3,0)</f>
        <v>0</v>
      </c>
      <c r="AD55" s="74">
        <f>VLOOKUP($A55,turnover!$A$184:$Q$192,+AD$4-$S$4+3,0)</f>
        <v>0</v>
      </c>
      <c r="AE55" s="74">
        <f>VLOOKUP($A55,turnover!$A$184:$Q$192,+AE$4-$S$4+3,0)</f>
        <v>0</v>
      </c>
      <c r="AF55" s="74">
        <f>VLOOKUP($A55,turnover!$A$184:$Q$192,+AF$4-$S$4+3,0)</f>
        <v>0</v>
      </c>
      <c r="AG55" s="74">
        <f>VLOOKUP($A55,turnover!$A$184:$Q$192,+AG$4-$S$4+3,0)</f>
        <v>0</v>
      </c>
      <c r="AH55" s="61">
        <f t="shared" si="33"/>
        <v>0</v>
      </c>
      <c r="AI55" s="61">
        <f t="shared" si="34"/>
        <v>0</v>
      </c>
      <c r="AJ55" s="61">
        <f t="shared" si="35"/>
        <v>0</v>
      </c>
      <c r="AK55" s="61">
        <f t="shared" si="36"/>
        <v>0</v>
      </c>
      <c r="AL55" s="61">
        <f t="shared" si="37"/>
        <v>0</v>
      </c>
      <c r="AM55" s="61">
        <f t="shared" si="38"/>
        <v>0</v>
      </c>
      <c r="AN55" s="61">
        <f t="shared" si="39"/>
        <v>0</v>
      </c>
      <c r="AO55" s="61">
        <f t="shared" si="40"/>
        <v>0</v>
      </c>
      <c r="AP55" s="61">
        <f t="shared" si="41"/>
        <v>0</v>
      </c>
      <c r="AQ55" s="61">
        <f t="shared" si="42"/>
        <v>0</v>
      </c>
      <c r="AR55" s="61">
        <f t="shared" si="43"/>
        <v>0</v>
      </c>
      <c r="AS55" s="61">
        <f t="shared" si="44"/>
        <v>0</v>
      </c>
      <c r="AT55" s="61">
        <f t="shared" si="45"/>
        <v>0</v>
      </c>
      <c r="AU55" s="61">
        <f t="shared" si="46"/>
        <v>0</v>
      </c>
      <c r="AV55" s="61">
        <f t="shared" si="47"/>
        <v>0</v>
      </c>
      <c r="AW55" s="101">
        <f>VLOOKUP($C55,'Cost RMs'!$B$5:$Q$22,+AW$4-$AW$4+2,0)</f>
        <v>25380</v>
      </c>
      <c r="AX55" s="101">
        <f>VLOOKUP($C55,'Cost RMs'!$B$5:$Q$22,+AX$4-$AW$4+2,0)</f>
        <v>33957</v>
      </c>
      <c r="AY55" s="101">
        <f>VLOOKUP($C55,'Cost RMs'!$B$5:$Q$22,+AY$4-$AW$4+2,0)</f>
        <v>50212</v>
      </c>
      <c r="AZ55" s="101">
        <f>VLOOKUP($C55,'Cost RMs'!$B$5:$Q$22,+AZ$4-$AW$4+2,0)</f>
        <v>63581</v>
      </c>
      <c r="BA55" s="101">
        <f ca="1">VLOOKUP($C55,'Cost RMs'!$B$5:$Q$22,+BA$4-$AW$4+2,0)</f>
        <v>82384</v>
      </c>
      <c r="BB55" s="101">
        <f ca="1">VLOOKUP($C55,'Cost RMs'!$B$5:$Q$22,+BB$4-$AW$4+2,0)</f>
        <v>92262</v>
      </c>
      <c r="BC55" s="101">
        <f ca="1">VLOOKUP($C55,'Cost RMs'!$B$5:$Q$22,+BC$4-$AW$4+2,0)</f>
        <v>103426</v>
      </c>
      <c r="BD55" s="101">
        <f ca="1">VLOOKUP($C55,'Cost RMs'!$B$5:$Q$22,+BD$4-$AW$4+2,0)</f>
        <v>115941</v>
      </c>
      <c r="BE55" s="101">
        <f ca="1">VLOOKUP($C55,'Cost RMs'!$B$5:$Q$22,+BE$4-$AW$4+2,0)</f>
        <v>129970</v>
      </c>
      <c r="BF55" s="101">
        <f ca="1">VLOOKUP($C55,'Cost RMs'!$B$5:$Q$22,+BF$4-$AW$4+2,0)</f>
        <v>145696</v>
      </c>
      <c r="BG55" s="101">
        <f ca="1">VLOOKUP($C55,'Cost RMs'!$B$5:$Q$22,+BG$4-$AW$4+2,0)</f>
        <v>163325</v>
      </c>
      <c r="BH55" s="101">
        <f ca="1">VLOOKUP($C55,'Cost RMs'!$B$5:$Q$22,+BH$4-$AW$4+2,0)</f>
        <v>183087</v>
      </c>
      <c r="BI55" s="101">
        <f ca="1">VLOOKUP($C55,'Cost RMs'!$B$5:$Q$22,+BI$4-$AW$4+2,0)</f>
        <v>205241</v>
      </c>
      <c r="BJ55" s="101">
        <f ca="1">VLOOKUP($C55,'Cost RMs'!$B$5:$Q$22,+BJ$4-$AW$4+2,0)</f>
        <v>230075</v>
      </c>
      <c r="BK55" s="101">
        <f ca="1">VLOOKUP($C55,'Cost RMs'!$B$5:$Q$22,+BK$4-$AW$4+2,0)</f>
        <v>257914</v>
      </c>
      <c r="BL55" s="102">
        <f t="shared" si="48"/>
        <v>0</v>
      </c>
      <c r="BM55" s="102">
        <f t="shared" si="49"/>
        <v>0</v>
      </c>
      <c r="BN55" s="102">
        <f t="shared" si="50"/>
        <v>0</v>
      </c>
      <c r="BO55" s="102">
        <f t="shared" si="51"/>
        <v>0</v>
      </c>
      <c r="BP55" s="102">
        <f t="shared" ca="1" si="52"/>
        <v>0</v>
      </c>
      <c r="BQ55" s="102">
        <f t="shared" ca="1" si="53"/>
        <v>0</v>
      </c>
      <c r="BR55" s="102">
        <f t="shared" ca="1" si="54"/>
        <v>0</v>
      </c>
      <c r="BS55" s="102">
        <f t="shared" ca="1" si="55"/>
        <v>0</v>
      </c>
      <c r="BT55" s="102">
        <f t="shared" ca="1" si="56"/>
        <v>0</v>
      </c>
      <c r="BU55" s="102">
        <f t="shared" ca="1" si="57"/>
        <v>0</v>
      </c>
      <c r="BV55" s="102">
        <f t="shared" ca="1" si="58"/>
        <v>0</v>
      </c>
      <c r="BW55" s="102">
        <f t="shared" ca="1" si="59"/>
        <v>0</v>
      </c>
      <c r="BX55" s="102">
        <f t="shared" ca="1" si="60"/>
        <v>0</v>
      </c>
      <c r="BY55" s="102">
        <f t="shared" ca="1" si="61"/>
        <v>0</v>
      </c>
      <c r="BZ55" s="102">
        <f t="shared" ca="1" si="62"/>
        <v>0</v>
      </c>
    </row>
    <row r="56" spans="1:78" x14ac:dyDescent="0.25">
      <c r="A56" s="26" t="s">
        <v>152</v>
      </c>
      <c r="B56" s="73">
        <v>1</v>
      </c>
      <c r="C56" s="59" t="s">
        <v>148</v>
      </c>
      <c r="S56" s="74">
        <f>VLOOKUP($A56,turnover!$A$184:$Q$192,+S$4-$S$4+3,0)</f>
        <v>0</v>
      </c>
      <c r="T56" s="74">
        <f>VLOOKUP($A56,turnover!$A$184:$Q$192,+T$4-$S$4+3,0)</f>
        <v>0</v>
      </c>
      <c r="U56" s="74">
        <f>VLOOKUP($A56,turnover!$A$184:$Q$192,+U$4-$S$4+3,0)</f>
        <v>0</v>
      </c>
      <c r="V56" s="74">
        <f>VLOOKUP($A56,turnover!$A$184:$Q$192,+V$4-$S$4+3,0)</f>
        <v>0</v>
      </c>
      <c r="W56" s="74">
        <f>VLOOKUP($A56,turnover!$A$184:$Q$192,+W$4-$S$4+3,0)</f>
        <v>0</v>
      </c>
      <c r="X56" s="74">
        <f>VLOOKUP($A56,turnover!$A$184:$Q$192,+X$4-$S$4+3,0)</f>
        <v>0</v>
      </c>
      <c r="Y56" s="74">
        <f>VLOOKUP($A56,turnover!$A$184:$Q$192,+Y$4-$S$4+3,0)</f>
        <v>0</v>
      </c>
      <c r="Z56" s="74">
        <f>VLOOKUP($A56,turnover!$A$184:$Q$192,+Z$4-$S$4+3,0)</f>
        <v>0</v>
      </c>
      <c r="AA56" s="74">
        <f>VLOOKUP($A56,turnover!$A$184:$Q$192,+AA$4-$S$4+3,0)</f>
        <v>0</v>
      </c>
      <c r="AB56" s="74">
        <f>VLOOKUP($A56,turnover!$A$184:$Q$192,+AB$4-$S$4+3,0)</f>
        <v>0</v>
      </c>
      <c r="AC56" s="74">
        <f>VLOOKUP($A56,turnover!$A$184:$Q$192,+AC$4-$S$4+3,0)</f>
        <v>0</v>
      </c>
      <c r="AD56" s="74">
        <f>VLOOKUP($A56,turnover!$A$184:$Q$192,+AD$4-$S$4+3,0)</f>
        <v>0</v>
      </c>
      <c r="AE56" s="74">
        <f>VLOOKUP($A56,turnover!$A$184:$Q$192,+AE$4-$S$4+3,0)</f>
        <v>0</v>
      </c>
      <c r="AF56" s="74">
        <f>VLOOKUP($A56,turnover!$A$184:$Q$192,+AF$4-$S$4+3,0)</f>
        <v>0</v>
      </c>
      <c r="AG56" s="74">
        <f>VLOOKUP($A56,turnover!$A$184:$Q$192,+AG$4-$S$4+3,0)</f>
        <v>0</v>
      </c>
      <c r="AH56" s="61">
        <f t="shared" si="33"/>
        <v>0</v>
      </c>
      <c r="AI56" s="61">
        <f t="shared" si="34"/>
        <v>0</v>
      </c>
      <c r="AJ56" s="61">
        <f t="shared" si="35"/>
        <v>0</v>
      </c>
      <c r="AK56" s="61">
        <f t="shared" si="36"/>
        <v>0</v>
      </c>
      <c r="AL56" s="61">
        <f t="shared" si="37"/>
        <v>0</v>
      </c>
      <c r="AM56" s="61">
        <f t="shared" si="38"/>
        <v>0</v>
      </c>
      <c r="AN56" s="61">
        <f t="shared" si="39"/>
        <v>0</v>
      </c>
      <c r="AO56" s="61">
        <f t="shared" si="40"/>
        <v>0</v>
      </c>
      <c r="AP56" s="61">
        <f t="shared" si="41"/>
        <v>0</v>
      </c>
      <c r="AQ56" s="61">
        <f t="shared" si="42"/>
        <v>0</v>
      </c>
      <c r="AR56" s="61">
        <f t="shared" si="43"/>
        <v>0</v>
      </c>
      <c r="AS56" s="61">
        <f t="shared" si="44"/>
        <v>0</v>
      </c>
      <c r="AT56" s="61">
        <f t="shared" si="45"/>
        <v>0</v>
      </c>
      <c r="AU56" s="61">
        <f t="shared" si="46"/>
        <v>0</v>
      </c>
      <c r="AV56" s="61">
        <f t="shared" si="47"/>
        <v>0</v>
      </c>
      <c r="AW56" s="101">
        <f>VLOOKUP($C56,'Cost RMs'!$B$5:$Q$22,+AW$4-$AW$4+2,0)</f>
        <v>27439</v>
      </c>
      <c r="AX56" s="101">
        <f>VLOOKUP($C56,'Cost RMs'!$B$5:$Q$22,+AX$4-$AW$4+2,0)</f>
        <v>32275</v>
      </c>
      <c r="AY56" s="101">
        <f>VLOOKUP($C56,'Cost RMs'!$B$5:$Q$22,+AY$4-$AW$4+2,0)</f>
        <v>45664</v>
      </c>
      <c r="AZ56" s="101">
        <f>VLOOKUP($C56,'Cost RMs'!$B$5:$Q$22,+AZ$4-$AW$4+2,0)</f>
        <v>50129</v>
      </c>
      <c r="BA56" s="101">
        <f ca="1">VLOOKUP($C56,'Cost RMs'!$B$5:$Q$22,+BA$4-$AW$4+2,0)</f>
        <v>75490</v>
      </c>
      <c r="BB56" s="101">
        <f ca="1">VLOOKUP($C56,'Cost RMs'!$B$5:$Q$22,+BB$4-$AW$4+2,0)</f>
        <v>84541</v>
      </c>
      <c r="BC56" s="101">
        <f ca="1">VLOOKUP($C56,'Cost RMs'!$B$5:$Q$22,+BC$4-$AW$4+2,0)</f>
        <v>94770</v>
      </c>
      <c r="BD56" s="101">
        <f ca="1">VLOOKUP($C56,'Cost RMs'!$B$5:$Q$22,+BD$4-$AW$4+2,0)</f>
        <v>106237</v>
      </c>
      <c r="BE56" s="101">
        <f ca="1">VLOOKUP($C56,'Cost RMs'!$B$5:$Q$22,+BE$4-$AW$4+2,0)</f>
        <v>119092</v>
      </c>
      <c r="BF56" s="101">
        <f ca="1">VLOOKUP($C56,'Cost RMs'!$B$5:$Q$22,+BF$4-$AW$4+2,0)</f>
        <v>133502</v>
      </c>
      <c r="BG56" s="101">
        <f ca="1">VLOOKUP($C56,'Cost RMs'!$B$5:$Q$22,+BG$4-$AW$4+2,0)</f>
        <v>149656</v>
      </c>
      <c r="BH56" s="101">
        <f ca="1">VLOOKUP($C56,'Cost RMs'!$B$5:$Q$22,+BH$4-$AW$4+2,0)</f>
        <v>167764</v>
      </c>
      <c r="BI56" s="101">
        <f ca="1">VLOOKUP($C56,'Cost RMs'!$B$5:$Q$22,+BI$4-$AW$4+2,0)</f>
        <v>188063</v>
      </c>
      <c r="BJ56" s="101">
        <f ca="1">VLOOKUP($C56,'Cost RMs'!$B$5:$Q$22,+BJ$4-$AW$4+2,0)</f>
        <v>210819</v>
      </c>
      <c r="BK56" s="101">
        <f ca="1">VLOOKUP($C56,'Cost RMs'!$B$5:$Q$22,+BK$4-$AW$4+2,0)</f>
        <v>236328</v>
      </c>
      <c r="BL56" s="102">
        <f t="shared" si="48"/>
        <v>0</v>
      </c>
      <c r="BM56" s="102">
        <f t="shared" si="49"/>
        <v>0</v>
      </c>
      <c r="BN56" s="102">
        <f t="shared" si="50"/>
        <v>0</v>
      </c>
      <c r="BO56" s="102">
        <f t="shared" si="51"/>
        <v>0</v>
      </c>
      <c r="BP56" s="102">
        <f t="shared" ca="1" si="52"/>
        <v>0</v>
      </c>
      <c r="BQ56" s="102">
        <f t="shared" ca="1" si="53"/>
        <v>0</v>
      </c>
      <c r="BR56" s="102">
        <f t="shared" ca="1" si="54"/>
        <v>0</v>
      </c>
      <c r="BS56" s="102">
        <f t="shared" ca="1" si="55"/>
        <v>0</v>
      </c>
      <c r="BT56" s="102">
        <f t="shared" ca="1" si="56"/>
        <v>0</v>
      </c>
      <c r="BU56" s="102">
        <f t="shared" ca="1" si="57"/>
        <v>0</v>
      </c>
      <c r="BV56" s="102">
        <f t="shared" ca="1" si="58"/>
        <v>0</v>
      </c>
      <c r="BW56" s="102">
        <f t="shared" ca="1" si="59"/>
        <v>0</v>
      </c>
      <c r="BX56" s="102">
        <f t="shared" ca="1" si="60"/>
        <v>0</v>
      </c>
      <c r="BY56" s="102">
        <f t="shared" ca="1" si="61"/>
        <v>0</v>
      </c>
      <c r="BZ56" s="102">
        <f t="shared" ca="1" si="62"/>
        <v>0</v>
      </c>
    </row>
    <row r="57" spans="1:78" x14ac:dyDescent="0.25">
      <c r="A57" s="26" t="s">
        <v>152</v>
      </c>
      <c r="B57" s="73">
        <v>1</v>
      </c>
      <c r="C57" s="59" t="s">
        <v>149</v>
      </c>
      <c r="E57">
        <v>0.68</v>
      </c>
      <c r="F57">
        <v>0.68</v>
      </c>
      <c r="G57">
        <v>0.68</v>
      </c>
      <c r="H57">
        <v>0.68</v>
      </c>
      <c r="I57">
        <v>0.68</v>
      </c>
      <c r="J57">
        <v>0.68</v>
      </c>
      <c r="K57">
        <v>0.68</v>
      </c>
      <c r="L57">
        <v>0.68</v>
      </c>
      <c r="M57">
        <v>0.68</v>
      </c>
      <c r="N57">
        <v>0.68</v>
      </c>
      <c r="O57">
        <v>0.68</v>
      </c>
      <c r="P57">
        <v>0.68</v>
      </c>
      <c r="Q57">
        <v>0.68</v>
      </c>
      <c r="R57">
        <v>0.68</v>
      </c>
      <c r="S57" s="74">
        <f>VLOOKUP($A57,turnover!$A$184:$Q$192,+S$4-$S$4+3,0)</f>
        <v>0</v>
      </c>
      <c r="T57" s="74">
        <f>VLOOKUP($A57,turnover!$A$184:$Q$192,+T$4-$S$4+3,0)</f>
        <v>0</v>
      </c>
      <c r="U57" s="74">
        <f>VLOOKUP($A57,turnover!$A$184:$Q$192,+U$4-$S$4+3,0)</f>
        <v>0</v>
      </c>
      <c r="V57" s="74">
        <f>VLOOKUP($A57,turnover!$A$184:$Q$192,+V$4-$S$4+3,0)</f>
        <v>0</v>
      </c>
      <c r="W57" s="74">
        <f>VLOOKUP($A57,turnover!$A$184:$Q$192,+W$4-$S$4+3,0)</f>
        <v>0</v>
      </c>
      <c r="X57" s="74">
        <f>VLOOKUP($A57,turnover!$A$184:$Q$192,+X$4-$S$4+3,0)</f>
        <v>0</v>
      </c>
      <c r="Y57" s="74">
        <f>VLOOKUP($A57,turnover!$A$184:$Q$192,+Y$4-$S$4+3,0)</f>
        <v>0</v>
      </c>
      <c r="Z57" s="74">
        <f>VLOOKUP($A57,turnover!$A$184:$Q$192,+Z$4-$S$4+3,0)</f>
        <v>0</v>
      </c>
      <c r="AA57" s="74">
        <f>VLOOKUP($A57,turnover!$A$184:$Q$192,+AA$4-$S$4+3,0)</f>
        <v>0</v>
      </c>
      <c r="AB57" s="74">
        <f>VLOOKUP($A57,turnover!$A$184:$Q$192,+AB$4-$S$4+3,0)</f>
        <v>0</v>
      </c>
      <c r="AC57" s="74">
        <f>VLOOKUP($A57,turnover!$A$184:$Q$192,+AC$4-$S$4+3,0)</f>
        <v>0</v>
      </c>
      <c r="AD57" s="74">
        <f>VLOOKUP($A57,turnover!$A$184:$Q$192,+AD$4-$S$4+3,0)</f>
        <v>0</v>
      </c>
      <c r="AE57" s="74">
        <f>VLOOKUP($A57,turnover!$A$184:$Q$192,+AE$4-$S$4+3,0)</f>
        <v>0</v>
      </c>
      <c r="AF57" s="74">
        <f>VLOOKUP($A57,turnover!$A$184:$Q$192,+AF$4-$S$4+3,0)</f>
        <v>0</v>
      </c>
      <c r="AG57" s="74">
        <f>VLOOKUP($A57,turnover!$A$184:$Q$192,+AG$4-$S$4+3,0)</f>
        <v>0</v>
      </c>
      <c r="AH57" s="61">
        <f t="shared" si="33"/>
        <v>0</v>
      </c>
      <c r="AI57" s="61">
        <f t="shared" si="34"/>
        <v>0</v>
      </c>
      <c r="AJ57" s="61">
        <f t="shared" si="35"/>
        <v>0</v>
      </c>
      <c r="AK57" s="61">
        <f t="shared" si="36"/>
        <v>0</v>
      </c>
      <c r="AL57" s="61">
        <f t="shared" si="37"/>
        <v>0</v>
      </c>
      <c r="AM57" s="61">
        <f t="shared" si="38"/>
        <v>0</v>
      </c>
      <c r="AN57" s="61">
        <f t="shared" si="39"/>
        <v>0</v>
      </c>
      <c r="AO57" s="61">
        <f t="shared" si="40"/>
        <v>0</v>
      </c>
      <c r="AP57" s="61">
        <f t="shared" si="41"/>
        <v>0</v>
      </c>
      <c r="AQ57" s="61">
        <f t="shared" si="42"/>
        <v>0</v>
      </c>
      <c r="AR57" s="61">
        <f t="shared" si="43"/>
        <v>0</v>
      </c>
      <c r="AS57" s="61">
        <f t="shared" si="44"/>
        <v>0</v>
      </c>
      <c r="AT57" s="61">
        <f t="shared" si="45"/>
        <v>0</v>
      </c>
      <c r="AU57" s="61">
        <f t="shared" si="46"/>
        <v>0</v>
      </c>
      <c r="AV57" s="61">
        <f t="shared" si="47"/>
        <v>0</v>
      </c>
      <c r="AW57" s="101">
        <f>VLOOKUP($C57,'Cost RMs'!$B$5:$Q$22,+AW$4-$AW$4+2,0)</f>
        <v>9377</v>
      </c>
      <c r="AX57" s="101">
        <f>VLOOKUP($C57,'Cost RMs'!$B$5:$Q$22,+AX$4-$AW$4+2,0)</f>
        <v>9969</v>
      </c>
      <c r="AY57" s="101">
        <f>VLOOKUP($C57,'Cost RMs'!$B$5:$Q$22,+AY$4-$AW$4+2,0)</f>
        <v>14915</v>
      </c>
      <c r="AZ57" s="101">
        <f>VLOOKUP($C57,'Cost RMs'!$B$5:$Q$22,+AZ$4-$AW$4+2,0)</f>
        <v>16547</v>
      </c>
      <c r="BA57" s="101">
        <f ca="1">VLOOKUP($C57,'Cost RMs'!$B$5:$Q$22,+BA$4-$AW$4+2,0)</f>
        <v>17617</v>
      </c>
      <c r="BB57" s="101">
        <f ca="1">VLOOKUP($C57,'Cost RMs'!$B$5:$Q$22,+BB$4-$AW$4+2,0)</f>
        <v>19729</v>
      </c>
      <c r="BC57" s="101">
        <f ca="1">VLOOKUP($C57,'Cost RMs'!$B$5:$Q$22,+BC$4-$AW$4+2,0)</f>
        <v>22116</v>
      </c>
      <c r="BD57" s="101">
        <f ca="1">VLOOKUP($C57,'Cost RMs'!$B$5:$Q$22,+BD$4-$AW$4+2,0)</f>
        <v>24792</v>
      </c>
      <c r="BE57" s="101">
        <f ca="1">VLOOKUP($C57,'Cost RMs'!$B$5:$Q$22,+BE$4-$AW$4+2,0)</f>
        <v>27792</v>
      </c>
      <c r="BF57" s="101">
        <f ca="1">VLOOKUP($C57,'Cost RMs'!$B$5:$Q$22,+BF$4-$AW$4+2,0)</f>
        <v>31155</v>
      </c>
      <c r="BG57" s="101">
        <f ca="1">VLOOKUP($C57,'Cost RMs'!$B$5:$Q$22,+BG$4-$AW$4+2,0)</f>
        <v>34925</v>
      </c>
      <c r="BH57" s="101">
        <f ca="1">VLOOKUP($C57,'Cost RMs'!$B$5:$Q$22,+BH$4-$AW$4+2,0)</f>
        <v>39151</v>
      </c>
      <c r="BI57" s="101">
        <f ca="1">VLOOKUP($C57,'Cost RMs'!$B$5:$Q$22,+BI$4-$AW$4+2,0)</f>
        <v>43888</v>
      </c>
      <c r="BJ57" s="101">
        <f ca="1">VLOOKUP($C57,'Cost RMs'!$B$5:$Q$22,+BJ$4-$AW$4+2,0)</f>
        <v>49198</v>
      </c>
      <c r="BK57" s="101">
        <f ca="1">VLOOKUP($C57,'Cost RMs'!$B$5:$Q$22,+BK$4-$AW$4+2,0)</f>
        <v>55151</v>
      </c>
      <c r="BL57" s="102">
        <f t="shared" si="48"/>
        <v>0</v>
      </c>
      <c r="BM57" s="102">
        <f t="shared" si="49"/>
        <v>0</v>
      </c>
      <c r="BN57" s="102">
        <f t="shared" si="50"/>
        <v>0</v>
      </c>
      <c r="BO57" s="102">
        <f t="shared" si="51"/>
        <v>0</v>
      </c>
      <c r="BP57" s="102">
        <f t="shared" ca="1" si="52"/>
        <v>0</v>
      </c>
      <c r="BQ57" s="102">
        <f t="shared" ca="1" si="53"/>
        <v>0</v>
      </c>
      <c r="BR57" s="102">
        <f t="shared" ca="1" si="54"/>
        <v>0</v>
      </c>
      <c r="BS57" s="102">
        <f t="shared" ca="1" si="55"/>
        <v>0</v>
      </c>
      <c r="BT57" s="102">
        <f t="shared" ca="1" si="56"/>
        <v>0</v>
      </c>
      <c r="BU57" s="102">
        <f t="shared" ca="1" si="57"/>
        <v>0</v>
      </c>
      <c r="BV57" s="102">
        <f t="shared" ca="1" si="58"/>
        <v>0</v>
      </c>
      <c r="BW57" s="102">
        <f t="shared" ca="1" si="59"/>
        <v>0</v>
      </c>
      <c r="BX57" s="102">
        <f t="shared" ca="1" si="60"/>
        <v>0</v>
      </c>
      <c r="BY57" s="102">
        <f t="shared" ca="1" si="61"/>
        <v>0</v>
      </c>
      <c r="BZ57" s="102">
        <f t="shared" ca="1" si="62"/>
        <v>0</v>
      </c>
    </row>
    <row r="58" spans="1:78" x14ac:dyDescent="0.25">
      <c r="A58" s="26" t="s">
        <v>502</v>
      </c>
      <c r="B58" s="73">
        <v>0.52</v>
      </c>
      <c r="C58" t="s">
        <v>123</v>
      </c>
      <c r="E58">
        <v>0.37</v>
      </c>
      <c r="F58">
        <v>0.37</v>
      </c>
      <c r="G58">
        <v>0.37</v>
      </c>
      <c r="H58">
        <v>0.37</v>
      </c>
      <c r="I58">
        <v>0.37</v>
      </c>
      <c r="J58">
        <v>0.37</v>
      </c>
      <c r="K58">
        <v>0.37</v>
      </c>
      <c r="L58">
        <v>0.37</v>
      </c>
      <c r="M58">
        <v>0.37</v>
      </c>
      <c r="N58">
        <v>0.37</v>
      </c>
      <c r="O58">
        <v>0.37</v>
      </c>
      <c r="P58">
        <v>0.37</v>
      </c>
      <c r="Q58">
        <v>0.37</v>
      </c>
      <c r="R58">
        <v>0.37</v>
      </c>
      <c r="S58" s="74">
        <f>VLOOKUP($A58,turnover!$A$184:$Q$192,+S$4-$S$4+3,0)</f>
        <v>0</v>
      </c>
      <c r="T58" s="74">
        <f>VLOOKUP($A58,turnover!$A$184:$Q$192,+T$4-$S$4+3,0)</f>
        <v>0</v>
      </c>
      <c r="U58" s="74">
        <f>VLOOKUP($A58,turnover!$A$184:$Q$192,+U$4-$S$4+3,0)</f>
        <v>8.9362000000000013</v>
      </c>
      <c r="V58" s="74">
        <f>VLOOKUP($A58,turnover!$A$184:$Q$192,+V$4-$S$4+3,0)</f>
        <v>0</v>
      </c>
      <c r="W58" s="74">
        <f>VLOOKUP($A58,turnover!$A$184:$Q$192,+W$4-$S$4+3,0)</f>
        <v>0</v>
      </c>
      <c r="X58" s="74">
        <f>VLOOKUP($A58,turnover!$A$184:$Q$192,+X$4-$S$4+3,0)</f>
        <v>0</v>
      </c>
      <c r="Y58" s="74">
        <f>VLOOKUP($A58,turnover!$A$184:$Q$192,+Y$4-$S$4+3,0)</f>
        <v>0</v>
      </c>
      <c r="Z58" s="74">
        <f>VLOOKUP($A58,turnover!$A$184:$Q$192,+Z$4-$S$4+3,0)</f>
        <v>0</v>
      </c>
      <c r="AA58" s="74">
        <f>VLOOKUP($A58,turnover!$A$184:$Q$192,+AA$4-$S$4+3,0)</f>
        <v>0</v>
      </c>
      <c r="AB58" s="74">
        <f>VLOOKUP($A58,turnover!$A$184:$Q$192,+AB$4-$S$4+3,0)</f>
        <v>0</v>
      </c>
      <c r="AC58" s="74">
        <f>VLOOKUP($A58,turnover!$A$184:$Q$192,+AC$4-$S$4+3,0)</f>
        <v>0</v>
      </c>
      <c r="AD58" s="74">
        <f>VLOOKUP($A58,turnover!$A$184:$Q$192,+AD$4-$S$4+3,0)</f>
        <v>0</v>
      </c>
      <c r="AE58" s="74">
        <f>VLOOKUP($A58,turnover!$A$184:$Q$192,+AE$4-$S$4+3,0)</f>
        <v>0</v>
      </c>
      <c r="AF58" s="74">
        <f>VLOOKUP($A58,turnover!$A$184:$Q$192,+AF$4-$S$4+3,0)</f>
        <v>0</v>
      </c>
      <c r="AG58" s="74">
        <f>VLOOKUP($A58,turnover!$A$184:$Q$192,+AG$4-$S$4+3,0)</f>
        <v>0</v>
      </c>
      <c r="AH58" s="61">
        <f t="shared" si="33"/>
        <v>0</v>
      </c>
      <c r="AI58" s="61">
        <f t="shared" si="34"/>
        <v>0</v>
      </c>
      <c r="AJ58" s="61">
        <f t="shared" si="35"/>
        <v>3.3063940000000005</v>
      </c>
      <c r="AK58" s="61">
        <f t="shared" si="36"/>
        <v>0</v>
      </c>
      <c r="AL58" s="61">
        <f t="shared" si="37"/>
        <v>0</v>
      </c>
      <c r="AM58" s="61">
        <f t="shared" si="38"/>
        <v>0</v>
      </c>
      <c r="AN58" s="61">
        <f t="shared" si="39"/>
        <v>0</v>
      </c>
      <c r="AO58" s="61">
        <f t="shared" si="40"/>
        <v>0</v>
      </c>
      <c r="AP58" s="61">
        <f t="shared" si="41"/>
        <v>0</v>
      </c>
      <c r="AQ58" s="61">
        <f t="shared" si="42"/>
        <v>0</v>
      </c>
      <c r="AR58" s="61">
        <f t="shared" si="43"/>
        <v>0</v>
      </c>
      <c r="AS58" s="61">
        <f t="shared" si="44"/>
        <v>0</v>
      </c>
      <c r="AT58" s="61">
        <f t="shared" si="45"/>
        <v>0</v>
      </c>
      <c r="AU58" s="61">
        <f t="shared" si="46"/>
        <v>0</v>
      </c>
      <c r="AV58" s="61">
        <f t="shared" si="47"/>
        <v>0</v>
      </c>
      <c r="AW58" s="101">
        <f>VLOOKUP($C58,'Cost RMs'!$B$5:$Q$22,+AW$4-$AW$4+2,0)</f>
        <v>191127</v>
      </c>
      <c r="AX58" s="101">
        <f>VLOOKUP($C58,'Cost RMs'!$B$5:$Q$22,+AX$4-$AW$4+2,0)</f>
        <v>196602</v>
      </c>
      <c r="AY58" s="101">
        <f>VLOOKUP($C58,'Cost RMs'!$B$5:$Q$22,+AY$4-$AW$4+2,0)</f>
        <v>209999</v>
      </c>
      <c r="AZ58" s="101">
        <f>VLOOKUP($C58,'Cost RMs'!$B$5:$Q$22,+AZ$4-$AW$4+2,0)</f>
        <v>266286</v>
      </c>
      <c r="BA58" s="101">
        <f>VLOOKUP($C58,'Cost RMs'!$B$5:$Q$22,+BA$4-$AW$4+2,0)</f>
        <v>275187</v>
      </c>
      <c r="BB58" s="101">
        <f>VLOOKUP($C58,'Cost RMs'!$B$5:$Q$22,+BB$4-$AW$4+2,0)</f>
        <v>308182</v>
      </c>
      <c r="BC58" s="101">
        <f>VLOOKUP($C58,'Cost RMs'!$B$5:$Q$22,+BC$4-$AW$4+2,0)</f>
        <v>345472</v>
      </c>
      <c r="BD58" s="101">
        <f>VLOOKUP($C58,'Cost RMs'!$B$5:$Q$22,+BD$4-$AW$4+2,0)</f>
        <v>387274</v>
      </c>
      <c r="BE58" s="101">
        <f>VLOOKUP($C58,'Cost RMs'!$B$5:$Q$22,+BE$4-$AW$4+2,0)</f>
        <v>434134</v>
      </c>
      <c r="BF58" s="101">
        <f>VLOOKUP($C58,'Cost RMs'!$B$5:$Q$22,+BF$4-$AW$4+2,0)</f>
        <v>486664</v>
      </c>
      <c r="BG58" s="101">
        <f>VLOOKUP($C58,'Cost RMs'!$B$5:$Q$22,+BG$4-$AW$4+2,0)</f>
        <v>545550</v>
      </c>
      <c r="BH58" s="101">
        <f>VLOOKUP($C58,'Cost RMs'!$B$5:$Q$22,+BH$4-$AW$4+2,0)</f>
        <v>611562</v>
      </c>
      <c r="BI58" s="101">
        <f>VLOOKUP($C58,'Cost RMs'!$B$5:$Q$22,+BI$4-$AW$4+2,0)</f>
        <v>685561</v>
      </c>
      <c r="BJ58" s="101">
        <f>VLOOKUP($C58,'Cost RMs'!$B$5:$Q$22,+BJ$4-$AW$4+2,0)</f>
        <v>768514</v>
      </c>
      <c r="BK58" s="101">
        <f>VLOOKUP($C58,'Cost RMs'!$B$5:$Q$22,+BK$4-$AW$4+2,0)</f>
        <v>861504</v>
      </c>
      <c r="BL58" s="102">
        <f t="shared" si="48"/>
        <v>0</v>
      </c>
      <c r="BM58" s="102">
        <f t="shared" si="49"/>
        <v>0</v>
      </c>
      <c r="BN58" s="102">
        <f t="shared" si="50"/>
        <v>694339.43360600015</v>
      </c>
      <c r="BO58" s="102">
        <f t="shared" si="51"/>
        <v>0</v>
      </c>
      <c r="BP58" s="102">
        <f t="shared" si="52"/>
        <v>0</v>
      </c>
      <c r="BQ58" s="102">
        <f t="shared" si="53"/>
        <v>0</v>
      </c>
      <c r="BR58" s="102">
        <f t="shared" si="54"/>
        <v>0</v>
      </c>
      <c r="BS58" s="102">
        <f t="shared" si="55"/>
        <v>0</v>
      </c>
      <c r="BT58" s="102">
        <f t="shared" si="56"/>
        <v>0</v>
      </c>
      <c r="BU58" s="102">
        <f t="shared" si="57"/>
        <v>0</v>
      </c>
      <c r="BV58" s="102">
        <f t="shared" si="58"/>
        <v>0</v>
      </c>
      <c r="BW58" s="102">
        <f t="shared" si="59"/>
        <v>0</v>
      </c>
      <c r="BX58" s="102">
        <f t="shared" si="60"/>
        <v>0</v>
      </c>
      <c r="BY58" s="102">
        <f t="shared" si="61"/>
        <v>0</v>
      </c>
      <c r="BZ58" s="102">
        <f t="shared" si="62"/>
        <v>0</v>
      </c>
    </row>
    <row r="59" spans="1:78" x14ac:dyDescent="0.25">
      <c r="A59" s="26" t="s">
        <v>502</v>
      </c>
      <c r="B59" s="73">
        <v>0.52</v>
      </c>
      <c r="C59" t="s">
        <v>124</v>
      </c>
      <c r="E59">
        <v>1.21</v>
      </c>
      <c r="F59">
        <v>1.24</v>
      </c>
      <c r="G59">
        <v>1.23</v>
      </c>
      <c r="H59">
        <f>+G59</f>
        <v>1.23</v>
      </c>
      <c r="I59">
        <f>+H59</f>
        <v>1.23</v>
      </c>
      <c r="J59">
        <v>1.22</v>
      </c>
      <c r="K59">
        <f>+J59</f>
        <v>1.22</v>
      </c>
      <c r="L59">
        <f>+K59</f>
        <v>1.22</v>
      </c>
      <c r="M59">
        <f>+L59</f>
        <v>1.22</v>
      </c>
      <c r="N59">
        <f>+M59</f>
        <v>1.22</v>
      </c>
      <c r="O59">
        <f>+N59</f>
        <v>1.22</v>
      </c>
      <c r="P59">
        <f t="shared" ref="P59:R59" si="63">+O59</f>
        <v>1.22</v>
      </c>
      <c r="Q59">
        <f t="shared" si="63"/>
        <v>1.22</v>
      </c>
      <c r="R59">
        <f t="shared" si="63"/>
        <v>1.22</v>
      </c>
      <c r="S59" s="74">
        <f>VLOOKUP($A59,turnover!$A$184:$Q$192,+S$4-$S$4+3,0)</f>
        <v>0</v>
      </c>
      <c r="T59" s="74">
        <f>VLOOKUP($A59,turnover!$A$184:$Q$192,+T$4-$S$4+3,0)</f>
        <v>0</v>
      </c>
      <c r="U59" s="74">
        <f>VLOOKUP($A59,turnover!$A$184:$Q$192,+U$4-$S$4+3,0)</f>
        <v>8.9362000000000013</v>
      </c>
      <c r="V59" s="74">
        <f>VLOOKUP($A59,turnover!$A$184:$Q$192,+V$4-$S$4+3,0)</f>
        <v>0</v>
      </c>
      <c r="W59" s="74">
        <f>VLOOKUP($A59,turnover!$A$184:$Q$192,+W$4-$S$4+3,0)</f>
        <v>0</v>
      </c>
      <c r="X59" s="74">
        <f>VLOOKUP($A59,turnover!$A$184:$Q$192,+X$4-$S$4+3,0)</f>
        <v>0</v>
      </c>
      <c r="Y59" s="74">
        <f>VLOOKUP($A59,turnover!$A$184:$Q$192,+Y$4-$S$4+3,0)</f>
        <v>0</v>
      </c>
      <c r="Z59" s="74">
        <f>VLOOKUP($A59,turnover!$A$184:$Q$192,+Z$4-$S$4+3,0)</f>
        <v>0</v>
      </c>
      <c r="AA59" s="74">
        <f>VLOOKUP($A59,turnover!$A$184:$Q$192,+AA$4-$S$4+3,0)</f>
        <v>0</v>
      </c>
      <c r="AB59" s="74">
        <f>VLOOKUP($A59,turnover!$A$184:$Q$192,+AB$4-$S$4+3,0)</f>
        <v>0</v>
      </c>
      <c r="AC59" s="74">
        <f>VLOOKUP($A59,turnover!$A$184:$Q$192,+AC$4-$S$4+3,0)</f>
        <v>0</v>
      </c>
      <c r="AD59" s="74">
        <f>VLOOKUP($A59,turnover!$A$184:$Q$192,+AD$4-$S$4+3,0)</f>
        <v>0</v>
      </c>
      <c r="AE59" s="74">
        <f>VLOOKUP($A59,turnover!$A$184:$Q$192,+AE$4-$S$4+3,0)</f>
        <v>0</v>
      </c>
      <c r="AF59" s="74">
        <f>VLOOKUP($A59,turnover!$A$184:$Q$192,+AF$4-$S$4+3,0)</f>
        <v>0</v>
      </c>
      <c r="AG59" s="74">
        <f>VLOOKUP($A59,turnover!$A$184:$Q$192,+AG$4-$S$4+3,0)</f>
        <v>0</v>
      </c>
      <c r="AH59" s="61">
        <f t="shared" si="33"/>
        <v>0</v>
      </c>
      <c r="AI59" s="61">
        <f t="shared" si="34"/>
        <v>0</v>
      </c>
      <c r="AJ59" s="61">
        <f t="shared" si="35"/>
        <v>11.080888000000002</v>
      </c>
      <c r="AK59" s="61">
        <f t="shared" si="36"/>
        <v>0</v>
      </c>
      <c r="AL59" s="61">
        <f t="shared" si="37"/>
        <v>0</v>
      </c>
      <c r="AM59" s="61">
        <f t="shared" si="38"/>
        <v>0</v>
      </c>
      <c r="AN59" s="61">
        <f t="shared" si="39"/>
        <v>0</v>
      </c>
      <c r="AO59" s="61">
        <f t="shared" si="40"/>
        <v>0</v>
      </c>
      <c r="AP59" s="61">
        <f t="shared" si="41"/>
        <v>0</v>
      </c>
      <c r="AQ59" s="61">
        <f t="shared" si="42"/>
        <v>0</v>
      </c>
      <c r="AR59" s="61">
        <f t="shared" si="43"/>
        <v>0</v>
      </c>
      <c r="AS59" s="61">
        <f t="shared" si="44"/>
        <v>0</v>
      </c>
      <c r="AT59" s="61">
        <f t="shared" si="45"/>
        <v>0</v>
      </c>
      <c r="AU59" s="61">
        <f t="shared" si="46"/>
        <v>0</v>
      </c>
      <c r="AV59" s="61">
        <f t="shared" si="47"/>
        <v>0</v>
      </c>
      <c r="AW59" s="101">
        <f>VLOOKUP($C59,'Cost RMs'!$B$5:$Q$22,+AW$4-$AW$4+2,0)</f>
        <v>235089</v>
      </c>
      <c r="AX59" s="101">
        <f>VLOOKUP($C59,'Cost RMs'!$B$5:$Q$22,+AX$4-$AW$4+2,0)</f>
        <v>283888</v>
      </c>
      <c r="AY59" s="101">
        <f>VLOOKUP($C59,'Cost RMs'!$B$5:$Q$22,+AY$4-$AW$4+2,0)</f>
        <v>306490</v>
      </c>
      <c r="AZ59" s="101">
        <f>VLOOKUP($C59,'Cost RMs'!$B$5:$Q$22,+AZ$4-$AW$4+2,0)</f>
        <v>318975</v>
      </c>
      <c r="BA59" s="101">
        <f>VLOOKUP($C59,'Cost RMs'!$B$5:$Q$22,+BA$4-$AW$4+2,0)</f>
        <v>365112</v>
      </c>
      <c r="BB59" s="101">
        <f>VLOOKUP($C59,'Cost RMs'!$B$5:$Q$22,+BB$4-$AW$4+2,0)</f>
        <v>408889</v>
      </c>
      <c r="BC59" s="101">
        <f>VLOOKUP($C59,'Cost RMs'!$B$5:$Q$22,+BC$4-$AW$4+2,0)</f>
        <v>458365</v>
      </c>
      <c r="BD59" s="101">
        <f>VLOOKUP($C59,'Cost RMs'!$B$5:$Q$22,+BD$4-$AW$4+2,0)</f>
        <v>513827</v>
      </c>
      <c r="BE59" s="101">
        <f>VLOOKUP($C59,'Cost RMs'!$B$5:$Q$22,+BE$4-$AW$4+2,0)</f>
        <v>576000</v>
      </c>
      <c r="BF59" s="101">
        <f>VLOOKUP($C59,'Cost RMs'!$B$5:$Q$22,+BF$4-$AW$4+2,0)</f>
        <v>645696</v>
      </c>
      <c r="BG59" s="101">
        <f>VLOOKUP($C59,'Cost RMs'!$B$5:$Q$22,+BG$4-$AW$4+2,0)</f>
        <v>723825</v>
      </c>
      <c r="BH59" s="101">
        <f>VLOOKUP($C59,'Cost RMs'!$B$5:$Q$22,+BH$4-$AW$4+2,0)</f>
        <v>811408</v>
      </c>
      <c r="BI59" s="101">
        <f>VLOOKUP($C59,'Cost RMs'!$B$5:$Q$22,+BI$4-$AW$4+2,0)</f>
        <v>909588</v>
      </c>
      <c r="BJ59" s="101">
        <f>VLOOKUP($C59,'Cost RMs'!$B$5:$Q$22,+BJ$4-$AW$4+2,0)</f>
        <v>1019648</v>
      </c>
      <c r="BK59" s="101">
        <f>VLOOKUP($C59,'Cost RMs'!$B$5:$Q$22,+BK$4-$AW$4+2,0)</f>
        <v>1143025</v>
      </c>
      <c r="BL59" s="102">
        <f t="shared" si="48"/>
        <v>0</v>
      </c>
      <c r="BM59" s="102">
        <f t="shared" si="49"/>
        <v>0</v>
      </c>
      <c r="BN59" s="102">
        <f t="shared" si="50"/>
        <v>3396181.3631200003</v>
      </c>
      <c r="BO59" s="102">
        <f t="shared" si="51"/>
        <v>0</v>
      </c>
      <c r="BP59" s="102">
        <f t="shared" si="52"/>
        <v>0</v>
      </c>
      <c r="BQ59" s="102">
        <f t="shared" si="53"/>
        <v>0</v>
      </c>
      <c r="BR59" s="102">
        <f t="shared" si="54"/>
        <v>0</v>
      </c>
      <c r="BS59" s="102">
        <f t="shared" si="55"/>
        <v>0</v>
      </c>
      <c r="BT59" s="102">
        <f t="shared" si="56"/>
        <v>0</v>
      </c>
      <c r="BU59" s="102">
        <f t="shared" si="57"/>
        <v>0</v>
      </c>
      <c r="BV59" s="102">
        <f t="shared" si="58"/>
        <v>0</v>
      </c>
      <c r="BW59" s="102">
        <f t="shared" si="59"/>
        <v>0</v>
      </c>
      <c r="BX59" s="102">
        <f t="shared" si="60"/>
        <v>0</v>
      </c>
      <c r="BY59" s="102">
        <f t="shared" si="61"/>
        <v>0</v>
      </c>
      <c r="BZ59" s="102">
        <f t="shared" si="62"/>
        <v>0</v>
      </c>
    </row>
    <row r="60" spans="1:78" x14ac:dyDescent="0.25">
      <c r="A60" s="26" t="s">
        <v>502</v>
      </c>
      <c r="B60" s="73">
        <v>0.52</v>
      </c>
      <c r="C60" t="s">
        <v>125</v>
      </c>
      <c r="S60" s="74">
        <f>VLOOKUP($A60,turnover!$A$184:$Q$192,+S$4-$S$4+3,0)</f>
        <v>0</v>
      </c>
      <c r="T60" s="74">
        <f>VLOOKUP($A60,turnover!$A$184:$Q$192,+T$4-$S$4+3,0)</f>
        <v>0</v>
      </c>
      <c r="U60" s="74">
        <f>VLOOKUP($A60,turnover!$A$184:$Q$192,+U$4-$S$4+3,0)</f>
        <v>8.9362000000000013</v>
      </c>
      <c r="V60" s="74">
        <f>VLOOKUP($A60,turnover!$A$184:$Q$192,+V$4-$S$4+3,0)</f>
        <v>0</v>
      </c>
      <c r="W60" s="74">
        <f>VLOOKUP($A60,turnover!$A$184:$Q$192,+W$4-$S$4+3,0)</f>
        <v>0</v>
      </c>
      <c r="X60" s="74">
        <f>VLOOKUP($A60,turnover!$A$184:$Q$192,+X$4-$S$4+3,0)</f>
        <v>0</v>
      </c>
      <c r="Y60" s="74">
        <f>VLOOKUP($A60,turnover!$A$184:$Q$192,+Y$4-$S$4+3,0)</f>
        <v>0</v>
      </c>
      <c r="Z60" s="74">
        <f>VLOOKUP($A60,turnover!$A$184:$Q$192,+Z$4-$S$4+3,0)</f>
        <v>0</v>
      </c>
      <c r="AA60" s="74">
        <f>VLOOKUP($A60,turnover!$A$184:$Q$192,+AA$4-$S$4+3,0)</f>
        <v>0</v>
      </c>
      <c r="AB60" s="74">
        <f>VLOOKUP($A60,turnover!$A$184:$Q$192,+AB$4-$S$4+3,0)</f>
        <v>0</v>
      </c>
      <c r="AC60" s="74">
        <f>VLOOKUP($A60,turnover!$A$184:$Q$192,+AC$4-$S$4+3,0)</f>
        <v>0</v>
      </c>
      <c r="AD60" s="74">
        <f>VLOOKUP($A60,turnover!$A$184:$Q$192,+AD$4-$S$4+3,0)</f>
        <v>0</v>
      </c>
      <c r="AE60" s="74">
        <f>VLOOKUP($A60,turnover!$A$184:$Q$192,+AE$4-$S$4+3,0)</f>
        <v>0</v>
      </c>
      <c r="AF60" s="74">
        <f>VLOOKUP($A60,turnover!$A$184:$Q$192,+AF$4-$S$4+3,0)</f>
        <v>0</v>
      </c>
      <c r="AG60" s="74">
        <f>VLOOKUP($A60,turnover!$A$184:$Q$192,+AG$4-$S$4+3,0)</f>
        <v>0</v>
      </c>
      <c r="AH60" s="61">
        <f t="shared" si="33"/>
        <v>0</v>
      </c>
      <c r="AI60" s="61">
        <f t="shared" si="34"/>
        <v>0</v>
      </c>
      <c r="AJ60" s="61">
        <f t="shared" si="35"/>
        <v>0</v>
      </c>
      <c r="AK60" s="61">
        <f t="shared" si="36"/>
        <v>0</v>
      </c>
      <c r="AL60" s="61">
        <f t="shared" si="37"/>
        <v>0</v>
      </c>
      <c r="AM60" s="61">
        <f t="shared" si="38"/>
        <v>0</v>
      </c>
      <c r="AN60" s="61">
        <f t="shared" si="39"/>
        <v>0</v>
      </c>
      <c r="AO60" s="61">
        <f t="shared" si="40"/>
        <v>0</v>
      </c>
      <c r="AP60" s="61">
        <f t="shared" si="41"/>
        <v>0</v>
      </c>
      <c r="AQ60" s="61">
        <f t="shared" si="42"/>
        <v>0</v>
      </c>
      <c r="AR60" s="61">
        <f t="shared" si="43"/>
        <v>0</v>
      </c>
      <c r="AS60" s="61">
        <f t="shared" si="44"/>
        <v>0</v>
      </c>
      <c r="AT60" s="61">
        <f t="shared" si="45"/>
        <v>0</v>
      </c>
      <c r="AU60" s="61">
        <f t="shared" si="46"/>
        <v>0</v>
      </c>
      <c r="AV60" s="61">
        <f t="shared" si="47"/>
        <v>0</v>
      </c>
      <c r="AW60" s="101">
        <f>VLOOKUP($C60,'Cost RMs'!$B$5:$Q$22,+AW$4-$AW$4+2,0)</f>
        <v>266257</v>
      </c>
      <c r="AX60" s="101">
        <f>VLOOKUP($C60,'Cost RMs'!$B$5:$Q$22,+AX$4-$AW$4+2,0)</f>
        <v>266257</v>
      </c>
      <c r="AY60" s="101">
        <f>VLOOKUP($C60,'Cost RMs'!$B$5:$Q$22,+AY$4-$AW$4+2,0)</f>
        <v>266257</v>
      </c>
      <c r="AZ60" s="101">
        <f ca="1">VLOOKUP($C60,'Cost RMs'!$B$5:$Q$22,+AZ$4-$AW$4+2,0)</f>
        <v>266257</v>
      </c>
      <c r="BA60" s="101">
        <f ca="1">VLOOKUP($C60,'Cost RMs'!$B$5:$Q$22,+BA$4-$AW$4+2,0)</f>
        <v>266257</v>
      </c>
      <c r="BB60" s="101">
        <f ca="1">VLOOKUP($C60,'Cost RMs'!$B$5:$Q$22,+BB$4-$AW$4+2,0)</f>
        <v>298181</v>
      </c>
      <c r="BC60" s="101">
        <f ca="1">VLOOKUP($C60,'Cost RMs'!$B$5:$Q$22,+BC$4-$AW$4+2,0)</f>
        <v>334261</v>
      </c>
      <c r="BD60" s="101">
        <f ca="1">VLOOKUP($C60,'Cost RMs'!$B$5:$Q$22,+BD$4-$AW$4+2,0)</f>
        <v>374707</v>
      </c>
      <c r="BE60" s="101">
        <f ca="1">VLOOKUP($C60,'Cost RMs'!$B$5:$Q$22,+BE$4-$AW$4+2,0)</f>
        <v>420047</v>
      </c>
      <c r="BF60" s="101">
        <f ca="1">VLOOKUP($C60,'Cost RMs'!$B$5:$Q$22,+BF$4-$AW$4+2,0)</f>
        <v>470873</v>
      </c>
      <c r="BG60" s="101">
        <f ca="1">VLOOKUP($C60,'Cost RMs'!$B$5:$Q$22,+BG$4-$AW$4+2,0)</f>
        <v>527849</v>
      </c>
      <c r="BH60" s="101">
        <f ca="1">VLOOKUP($C60,'Cost RMs'!$B$5:$Q$22,+BH$4-$AW$4+2,0)</f>
        <v>591719</v>
      </c>
      <c r="BI60" s="101">
        <f ca="1">VLOOKUP($C60,'Cost RMs'!$B$5:$Q$22,+BI$4-$AW$4+2,0)</f>
        <v>663317</v>
      </c>
      <c r="BJ60" s="101">
        <f ca="1">VLOOKUP($C60,'Cost RMs'!$B$5:$Q$22,+BJ$4-$AW$4+2,0)</f>
        <v>743578</v>
      </c>
      <c r="BK60" s="101">
        <f ca="1">VLOOKUP($C60,'Cost RMs'!$B$5:$Q$22,+BK$4-$AW$4+2,0)</f>
        <v>833551</v>
      </c>
      <c r="BL60" s="102">
        <f t="shared" si="48"/>
        <v>0</v>
      </c>
      <c r="BM60" s="102">
        <f t="shared" si="49"/>
        <v>0</v>
      </c>
      <c r="BN60" s="102">
        <f t="shared" si="50"/>
        <v>0</v>
      </c>
      <c r="BO60" s="102">
        <f t="shared" ca="1" si="51"/>
        <v>0</v>
      </c>
      <c r="BP60" s="102">
        <f t="shared" ca="1" si="52"/>
        <v>0</v>
      </c>
      <c r="BQ60" s="102">
        <f t="shared" ca="1" si="53"/>
        <v>0</v>
      </c>
      <c r="BR60" s="102">
        <f t="shared" ca="1" si="54"/>
        <v>0</v>
      </c>
      <c r="BS60" s="102">
        <f t="shared" ca="1" si="55"/>
        <v>0</v>
      </c>
      <c r="BT60" s="102">
        <f t="shared" ca="1" si="56"/>
        <v>0</v>
      </c>
      <c r="BU60" s="102">
        <f t="shared" ca="1" si="57"/>
        <v>0</v>
      </c>
      <c r="BV60" s="102">
        <f t="shared" ca="1" si="58"/>
        <v>0</v>
      </c>
      <c r="BW60" s="102">
        <f t="shared" ca="1" si="59"/>
        <v>0</v>
      </c>
      <c r="BX60" s="102">
        <f t="shared" ca="1" si="60"/>
        <v>0</v>
      </c>
      <c r="BY60" s="102">
        <f t="shared" ca="1" si="61"/>
        <v>0</v>
      </c>
      <c r="BZ60" s="102">
        <f t="shared" ca="1" si="62"/>
        <v>0</v>
      </c>
    </row>
    <row r="61" spans="1:78" x14ac:dyDescent="0.25">
      <c r="A61" s="26" t="s">
        <v>502</v>
      </c>
      <c r="B61" s="73">
        <v>0.52</v>
      </c>
      <c r="C61" t="s">
        <v>126</v>
      </c>
      <c r="S61" s="74">
        <f>VLOOKUP($A61,turnover!$A$184:$Q$192,+S$4-$S$4+3,0)</f>
        <v>0</v>
      </c>
      <c r="T61" s="74">
        <f>VLOOKUP($A61,turnover!$A$184:$Q$192,+T$4-$S$4+3,0)</f>
        <v>0</v>
      </c>
      <c r="U61" s="74">
        <f>VLOOKUP($A61,turnover!$A$184:$Q$192,+U$4-$S$4+3,0)</f>
        <v>8.9362000000000013</v>
      </c>
      <c r="V61" s="74">
        <f>VLOOKUP($A61,turnover!$A$184:$Q$192,+V$4-$S$4+3,0)</f>
        <v>0</v>
      </c>
      <c r="W61" s="74">
        <f>VLOOKUP($A61,turnover!$A$184:$Q$192,+W$4-$S$4+3,0)</f>
        <v>0</v>
      </c>
      <c r="X61" s="74">
        <f>VLOOKUP($A61,turnover!$A$184:$Q$192,+X$4-$S$4+3,0)</f>
        <v>0</v>
      </c>
      <c r="Y61" s="74">
        <f>VLOOKUP($A61,turnover!$A$184:$Q$192,+Y$4-$S$4+3,0)</f>
        <v>0</v>
      </c>
      <c r="Z61" s="74">
        <f>VLOOKUP($A61,turnover!$A$184:$Q$192,+Z$4-$S$4+3,0)</f>
        <v>0</v>
      </c>
      <c r="AA61" s="74">
        <f>VLOOKUP($A61,turnover!$A$184:$Q$192,+AA$4-$S$4+3,0)</f>
        <v>0</v>
      </c>
      <c r="AB61" s="74">
        <f>VLOOKUP($A61,turnover!$A$184:$Q$192,+AB$4-$S$4+3,0)</f>
        <v>0</v>
      </c>
      <c r="AC61" s="74">
        <f>VLOOKUP($A61,turnover!$A$184:$Q$192,+AC$4-$S$4+3,0)</f>
        <v>0</v>
      </c>
      <c r="AD61" s="74">
        <f>VLOOKUP($A61,turnover!$A$184:$Q$192,+AD$4-$S$4+3,0)</f>
        <v>0</v>
      </c>
      <c r="AE61" s="74">
        <f>VLOOKUP($A61,turnover!$A$184:$Q$192,+AE$4-$S$4+3,0)</f>
        <v>0</v>
      </c>
      <c r="AF61" s="74">
        <f>VLOOKUP($A61,turnover!$A$184:$Q$192,+AF$4-$S$4+3,0)</f>
        <v>0</v>
      </c>
      <c r="AG61" s="74">
        <f>VLOOKUP($A61,turnover!$A$184:$Q$192,+AG$4-$S$4+3,0)</f>
        <v>0</v>
      </c>
      <c r="AH61" s="61">
        <f t="shared" si="33"/>
        <v>0</v>
      </c>
      <c r="AI61" s="61">
        <f t="shared" si="34"/>
        <v>0</v>
      </c>
      <c r="AJ61" s="61">
        <f t="shared" si="35"/>
        <v>0</v>
      </c>
      <c r="AK61" s="61">
        <f t="shared" si="36"/>
        <v>0</v>
      </c>
      <c r="AL61" s="61">
        <f t="shared" si="37"/>
        <v>0</v>
      </c>
      <c r="AM61" s="61">
        <f t="shared" si="38"/>
        <v>0</v>
      </c>
      <c r="AN61" s="61">
        <f t="shared" si="39"/>
        <v>0</v>
      </c>
      <c r="AO61" s="61">
        <f t="shared" si="40"/>
        <v>0</v>
      </c>
      <c r="AP61" s="61">
        <f t="shared" si="41"/>
        <v>0</v>
      </c>
      <c r="AQ61" s="61">
        <f t="shared" si="42"/>
        <v>0</v>
      </c>
      <c r="AR61" s="61">
        <f t="shared" si="43"/>
        <v>0</v>
      </c>
      <c r="AS61" s="61">
        <f t="shared" si="44"/>
        <v>0</v>
      </c>
      <c r="AT61" s="61">
        <f t="shared" si="45"/>
        <v>0</v>
      </c>
      <c r="AU61" s="61">
        <f t="shared" si="46"/>
        <v>0</v>
      </c>
      <c r="AV61" s="61">
        <f t="shared" si="47"/>
        <v>0</v>
      </c>
      <c r="AW61" s="101">
        <f>VLOOKUP($C61,'Cost RMs'!$B$5:$Q$22,+AW$4-$AW$4+2,0)</f>
        <v>248821</v>
      </c>
      <c r="AX61" s="101">
        <f>VLOOKUP($C61,'Cost RMs'!$B$5:$Q$22,+AX$4-$AW$4+2,0)</f>
        <v>290296</v>
      </c>
      <c r="AY61" s="101">
        <f>VLOOKUP($C61,'Cost RMs'!$B$5:$Q$22,+AY$4-$AW$4+2,0)</f>
        <v>316267</v>
      </c>
      <c r="AZ61" s="101">
        <f>VLOOKUP($C61,'Cost RMs'!$B$5:$Q$22,+AZ$4-$AW$4+2,0)</f>
        <v>337089</v>
      </c>
      <c r="BA61" s="101">
        <f>VLOOKUP($C61,'Cost RMs'!$B$5:$Q$22,+BA$4-$AW$4+2,0)</f>
        <v>408568</v>
      </c>
      <c r="BB61" s="101">
        <f>VLOOKUP($C61,'Cost RMs'!$B$5:$Q$22,+BB$4-$AW$4+2,0)</f>
        <v>457555</v>
      </c>
      <c r="BC61" s="101">
        <f>VLOOKUP($C61,'Cost RMs'!$B$5:$Q$22,+BC$4-$AW$4+2,0)</f>
        <v>512919</v>
      </c>
      <c r="BD61" s="101">
        <f>VLOOKUP($C61,'Cost RMs'!$B$5:$Q$22,+BD$4-$AW$4+2,0)</f>
        <v>574982</v>
      </c>
      <c r="BE61" s="101">
        <f>VLOOKUP($C61,'Cost RMs'!$B$5:$Q$22,+BE$4-$AW$4+2,0)</f>
        <v>644555</v>
      </c>
      <c r="BF61" s="101">
        <f>VLOOKUP($C61,'Cost RMs'!$B$5:$Q$22,+BF$4-$AW$4+2,0)</f>
        <v>722546</v>
      </c>
      <c r="BG61" s="101">
        <f>VLOOKUP($C61,'Cost RMs'!$B$5:$Q$22,+BG$4-$AW$4+2,0)</f>
        <v>809974</v>
      </c>
      <c r="BH61" s="101">
        <f>VLOOKUP($C61,'Cost RMs'!$B$5:$Q$22,+BH$4-$AW$4+2,0)</f>
        <v>907981</v>
      </c>
      <c r="BI61" s="101">
        <f>VLOOKUP($C61,'Cost RMs'!$B$5:$Q$22,+BI$4-$AW$4+2,0)</f>
        <v>1017847</v>
      </c>
      <c r="BJ61" s="101">
        <f>VLOOKUP($C61,'Cost RMs'!$B$5:$Q$22,+BJ$4-$AW$4+2,0)</f>
        <v>1141006</v>
      </c>
      <c r="BK61" s="101">
        <f>VLOOKUP($C61,'Cost RMs'!$B$5:$Q$22,+BK$4-$AW$4+2,0)</f>
        <v>1279068</v>
      </c>
      <c r="BL61" s="102">
        <f t="shared" si="48"/>
        <v>0</v>
      </c>
      <c r="BM61" s="102">
        <f t="shared" si="49"/>
        <v>0</v>
      </c>
      <c r="BN61" s="102">
        <f t="shared" si="50"/>
        <v>0</v>
      </c>
      <c r="BO61" s="102">
        <f t="shared" si="51"/>
        <v>0</v>
      </c>
      <c r="BP61" s="102">
        <f t="shared" si="52"/>
        <v>0</v>
      </c>
      <c r="BQ61" s="102">
        <f t="shared" si="53"/>
        <v>0</v>
      </c>
      <c r="BR61" s="102">
        <f t="shared" si="54"/>
        <v>0</v>
      </c>
      <c r="BS61" s="102">
        <f t="shared" si="55"/>
        <v>0</v>
      </c>
      <c r="BT61" s="102">
        <f t="shared" si="56"/>
        <v>0</v>
      </c>
      <c r="BU61" s="102">
        <f t="shared" si="57"/>
        <v>0</v>
      </c>
      <c r="BV61" s="102">
        <f t="shared" si="58"/>
        <v>0</v>
      </c>
      <c r="BW61" s="102">
        <f t="shared" si="59"/>
        <v>0</v>
      </c>
      <c r="BX61" s="102">
        <f t="shared" si="60"/>
        <v>0</v>
      </c>
      <c r="BY61" s="102">
        <f t="shared" si="61"/>
        <v>0</v>
      </c>
      <c r="BZ61" s="102">
        <f t="shared" si="62"/>
        <v>0</v>
      </c>
    </row>
    <row r="62" spans="1:78" x14ac:dyDescent="0.25">
      <c r="A62" s="26" t="s">
        <v>502</v>
      </c>
      <c r="B62" s="73">
        <v>0.52</v>
      </c>
      <c r="C62" t="s">
        <v>127</v>
      </c>
      <c r="E62">
        <v>4.1509999999999998</v>
      </c>
      <c r="F62">
        <v>4.32</v>
      </c>
      <c r="G62">
        <v>4.1509999999999998</v>
      </c>
      <c r="H62">
        <v>4.1509999999999998</v>
      </c>
      <c r="I62">
        <v>4.1509999999999998</v>
      </c>
      <c r="J62">
        <v>4.1509999999999998</v>
      </c>
      <c r="K62">
        <v>4.1509999999999998</v>
      </c>
      <c r="L62">
        <v>4.1509999999999998</v>
      </c>
      <c r="M62">
        <v>4.1509999999999998</v>
      </c>
      <c r="N62">
        <v>4.1509999999999998</v>
      </c>
      <c r="O62">
        <v>4.1509999999999998</v>
      </c>
      <c r="P62">
        <v>4.1509999999999998</v>
      </c>
      <c r="Q62">
        <v>4.1509999999999998</v>
      </c>
      <c r="R62">
        <v>4.1509999999999998</v>
      </c>
      <c r="S62" s="74">
        <f>VLOOKUP($A62,turnover!$A$184:$Q$192,+S$4-$S$4+3,0)</f>
        <v>0</v>
      </c>
      <c r="T62" s="74">
        <f>VLOOKUP($A62,turnover!$A$184:$Q$192,+T$4-$S$4+3,0)</f>
        <v>0</v>
      </c>
      <c r="U62" s="74">
        <f>VLOOKUP($A62,turnover!$A$184:$Q$192,+U$4-$S$4+3,0)</f>
        <v>8.9362000000000013</v>
      </c>
      <c r="V62" s="74">
        <f>VLOOKUP($A62,turnover!$A$184:$Q$192,+V$4-$S$4+3,0)</f>
        <v>0</v>
      </c>
      <c r="W62" s="74">
        <f>VLOOKUP($A62,turnover!$A$184:$Q$192,+W$4-$S$4+3,0)</f>
        <v>0</v>
      </c>
      <c r="X62" s="74">
        <f>VLOOKUP($A62,turnover!$A$184:$Q$192,+X$4-$S$4+3,0)</f>
        <v>0</v>
      </c>
      <c r="Y62" s="74">
        <f>VLOOKUP($A62,turnover!$A$184:$Q$192,+Y$4-$S$4+3,0)</f>
        <v>0</v>
      </c>
      <c r="Z62" s="74">
        <f>VLOOKUP($A62,turnover!$A$184:$Q$192,+Z$4-$S$4+3,0)</f>
        <v>0</v>
      </c>
      <c r="AA62" s="74">
        <f>VLOOKUP($A62,turnover!$A$184:$Q$192,+AA$4-$S$4+3,0)</f>
        <v>0</v>
      </c>
      <c r="AB62" s="74">
        <f>VLOOKUP($A62,turnover!$A$184:$Q$192,+AB$4-$S$4+3,0)</f>
        <v>0</v>
      </c>
      <c r="AC62" s="74">
        <f>VLOOKUP($A62,turnover!$A$184:$Q$192,+AC$4-$S$4+3,0)</f>
        <v>0</v>
      </c>
      <c r="AD62" s="74">
        <f>VLOOKUP($A62,turnover!$A$184:$Q$192,+AD$4-$S$4+3,0)</f>
        <v>0</v>
      </c>
      <c r="AE62" s="74">
        <f>VLOOKUP($A62,turnover!$A$184:$Q$192,+AE$4-$S$4+3,0)</f>
        <v>0</v>
      </c>
      <c r="AF62" s="74">
        <f>VLOOKUP($A62,turnover!$A$184:$Q$192,+AF$4-$S$4+3,0)</f>
        <v>0</v>
      </c>
      <c r="AG62" s="74">
        <f>VLOOKUP($A62,turnover!$A$184:$Q$192,+AG$4-$S$4+3,0)</f>
        <v>0</v>
      </c>
      <c r="AH62" s="61">
        <f t="shared" si="33"/>
        <v>0</v>
      </c>
      <c r="AI62" s="61">
        <f t="shared" si="34"/>
        <v>0</v>
      </c>
      <c r="AJ62" s="61">
        <f t="shared" si="35"/>
        <v>38.60438400000001</v>
      </c>
      <c r="AK62" s="61">
        <f t="shared" si="36"/>
        <v>0</v>
      </c>
      <c r="AL62" s="61">
        <f t="shared" si="37"/>
        <v>0</v>
      </c>
      <c r="AM62" s="61">
        <f t="shared" si="38"/>
        <v>0</v>
      </c>
      <c r="AN62" s="61">
        <f t="shared" si="39"/>
        <v>0</v>
      </c>
      <c r="AO62" s="61">
        <f t="shared" si="40"/>
        <v>0</v>
      </c>
      <c r="AP62" s="61">
        <f t="shared" si="41"/>
        <v>0</v>
      </c>
      <c r="AQ62" s="61">
        <f t="shared" si="42"/>
        <v>0</v>
      </c>
      <c r="AR62" s="61">
        <f t="shared" si="43"/>
        <v>0</v>
      </c>
      <c r="AS62" s="61">
        <f t="shared" si="44"/>
        <v>0</v>
      </c>
      <c r="AT62" s="61">
        <f t="shared" si="45"/>
        <v>0</v>
      </c>
      <c r="AU62" s="61">
        <f t="shared" si="46"/>
        <v>0</v>
      </c>
      <c r="AV62" s="61">
        <f t="shared" si="47"/>
        <v>0</v>
      </c>
      <c r="AW62" s="101">
        <f>VLOOKUP($C62,'Cost RMs'!$B$5:$Q$22,+AW$4-$AW$4+2,0)</f>
        <v>31510</v>
      </c>
      <c r="AX62" s="101">
        <f>VLOOKUP($C62,'Cost RMs'!$B$5:$Q$22,+AX$4-$AW$4+2,0)</f>
        <v>40370</v>
      </c>
      <c r="AY62" s="101">
        <f>VLOOKUP($C62,'Cost RMs'!$B$5:$Q$22,+AY$4-$AW$4+2,0)</f>
        <v>41166</v>
      </c>
      <c r="AZ62" s="101">
        <f>VLOOKUP($C62,'Cost RMs'!$B$5:$Q$22,+AZ$4-$AW$4+2,0)</f>
        <v>48881</v>
      </c>
      <c r="BA62" s="101">
        <f>VLOOKUP($C62,'Cost RMs'!$B$5:$Q$22,+BA$4-$AW$4+2,0)</f>
        <v>47121</v>
      </c>
      <c r="BB62" s="101">
        <f ca="1">VLOOKUP($C62,'Cost RMs'!$B$5:$Q$22,+BB$4-$AW$4+2,0)</f>
        <v>50566.413250959507</v>
      </c>
      <c r="BC62" s="101">
        <f ca="1">VLOOKUP($C62,'Cost RMs'!$B$5:$Q$22,+BC$4-$AW$4+2,0)</f>
        <v>56631.49986439231</v>
      </c>
      <c r="BD62" s="101">
        <f ca="1">VLOOKUP($C62,'Cost RMs'!$B$5:$Q$22,+BD$4-$AW$4+2,0)</f>
        <v>63938.797808160256</v>
      </c>
      <c r="BE62" s="101">
        <f ca="1">VLOOKUP($C62,'Cost RMs'!$B$5:$Q$22,+BE$4-$AW$4+2,0)</f>
        <v>72083.206654867696</v>
      </c>
      <c r="BF62" s="101">
        <f ca="1">VLOOKUP($C62,'Cost RMs'!$B$5:$Q$22,+BF$4-$AW$4+2,0)</f>
        <v>81313.760903297516</v>
      </c>
      <c r="BG62" s="101">
        <f ca="1">VLOOKUP($C62,'Cost RMs'!$B$5:$Q$22,+BG$4-$AW$4+2,0)</f>
        <v>91785.423765355576</v>
      </c>
      <c r="BH62" s="101">
        <f ca="1">VLOOKUP($C62,'Cost RMs'!$B$5:$Q$22,+BH$4-$AW$4+2,0)</f>
        <v>103677.12991004685</v>
      </c>
      <c r="BI62" s="101">
        <f ca="1">VLOOKUP($C62,'Cost RMs'!$B$5:$Q$22,+BI$4-$AW$4+2,0)</f>
        <v>117195.56148271105</v>
      </c>
      <c r="BJ62" s="101">
        <f ca="1">VLOOKUP($C62,'Cost RMs'!$B$5:$Q$22,+BJ$4-$AW$4+2,0)</f>
        <v>132580.59576203892</v>
      </c>
      <c r="BK62" s="101">
        <f ca="1">VLOOKUP($C62,'Cost RMs'!$B$5:$Q$22,+BK$4-$AW$4+2,0)</f>
        <v>150111.0973392961</v>
      </c>
      <c r="BL62" s="102">
        <f t="shared" si="48"/>
        <v>0</v>
      </c>
      <c r="BM62" s="102">
        <f t="shared" si="49"/>
        <v>0</v>
      </c>
      <c r="BN62" s="102">
        <f t="shared" si="50"/>
        <v>1589188.0717440003</v>
      </c>
      <c r="BO62" s="102">
        <f t="shared" si="51"/>
        <v>0</v>
      </c>
      <c r="BP62" s="102">
        <f t="shared" si="52"/>
        <v>0</v>
      </c>
      <c r="BQ62" s="102">
        <f t="shared" ca="1" si="53"/>
        <v>0</v>
      </c>
      <c r="BR62" s="102">
        <f t="shared" ca="1" si="54"/>
        <v>0</v>
      </c>
      <c r="BS62" s="102">
        <f t="shared" ca="1" si="55"/>
        <v>0</v>
      </c>
      <c r="BT62" s="102">
        <f t="shared" ca="1" si="56"/>
        <v>0</v>
      </c>
      <c r="BU62" s="102">
        <f t="shared" ca="1" si="57"/>
        <v>0</v>
      </c>
      <c r="BV62" s="102">
        <f t="shared" ca="1" si="58"/>
        <v>0</v>
      </c>
      <c r="BW62" s="102">
        <f t="shared" ca="1" si="59"/>
        <v>0</v>
      </c>
      <c r="BX62" s="102">
        <f t="shared" ca="1" si="60"/>
        <v>0</v>
      </c>
      <c r="BY62" s="102">
        <f t="shared" ca="1" si="61"/>
        <v>0</v>
      </c>
      <c r="BZ62" s="102">
        <f t="shared" ca="1" si="62"/>
        <v>0</v>
      </c>
    </row>
    <row r="63" spans="1:78" x14ac:dyDescent="0.25">
      <c r="A63" s="26" t="s">
        <v>502</v>
      </c>
      <c r="B63" s="73">
        <v>0.52</v>
      </c>
      <c r="C63" s="26" t="s">
        <v>132</v>
      </c>
      <c r="S63" s="74">
        <f>VLOOKUP($A63,turnover!$A$184:$Q$192,+S$4-$S$4+3,0)</f>
        <v>0</v>
      </c>
      <c r="T63" s="74">
        <f>VLOOKUP($A63,turnover!$A$184:$Q$192,+T$4-$S$4+3,0)</f>
        <v>0</v>
      </c>
      <c r="U63" s="74">
        <f>VLOOKUP($A63,turnover!$A$184:$Q$192,+U$4-$S$4+3,0)</f>
        <v>8.9362000000000013</v>
      </c>
      <c r="V63" s="74">
        <f>VLOOKUP($A63,turnover!$A$184:$Q$192,+V$4-$S$4+3,0)</f>
        <v>0</v>
      </c>
      <c r="W63" s="74">
        <f>VLOOKUP($A63,turnover!$A$184:$Q$192,+W$4-$S$4+3,0)</f>
        <v>0</v>
      </c>
      <c r="X63" s="74">
        <f>VLOOKUP($A63,turnover!$A$184:$Q$192,+X$4-$S$4+3,0)</f>
        <v>0</v>
      </c>
      <c r="Y63" s="74">
        <f>VLOOKUP($A63,turnover!$A$184:$Q$192,+Y$4-$S$4+3,0)</f>
        <v>0</v>
      </c>
      <c r="Z63" s="74">
        <f>VLOOKUP($A63,turnover!$A$184:$Q$192,+Z$4-$S$4+3,0)</f>
        <v>0</v>
      </c>
      <c r="AA63" s="74">
        <f>VLOOKUP($A63,turnover!$A$184:$Q$192,+AA$4-$S$4+3,0)</f>
        <v>0</v>
      </c>
      <c r="AB63" s="74">
        <f>VLOOKUP($A63,turnover!$A$184:$Q$192,+AB$4-$S$4+3,0)</f>
        <v>0</v>
      </c>
      <c r="AC63" s="74">
        <f>VLOOKUP($A63,turnover!$A$184:$Q$192,+AC$4-$S$4+3,0)</f>
        <v>0</v>
      </c>
      <c r="AD63" s="74">
        <f>VLOOKUP($A63,turnover!$A$184:$Q$192,+AD$4-$S$4+3,0)</f>
        <v>0</v>
      </c>
      <c r="AE63" s="74">
        <f>VLOOKUP($A63,turnover!$A$184:$Q$192,+AE$4-$S$4+3,0)</f>
        <v>0</v>
      </c>
      <c r="AF63" s="74">
        <f>VLOOKUP($A63,turnover!$A$184:$Q$192,+AF$4-$S$4+3,0)</f>
        <v>0</v>
      </c>
      <c r="AG63" s="74">
        <f>VLOOKUP($A63,turnover!$A$184:$Q$192,+AG$4-$S$4+3,0)</f>
        <v>0</v>
      </c>
      <c r="AH63" s="61">
        <f t="shared" si="33"/>
        <v>0</v>
      </c>
      <c r="AI63" s="61">
        <f t="shared" si="34"/>
        <v>0</v>
      </c>
      <c r="AJ63" s="61">
        <f t="shared" si="35"/>
        <v>0</v>
      </c>
      <c r="AK63" s="61">
        <f t="shared" si="36"/>
        <v>0</v>
      </c>
      <c r="AL63" s="61">
        <f t="shared" si="37"/>
        <v>0</v>
      </c>
      <c r="AM63" s="61">
        <f t="shared" si="38"/>
        <v>0</v>
      </c>
      <c r="AN63" s="61">
        <f t="shared" si="39"/>
        <v>0</v>
      </c>
      <c r="AO63" s="61">
        <f t="shared" si="40"/>
        <v>0</v>
      </c>
      <c r="AP63" s="61">
        <f t="shared" si="41"/>
        <v>0</v>
      </c>
      <c r="AQ63" s="61">
        <f t="shared" si="42"/>
        <v>0</v>
      </c>
      <c r="AR63" s="61">
        <f t="shared" si="43"/>
        <v>0</v>
      </c>
      <c r="AS63" s="61">
        <f t="shared" si="44"/>
        <v>0</v>
      </c>
      <c r="AT63" s="61">
        <f t="shared" si="45"/>
        <v>0</v>
      </c>
      <c r="AU63" s="61">
        <f t="shared" si="46"/>
        <v>0</v>
      </c>
      <c r="AV63" s="61">
        <f t="shared" si="47"/>
        <v>0</v>
      </c>
      <c r="AW63" s="101">
        <f>VLOOKUP($C63,'Cost RMs'!$B$5:$Q$22,+AW$4-$AW$4+2,0)</f>
        <v>37079</v>
      </c>
      <c r="AX63" s="101">
        <f>VLOOKUP($C63,'Cost RMs'!$B$5:$Q$22,+AX$4-$AW$4+2,0)</f>
        <v>52416</v>
      </c>
      <c r="AY63" s="101">
        <f>VLOOKUP($C63,'Cost RMs'!$B$5:$Q$22,+AY$4-$AW$4+2,0)</f>
        <v>45564</v>
      </c>
      <c r="AZ63" s="101">
        <f>VLOOKUP($C63,'Cost RMs'!$B$5:$Q$22,+AZ$4-$AW$4+2,0)</f>
        <v>49142</v>
      </c>
      <c r="BA63" s="101">
        <f>VLOOKUP($C63,'Cost RMs'!$B$5:$Q$22,+BA$4-$AW$4+2,0)</f>
        <v>50394</v>
      </c>
      <c r="BB63" s="101">
        <f>VLOOKUP($C63,'Cost RMs'!$B$5:$Q$22,+BB$4-$AW$4+2,0)</f>
        <v>56436</v>
      </c>
      <c r="BC63" s="101">
        <f>VLOOKUP($C63,'Cost RMs'!$B$5:$Q$22,+BC$4-$AW$4+2,0)</f>
        <v>63265</v>
      </c>
      <c r="BD63" s="101">
        <f>VLOOKUP($C63,'Cost RMs'!$B$5:$Q$22,+BD$4-$AW$4+2,0)</f>
        <v>70920</v>
      </c>
      <c r="BE63" s="101">
        <f>VLOOKUP($C63,'Cost RMs'!$B$5:$Q$22,+BE$4-$AW$4+2,0)</f>
        <v>79501</v>
      </c>
      <c r="BF63" s="101">
        <f>VLOOKUP($C63,'Cost RMs'!$B$5:$Q$22,+BF$4-$AW$4+2,0)</f>
        <v>89121</v>
      </c>
      <c r="BG63" s="101">
        <f>VLOOKUP($C63,'Cost RMs'!$B$5:$Q$22,+BG$4-$AW$4+2,0)</f>
        <v>99905</v>
      </c>
      <c r="BH63" s="101">
        <f>VLOOKUP($C63,'Cost RMs'!$B$5:$Q$22,+BH$4-$AW$4+2,0)</f>
        <v>111994</v>
      </c>
      <c r="BI63" s="101">
        <f>VLOOKUP($C63,'Cost RMs'!$B$5:$Q$22,+BI$4-$AW$4+2,0)</f>
        <v>125545</v>
      </c>
      <c r="BJ63" s="101">
        <f>VLOOKUP($C63,'Cost RMs'!$B$5:$Q$22,+BJ$4-$AW$4+2,0)</f>
        <v>140736</v>
      </c>
      <c r="BK63" s="101">
        <f>VLOOKUP($C63,'Cost RMs'!$B$5:$Q$22,+BK$4-$AW$4+2,0)</f>
        <v>157765</v>
      </c>
      <c r="BL63" s="102">
        <f t="shared" si="48"/>
        <v>0</v>
      </c>
      <c r="BM63" s="102">
        <f t="shared" si="49"/>
        <v>0</v>
      </c>
      <c r="BN63" s="102">
        <f t="shared" si="50"/>
        <v>0</v>
      </c>
      <c r="BO63" s="102">
        <f t="shared" si="51"/>
        <v>0</v>
      </c>
      <c r="BP63" s="102">
        <f t="shared" si="52"/>
        <v>0</v>
      </c>
      <c r="BQ63" s="102">
        <f t="shared" si="53"/>
        <v>0</v>
      </c>
      <c r="BR63" s="102">
        <f t="shared" si="54"/>
        <v>0</v>
      </c>
      <c r="BS63" s="102">
        <f t="shared" si="55"/>
        <v>0</v>
      </c>
      <c r="BT63" s="102">
        <f t="shared" si="56"/>
        <v>0</v>
      </c>
      <c r="BU63" s="102">
        <f t="shared" si="57"/>
        <v>0</v>
      </c>
      <c r="BV63" s="102">
        <f t="shared" si="58"/>
        <v>0</v>
      </c>
      <c r="BW63" s="102">
        <f t="shared" si="59"/>
        <v>0</v>
      </c>
      <c r="BX63" s="102">
        <f t="shared" si="60"/>
        <v>0</v>
      </c>
      <c r="BY63" s="102">
        <f t="shared" si="61"/>
        <v>0</v>
      </c>
      <c r="BZ63" s="102">
        <f t="shared" si="62"/>
        <v>0</v>
      </c>
    </row>
    <row r="64" spans="1:78" x14ac:dyDescent="0.25">
      <c r="A64" s="26" t="s">
        <v>502</v>
      </c>
      <c r="B64" s="73">
        <v>0.52</v>
      </c>
      <c r="C64" t="s">
        <v>128</v>
      </c>
      <c r="S64" s="74">
        <f>VLOOKUP($A64,turnover!$A$184:$Q$192,+S$4-$S$4+3,0)</f>
        <v>0</v>
      </c>
      <c r="T64" s="74">
        <f>VLOOKUP($A64,turnover!$A$184:$Q$192,+T$4-$S$4+3,0)</f>
        <v>0</v>
      </c>
      <c r="U64" s="74">
        <f>VLOOKUP($A64,turnover!$A$184:$Q$192,+U$4-$S$4+3,0)</f>
        <v>8.9362000000000013</v>
      </c>
      <c r="V64" s="74">
        <f>VLOOKUP($A64,turnover!$A$184:$Q$192,+V$4-$S$4+3,0)</f>
        <v>0</v>
      </c>
      <c r="W64" s="74">
        <f>VLOOKUP($A64,turnover!$A$184:$Q$192,+W$4-$S$4+3,0)</f>
        <v>0</v>
      </c>
      <c r="X64" s="74">
        <f>VLOOKUP($A64,turnover!$A$184:$Q$192,+X$4-$S$4+3,0)</f>
        <v>0</v>
      </c>
      <c r="Y64" s="74">
        <f>VLOOKUP($A64,turnover!$A$184:$Q$192,+Y$4-$S$4+3,0)</f>
        <v>0</v>
      </c>
      <c r="Z64" s="74">
        <f>VLOOKUP($A64,turnover!$A$184:$Q$192,+Z$4-$S$4+3,0)</f>
        <v>0</v>
      </c>
      <c r="AA64" s="74">
        <f>VLOOKUP($A64,turnover!$A$184:$Q$192,+AA$4-$S$4+3,0)</f>
        <v>0</v>
      </c>
      <c r="AB64" s="74">
        <f>VLOOKUP($A64,turnover!$A$184:$Q$192,+AB$4-$S$4+3,0)</f>
        <v>0</v>
      </c>
      <c r="AC64" s="74">
        <f>VLOOKUP($A64,turnover!$A$184:$Q$192,+AC$4-$S$4+3,0)</f>
        <v>0</v>
      </c>
      <c r="AD64" s="74">
        <f>VLOOKUP($A64,turnover!$A$184:$Q$192,+AD$4-$S$4+3,0)</f>
        <v>0</v>
      </c>
      <c r="AE64" s="74">
        <f>VLOOKUP($A64,turnover!$A$184:$Q$192,+AE$4-$S$4+3,0)</f>
        <v>0</v>
      </c>
      <c r="AF64" s="74">
        <f>VLOOKUP($A64,turnover!$A$184:$Q$192,+AF$4-$S$4+3,0)</f>
        <v>0</v>
      </c>
      <c r="AG64" s="74">
        <f>VLOOKUP($A64,turnover!$A$184:$Q$192,+AG$4-$S$4+3,0)</f>
        <v>0</v>
      </c>
      <c r="AH64" s="61">
        <f t="shared" si="33"/>
        <v>0</v>
      </c>
      <c r="AI64" s="61">
        <f t="shared" si="34"/>
        <v>0</v>
      </c>
      <c r="AJ64" s="61">
        <f t="shared" si="35"/>
        <v>0</v>
      </c>
      <c r="AK64" s="61">
        <f t="shared" si="36"/>
        <v>0</v>
      </c>
      <c r="AL64" s="61">
        <f t="shared" si="37"/>
        <v>0</v>
      </c>
      <c r="AM64" s="61">
        <f t="shared" si="38"/>
        <v>0</v>
      </c>
      <c r="AN64" s="61">
        <f t="shared" si="39"/>
        <v>0</v>
      </c>
      <c r="AO64" s="61">
        <f t="shared" si="40"/>
        <v>0</v>
      </c>
      <c r="AP64" s="61">
        <f t="shared" si="41"/>
        <v>0</v>
      </c>
      <c r="AQ64" s="61">
        <f t="shared" si="42"/>
        <v>0</v>
      </c>
      <c r="AR64" s="61">
        <f t="shared" si="43"/>
        <v>0</v>
      </c>
      <c r="AS64" s="61">
        <f t="shared" si="44"/>
        <v>0</v>
      </c>
      <c r="AT64" s="61">
        <f t="shared" si="45"/>
        <v>0</v>
      </c>
      <c r="AU64" s="61">
        <f t="shared" si="46"/>
        <v>0</v>
      </c>
      <c r="AV64" s="61">
        <f t="shared" si="47"/>
        <v>0</v>
      </c>
      <c r="AW64" s="101">
        <f>VLOOKUP($C64,'Cost RMs'!$B$5:$Q$22,+AW$4-$AW$4+2,0)</f>
        <v>0</v>
      </c>
      <c r="AX64" s="101">
        <f>VLOOKUP($C64,'Cost RMs'!$B$5:$Q$22,+AX$4-$AW$4+2,0)</f>
        <v>0</v>
      </c>
      <c r="AY64" s="101">
        <f>VLOOKUP($C64,'Cost RMs'!$B$5:$Q$22,+AY$4-$AW$4+2,0)</f>
        <v>0</v>
      </c>
      <c r="AZ64" s="101">
        <f>VLOOKUP($C64,'Cost RMs'!$B$5:$Q$22,+AZ$4-$AW$4+2,0)</f>
        <v>0</v>
      </c>
      <c r="BA64" s="101">
        <f>VLOOKUP($C64,'Cost RMs'!$B$5:$Q$22,+BA$4-$AW$4+2,0)</f>
        <v>0</v>
      </c>
      <c r="BB64" s="101">
        <f>VLOOKUP($C64,'Cost RMs'!$B$5:$Q$22,+BB$4-$AW$4+2,0)</f>
        <v>0</v>
      </c>
      <c r="BC64" s="101">
        <f>VLOOKUP($C64,'Cost RMs'!$B$5:$Q$22,+BC$4-$AW$4+2,0)</f>
        <v>0</v>
      </c>
      <c r="BD64" s="101">
        <f>VLOOKUP($C64,'Cost RMs'!$B$5:$Q$22,+BD$4-$AW$4+2,0)</f>
        <v>0</v>
      </c>
      <c r="BE64" s="101">
        <f>VLOOKUP($C64,'Cost RMs'!$B$5:$Q$22,+BE$4-$AW$4+2,0)</f>
        <v>0</v>
      </c>
      <c r="BF64" s="101">
        <f>VLOOKUP($C64,'Cost RMs'!$B$5:$Q$22,+BF$4-$AW$4+2,0)</f>
        <v>0</v>
      </c>
      <c r="BG64" s="101">
        <f>VLOOKUP($C64,'Cost RMs'!$B$5:$Q$22,+BG$4-$AW$4+2,0)</f>
        <v>0</v>
      </c>
      <c r="BH64" s="101">
        <f>VLOOKUP($C64,'Cost RMs'!$B$5:$Q$22,+BH$4-$AW$4+2,0)</f>
        <v>0</v>
      </c>
      <c r="BI64" s="101">
        <f>VLOOKUP($C64,'Cost RMs'!$B$5:$Q$22,+BI$4-$AW$4+2,0)</f>
        <v>0</v>
      </c>
      <c r="BJ64" s="101">
        <f>VLOOKUP($C64,'Cost RMs'!$B$5:$Q$22,+BJ$4-$AW$4+2,0)</f>
        <v>0</v>
      </c>
      <c r="BK64" s="101">
        <f>VLOOKUP($C64,'Cost RMs'!$B$5:$Q$22,+BK$4-$AW$4+2,0)</f>
        <v>0</v>
      </c>
      <c r="BL64" s="102">
        <f t="shared" si="48"/>
        <v>0</v>
      </c>
      <c r="BM64" s="102">
        <f t="shared" si="49"/>
        <v>0</v>
      </c>
      <c r="BN64" s="102">
        <f t="shared" si="50"/>
        <v>0</v>
      </c>
      <c r="BO64" s="102">
        <f t="shared" si="51"/>
        <v>0</v>
      </c>
      <c r="BP64" s="102">
        <f t="shared" si="52"/>
        <v>0</v>
      </c>
      <c r="BQ64" s="102">
        <f t="shared" si="53"/>
        <v>0</v>
      </c>
      <c r="BR64" s="102">
        <f t="shared" si="54"/>
        <v>0</v>
      </c>
      <c r="BS64" s="102">
        <f t="shared" si="55"/>
        <v>0</v>
      </c>
      <c r="BT64" s="102">
        <f t="shared" si="56"/>
        <v>0</v>
      </c>
      <c r="BU64" s="102">
        <f t="shared" si="57"/>
        <v>0</v>
      </c>
      <c r="BV64" s="102">
        <f t="shared" si="58"/>
        <v>0</v>
      </c>
      <c r="BW64" s="102">
        <f t="shared" si="59"/>
        <v>0</v>
      </c>
      <c r="BX64" s="102">
        <f t="shared" si="60"/>
        <v>0</v>
      </c>
      <c r="BY64" s="102">
        <f t="shared" si="61"/>
        <v>0</v>
      </c>
      <c r="BZ64" s="102">
        <f t="shared" si="62"/>
        <v>0</v>
      </c>
    </row>
    <row r="65" spans="1:78" x14ac:dyDescent="0.25">
      <c r="A65" s="26" t="s">
        <v>502</v>
      </c>
      <c r="B65" s="73">
        <v>0.52</v>
      </c>
      <c r="C65" t="s">
        <v>129</v>
      </c>
      <c r="E65">
        <v>0.877</v>
      </c>
      <c r="F65">
        <v>0.66900000000000004</v>
      </c>
      <c r="G65">
        <v>0.66900000000000004</v>
      </c>
      <c r="H65">
        <v>0.66900000000000004</v>
      </c>
      <c r="I65">
        <v>0.66900000000000004</v>
      </c>
      <c r="J65">
        <v>0.66900000000000004</v>
      </c>
      <c r="K65">
        <v>0.66900000000000004</v>
      </c>
      <c r="L65">
        <v>0.66900000000000004</v>
      </c>
      <c r="M65">
        <v>0.66900000000000004</v>
      </c>
      <c r="N65">
        <v>0.66900000000000004</v>
      </c>
      <c r="O65">
        <v>0.66900000000000004</v>
      </c>
      <c r="P65">
        <v>0.66900000000000004</v>
      </c>
      <c r="Q65">
        <v>0.66900000000000004</v>
      </c>
      <c r="R65">
        <v>0.66900000000000004</v>
      </c>
      <c r="S65" s="74">
        <f>VLOOKUP($A65,turnover!$A$184:$Q$192,+S$4-$S$4+3,0)</f>
        <v>0</v>
      </c>
      <c r="T65" s="74">
        <f>VLOOKUP($A65,turnover!$A$184:$Q$192,+T$4-$S$4+3,0)</f>
        <v>0</v>
      </c>
      <c r="U65" s="74">
        <f>VLOOKUP($A65,turnover!$A$184:$Q$192,+U$4-$S$4+3,0)</f>
        <v>8.9362000000000013</v>
      </c>
      <c r="V65" s="74">
        <f>VLOOKUP($A65,turnover!$A$184:$Q$192,+V$4-$S$4+3,0)</f>
        <v>0</v>
      </c>
      <c r="W65" s="74">
        <f>VLOOKUP($A65,turnover!$A$184:$Q$192,+W$4-$S$4+3,0)</f>
        <v>0</v>
      </c>
      <c r="X65" s="74">
        <f>VLOOKUP($A65,turnover!$A$184:$Q$192,+X$4-$S$4+3,0)</f>
        <v>0</v>
      </c>
      <c r="Y65" s="74">
        <f>VLOOKUP($A65,turnover!$A$184:$Q$192,+Y$4-$S$4+3,0)</f>
        <v>0</v>
      </c>
      <c r="Z65" s="74">
        <f>VLOOKUP($A65,turnover!$A$184:$Q$192,+Z$4-$S$4+3,0)</f>
        <v>0</v>
      </c>
      <c r="AA65" s="74">
        <f>VLOOKUP($A65,turnover!$A$184:$Q$192,+AA$4-$S$4+3,0)</f>
        <v>0</v>
      </c>
      <c r="AB65" s="74">
        <f>VLOOKUP($A65,turnover!$A$184:$Q$192,+AB$4-$S$4+3,0)</f>
        <v>0</v>
      </c>
      <c r="AC65" s="74">
        <f>VLOOKUP($A65,turnover!$A$184:$Q$192,+AC$4-$S$4+3,0)</f>
        <v>0</v>
      </c>
      <c r="AD65" s="74">
        <f>VLOOKUP($A65,turnover!$A$184:$Q$192,+AD$4-$S$4+3,0)</f>
        <v>0</v>
      </c>
      <c r="AE65" s="74">
        <f>VLOOKUP($A65,turnover!$A$184:$Q$192,+AE$4-$S$4+3,0)</f>
        <v>0</v>
      </c>
      <c r="AF65" s="74">
        <f>VLOOKUP($A65,turnover!$A$184:$Q$192,+AF$4-$S$4+3,0)</f>
        <v>0</v>
      </c>
      <c r="AG65" s="74">
        <f>VLOOKUP($A65,turnover!$A$184:$Q$192,+AG$4-$S$4+3,0)</f>
        <v>0</v>
      </c>
      <c r="AH65" s="61">
        <f t="shared" si="33"/>
        <v>0</v>
      </c>
      <c r="AI65" s="61">
        <f t="shared" si="34"/>
        <v>0</v>
      </c>
      <c r="AJ65" s="61">
        <f t="shared" si="35"/>
        <v>5.978317800000001</v>
      </c>
      <c r="AK65" s="61">
        <f t="shared" si="36"/>
        <v>0</v>
      </c>
      <c r="AL65" s="61">
        <f t="shared" si="37"/>
        <v>0</v>
      </c>
      <c r="AM65" s="61">
        <f t="shared" si="38"/>
        <v>0</v>
      </c>
      <c r="AN65" s="61">
        <f t="shared" si="39"/>
        <v>0</v>
      </c>
      <c r="AO65" s="61">
        <f t="shared" si="40"/>
        <v>0</v>
      </c>
      <c r="AP65" s="61">
        <f t="shared" si="41"/>
        <v>0</v>
      </c>
      <c r="AQ65" s="61">
        <f t="shared" si="42"/>
        <v>0</v>
      </c>
      <c r="AR65" s="61">
        <f t="shared" si="43"/>
        <v>0</v>
      </c>
      <c r="AS65" s="61">
        <f t="shared" si="44"/>
        <v>0</v>
      </c>
      <c r="AT65" s="61">
        <f t="shared" si="45"/>
        <v>0</v>
      </c>
      <c r="AU65" s="61">
        <f t="shared" si="46"/>
        <v>0</v>
      </c>
      <c r="AV65" s="61">
        <f t="shared" si="47"/>
        <v>0</v>
      </c>
      <c r="AW65" s="101">
        <f>VLOOKUP($C65,'Cost RMs'!$B$5:$Q$22,+AW$4-$AW$4+2,0)</f>
        <v>40086</v>
      </c>
      <c r="AX65" s="101">
        <f>VLOOKUP($C65,'Cost RMs'!$B$5:$Q$22,+AX$4-$AW$4+2,0)</f>
        <v>56197</v>
      </c>
      <c r="AY65" s="101">
        <f>VLOOKUP($C65,'Cost RMs'!$B$5:$Q$22,+AY$4-$AW$4+2,0)</f>
        <v>64582</v>
      </c>
      <c r="AZ65" s="101">
        <f>VLOOKUP($C65,'Cost RMs'!$B$5:$Q$22,+AZ$4-$AW$4+2,0)</f>
        <v>76567</v>
      </c>
      <c r="BA65" s="101">
        <f ca="1">VLOOKUP($C65,'Cost RMs'!$B$5:$Q$22,+BA$4-$AW$4+2,0)</f>
        <v>86638</v>
      </c>
      <c r="BB65" s="101">
        <f ca="1">VLOOKUP($C65,'Cost RMs'!$B$5:$Q$22,+BB$4-$AW$4+2,0)</f>
        <v>97026</v>
      </c>
      <c r="BC65" s="101">
        <f ca="1">VLOOKUP($C65,'Cost RMs'!$B$5:$Q$22,+BC$4-$AW$4+2,0)</f>
        <v>108766</v>
      </c>
      <c r="BD65" s="101">
        <f ca="1">VLOOKUP($C65,'Cost RMs'!$B$5:$Q$22,+BD$4-$AW$4+2,0)</f>
        <v>121927</v>
      </c>
      <c r="BE65" s="101">
        <f ca="1">VLOOKUP($C65,'Cost RMs'!$B$5:$Q$22,+BE$4-$AW$4+2,0)</f>
        <v>136680</v>
      </c>
      <c r="BF65" s="101">
        <f ca="1">VLOOKUP($C65,'Cost RMs'!$B$5:$Q$22,+BF$4-$AW$4+2,0)</f>
        <v>153218</v>
      </c>
      <c r="BG65" s="101">
        <f ca="1">VLOOKUP($C65,'Cost RMs'!$B$5:$Q$22,+BG$4-$AW$4+2,0)</f>
        <v>171757</v>
      </c>
      <c r="BH65" s="101">
        <f ca="1">VLOOKUP($C65,'Cost RMs'!$B$5:$Q$22,+BH$4-$AW$4+2,0)</f>
        <v>192540</v>
      </c>
      <c r="BI65" s="101">
        <f ca="1">VLOOKUP($C65,'Cost RMs'!$B$5:$Q$22,+BI$4-$AW$4+2,0)</f>
        <v>215837</v>
      </c>
      <c r="BJ65" s="101">
        <f ca="1">VLOOKUP($C65,'Cost RMs'!$B$5:$Q$22,+BJ$4-$AW$4+2,0)</f>
        <v>241953</v>
      </c>
      <c r="BK65" s="101">
        <f ca="1">VLOOKUP($C65,'Cost RMs'!$B$5:$Q$22,+BK$4-$AW$4+2,0)</f>
        <v>271229</v>
      </c>
      <c r="BL65" s="102">
        <f t="shared" si="48"/>
        <v>0</v>
      </c>
      <c r="BM65" s="102">
        <f t="shared" si="49"/>
        <v>0</v>
      </c>
      <c r="BN65" s="102">
        <f t="shared" si="50"/>
        <v>386091.72015960008</v>
      </c>
      <c r="BO65" s="102">
        <f t="shared" si="51"/>
        <v>0</v>
      </c>
      <c r="BP65" s="102">
        <f t="shared" ca="1" si="52"/>
        <v>0</v>
      </c>
      <c r="BQ65" s="102">
        <f t="shared" ca="1" si="53"/>
        <v>0</v>
      </c>
      <c r="BR65" s="102">
        <f t="shared" ca="1" si="54"/>
        <v>0</v>
      </c>
      <c r="BS65" s="102">
        <f t="shared" ca="1" si="55"/>
        <v>0</v>
      </c>
      <c r="BT65" s="102">
        <f t="shared" ca="1" si="56"/>
        <v>0</v>
      </c>
      <c r="BU65" s="102">
        <f t="shared" ca="1" si="57"/>
        <v>0</v>
      </c>
      <c r="BV65" s="102">
        <f t="shared" ca="1" si="58"/>
        <v>0</v>
      </c>
      <c r="BW65" s="102">
        <f t="shared" ca="1" si="59"/>
        <v>0</v>
      </c>
      <c r="BX65" s="102">
        <f t="shared" ca="1" si="60"/>
        <v>0</v>
      </c>
      <c r="BY65" s="102">
        <f t="shared" ca="1" si="61"/>
        <v>0</v>
      </c>
      <c r="BZ65" s="102">
        <f t="shared" ca="1" si="62"/>
        <v>0</v>
      </c>
    </row>
    <row r="66" spans="1:78" x14ac:dyDescent="0.25">
      <c r="A66" s="26" t="s">
        <v>502</v>
      </c>
      <c r="B66" s="73">
        <v>0.52</v>
      </c>
      <c r="C66" t="s">
        <v>130</v>
      </c>
      <c r="E66">
        <v>0.313</v>
      </c>
      <c r="F66">
        <v>0.307</v>
      </c>
      <c r="G66">
        <v>0.307</v>
      </c>
      <c r="H66">
        <v>0.307</v>
      </c>
      <c r="I66">
        <v>0.307</v>
      </c>
      <c r="J66">
        <v>0.307</v>
      </c>
      <c r="K66">
        <v>0.307</v>
      </c>
      <c r="L66">
        <v>0.307</v>
      </c>
      <c r="M66">
        <v>0.307</v>
      </c>
      <c r="N66">
        <v>0.307</v>
      </c>
      <c r="O66">
        <v>0.307</v>
      </c>
      <c r="P66">
        <v>0.307</v>
      </c>
      <c r="Q66">
        <v>0.307</v>
      </c>
      <c r="R66">
        <v>0.307</v>
      </c>
      <c r="S66" s="74">
        <f>VLOOKUP($A66,turnover!$A$184:$Q$192,+S$4-$S$4+3,0)</f>
        <v>0</v>
      </c>
      <c r="T66" s="74">
        <f>VLOOKUP($A66,turnover!$A$184:$Q$192,+T$4-$S$4+3,0)</f>
        <v>0</v>
      </c>
      <c r="U66" s="74">
        <f>VLOOKUP($A66,turnover!$A$184:$Q$192,+U$4-$S$4+3,0)</f>
        <v>8.9362000000000013</v>
      </c>
      <c r="V66" s="74">
        <f>VLOOKUP($A66,turnover!$A$184:$Q$192,+V$4-$S$4+3,0)</f>
        <v>0</v>
      </c>
      <c r="W66" s="74">
        <f>VLOOKUP($A66,turnover!$A$184:$Q$192,+W$4-$S$4+3,0)</f>
        <v>0</v>
      </c>
      <c r="X66" s="74">
        <f>VLOOKUP($A66,turnover!$A$184:$Q$192,+X$4-$S$4+3,0)</f>
        <v>0</v>
      </c>
      <c r="Y66" s="74">
        <f>VLOOKUP($A66,turnover!$A$184:$Q$192,+Y$4-$S$4+3,0)</f>
        <v>0</v>
      </c>
      <c r="Z66" s="74">
        <f>VLOOKUP($A66,turnover!$A$184:$Q$192,+Z$4-$S$4+3,0)</f>
        <v>0</v>
      </c>
      <c r="AA66" s="74">
        <f>VLOOKUP($A66,turnover!$A$184:$Q$192,+AA$4-$S$4+3,0)</f>
        <v>0</v>
      </c>
      <c r="AB66" s="74">
        <f>VLOOKUP($A66,turnover!$A$184:$Q$192,+AB$4-$S$4+3,0)</f>
        <v>0</v>
      </c>
      <c r="AC66" s="74">
        <f>VLOOKUP($A66,turnover!$A$184:$Q$192,+AC$4-$S$4+3,0)</f>
        <v>0</v>
      </c>
      <c r="AD66" s="74">
        <f>VLOOKUP($A66,turnover!$A$184:$Q$192,+AD$4-$S$4+3,0)</f>
        <v>0</v>
      </c>
      <c r="AE66" s="74">
        <f>VLOOKUP($A66,turnover!$A$184:$Q$192,+AE$4-$S$4+3,0)</f>
        <v>0</v>
      </c>
      <c r="AF66" s="74">
        <f>VLOOKUP($A66,turnover!$A$184:$Q$192,+AF$4-$S$4+3,0)</f>
        <v>0</v>
      </c>
      <c r="AG66" s="74">
        <f>VLOOKUP($A66,turnover!$A$184:$Q$192,+AG$4-$S$4+3,0)</f>
        <v>0</v>
      </c>
      <c r="AH66" s="61">
        <f t="shared" si="33"/>
        <v>0</v>
      </c>
      <c r="AI66" s="61">
        <f t="shared" si="34"/>
        <v>0</v>
      </c>
      <c r="AJ66" s="61">
        <f t="shared" si="35"/>
        <v>2.7434134000000006</v>
      </c>
      <c r="AK66" s="61">
        <f t="shared" si="36"/>
        <v>0</v>
      </c>
      <c r="AL66" s="61">
        <f t="shared" si="37"/>
        <v>0</v>
      </c>
      <c r="AM66" s="61">
        <f t="shared" si="38"/>
        <v>0</v>
      </c>
      <c r="AN66" s="61">
        <f t="shared" si="39"/>
        <v>0</v>
      </c>
      <c r="AO66" s="61">
        <f t="shared" si="40"/>
        <v>0</v>
      </c>
      <c r="AP66" s="61">
        <f t="shared" si="41"/>
        <v>0</v>
      </c>
      <c r="AQ66" s="61">
        <f t="shared" si="42"/>
        <v>0</v>
      </c>
      <c r="AR66" s="61">
        <f t="shared" si="43"/>
        <v>0</v>
      </c>
      <c r="AS66" s="61">
        <f t="shared" si="44"/>
        <v>0</v>
      </c>
      <c r="AT66" s="61">
        <f t="shared" si="45"/>
        <v>0</v>
      </c>
      <c r="AU66" s="61">
        <f t="shared" si="46"/>
        <v>0</v>
      </c>
      <c r="AV66" s="61">
        <f t="shared" si="47"/>
        <v>0</v>
      </c>
      <c r="AW66" s="101">
        <f>VLOOKUP($C66,'Cost RMs'!$B$5:$Q$22,+AW$4-$AW$4+2,0)</f>
        <v>42500</v>
      </c>
      <c r="AX66" s="101">
        <f>VLOOKUP($C66,'Cost RMs'!$B$5:$Q$22,+AX$4-$AW$4+2,0)</f>
        <v>63692</v>
      </c>
      <c r="AY66" s="101">
        <f>VLOOKUP($C66,'Cost RMs'!$B$5:$Q$22,+AY$4-$AW$4+2,0)</f>
        <v>71301</v>
      </c>
      <c r="AZ66" s="101">
        <f>VLOOKUP($C66,'Cost RMs'!$B$5:$Q$22,+AZ$4-$AW$4+2,0)</f>
        <v>82665</v>
      </c>
      <c r="BA66" s="101">
        <f ca="1">VLOOKUP($C66,'Cost RMs'!$B$5:$Q$22,+BA$4-$AW$4+2,0)</f>
        <v>96790</v>
      </c>
      <c r="BB66" s="101">
        <f ca="1">VLOOKUP($C66,'Cost RMs'!$B$5:$Q$22,+BB$4-$AW$4+2,0)</f>
        <v>108395</v>
      </c>
      <c r="BC66" s="101">
        <f ca="1">VLOOKUP($C66,'Cost RMs'!$B$5:$Q$22,+BC$4-$AW$4+2,0)</f>
        <v>121511</v>
      </c>
      <c r="BD66" s="101">
        <f ca="1">VLOOKUP($C66,'Cost RMs'!$B$5:$Q$22,+BD$4-$AW$4+2,0)</f>
        <v>136214</v>
      </c>
      <c r="BE66" s="101">
        <f ca="1">VLOOKUP($C66,'Cost RMs'!$B$5:$Q$22,+BE$4-$AW$4+2,0)</f>
        <v>152696</v>
      </c>
      <c r="BF66" s="101">
        <f ca="1">VLOOKUP($C66,'Cost RMs'!$B$5:$Q$22,+BF$4-$AW$4+2,0)</f>
        <v>171172</v>
      </c>
      <c r="BG66" s="101">
        <f ca="1">VLOOKUP($C66,'Cost RMs'!$B$5:$Q$22,+BG$4-$AW$4+2,0)</f>
        <v>191884</v>
      </c>
      <c r="BH66" s="101">
        <f ca="1">VLOOKUP($C66,'Cost RMs'!$B$5:$Q$22,+BH$4-$AW$4+2,0)</f>
        <v>215102</v>
      </c>
      <c r="BI66" s="101">
        <f ca="1">VLOOKUP($C66,'Cost RMs'!$B$5:$Q$22,+BI$4-$AW$4+2,0)</f>
        <v>241129</v>
      </c>
      <c r="BJ66" s="101">
        <f ca="1">VLOOKUP($C66,'Cost RMs'!$B$5:$Q$22,+BJ$4-$AW$4+2,0)</f>
        <v>270306</v>
      </c>
      <c r="BK66" s="101">
        <f ca="1">VLOOKUP($C66,'Cost RMs'!$B$5:$Q$22,+BK$4-$AW$4+2,0)</f>
        <v>303013</v>
      </c>
      <c r="BL66" s="102">
        <f t="shared" si="48"/>
        <v>0</v>
      </c>
      <c r="BM66" s="102">
        <f t="shared" si="49"/>
        <v>0</v>
      </c>
      <c r="BN66" s="102">
        <f t="shared" si="50"/>
        <v>195608.11883340005</v>
      </c>
      <c r="BO66" s="102">
        <f t="shared" si="51"/>
        <v>0</v>
      </c>
      <c r="BP66" s="102">
        <f t="shared" ca="1" si="52"/>
        <v>0</v>
      </c>
      <c r="BQ66" s="102">
        <f t="shared" ca="1" si="53"/>
        <v>0</v>
      </c>
      <c r="BR66" s="102">
        <f t="shared" ca="1" si="54"/>
        <v>0</v>
      </c>
      <c r="BS66" s="102">
        <f t="shared" ca="1" si="55"/>
        <v>0</v>
      </c>
      <c r="BT66" s="102">
        <f t="shared" ca="1" si="56"/>
        <v>0</v>
      </c>
      <c r="BU66" s="102">
        <f t="shared" ca="1" si="57"/>
        <v>0</v>
      </c>
      <c r="BV66" s="102">
        <f t="shared" ca="1" si="58"/>
        <v>0</v>
      </c>
      <c r="BW66" s="102">
        <f t="shared" ca="1" si="59"/>
        <v>0</v>
      </c>
      <c r="BX66" s="102">
        <f t="shared" ca="1" si="60"/>
        <v>0</v>
      </c>
      <c r="BY66" s="102">
        <f t="shared" ca="1" si="61"/>
        <v>0</v>
      </c>
      <c r="BZ66" s="102">
        <f t="shared" ca="1" si="62"/>
        <v>0</v>
      </c>
    </row>
    <row r="67" spans="1:78" x14ac:dyDescent="0.25">
      <c r="A67" s="26" t="s">
        <v>502</v>
      </c>
      <c r="B67" s="73">
        <v>0.52</v>
      </c>
      <c r="C67" s="59" t="s">
        <v>146</v>
      </c>
      <c r="E67">
        <v>3.2000000000000001E-2</v>
      </c>
      <c r="F67">
        <v>1.2729999999999999</v>
      </c>
      <c r="G67">
        <v>1.2729999999999999</v>
      </c>
      <c r="H67">
        <v>1.2729999999999999</v>
      </c>
      <c r="I67">
        <v>1.2729999999999999</v>
      </c>
      <c r="J67">
        <v>1.2729999999999999</v>
      </c>
      <c r="K67">
        <v>1.2729999999999999</v>
      </c>
      <c r="L67">
        <v>1.2729999999999999</v>
      </c>
      <c r="M67">
        <v>1.2729999999999999</v>
      </c>
      <c r="N67">
        <v>1.2729999999999999</v>
      </c>
      <c r="O67">
        <v>1.2729999999999999</v>
      </c>
      <c r="P67">
        <v>1.2729999999999999</v>
      </c>
      <c r="Q67">
        <v>1.2729999999999999</v>
      </c>
      <c r="R67">
        <v>1.2729999999999999</v>
      </c>
      <c r="S67" s="74">
        <f>VLOOKUP($A67,turnover!$A$184:$Q$192,+S$4-$S$4+3,0)</f>
        <v>0</v>
      </c>
      <c r="T67" s="74">
        <f>VLOOKUP($A67,turnover!$A$184:$Q$192,+T$4-$S$4+3,0)</f>
        <v>0</v>
      </c>
      <c r="U67" s="74">
        <f>VLOOKUP($A67,turnover!$A$184:$Q$192,+U$4-$S$4+3,0)</f>
        <v>8.9362000000000013</v>
      </c>
      <c r="V67" s="74">
        <f>VLOOKUP($A67,turnover!$A$184:$Q$192,+V$4-$S$4+3,0)</f>
        <v>0</v>
      </c>
      <c r="W67" s="74">
        <f>VLOOKUP($A67,turnover!$A$184:$Q$192,+W$4-$S$4+3,0)</f>
        <v>0</v>
      </c>
      <c r="X67" s="74">
        <f>VLOOKUP($A67,turnover!$A$184:$Q$192,+X$4-$S$4+3,0)</f>
        <v>0</v>
      </c>
      <c r="Y67" s="74">
        <f>VLOOKUP($A67,turnover!$A$184:$Q$192,+Y$4-$S$4+3,0)</f>
        <v>0</v>
      </c>
      <c r="Z67" s="74">
        <f>VLOOKUP($A67,turnover!$A$184:$Q$192,+Z$4-$S$4+3,0)</f>
        <v>0</v>
      </c>
      <c r="AA67" s="74">
        <f>VLOOKUP($A67,turnover!$A$184:$Q$192,+AA$4-$S$4+3,0)</f>
        <v>0</v>
      </c>
      <c r="AB67" s="74">
        <f>VLOOKUP($A67,turnover!$A$184:$Q$192,+AB$4-$S$4+3,0)</f>
        <v>0</v>
      </c>
      <c r="AC67" s="74">
        <f>VLOOKUP($A67,turnover!$A$184:$Q$192,+AC$4-$S$4+3,0)</f>
        <v>0</v>
      </c>
      <c r="AD67" s="74">
        <f>VLOOKUP($A67,turnover!$A$184:$Q$192,+AD$4-$S$4+3,0)</f>
        <v>0</v>
      </c>
      <c r="AE67" s="74">
        <f>VLOOKUP($A67,turnover!$A$184:$Q$192,+AE$4-$S$4+3,0)</f>
        <v>0</v>
      </c>
      <c r="AF67" s="74">
        <f>VLOOKUP($A67,turnover!$A$184:$Q$192,+AF$4-$S$4+3,0)</f>
        <v>0</v>
      </c>
      <c r="AG67" s="74">
        <f>VLOOKUP($A67,turnover!$A$184:$Q$192,+AG$4-$S$4+3,0)</f>
        <v>0</v>
      </c>
      <c r="AH67" s="61">
        <f t="shared" si="33"/>
        <v>0</v>
      </c>
      <c r="AI67" s="61">
        <f t="shared" si="34"/>
        <v>0</v>
      </c>
      <c r="AJ67" s="61">
        <f t="shared" si="35"/>
        <v>11.375782600000001</v>
      </c>
      <c r="AK67" s="61">
        <f t="shared" si="36"/>
        <v>0</v>
      </c>
      <c r="AL67" s="61">
        <f t="shared" si="37"/>
        <v>0</v>
      </c>
      <c r="AM67" s="61">
        <f t="shared" si="38"/>
        <v>0</v>
      </c>
      <c r="AN67" s="61">
        <f t="shared" si="39"/>
        <v>0</v>
      </c>
      <c r="AO67" s="61">
        <f t="shared" si="40"/>
        <v>0</v>
      </c>
      <c r="AP67" s="61">
        <f t="shared" si="41"/>
        <v>0</v>
      </c>
      <c r="AQ67" s="61">
        <f t="shared" si="42"/>
        <v>0</v>
      </c>
      <c r="AR67" s="61">
        <f t="shared" si="43"/>
        <v>0</v>
      </c>
      <c r="AS67" s="61">
        <f t="shared" si="44"/>
        <v>0</v>
      </c>
      <c r="AT67" s="61">
        <f t="shared" si="45"/>
        <v>0</v>
      </c>
      <c r="AU67" s="61">
        <f t="shared" si="46"/>
        <v>0</v>
      </c>
      <c r="AV67" s="61">
        <f t="shared" si="47"/>
        <v>0</v>
      </c>
      <c r="AW67" s="101">
        <f>VLOOKUP($C67,'Cost RMs'!$B$5:$Q$22,+AW$4-$AW$4+2,0)</f>
        <v>7020</v>
      </c>
      <c r="AX67" s="101">
        <f>VLOOKUP($C67,'Cost RMs'!$B$5:$Q$22,+AX$4-$AW$4+2,0)</f>
        <v>8883</v>
      </c>
      <c r="AY67" s="101">
        <f>VLOOKUP($C67,'Cost RMs'!$B$5:$Q$22,+AY$4-$AW$4+2,0)</f>
        <v>11764</v>
      </c>
      <c r="AZ67" s="101">
        <f>VLOOKUP($C67,'Cost RMs'!$B$5:$Q$22,+AZ$4-$AW$4+2,0)</f>
        <v>15733</v>
      </c>
      <c r="BA67" s="101">
        <f ca="1">VLOOKUP($C67,'Cost RMs'!$B$5:$Q$22,+BA$4-$AW$4+2,0)</f>
        <v>19200</v>
      </c>
      <c r="BB67" s="101">
        <f ca="1">VLOOKUP($C67,'Cost RMs'!$B$5:$Q$22,+BB$4-$AW$4+2,0)</f>
        <v>21502</v>
      </c>
      <c r="BC67" s="101">
        <f ca="1">VLOOKUP($C67,'Cost RMs'!$B$5:$Q$22,+BC$4-$AW$4+2,0)</f>
        <v>24104</v>
      </c>
      <c r="BD67" s="101">
        <f ca="1">VLOOKUP($C67,'Cost RMs'!$B$5:$Q$22,+BD$4-$AW$4+2,0)</f>
        <v>27021</v>
      </c>
      <c r="BE67" s="101">
        <f ca="1">VLOOKUP($C67,'Cost RMs'!$B$5:$Q$22,+BE$4-$AW$4+2,0)</f>
        <v>30291</v>
      </c>
      <c r="BF67" s="101">
        <f ca="1">VLOOKUP($C67,'Cost RMs'!$B$5:$Q$22,+BF$4-$AW$4+2,0)</f>
        <v>33956</v>
      </c>
      <c r="BG67" s="101">
        <f ca="1">VLOOKUP($C67,'Cost RMs'!$B$5:$Q$22,+BG$4-$AW$4+2,0)</f>
        <v>38065</v>
      </c>
      <c r="BH67" s="101">
        <f ca="1">VLOOKUP($C67,'Cost RMs'!$B$5:$Q$22,+BH$4-$AW$4+2,0)</f>
        <v>42671</v>
      </c>
      <c r="BI67" s="101">
        <f ca="1">VLOOKUP($C67,'Cost RMs'!$B$5:$Q$22,+BI$4-$AW$4+2,0)</f>
        <v>47834</v>
      </c>
      <c r="BJ67" s="101">
        <f ca="1">VLOOKUP($C67,'Cost RMs'!$B$5:$Q$22,+BJ$4-$AW$4+2,0)</f>
        <v>53622</v>
      </c>
      <c r="BK67" s="101">
        <f ca="1">VLOOKUP($C67,'Cost RMs'!$B$5:$Q$22,+BK$4-$AW$4+2,0)</f>
        <v>60110</v>
      </c>
      <c r="BL67" s="102">
        <f t="shared" si="48"/>
        <v>0</v>
      </c>
      <c r="BM67" s="102">
        <f t="shared" si="49"/>
        <v>0</v>
      </c>
      <c r="BN67" s="102">
        <f t="shared" si="50"/>
        <v>133824.70650640002</v>
      </c>
      <c r="BO67" s="102">
        <f t="shared" si="51"/>
        <v>0</v>
      </c>
      <c r="BP67" s="102">
        <f t="shared" ca="1" si="52"/>
        <v>0</v>
      </c>
      <c r="BQ67" s="102">
        <f t="shared" ca="1" si="53"/>
        <v>0</v>
      </c>
      <c r="BR67" s="102">
        <f t="shared" ca="1" si="54"/>
        <v>0</v>
      </c>
      <c r="BS67" s="102">
        <f t="shared" ca="1" si="55"/>
        <v>0</v>
      </c>
      <c r="BT67" s="102">
        <f t="shared" ca="1" si="56"/>
        <v>0</v>
      </c>
      <c r="BU67" s="102">
        <f t="shared" ca="1" si="57"/>
        <v>0</v>
      </c>
      <c r="BV67" s="102">
        <f t="shared" ca="1" si="58"/>
        <v>0</v>
      </c>
      <c r="BW67" s="102">
        <f t="shared" ca="1" si="59"/>
        <v>0</v>
      </c>
      <c r="BX67" s="102">
        <f t="shared" ca="1" si="60"/>
        <v>0</v>
      </c>
      <c r="BY67" s="102">
        <f t="shared" ca="1" si="61"/>
        <v>0</v>
      </c>
      <c r="BZ67" s="102">
        <f t="shared" ca="1" si="62"/>
        <v>0</v>
      </c>
    </row>
    <row r="68" spans="1:78" x14ac:dyDescent="0.25">
      <c r="A68" s="26" t="s">
        <v>502</v>
      </c>
      <c r="B68" s="73">
        <v>0.52</v>
      </c>
      <c r="C68" s="59" t="s">
        <v>147</v>
      </c>
      <c r="E68">
        <v>0.17299999999999999</v>
      </c>
      <c r="F68">
        <v>0.13200000000000001</v>
      </c>
      <c r="G68">
        <v>0.13200000000000001</v>
      </c>
      <c r="H68">
        <v>0.13200000000000001</v>
      </c>
      <c r="I68">
        <v>0.13200000000000001</v>
      </c>
      <c r="J68">
        <v>0.13200000000000001</v>
      </c>
      <c r="K68">
        <v>0.13200000000000001</v>
      </c>
      <c r="L68">
        <v>0.13200000000000001</v>
      </c>
      <c r="M68">
        <v>0.13200000000000001</v>
      </c>
      <c r="N68">
        <v>0.13200000000000001</v>
      </c>
      <c r="O68">
        <v>0.13200000000000001</v>
      </c>
      <c r="P68">
        <v>0.13200000000000001</v>
      </c>
      <c r="Q68">
        <v>0.13200000000000001</v>
      </c>
      <c r="R68">
        <v>0.13200000000000001</v>
      </c>
      <c r="S68" s="74">
        <f>VLOOKUP($A68,turnover!$A$184:$Q$192,+S$4-$S$4+3,0)</f>
        <v>0</v>
      </c>
      <c r="T68" s="74">
        <f>VLOOKUP($A68,turnover!$A$184:$Q$192,+T$4-$S$4+3,0)</f>
        <v>0</v>
      </c>
      <c r="U68" s="74">
        <f>VLOOKUP($A68,turnover!$A$184:$Q$192,+U$4-$S$4+3,0)</f>
        <v>8.9362000000000013</v>
      </c>
      <c r="V68" s="74">
        <f>VLOOKUP($A68,turnover!$A$184:$Q$192,+V$4-$S$4+3,0)</f>
        <v>0</v>
      </c>
      <c r="W68" s="74">
        <f>VLOOKUP($A68,turnover!$A$184:$Q$192,+W$4-$S$4+3,0)</f>
        <v>0</v>
      </c>
      <c r="X68" s="74">
        <f>VLOOKUP($A68,turnover!$A$184:$Q$192,+X$4-$S$4+3,0)</f>
        <v>0</v>
      </c>
      <c r="Y68" s="74">
        <f>VLOOKUP($A68,turnover!$A$184:$Q$192,+Y$4-$S$4+3,0)</f>
        <v>0</v>
      </c>
      <c r="Z68" s="74">
        <f>VLOOKUP($A68,turnover!$A$184:$Q$192,+Z$4-$S$4+3,0)</f>
        <v>0</v>
      </c>
      <c r="AA68" s="74">
        <f>VLOOKUP($A68,turnover!$A$184:$Q$192,+AA$4-$S$4+3,0)</f>
        <v>0</v>
      </c>
      <c r="AB68" s="74">
        <f>VLOOKUP($A68,turnover!$A$184:$Q$192,+AB$4-$S$4+3,0)</f>
        <v>0</v>
      </c>
      <c r="AC68" s="74">
        <f>VLOOKUP($A68,turnover!$A$184:$Q$192,+AC$4-$S$4+3,0)</f>
        <v>0</v>
      </c>
      <c r="AD68" s="74">
        <f>VLOOKUP($A68,turnover!$A$184:$Q$192,+AD$4-$S$4+3,0)</f>
        <v>0</v>
      </c>
      <c r="AE68" s="74">
        <f>VLOOKUP($A68,turnover!$A$184:$Q$192,+AE$4-$S$4+3,0)</f>
        <v>0</v>
      </c>
      <c r="AF68" s="74">
        <f>VLOOKUP($A68,turnover!$A$184:$Q$192,+AF$4-$S$4+3,0)</f>
        <v>0</v>
      </c>
      <c r="AG68" s="74">
        <f>VLOOKUP($A68,turnover!$A$184:$Q$192,+AG$4-$S$4+3,0)</f>
        <v>0</v>
      </c>
      <c r="AH68" s="61">
        <f t="shared" si="33"/>
        <v>0</v>
      </c>
      <c r="AI68" s="61">
        <f t="shared" si="34"/>
        <v>0</v>
      </c>
      <c r="AJ68" s="61">
        <f t="shared" si="35"/>
        <v>1.1795784000000002</v>
      </c>
      <c r="AK68" s="61">
        <f t="shared" si="36"/>
        <v>0</v>
      </c>
      <c r="AL68" s="61">
        <f t="shared" si="37"/>
        <v>0</v>
      </c>
      <c r="AM68" s="61">
        <f t="shared" si="38"/>
        <v>0</v>
      </c>
      <c r="AN68" s="61">
        <f t="shared" si="39"/>
        <v>0</v>
      </c>
      <c r="AO68" s="61">
        <f t="shared" si="40"/>
        <v>0</v>
      </c>
      <c r="AP68" s="61">
        <f t="shared" si="41"/>
        <v>0</v>
      </c>
      <c r="AQ68" s="61">
        <f t="shared" si="42"/>
        <v>0</v>
      </c>
      <c r="AR68" s="61">
        <f t="shared" si="43"/>
        <v>0</v>
      </c>
      <c r="AS68" s="61">
        <f t="shared" si="44"/>
        <v>0</v>
      </c>
      <c r="AT68" s="61">
        <f t="shared" si="45"/>
        <v>0</v>
      </c>
      <c r="AU68" s="61">
        <f t="shared" si="46"/>
        <v>0</v>
      </c>
      <c r="AV68" s="61">
        <f t="shared" si="47"/>
        <v>0</v>
      </c>
      <c r="AW68" s="101">
        <f>VLOOKUP($C68,'Cost RMs'!$B$5:$Q$22,+AW$4-$AW$4+2,0)</f>
        <v>25380</v>
      </c>
      <c r="AX68" s="101">
        <f>VLOOKUP($C68,'Cost RMs'!$B$5:$Q$22,+AX$4-$AW$4+2,0)</f>
        <v>33957</v>
      </c>
      <c r="AY68" s="101">
        <f>VLOOKUP($C68,'Cost RMs'!$B$5:$Q$22,+AY$4-$AW$4+2,0)</f>
        <v>50212</v>
      </c>
      <c r="AZ68" s="101">
        <f>VLOOKUP($C68,'Cost RMs'!$B$5:$Q$22,+AZ$4-$AW$4+2,0)</f>
        <v>63581</v>
      </c>
      <c r="BA68" s="101">
        <f ca="1">VLOOKUP($C68,'Cost RMs'!$B$5:$Q$22,+BA$4-$AW$4+2,0)</f>
        <v>82384</v>
      </c>
      <c r="BB68" s="101">
        <f ca="1">VLOOKUP($C68,'Cost RMs'!$B$5:$Q$22,+BB$4-$AW$4+2,0)</f>
        <v>92262</v>
      </c>
      <c r="BC68" s="101">
        <f ca="1">VLOOKUP($C68,'Cost RMs'!$B$5:$Q$22,+BC$4-$AW$4+2,0)</f>
        <v>103426</v>
      </c>
      <c r="BD68" s="101">
        <f ca="1">VLOOKUP($C68,'Cost RMs'!$B$5:$Q$22,+BD$4-$AW$4+2,0)</f>
        <v>115941</v>
      </c>
      <c r="BE68" s="101">
        <f ca="1">VLOOKUP($C68,'Cost RMs'!$B$5:$Q$22,+BE$4-$AW$4+2,0)</f>
        <v>129970</v>
      </c>
      <c r="BF68" s="101">
        <f ca="1">VLOOKUP($C68,'Cost RMs'!$B$5:$Q$22,+BF$4-$AW$4+2,0)</f>
        <v>145696</v>
      </c>
      <c r="BG68" s="101">
        <f ca="1">VLOOKUP($C68,'Cost RMs'!$B$5:$Q$22,+BG$4-$AW$4+2,0)</f>
        <v>163325</v>
      </c>
      <c r="BH68" s="101">
        <f ca="1">VLOOKUP($C68,'Cost RMs'!$B$5:$Q$22,+BH$4-$AW$4+2,0)</f>
        <v>183087</v>
      </c>
      <c r="BI68" s="101">
        <f ca="1">VLOOKUP($C68,'Cost RMs'!$B$5:$Q$22,+BI$4-$AW$4+2,0)</f>
        <v>205241</v>
      </c>
      <c r="BJ68" s="101">
        <f ca="1">VLOOKUP($C68,'Cost RMs'!$B$5:$Q$22,+BJ$4-$AW$4+2,0)</f>
        <v>230075</v>
      </c>
      <c r="BK68" s="101">
        <f ca="1">VLOOKUP($C68,'Cost RMs'!$B$5:$Q$22,+BK$4-$AW$4+2,0)</f>
        <v>257914</v>
      </c>
      <c r="BL68" s="102">
        <f t="shared" si="48"/>
        <v>0</v>
      </c>
      <c r="BM68" s="102">
        <f t="shared" si="49"/>
        <v>0</v>
      </c>
      <c r="BN68" s="102">
        <f t="shared" si="50"/>
        <v>59228.99062080001</v>
      </c>
      <c r="BO68" s="102">
        <f t="shared" si="51"/>
        <v>0</v>
      </c>
      <c r="BP68" s="102">
        <f t="shared" ca="1" si="52"/>
        <v>0</v>
      </c>
      <c r="BQ68" s="102">
        <f t="shared" ca="1" si="53"/>
        <v>0</v>
      </c>
      <c r="BR68" s="102">
        <f t="shared" ca="1" si="54"/>
        <v>0</v>
      </c>
      <c r="BS68" s="102">
        <f t="shared" ca="1" si="55"/>
        <v>0</v>
      </c>
      <c r="BT68" s="102">
        <f t="shared" ca="1" si="56"/>
        <v>0</v>
      </c>
      <c r="BU68" s="102">
        <f t="shared" ca="1" si="57"/>
        <v>0</v>
      </c>
      <c r="BV68" s="102">
        <f t="shared" ca="1" si="58"/>
        <v>0</v>
      </c>
      <c r="BW68" s="102">
        <f t="shared" ca="1" si="59"/>
        <v>0</v>
      </c>
      <c r="BX68" s="102">
        <f t="shared" ca="1" si="60"/>
        <v>0</v>
      </c>
      <c r="BY68" s="102">
        <f t="shared" ca="1" si="61"/>
        <v>0</v>
      </c>
      <c r="BZ68" s="102">
        <f t="shared" ca="1" si="62"/>
        <v>0</v>
      </c>
    </row>
    <row r="69" spans="1:78" x14ac:dyDescent="0.25">
      <c r="A69" s="26" t="s">
        <v>502</v>
      </c>
      <c r="B69" s="73">
        <v>0.52</v>
      </c>
      <c r="C69" s="59" t="s">
        <v>148</v>
      </c>
      <c r="E69">
        <v>1.4950000000000001</v>
      </c>
      <c r="F69">
        <v>9.1999999999999998E-2</v>
      </c>
      <c r="G69">
        <v>9.1999999999999998E-2</v>
      </c>
      <c r="H69">
        <v>9.1999999999999998E-2</v>
      </c>
      <c r="I69">
        <v>9.1999999999999998E-2</v>
      </c>
      <c r="J69">
        <v>9.1999999999999998E-2</v>
      </c>
      <c r="K69">
        <v>9.1999999999999998E-2</v>
      </c>
      <c r="L69">
        <v>9.1999999999999998E-2</v>
      </c>
      <c r="M69">
        <v>9.1999999999999998E-2</v>
      </c>
      <c r="N69">
        <v>9.1999999999999998E-2</v>
      </c>
      <c r="O69">
        <v>9.1999999999999998E-2</v>
      </c>
      <c r="P69">
        <v>9.1999999999999998E-2</v>
      </c>
      <c r="Q69">
        <v>9.1999999999999998E-2</v>
      </c>
      <c r="R69">
        <v>9.1999999999999998E-2</v>
      </c>
      <c r="S69" s="74">
        <f>VLOOKUP($A69,turnover!$A$184:$Q$192,+S$4-$S$4+3,0)</f>
        <v>0</v>
      </c>
      <c r="T69" s="74">
        <f>VLOOKUP($A69,turnover!$A$184:$Q$192,+T$4-$S$4+3,0)</f>
        <v>0</v>
      </c>
      <c r="U69" s="74">
        <f>VLOOKUP($A69,turnover!$A$184:$Q$192,+U$4-$S$4+3,0)</f>
        <v>8.9362000000000013</v>
      </c>
      <c r="V69" s="74">
        <f>VLOOKUP($A69,turnover!$A$184:$Q$192,+V$4-$S$4+3,0)</f>
        <v>0</v>
      </c>
      <c r="W69" s="74">
        <f>VLOOKUP($A69,turnover!$A$184:$Q$192,+W$4-$S$4+3,0)</f>
        <v>0</v>
      </c>
      <c r="X69" s="74">
        <f>VLOOKUP($A69,turnover!$A$184:$Q$192,+X$4-$S$4+3,0)</f>
        <v>0</v>
      </c>
      <c r="Y69" s="74">
        <f>VLOOKUP($A69,turnover!$A$184:$Q$192,+Y$4-$S$4+3,0)</f>
        <v>0</v>
      </c>
      <c r="Z69" s="74">
        <f>VLOOKUP($A69,turnover!$A$184:$Q$192,+Z$4-$S$4+3,0)</f>
        <v>0</v>
      </c>
      <c r="AA69" s="74">
        <f>VLOOKUP($A69,turnover!$A$184:$Q$192,+AA$4-$S$4+3,0)</f>
        <v>0</v>
      </c>
      <c r="AB69" s="74">
        <f>VLOOKUP($A69,turnover!$A$184:$Q$192,+AB$4-$S$4+3,0)</f>
        <v>0</v>
      </c>
      <c r="AC69" s="74">
        <f>VLOOKUP($A69,turnover!$A$184:$Q$192,+AC$4-$S$4+3,0)</f>
        <v>0</v>
      </c>
      <c r="AD69" s="74">
        <f>VLOOKUP($A69,turnover!$A$184:$Q$192,+AD$4-$S$4+3,0)</f>
        <v>0</v>
      </c>
      <c r="AE69" s="74">
        <f>VLOOKUP($A69,turnover!$A$184:$Q$192,+AE$4-$S$4+3,0)</f>
        <v>0</v>
      </c>
      <c r="AF69" s="74">
        <f>VLOOKUP($A69,turnover!$A$184:$Q$192,+AF$4-$S$4+3,0)</f>
        <v>0</v>
      </c>
      <c r="AG69" s="74">
        <f>VLOOKUP($A69,turnover!$A$184:$Q$192,+AG$4-$S$4+3,0)</f>
        <v>0</v>
      </c>
      <c r="AH69" s="61">
        <f t="shared" si="33"/>
        <v>0</v>
      </c>
      <c r="AI69" s="61">
        <f t="shared" si="34"/>
        <v>0</v>
      </c>
      <c r="AJ69" s="61">
        <f t="shared" si="35"/>
        <v>0.82213040000000015</v>
      </c>
      <c r="AK69" s="61">
        <f t="shared" si="36"/>
        <v>0</v>
      </c>
      <c r="AL69" s="61">
        <f t="shared" si="37"/>
        <v>0</v>
      </c>
      <c r="AM69" s="61">
        <f t="shared" si="38"/>
        <v>0</v>
      </c>
      <c r="AN69" s="61">
        <f t="shared" si="39"/>
        <v>0</v>
      </c>
      <c r="AO69" s="61">
        <f t="shared" si="40"/>
        <v>0</v>
      </c>
      <c r="AP69" s="61">
        <f t="shared" si="41"/>
        <v>0</v>
      </c>
      <c r="AQ69" s="61">
        <f t="shared" si="42"/>
        <v>0</v>
      </c>
      <c r="AR69" s="61">
        <f t="shared" si="43"/>
        <v>0</v>
      </c>
      <c r="AS69" s="61">
        <f t="shared" si="44"/>
        <v>0</v>
      </c>
      <c r="AT69" s="61">
        <f t="shared" si="45"/>
        <v>0</v>
      </c>
      <c r="AU69" s="61">
        <f t="shared" si="46"/>
        <v>0</v>
      </c>
      <c r="AV69" s="61">
        <f t="shared" si="47"/>
        <v>0</v>
      </c>
      <c r="AW69" s="101">
        <f>VLOOKUP($C69,'Cost RMs'!$B$5:$Q$22,+AW$4-$AW$4+2,0)</f>
        <v>27439</v>
      </c>
      <c r="AX69" s="101">
        <f>VLOOKUP($C69,'Cost RMs'!$B$5:$Q$22,+AX$4-$AW$4+2,0)</f>
        <v>32275</v>
      </c>
      <c r="AY69" s="101">
        <f>VLOOKUP($C69,'Cost RMs'!$B$5:$Q$22,+AY$4-$AW$4+2,0)</f>
        <v>45664</v>
      </c>
      <c r="AZ69" s="101">
        <f>VLOOKUP($C69,'Cost RMs'!$B$5:$Q$22,+AZ$4-$AW$4+2,0)</f>
        <v>50129</v>
      </c>
      <c r="BA69" s="101">
        <f ca="1">VLOOKUP($C69,'Cost RMs'!$B$5:$Q$22,+BA$4-$AW$4+2,0)</f>
        <v>75490</v>
      </c>
      <c r="BB69" s="101">
        <f ca="1">VLOOKUP($C69,'Cost RMs'!$B$5:$Q$22,+BB$4-$AW$4+2,0)</f>
        <v>84541</v>
      </c>
      <c r="BC69" s="101">
        <f ca="1">VLOOKUP($C69,'Cost RMs'!$B$5:$Q$22,+BC$4-$AW$4+2,0)</f>
        <v>94770</v>
      </c>
      <c r="BD69" s="101">
        <f ca="1">VLOOKUP($C69,'Cost RMs'!$B$5:$Q$22,+BD$4-$AW$4+2,0)</f>
        <v>106237</v>
      </c>
      <c r="BE69" s="101">
        <f ca="1">VLOOKUP($C69,'Cost RMs'!$B$5:$Q$22,+BE$4-$AW$4+2,0)</f>
        <v>119092</v>
      </c>
      <c r="BF69" s="101">
        <f ca="1">VLOOKUP($C69,'Cost RMs'!$B$5:$Q$22,+BF$4-$AW$4+2,0)</f>
        <v>133502</v>
      </c>
      <c r="BG69" s="101">
        <f ca="1">VLOOKUP($C69,'Cost RMs'!$B$5:$Q$22,+BG$4-$AW$4+2,0)</f>
        <v>149656</v>
      </c>
      <c r="BH69" s="101">
        <f ca="1">VLOOKUP($C69,'Cost RMs'!$B$5:$Q$22,+BH$4-$AW$4+2,0)</f>
        <v>167764</v>
      </c>
      <c r="BI69" s="101">
        <f ca="1">VLOOKUP($C69,'Cost RMs'!$B$5:$Q$22,+BI$4-$AW$4+2,0)</f>
        <v>188063</v>
      </c>
      <c r="BJ69" s="101">
        <f ca="1">VLOOKUP($C69,'Cost RMs'!$B$5:$Q$22,+BJ$4-$AW$4+2,0)</f>
        <v>210819</v>
      </c>
      <c r="BK69" s="101">
        <f ca="1">VLOOKUP($C69,'Cost RMs'!$B$5:$Q$22,+BK$4-$AW$4+2,0)</f>
        <v>236328</v>
      </c>
      <c r="BL69" s="102">
        <f t="shared" si="48"/>
        <v>0</v>
      </c>
      <c r="BM69" s="102">
        <f t="shared" si="49"/>
        <v>0</v>
      </c>
      <c r="BN69" s="102">
        <f t="shared" si="50"/>
        <v>37541.762585600009</v>
      </c>
      <c r="BO69" s="102">
        <f t="shared" si="51"/>
        <v>0</v>
      </c>
      <c r="BP69" s="102">
        <f t="shared" ca="1" si="52"/>
        <v>0</v>
      </c>
      <c r="BQ69" s="102">
        <f t="shared" ca="1" si="53"/>
        <v>0</v>
      </c>
      <c r="BR69" s="102">
        <f t="shared" ca="1" si="54"/>
        <v>0</v>
      </c>
      <c r="BS69" s="102">
        <f t="shared" ca="1" si="55"/>
        <v>0</v>
      </c>
      <c r="BT69" s="102">
        <f t="shared" ca="1" si="56"/>
        <v>0</v>
      </c>
      <c r="BU69" s="102">
        <f t="shared" ca="1" si="57"/>
        <v>0</v>
      </c>
      <c r="BV69" s="102">
        <f t="shared" ca="1" si="58"/>
        <v>0</v>
      </c>
      <c r="BW69" s="102">
        <f t="shared" ca="1" si="59"/>
        <v>0</v>
      </c>
      <c r="BX69" s="102">
        <f t="shared" ca="1" si="60"/>
        <v>0</v>
      </c>
      <c r="BY69" s="102">
        <f t="shared" ca="1" si="61"/>
        <v>0</v>
      </c>
      <c r="BZ69" s="102">
        <f t="shared" ca="1" si="62"/>
        <v>0</v>
      </c>
    </row>
    <row r="70" spans="1:78" x14ac:dyDescent="0.25">
      <c r="A70" s="26" t="s">
        <v>502</v>
      </c>
      <c r="B70" s="73">
        <v>0.52</v>
      </c>
      <c r="C70" s="59" t="s">
        <v>149</v>
      </c>
      <c r="E70">
        <v>1.9390000000000001</v>
      </c>
      <c r="F70">
        <v>0.71</v>
      </c>
      <c r="G70">
        <v>0.71</v>
      </c>
      <c r="H70">
        <v>0.71</v>
      </c>
      <c r="I70">
        <v>0.71</v>
      </c>
      <c r="J70">
        <v>0.71</v>
      </c>
      <c r="K70">
        <v>0.71</v>
      </c>
      <c r="L70">
        <v>0.71</v>
      </c>
      <c r="M70">
        <v>0.71</v>
      </c>
      <c r="N70">
        <v>0.71</v>
      </c>
      <c r="O70">
        <v>0.71</v>
      </c>
      <c r="P70">
        <v>0.71</v>
      </c>
      <c r="Q70">
        <v>0.71</v>
      </c>
      <c r="R70">
        <v>0.71</v>
      </c>
      <c r="S70" s="74">
        <f>VLOOKUP($A70,turnover!$A$184:$Q$192,+S$4-$S$4+3,0)</f>
        <v>0</v>
      </c>
      <c r="T70" s="74">
        <f>VLOOKUP($A70,turnover!$A$184:$Q$192,+T$4-$S$4+3,0)</f>
        <v>0</v>
      </c>
      <c r="U70" s="74">
        <f>VLOOKUP($A70,turnover!$A$184:$Q$192,+U$4-$S$4+3,0)</f>
        <v>8.9362000000000013</v>
      </c>
      <c r="V70" s="74">
        <f>VLOOKUP($A70,turnover!$A$184:$Q$192,+V$4-$S$4+3,0)</f>
        <v>0</v>
      </c>
      <c r="W70" s="74">
        <f>VLOOKUP($A70,turnover!$A$184:$Q$192,+W$4-$S$4+3,0)</f>
        <v>0</v>
      </c>
      <c r="X70" s="74">
        <f>VLOOKUP($A70,turnover!$A$184:$Q$192,+X$4-$S$4+3,0)</f>
        <v>0</v>
      </c>
      <c r="Y70" s="74">
        <f>VLOOKUP($A70,turnover!$A$184:$Q$192,+Y$4-$S$4+3,0)</f>
        <v>0</v>
      </c>
      <c r="Z70" s="74">
        <f>VLOOKUP($A70,turnover!$A$184:$Q$192,+Z$4-$S$4+3,0)</f>
        <v>0</v>
      </c>
      <c r="AA70" s="74">
        <f>VLOOKUP($A70,turnover!$A$184:$Q$192,+AA$4-$S$4+3,0)</f>
        <v>0</v>
      </c>
      <c r="AB70" s="74">
        <f>VLOOKUP($A70,turnover!$A$184:$Q$192,+AB$4-$S$4+3,0)</f>
        <v>0</v>
      </c>
      <c r="AC70" s="74">
        <f>VLOOKUP($A70,turnover!$A$184:$Q$192,+AC$4-$S$4+3,0)</f>
        <v>0</v>
      </c>
      <c r="AD70" s="74">
        <f>VLOOKUP($A70,turnover!$A$184:$Q$192,+AD$4-$S$4+3,0)</f>
        <v>0</v>
      </c>
      <c r="AE70" s="74">
        <f>VLOOKUP($A70,turnover!$A$184:$Q$192,+AE$4-$S$4+3,0)</f>
        <v>0</v>
      </c>
      <c r="AF70" s="74">
        <f>VLOOKUP($A70,turnover!$A$184:$Q$192,+AF$4-$S$4+3,0)</f>
        <v>0</v>
      </c>
      <c r="AG70" s="74">
        <f>VLOOKUP($A70,turnover!$A$184:$Q$192,+AG$4-$S$4+3,0)</f>
        <v>0</v>
      </c>
      <c r="AH70" s="61">
        <f t="shared" ref="AH70:AH101" si="64">+D70*S70</f>
        <v>0</v>
      </c>
      <c r="AI70" s="61">
        <f t="shared" ref="AI70:AI101" si="65">+E70*T70</f>
        <v>0</v>
      </c>
      <c r="AJ70" s="61">
        <f t="shared" ref="AJ70:AJ101" si="66">+F70*U70</f>
        <v>6.3447020000000007</v>
      </c>
      <c r="AK70" s="61">
        <f t="shared" ref="AK70:AK101" si="67">+G70*V70</f>
        <v>0</v>
      </c>
      <c r="AL70" s="61">
        <f t="shared" ref="AL70:AL101" si="68">+H70*W70</f>
        <v>0</v>
      </c>
      <c r="AM70" s="61">
        <f t="shared" ref="AM70:AM101" si="69">+I70*X70</f>
        <v>0</v>
      </c>
      <c r="AN70" s="61">
        <f t="shared" ref="AN70:AN101" si="70">+J70*Y70</f>
        <v>0</v>
      </c>
      <c r="AO70" s="61">
        <f t="shared" ref="AO70:AO101" si="71">+K70*Z70</f>
        <v>0</v>
      </c>
      <c r="AP70" s="61">
        <f t="shared" ref="AP70:AP101" si="72">+L70*AA70</f>
        <v>0</v>
      </c>
      <c r="AQ70" s="61">
        <f t="shared" ref="AQ70:AQ101" si="73">+M70*AB70</f>
        <v>0</v>
      </c>
      <c r="AR70" s="61">
        <f t="shared" ref="AR70:AR101" si="74">+N70*AC70</f>
        <v>0</v>
      </c>
      <c r="AS70" s="61">
        <f t="shared" ref="AS70:AS101" si="75">+O70*AD70</f>
        <v>0</v>
      </c>
      <c r="AT70" s="61">
        <f t="shared" ref="AT70:AT101" si="76">+P70*AE70</f>
        <v>0</v>
      </c>
      <c r="AU70" s="61">
        <f t="shared" ref="AU70:AU101" si="77">+Q70*AF70</f>
        <v>0</v>
      </c>
      <c r="AV70" s="61">
        <f t="shared" ref="AV70:AV101" si="78">+R70*AG70</f>
        <v>0</v>
      </c>
      <c r="AW70" s="101">
        <f>VLOOKUP($C70,'Cost RMs'!$B$5:$Q$22,+AW$4-$AW$4+2,0)</f>
        <v>9377</v>
      </c>
      <c r="AX70" s="101">
        <f>VLOOKUP($C70,'Cost RMs'!$B$5:$Q$22,+AX$4-$AW$4+2,0)</f>
        <v>9969</v>
      </c>
      <c r="AY70" s="101">
        <f>VLOOKUP($C70,'Cost RMs'!$B$5:$Q$22,+AY$4-$AW$4+2,0)</f>
        <v>14915</v>
      </c>
      <c r="AZ70" s="101">
        <f>VLOOKUP($C70,'Cost RMs'!$B$5:$Q$22,+AZ$4-$AW$4+2,0)</f>
        <v>16547</v>
      </c>
      <c r="BA70" s="101">
        <f ca="1">VLOOKUP($C70,'Cost RMs'!$B$5:$Q$22,+BA$4-$AW$4+2,0)</f>
        <v>17617</v>
      </c>
      <c r="BB70" s="101">
        <f ca="1">VLOOKUP($C70,'Cost RMs'!$B$5:$Q$22,+BB$4-$AW$4+2,0)</f>
        <v>19729</v>
      </c>
      <c r="BC70" s="101">
        <f ca="1">VLOOKUP($C70,'Cost RMs'!$B$5:$Q$22,+BC$4-$AW$4+2,0)</f>
        <v>22116</v>
      </c>
      <c r="BD70" s="101">
        <f ca="1">VLOOKUP($C70,'Cost RMs'!$B$5:$Q$22,+BD$4-$AW$4+2,0)</f>
        <v>24792</v>
      </c>
      <c r="BE70" s="101">
        <f ca="1">VLOOKUP($C70,'Cost RMs'!$B$5:$Q$22,+BE$4-$AW$4+2,0)</f>
        <v>27792</v>
      </c>
      <c r="BF70" s="101">
        <f ca="1">VLOOKUP($C70,'Cost RMs'!$B$5:$Q$22,+BF$4-$AW$4+2,0)</f>
        <v>31155</v>
      </c>
      <c r="BG70" s="101">
        <f ca="1">VLOOKUP($C70,'Cost RMs'!$B$5:$Q$22,+BG$4-$AW$4+2,0)</f>
        <v>34925</v>
      </c>
      <c r="BH70" s="101">
        <f ca="1">VLOOKUP($C70,'Cost RMs'!$B$5:$Q$22,+BH$4-$AW$4+2,0)</f>
        <v>39151</v>
      </c>
      <c r="BI70" s="101">
        <f ca="1">VLOOKUP($C70,'Cost RMs'!$B$5:$Q$22,+BI$4-$AW$4+2,0)</f>
        <v>43888</v>
      </c>
      <c r="BJ70" s="101">
        <f ca="1">VLOOKUP($C70,'Cost RMs'!$B$5:$Q$22,+BJ$4-$AW$4+2,0)</f>
        <v>49198</v>
      </c>
      <c r="BK70" s="101">
        <f ca="1">VLOOKUP($C70,'Cost RMs'!$B$5:$Q$22,+BK$4-$AW$4+2,0)</f>
        <v>55151</v>
      </c>
      <c r="BL70" s="102">
        <f t="shared" ref="BL70:BL101" si="79">+AH70*AW70</f>
        <v>0</v>
      </c>
      <c r="BM70" s="102">
        <f t="shared" ref="BM70:BM101" si="80">+AI70*AX70</f>
        <v>0</v>
      </c>
      <c r="BN70" s="102">
        <f t="shared" ref="BN70:BN101" si="81">+AJ70*AY70</f>
        <v>94631.230330000006</v>
      </c>
      <c r="BO70" s="102">
        <f t="shared" ref="BO70:BO101" si="82">+AK70*AZ70</f>
        <v>0</v>
      </c>
      <c r="BP70" s="102">
        <f t="shared" ref="BP70:BP101" ca="1" si="83">+AL70*BA70</f>
        <v>0</v>
      </c>
      <c r="BQ70" s="102">
        <f t="shared" ref="BQ70:BQ101" ca="1" si="84">+AM70*BB70</f>
        <v>0</v>
      </c>
      <c r="BR70" s="102">
        <f t="shared" ref="BR70:BR101" ca="1" si="85">+AN70*BC70</f>
        <v>0</v>
      </c>
      <c r="BS70" s="102">
        <f t="shared" ref="BS70:BS101" ca="1" si="86">+AO70*BD70</f>
        <v>0</v>
      </c>
      <c r="BT70" s="102">
        <f t="shared" ref="BT70:BT101" ca="1" si="87">+AP70*BE70</f>
        <v>0</v>
      </c>
      <c r="BU70" s="102">
        <f t="shared" ref="BU70:BU101" ca="1" si="88">+AQ70*BF70</f>
        <v>0</v>
      </c>
      <c r="BV70" s="102">
        <f t="shared" ref="BV70:BV101" ca="1" si="89">+AR70*BG70</f>
        <v>0</v>
      </c>
      <c r="BW70" s="102">
        <f t="shared" ref="BW70:BW101" ca="1" si="90">+AS70*BH70</f>
        <v>0</v>
      </c>
      <c r="BX70" s="102">
        <f t="shared" ref="BX70:BX101" ca="1" si="91">+AT70*BI70</f>
        <v>0</v>
      </c>
      <c r="BY70" s="102">
        <f t="shared" ref="BY70:BY101" ca="1" si="92">+AU70*BJ70</f>
        <v>0</v>
      </c>
      <c r="BZ70" s="102">
        <f t="shared" ref="BZ70:BZ101" ca="1" si="93">+AV70*BK70</f>
        <v>0</v>
      </c>
    </row>
    <row r="71" spans="1:78" x14ac:dyDescent="0.25">
      <c r="A71" s="26" t="str">
        <f>+Assumptions!$A$36</f>
        <v>NPK 15-15-15</v>
      </c>
      <c r="B71" s="73">
        <f>+Assumptions!$R$52</f>
        <v>0.15</v>
      </c>
      <c r="C71" t="s">
        <v>123</v>
      </c>
      <c r="F71">
        <v>1.08</v>
      </c>
      <c r="G71" s="61">
        <f>F71</f>
        <v>1.08</v>
      </c>
      <c r="H71" s="61">
        <f t="shared" ref="H71:R71" si="94">G71</f>
        <v>1.08</v>
      </c>
      <c r="I71" s="61">
        <f t="shared" si="94"/>
        <v>1.08</v>
      </c>
      <c r="J71" s="61">
        <f t="shared" si="94"/>
        <v>1.08</v>
      </c>
      <c r="K71" s="61">
        <f t="shared" si="94"/>
        <v>1.08</v>
      </c>
      <c r="L71" s="61">
        <f t="shared" si="94"/>
        <v>1.08</v>
      </c>
      <c r="M71" s="61">
        <f t="shared" si="94"/>
        <v>1.08</v>
      </c>
      <c r="N71" s="61">
        <f t="shared" si="94"/>
        <v>1.08</v>
      </c>
      <c r="O71" s="61">
        <f t="shared" si="94"/>
        <v>1.08</v>
      </c>
      <c r="P71" s="61">
        <f t="shared" si="94"/>
        <v>1.08</v>
      </c>
      <c r="Q71" s="61">
        <f t="shared" si="94"/>
        <v>1.08</v>
      </c>
      <c r="R71" s="61">
        <f t="shared" si="94"/>
        <v>1.08</v>
      </c>
      <c r="S71" s="74">
        <f>VLOOKUP($A71,turnover!$A$184:$Q$192,+S$4-$S$4+3,0)</f>
        <v>0</v>
      </c>
      <c r="T71" s="74">
        <f>VLOOKUP($A71,turnover!$A$184:$Q$192,+T$4-$S$4+3,0)</f>
        <v>0</v>
      </c>
      <c r="U71" s="74">
        <f>VLOOKUP($A71,turnover!$A$184:$Q$192,+U$4-$S$4+3,0)</f>
        <v>0</v>
      </c>
      <c r="V71" s="74">
        <f>VLOOKUP($A71,turnover!$A$184:$Q$192,+V$4-$S$4+3,0)</f>
        <v>0</v>
      </c>
      <c r="W71" s="74">
        <f>VLOOKUP($A71,turnover!$A$184:$Q$192,+W$4-$S$4+3,0)</f>
        <v>0</v>
      </c>
      <c r="X71" s="74">
        <f>VLOOKUP($A71,turnover!$A$184:$Q$192,+X$4-$S$4+3,0)</f>
        <v>0</v>
      </c>
      <c r="Y71" s="74">
        <f>VLOOKUP($A71,turnover!$A$184:$Q$192,+Y$4-$S$4+3,0)</f>
        <v>1.2000000000000002</v>
      </c>
      <c r="Z71" s="74">
        <f>VLOOKUP($A71,turnover!$A$184:$Q$192,+Z$4-$S$4+3,0)</f>
        <v>2.4000000000000004</v>
      </c>
      <c r="AA71" s="74">
        <f>VLOOKUP($A71,turnover!$A$184:$Q$192,+AA$4-$S$4+3,0)</f>
        <v>2.4000000000000004</v>
      </c>
      <c r="AB71" s="74">
        <f>VLOOKUP($A71,turnover!$A$184:$Q$192,+AB$4-$S$4+3,0)</f>
        <v>2.4000000000000004</v>
      </c>
      <c r="AC71" s="74">
        <f>VLOOKUP($A71,turnover!$A$184:$Q$192,+AC$4-$S$4+3,0)</f>
        <v>2.4000000000000004</v>
      </c>
      <c r="AD71" s="74">
        <f>VLOOKUP($A71,turnover!$A$184:$Q$192,+AD$4-$S$4+3,0)</f>
        <v>2.4000000000000004</v>
      </c>
      <c r="AE71" s="74">
        <f>VLOOKUP($A71,turnover!$A$184:$Q$192,+AE$4-$S$4+3,0)</f>
        <v>2.4000000000000004</v>
      </c>
      <c r="AF71" s="74">
        <f>VLOOKUP($A71,turnover!$A$184:$Q$192,+AF$4-$S$4+3,0)</f>
        <v>2.4000000000000004</v>
      </c>
      <c r="AG71" s="74">
        <f>VLOOKUP($A71,turnover!$A$184:$Q$192,+AG$4-$S$4+3,0)</f>
        <v>2.4000000000000004</v>
      </c>
      <c r="AH71" s="61">
        <f t="shared" si="64"/>
        <v>0</v>
      </c>
      <c r="AI71" s="61">
        <f t="shared" si="65"/>
        <v>0</v>
      </c>
      <c r="AJ71" s="61">
        <f t="shared" si="66"/>
        <v>0</v>
      </c>
      <c r="AK71" s="61">
        <f t="shared" si="67"/>
        <v>0</v>
      </c>
      <c r="AL71" s="61">
        <f t="shared" si="68"/>
        <v>0</v>
      </c>
      <c r="AM71" s="61">
        <f t="shared" si="69"/>
        <v>0</v>
      </c>
      <c r="AN71" s="61">
        <f t="shared" si="70"/>
        <v>1.2960000000000003</v>
      </c>
      <c r="AO71" s="61">
        <f t="shared" si="71"/>
        <v>2.5920000000000005</v>
      </c>
      <c r="AP71" s="61">
        <f t="shared" si="72"/>
        <v>2.5920000000000005</v>
      </c>
      <c r="AQ71" s="61">
        <f t="shared" si="73"/>
        <v>2.5920000000000005</v>
      </c>
      <c r="AR71" s="61">
        <f t="shared" si="74"/>
        <v>2.5920000000000005</v>
      </c>
      <c r="AS71" s="61">
        <f t="shared" si="75"/>
        <v>2.5920000000000005</v>
      </c>
      <c r="AT71" s="61">
        <f t="shared" si="76"/>
        <v>2.5920000000000005</v>
      </c>
      <c r="AU71" s="61">
        <f t="shared" si="77"/>
        <v>2.5920000000000005</v>
      </c>
      <c r="AV71" s="61">
        <f t="shared" si="78"/>
        <v>2.5920000000000005</v>
      </c>
      <c r="AW71" s="101">
        <f>VLOOKUP($C71,'Cost RMs'!$B$5:$Q$22,+AW$4-$AW$4+2,0)</f>
        <v>191127</v>
      </c>
      <c r="AX71" s="101">
        <f>VLOOKUP($C71,'Cost RMs'!$B$5:$Q$22,+AX$4-$AW$4+2,0)</f>
        <v>196602</v>
      </c>
      <c r="AY71" s="101">
        <f>VLOOKUP($C71,'Cost RMs'!$B$5:$Q$22,+AY$4-$AW$4+2,0)</f>
        <v>209999</v>
      </c>
      <c r="AZ71" s="101">
        <f>VLOOKUP($C71,'Cost RMs'!$B$5:$Q$22,+AZ$4-$AW$4+2,0)</f>
        <v>266286</v>
      </c>
      <c r="BA71" s="101">
        <f>VLOOKUP($C71,'Cost RMs'!$B$5:$Q$22,+BA$4-$AW$4+2,0)</f>
        <v>275187</v>
      </c>
      <c r="BB71" s="101">
        <f>VLOOKUP($C71,'Cost RMs'!$B$5:$Q$22,+BB$4-$AW$4+2,0)</f>
        <v>308182</v>
      </c>
      <c r="BC71" s="101">
        <f>VLOOKUP($C71,'Cost RMs'!$B$5:$Q$22,+BC$4-$AW$4+2,0)</f>
        <v>345472</v>
      </c>
      <c r="BD71" s="101">
        <f>VLOOKUP($C71,'Cost RMs'!$B$5:$Q$22,+BD$4-$AW$4+2,0)</f>
        <v>387274</v>
      </c>
      <c r="BE71" s="101">
        <f>VLOOKUP($C71,'Cost RMs'!$B$5:$Q$22,+BE$4-$AW$4+2,0)</f>
        <v>434134</v>
      </c>
      <c r="BF71" s="101">
        <f>VLOOKUP($C71,'Cost RMs'!$B$5:$Q$22,+BF$4-$AW$4+2,0)</f>
        <v>486664</v>
      </c>
      <c r="BG71" s="101">
        <f>VLOOKUP($C71,'Cost RMs'!$B$5:$Q$22,+BG$4-$AW$4+2,0)</f>
        <v>545550</v>
      </c>
      <c r="BH71" s="101">
        <f>VLOOKUP($C71,'Cost RMs'!$B$5:$Q$22,+BH$4-$AW$4+2,0)</f>
        <v>611562</v>
      </c>
      <c r="BI71" s="101">
        <f>VLOOKUP($C71,'Cost RMs'!$B$5:$Q$22,+BI$4-$AW$4+2,0)</f>
        <v>685561</v>
      </c>
      <c r="BJ71" s="101">
        <f>VLOOKUP($C71,'Cost RMs'!$B$5:$Q$22,+BJ$4-$AW$4+2,0)</f>
        <v>768514</v>
      </c>
      <c r="BK71" s="101">
        <f>VLOOKUP($C71,'Cost RMs'!$B$5:$Q$22,+BK$4-$AW$4+2,0)</f>
        <v>861504</v>
      </c>
      <c r="BL71" s="102">
        <f t="shared" si="79"/>
        <v>0</v>
      </c>
      <c r="BM71" s="102">
        <f t="shared" si="80"/>
        <v>0</v>
      </c>
      <c r="BN71" s="102">
        <f t="shared" si="81"/>
        <v>0</v>
      </c>
      <c r="BO71" s="102">
        <f t="shared" si="82"/>
        <v>0</v>
      </c>
      <c r="BP71" s="102">
        <f t="shared" si="83"/>
        <v>0</v>
      </c>
      <c r="BQ71" s="102">
        <f t="shared" si="84"/>
        <v>0</v>
      </c>
      <c r="BR71" s="102">
        <f t="shared" si="85"/>
        <v>447731.71200000012</v>
      </c>
      <c r="BS71" s="102">
        <f t="shared" si="86"/>
        <v>1003814.2080000002</v>
      </c>
      <c r="BT71" s="102">
        <f t="shared" si="87"/>
        <v>1125275.3280000002</v>
      </c>
      <c r="BU71" s="102">
        <f t="shared" si="88"/>
        <v>1261433.0880000002</v>
      </c>
      <c r="BV71" s="102">
        <f t="shared" si="89"/>
        <v>1414065.6000000003</v>
      </c>
      <c r="BW71" s="102">
        <f t="shared" si="90"/>
        <v>1585168.7040000004</v>
      </c>
      <c r="BX71" s="102">
        <f t="shared" si="91"/>
        <v>1776974.1120000004</v>
      </c>
      <c r="BY71" s="102">
        <f t="shared" si="92"/>
        <v>1991988.2880000004</v>
      </c>
      <c r="BZ71" s="102">
        <f t="shared" si="93"/>
        <v>2233018.3680000002</v>
      </c>
    </row>
    <row r="72" spans="1:78" x14ac:dyDescent="0.25">
      <c r="A72" s="26" t="str">
        <f>+Assumptions!$A$36</f>
        <v>NPK 15-15-15</v>
      </c>
      <c r="B72" s="73">
        <f>+Assumptions!$R$52</f>
        <v>0.15</v>
      </c>
      <c r="C72" t="s">
        <v>124</v>
      </c>
      <c r="F72">
        <v>1.1950000000000001</v>
      </c>
      <c r="G72" s="61">
        <f t="shared" ref="G72:R135" si="95">F72</f>
        <v>1.1950000000000001</v>
      </c>
      <c r="H72" s="61">
        <f t="shared" si="95"/>
        <v>1.1950000000000001</v>
      </c>
      <c r="I72" s="61">
        <f t="shared" si="95"/>
        <v>1.1950000000000001</v>
      </c>
      <c r="J72" s="61">
        <f t="shared" si="95"/>
        <v>1.1950000000000001</v>
      </c>
      <c r="K72" s="61">
        <f t="shared" si="95"/>
        <v>1.1950000000000001</v>
      </c>
      <c r="L72" s="61">
        <f t="shared" si="95"/>
        <v>1.1950000000000001</v>
      </c>
      <c r="M72" s="61">
        <f t="shared" si="95"/>
        <v>1.1950000000000001</v>
      </c>
      <c r="N72" s="61">
        <f t="shared" si="95"/>
        <v>1.1950000000000001</v>
      </c>
      <c r="O72" s="61">
        <f t="shared" si="95"/>
        <v>1.1950000000000001</v>
      </c>
      <c r="P72" s="61">
        <f t="shared" si="95"/>
        <v>1.1950000000000001</v>
      </c>
      <c r="Q72" s="61">
        <f t="shared" si="95"/>
        <v>1.1950000000000001</v>
      </c>
      <c r="R72" s="61">
        <f t="shared" si="95"/>
        <v>1.1950000000000001</v>
      </c>
      <c r="S72" s="74">
        <f>VLOOKUP($A72,turnover!$A$184:$Q$192,+S$4-$S$4+3,0)</f>
        <v>0</v>
      </c>
      <c r="T72" s="74">
        <f>VLOOKUP($A72,turnover!$A$184:$Q$192,+T$4-$S$4+3,0)</f>
        <v>0</v>
      </c>
      <c r="U72" s="74">
        <f>VLOOKUP($A72,turnover!$A$184:$Q$192,+U$4-$S$4+3,0)</f>
        <v>0</v>
      </c>
      <c r="V72" s="74">
        <f>VLOOKUP($A72,turnover!$A$184:$Q$192,+V$4-$S$4+3,0)</f>
        <v>0</v>
      </c>
      <c r="W72" s="74">
        <f>VLOOKUP($A72,turnover!$A$184:$Q$192,+W$4-$S$4+3,0)</f>
        <v>0</v>
      </c>
      <c r="X72" s="74">
        <f>VLOOKUP($A72,turnover!$A$184:$Q$192,+X$4-$S$4+3,0)</f>
        <v>0</v>
      </c>
      <c r="Y72" s="74">
        <f>VLOOKUP($A72,turnover!$A$184:$Q$192,+Y$4-$S$4+3,0)</f>
        <v>1.2000000000000002</v>
      </c>
      <c r="Z72" s="74">
        <f>VLOOKUP($A72,turnover!$A$184:$Q$192,+Z$4-$S$4+3,0)</f>
        <v>2.4000000000000004</v>
      </c>
      <c r="AA72" s="74">
        <f>VLOOKUP($A72,turnover!$A$184:$Q$192,+AA$4-$S$4+3,0)</f>
        <v>2.4000000000000004</v>
      </c>
      <c r="AB72" s="74">
        <f>VLOOKUP($A72,turnover!$A$184:$Q$192,+AB$4-$S$4+3,0)</f>
        <v>2.4000000000000004</v>
      </c>
      <c r="AC72" s="74">
        <f>VLOOKUP($A72,turnover!$A$184:$Q$192,+AC$4-$S$4+3,0)</f>
        <v>2.4000000000000004</v>
      </c>
      <c r="AD72" s="74">
        <f>VLOOKUP($A72,turnover!$A$184:$Q$192,+AD$4-$S$4+3,0)</f>
        <v>2.4000000000000004</v>
      </c>
      <c r="AE72" s="74">
        <f>VLOOKUP($A72,turnover!$A$184:$Q$192,+AE$4-$S$4+3,0)</f>
        <v>2.4000000000000004</v>
      </c>
      <c r="AF72" s="74">
        <f>VLOOKUP($A72,turnover!$A$184:$Q$192,+AF$4-$S$4+3,0)</f>
        <v>2.4000000000000004</v>
      </c>
      <c r="AG72" s="74">
        <f>VLOOKUP($A72,turnover!$A$184:$Q$192,+AG$4-$S$4+3,0)</f>
        <v>2.4000000000000004</v>
      </c>
      <c r="AH72" s="61">
        <f t="shared" si="64"/>
        <v>0</v>
      </c>
      <c r="AI72" s="61">
        <f t="shared" si="65"/>
        <v>0</v>
      </c>
      <c r="AJ72" s="61">
        <f t="shared" si="66"/>
        <v>0</v>
      </c>
      <c r="AK72" s="61">
        <f t="shared" si="67"/>
        <v>0</v>
      </c>
      <c r="AL72" s="61">
        <f t="shared" si="68"/>
        <v>0</v>
      </c>
      <c r="AM72" s="61">
        <f t="shared" si="69"/>
        <v>0</v>
      </c>
      <c r="AN72" s="61">
        <f t="shared" si="70"/>
        <v>1.4340000000000004</v>
      </c>
      <c r="AO72" s="61">
        <f t="shared" si="71"/>
        <v>2.8680000000000008</v>
      </c>
      <c r="AP72" s="61">
        <f t="shared" si="72"/>
        <v>2.8680000000000008</v>
      </c>
      <c r="AQ72" s="61">
        <f t="shared" si="73"/>
        <v>2.8680000000000008</v>
      </c>
      <c r="AR72" s="61">
        <f t="shared" si="74"/>
        <v>2.8680000000000008</v>
      </c>
      <c r="AS72" s="61">
        <f t="shared" si="75"/>
        <v>2.8680000000000008</v>
      </c>
      <c r="AT72" s="61">
        <f t="shared" si="76"/>
        <v>2.8680000000000008</v>
      </c>
      <c r="AU72" s="61">
        <f t="shared" si="77"/>
        <v>2.8680000000000008</v>
      </c>
      <c r="AV72" s="61">
        <f t="shared" si="78"/>
        <v>2.8680000000000008</v>
      </c>
      <c r="AW72" s="101">
        <f>VLOOKUP($C72,'Cost RMs'!$B$5:$Q$22,+AW$4-$AW$4+2,0)</f>
        <v>235089</v>
      </c>
      <c r="AX72" s="101">
        <f>VLOOKUP($C72,'Cost RMs'!$B$5:$Q$22,+AX$4-$AW$4+2,0)</f>
        <v>283888</v>
      </c>
      <c r="AY72" s="101">
        <f>VLOOKUP($C72,'Cost RMs'!$B$5:$Q$22,+AY$4-$AW$4+2,0)</f>
        <v>306490</v>
      </c>
      <c r="AZ72" s="101">
        <f>VLOOKUP($C72,'Cost RMs'!$B$5:$Q$22,+AZ$4-$AW$4+2,0)</f>
        <v>318975</v>
      </c>
      <c r="BA72" s="101">
        <f>VLOOKUP($C72,'Cost RMs'!$B$5:$Q$22,+BA$4-$AW$4+2,0)</f>
        <v>365112</v>
      </c>
      <c r="BB72" s="101">
        <f>VLOOKUP($C72,'Cost RMs'!$B$5:$Q$22,+BB$4-$AW$4+2,0)</f>
        <v>408889</v>
      </c>
      <c r="BC72" s="101">
        <f>VLOOKUP($C72,'Cost RMs'!$B$5:$Q$22,+BC$4-$AW$4+2,0)</f>
        <v>458365</v>
      </c>
      <c r="BD72" s="101">
        <f>VLOOKUP($C72,'Cost RMs'!$B$5:$Q$22,+BD$4-$AW$4+2,0)</f>
        <v>513827</v>
      </c>
      <c r="BE72" s="101">
        <f>VLOOKUP($C72,'Cost RMs'!$B$5:$Q$22,+BE$4-$AW$4+2,0)</f>
        <v>576000</v>
      </c>
      <c r="BF72" s="101">
        <f>VLOOKUP($C72,'Cost RMs'!$B$5:$Q$22,+BF$4-$AW$4+2,0)</f>
        <v>645696</v>
      </c>
      <c r="BG72" s="101">
        <f>VLOOKUP($C72,'Cost RMs'!$B$5:$Q$22,+BG$4-$AW$4+2,0)</f>
        <v>723825</v>
      </c>
      <c r="BH72" s="101">
        <f>VLOOKUP($C72,'Cost RMs'!$B$5:$Q$22,+BH$4-$AW$4+2,0)</f>
        <v>811408</v>
      </c>
      <c r="BI72" s="101">
        <f>VLOOKUP($C72,'Cost RMs'!$B$5:$Q$22,+BI$4-$AW$4+2,0)</f>
        <v>909588</v>
      </c>
      <c r="BJ72" s="101">
        <f>VLOOKUP($C72,'Cost RMs'!$B$5:$Q$22,+BJ$4-$AW$4+2,0)</f>
        <v>1019648</v>
      </c>
      <c r="BK72" s="101">
        <f>VLOOKUP($C72,'Cost RMs'!$B$5:$Q$22,+BK$4-$AW$4+2,0)</f>
        <v>1143025</v>
      </c>
      <c r="BL72" s="102">
        <f t="shared" si="79"/>
        <v>0</v>
      </c>
      <c r="BM72" s="102">
        <f t="shared" si="80"/>
        <v>0</v>
      </c>
      <c r="BN72" s="102">
        <f t="shared" si="81"/>
        <v>0</v>
      </c>
      <c r="BO72" s="102">
        <f t="shared" si="82"/>
        <v>0</v>
      </c>
      <c r="BP72" s="102">
        <f t="shared" si="83"/>
        <v>0</v>
      </c>
      <c r="BQ72" s="102">
        <f t="shared" si="84"/>
        <v>0</v>
      </c>
      <c r="BR72" s="102">
        <f t="shared" si="85"/>
        <v>657295.41000000015</v>
      </c>
      <c r="BS72" s="102">
        <f t="shared" si="86"/>
        <v>1473655.8360000004</v>
      </c>
      <c r="BT72" s="102">
        <f t="shared" si="87"/>
        <v>1651968.0000000005</v>
      </c>
      <c r="BU72" s="102">
        <f t="shared" si="88"/>
        <v>1851856.1280000005</v>
      </c>
      <c r="BV72" s="102">
        <f t="shared" si="89"/>
        <v>2075930.1000000006</v>
      </c>
      <c r="BW72" s="102">
        <f t="shared" si="90"/>
        <v>2327118.1440000008</v>
      </c>
      <c r="BX72" s="102">
        <f t="shared" si="91"/>
        <v>2608698.3840000005</v>
      </c>
      <c r="BY72" s="102">
        <f t="shared" si="92"/>
        <v>2924350.4640000006</v>
      </c>
      <c r="BZ72" s="102">
        <f t="shared" si="93"/>
        <v>3278195.7000000007</v>
      </c>
    </row>
    <row r="73" spans="1:78" x14ac:dyDescent="0.25">
      <c r="A73" s="26" t="str">
        <f>+Assumptions!$A$36</f>
        <v>NPK 15-15-15</v>
      </c>
      <c r="B73" s="73">
        <f>+Assumptions!$R$52</f>
        <v>0.15</v>
      </c>
      <c r="C73" t="s">
        <v>125</v>
      </c>
      <c r="G73" s="61">
        <f t="shared" si="95"/>
        <v>0</v>
      </c>
      <c r="H73" s="61">
        <f t="shared" si="95"/>
        <v>0</v>
      </c>
      <c r="I73" s="61">
        <f t="shared" si="95"/>
        <v>0</v>
      </c>
      <c r="J73" s="61">
        <f t="shared" si="95"/>
        <v>0</v>
      </c>
      <c r="K73" s="61">
        <f t="shared" si="95"/>
        <v>0</v>
      </c>
      <c r="L73" s="61">
        <f t="shared" si="95"/>
        <v>0</v>
      </c>
      <c r="M73" s="61">
        <f t="shared" si="95"/>
        <v>0</v>
      </c>
      <c r="N73" s="61">
        <f t="shared" si="95"/>
        <v>0</v>
      </c>
      <c r="O73" s="61">
        <f t="shared" si="95"/>
        <v>0</v>
      </c>
      <c r="P73" s="61">
        <f t="shared" si="95"/>
        <v>0</v>
      </c>
      <c r="Q73" s="61">
        <f t="shared" si="95"/>
        <v>0</v>
      </c>
      <c r="R73" s="61">
        <f t="shared" si="95"/>
        <v>0</v>
      </c>
      <c r="S73" s="74">
        <f>VLOOKUP($A73,turnover!$A$184:$Q$192,+S$4-$S$4+3,0)</f>
        <v>0</v>
      </c>
      <c r="T73" s="74">
        <f>VLOOKUP($A73,turnover!$A$184:$Q$192,+T$4-$S$4+3,0)</f>
        <v>0</v>
      </c>
      <c r="U73" s="74">
        <f>VLOOKUP($A73,turnover!$A$184:$Q$192,+U$4-$S$4+3,0)</f>
        <v>0</v>
      </c>
      <c r="V73" s="74">
        <f>VLOOKUP($A73,turnover!$A$184:$Q$192,+V$4-$S$4+3,0)</f>
        <v>0</v>
      </c>
      <c r="W73" s="74">
        <f>VLOOKUP($A73,turnover!$A$184:$Q$192,+W$4-$S$4+3,0)</f>
        <v>0</v>
      </c>
      <c r="X73" s="74">
        <f>VLOOKUP($A73,turnover!$A$184:$Q$192,+X$4-$S$4+3,0)</f>
        <v>0</v>
      </c>
      <c r="Y73" s="74">
        <f>VLOOKUP($A73,turnover!$A$184:$Q$192,+Y$4-$S$4+3,0)</f>
        <v>1.2000000000000002</v>
      </c>
      <c r="Z73" s="74">
        <f>VLOOKUP($A73,turnover!$A$184:$Q$192,+Z$4-$S$4+3,0)</f>
        <v>2.4000000000000004</v>
      </c>
      <c r="AA73" s="74">
        <f>VLOOKUP($A73,turnover!$A$184:$Q$192,+AA$4-$S$4+3,0)</f>
        <v>2.4000000000000004</v>
      </c>
      <c r="AB73" s="74">
        <f>VLOOKUP($A73,turnover!$A$184:$Q$192,+AB$4-$S$4+3,0)</f>
        <v>2.4000000000000004</v>
      </c>
      <c r="AC73" s="74">
        <f>VLOOKUP($A73,turnover!$A$184:$Q$192,+AC$4-$S$4+3,0)</f>
        <v>2.4000000000000004</v>
      </c>
      <c r="AD73" s="74">
        <f>VLOOKUP($A73,turnover!$A$184:$Q$192,+AD$4-$S$4+3,0)</f>
        <v>2.4000000000000004</v>
      </c>
      <c r="AE73" s="74">
        <f>VLOOKUP($A73,turnover!$A$184:$Q$192,+AE$4-$S$4+3,0)</f>
        <v>2.4000000000000004</v>
      </c>
      <c r="AF73" s="74">
        <f>VLOOKUP($A73,turnover!$A$184:$Q$192,+AF$4-$S$4+3,0)</f>
        <v>2.4000000000000004</v>
      </c>
      <c r="AG73" s="74">
        <f>VLOOKUP($A73,turnover!$A$184:$Q$192,+AG$4-$S$4+3,0)</f>
        <v>2.4000000000000004</v>
      </c>
      <c r="AH73" s="61">
        <f t="shared" si="64"/>
        <v>0</v>
      </c>
      <c r="AI73" s="61">
        <f t="shared" si="65"/>
        <v>0</v>
      </c>
      <c r="AJ73" s="61">
        <f t="shared" si="66"/>
        <v>0</v>
      </c>
      <c r="AK73" s="61">
        <f t="shared" si="67"/>
        <v>0</v>
      </c>
      <c r="AL73" s="61">
        <f t="shared" si="68"/>
        <v>0</v>
      </c>
      <c r="AM73" s="61">
        <f t="shared" si="69"/>
        <v>0</v>
      </c>
      <c r="AN73" s="61">
        <f t="shared" si="70"/>
        <v>0</v>
      </c>
      <c r="AO73" s="61">
        <f t="shared" si="71"/>
        <v>0</v>
      </c>
      <c r="AP73" s="61">
        <f t="shared" si="72"/>
        <v>0</v>
      </c>
      <c r="AQ73" s="61">
        <f t="shared" si="73"/>
        <v>0</v>
      </c>
      <c r="AR73" s="61">
        <f t="shared" si="74"/>
        <v>0</v>
      </c>
      <c r="AS73" s="61">
        <f t="shared" si="75"/>
        <v>0</v>
      </c>
      <c r="AT73" s="61">
        <f t="shared" si="76"/>
        <v>0</v>
      </c>
      <c r="AU73" s="61">
        <f t="shared" si="77"/>
        <v>0</v>
      </c>
      <c r="AV73" s="61">
        <f t="shared" si="78"/>
        <v>0</v>
      </c>
      <c r="AW73" s="101">
        <f>VLOOKUP($C73,'Cost RMs'!$B$5:$Q$22,+AW$4-$AW$4+2,0)</f>
        <v>266257</v>
      </c>
      <c r="AX73" s="101">
        <f>VLOOKUP($C73,'Cost RMs'!$B$5:$Q$22,+AX$4-$AW$4+2,0)</f>
        <v>266257</v>
      </c>
      <c r="AY73" s="101">
        <f>VLOOKUP($C73,'Cost RMs'!$B$5:$Q$22,+AY$4-$AW$4+2,0)</f>
        <v>266257</v>
      </c>
      <c r="AZ73" s="101">
        <f ca="1">VLOOKUP($C73,'Cost RMs'!$B$5:$Q$22,+AZ$4-$AW$4+2,0)</f>
        <v>266257</v>
      </c>
      <c r="BA73" s="101">
        <f ca="1">VLOOKUP($C73,'Cost RMs'!$B$5:$Q$22,+BA$4-$AW$4+2,0)</f>
        <v>266257</v>
      </c>
      <c r="BB73" s="101">
        <f ca="1">VLOOKUP($C73,'Cost RMs'!$B$5:$Q$22,+BB$4-$AW$4+2,0)</f>
        <v>298181</v>
      </c>
      <c r="BC73" s="101">
        <f ca="1">VLOOKUP($C73,'Cost RMs'!$B$5:$Q$22,+BC$4-$AW$4+2,0)</f>
        <v>334261</v>
      </c>
      <c r="BD73" s="101">
        <f ca="1">VLOOKUP($C73,'Cost RMs'!$B$5:$Q$22,+BD$4-$AW$4+2,0)</f>
        <v>374707</v>
      </c>
      <c r="BE73" s="101">
        <f ca="1">VLOOKUP($C73,'Cost RMs'!$B$5:$Q$22,+BE$4-$AW$4+2,0)</f>
        <v>420047</v>
      </c>
      <c r="BF73" s="101">
        <f ca="1">VLOOKUP($C73,'Cost RMs'!$B$5:$Q$22,+BF$4-$AW$4+2,0)</f>
        <v>470873</v>
      </c>
      <c r="BG73" s="101">
        <f ca="1">VLOOKUP($C73,'Cost RMs'!$B$5:$Q$22,+BG$4-$AW$4+2,0)</f>
        <v>527849</v>
      </c>
      <c r="BH73" s="101">
        <f ca="1">VLOOKUP($C73,'Cost RMs'!$B$5:$Q$22,+BH$4-$AW$4+2,0)</f>
        <v>591719</v>
      </c>
      <c r="BI73" s="101">
        <f ca="1">VLOOKUP($C73,'Cost RMs'!$B$5:$Q$22,+BI$4-$AW$4+2,0)</f>
        <v>663317</v>
      </c>
      <c r="BJ73" s="101">
        <f ca="1">VLOOKUP($C73,'Cost RMs'!$B$5:$Q$22,+BJ$4-$AW$4+2,0)</f>
        <v>743578</v>
      </c>
      <c r="BK73" s="101">
        <f ca="1">VLOOKUP($C73,'Cost RMs'!$B$5:$Q$22,+BK$4-$AW$4+2,0)</f>
        <v>833551</v>
      </c>
      <c r="BL73" s="102">
        <f t="shared" si="79"/>
        <v>0</v>
      </c>
      <c r="BM73" s="102">
        <f t="shared" si="80"/>
        <v>0</v>
      </c>
      <c r="BN73" s="102">
        <f t="shared" si="81"/>
        <v>0</v>
      </c>
      <c r="BO73" s="102">
        <f t="shared" ca="1" si="82"/>
        <v>0</v>
      </c>
      <c r="BP73" s="102">
        <f t="shared" ca="1" si="83"/>
        <v>0</v>
      </c>
      <c r="BQ73" s="102">
        <f t="shared" ca="1" si="84"/>
        <v>0</v>
      </c>
      <c r="BR73" s="102">
        <f t="shared" ca="1" si="85"/>
        <v>0</v>
      </c>
      <c r="BS73" s="102">
        <f t="shared" ca="1" si="86"/>
        <v>0</v>
      </c>
      <c r="BT73" s="102">
        <f t="shared" ca="1" si="87"/>
        <v>0</v>
      </c>
      <c r="BU73" s="102">
        <f t="shared" ca="1" si="88"/>
        <v>0</v>
      </c>
      <c r="BV73" s="102">
        <f t="shared" ca="1" si="89"/>
        <v>0</v>
      </c>
      <c r="BW73" s="102">
        <f t="shared" ca="1" si="90"/>
        <v>0</v>
      </c>
      <c r="BX73" s="102">
        <f t="shared" ca="1" si="91"/>
        <v>0</v>
      </c>
      <c r="BY73" s="102">
        <f t="shared" ca="1" si="92"/>
        <v>0</v>
      </c>
      <c r="BZ73" s="102">
        <f t="shared" ca="1" si="93"/>
        <v>0</v>
      </c>
    </row>
    <row r="74" spans="1:78" x14ac:dyDescent="0.25">
      <c r="A74" s="26" t="str">
        <f>+Assumptions!$A$36</f>
        <v>NPK 15-15-15</v>
      </c>
      <c r="B74" s="73">
        <f>+Assumptions!$R$52</f>
        <v>0.15</v>
      </c>
      <c r="C74" t="s">
        <v>126</v>
      </c>
      <c r="G74" s="61">
        <f t="shared" si="95"/>
        <v>0</v>
      </c>
      <c r="H74" s="61">
        <f t="shared" si="95"/>
        <v>0</v>
      </c>
      <c r="I74" s="61">
        <f t="shared" si="95"/>
        <v>0</v>
      </c>
      <c r="J74" s="61">
        <f t="shared" si="95"/>
        <v>0</v>
      </c>
      <c r="K74" s="61">
        <f t="shared" si="95"/>
        <v>0</v>
      </c>
      <c r="L74" s="61">
        <f t="shared" si="95"/>
        <v>0</v>
      </c>
      <c r="M74" s="61">
        <f t="shared" si="95"/>
        <v>0</v>
      </c>
      <c r="N74" s="61">
        <f t="shared" si="95"/>
        <v>0</v>
      </c>
      <c r="O74" s="61">
        <f t="shared" si="95"/>
        <v>0</v>
      </c>
      <c r="P74" s="61">
        <f t="shared" si="95"/>
        <v>0</v>
      </c>
      <c r="Q74" s="61">
        <f t="shared" si="95"/>
        <v>0</v>
      </c>
      <c r="R74" s="61">
        <f t="shared" si="95"/>
        <v>0</v>
      </c>
      <c r="S74" s="74">
        <f>VLOOKUP($A74,turnover!$A$184:$Q$192,+S$4-$S$4+3,0)</f>
        <v>0</v>
      </c>
      <c r="T74" s="74">
        <f>VLOOKUP($A74,turnover!$A$184:$Q$192,+T$4-$S$4+3,0)</f>
        <v>0</v>
      </c>
      <c r="U74" s="74">
        <f>VLOOKUP($A74,turnover!$A$184:$Q$192,+U$4-$S$4+3,0)</f>
        <v>0</v>
      </c>
      <c r="V74" s="74">
        <f>VLOOKUP($A74,turnover!$A$184:$Q$192,+V$4-$S$4+3,0)</f>
        <v>0</v>
      </c>
      <c r="W74" s="74">
        <f>VLOOKUP($A74,turnover!$A$184:$Q$192,+W$4-$S$4+3,0)</f>
        <v>0</v>
      </c>
      <c r="X74" s="74">
        <f>VLOOKUP($A74,turnover!$A$184:$Q$192,+X$4-$S$4+3,0)</f>
        <v>0</v>
      </c>
      <c r="Y74" s="74">
        <f>VLOOKUP($A74,turnover!$A$184:$Q$192,+Y$4-$S$4+3,0)</f>
        <v>1.2000000000000002</v>
      </c>
      <c r="Z74" s="74">
        <f>VLOOKUP($A74,turnover!$A$184:$Q$192,+Z$4-$S$4+3,0)</f>
        <v>2.4000000000000004</v>
      </c>
      <c r="AA74" s="74">
        <f>VLOOKUP($A74,turnover!$A$184:$Q$192,+AA$4-$S$4+3,0)</f>
        <v>2.4000000000000004</v>
      </c>
      <c r="AB74" s="74">
        <f>VLOOKUP($A74,turnover!$A$184:$Q$192,+AB$4-$S$4+3,0)</f>
        <v>2.4000000000000004</v>
      </c>
      <c r="AC74" s="74">
        <f>VLOOKUP($A74,turnover!$A$184:$Q$192,+AC$4-$S$4+3,0)</f>
        <v>2.4000000000000004</v>
      </c>
      <c r="AD74" s="74">
        <f>VLOOKUP($A74,turnover!$A$184:$Q$192,+AD$4-$S$4+3,0)</f>
        <v>2.4000000000000004</v>
      </c>
      <c r="AE74" s="74">
        <f>VLOOKUP($A74,turnover!$A$184:$Q$192,+AE$4-$S$4+3,0)</f>
        <v>2.4000000000000004</v>
      </c>
      <c r="AF74" s="74">
        <f>VLOOKUP($A74,turnover!$A$184:$Q$192,+AF$4-$S$4+3,0)</f>
        <v>2.4000000000000004</v>
      </c>
      <c r="AG74" s="74">
        <f>VLOOKUP($A74,turnover!$A$184:$Q$192,+AG$4-$S$4+3,0)</f>
        <v>2.4000000000000004</v>
      </c>
      <c r="AH74" s="61">
        <f t="shared" si="64"/>
        <v>0</v>
      </c>
      <c r="AI74" s="61">
        <f t="shared" si="65"/>
        <v>0</v>
      </c>
      <c r="AJ74" s="61">
        <f t="shared" si="66"/>
        <v>0</v>
      </c>
      <c r="AK74" s="61">
        <f t="shared" si="67"/>
        <v>0</v>
      </c>
      <c r="AL74" s="61">
        <f t="shared" si="68"/>
        <v>0</v>
      </c>
      <c r="AM74" s="61">
        <f t="shared" si="69"/>
        <v>0</v>
      </c>
      <c r="AN74" s="61">
        <f t="shared" si="70"/>
        <v>0</v>
      </c>
      <c r="AO74" s="61">
        <f t="shared" si="71"/>
        <v>0</v>
      </c>
      <c r="AP74" s="61">
        <f t="shared" si="72"/>
        <v>0</v>
      </c>
      <c r="AQ74" s="61">
        <f t="shared" si="73"/>
        <v>0</v>
      </c>
      <c r="AR74" s="61">
        <f t="shared" si="74"/>
        <v>0</v>
      </c>
      <c r="AS74" s="61">
        <f t="shared" si="75"/>
        <v>0</v>
      </c>
      <c r="AT74" s="61">
        <f t="shared" si="76"/>
        <v>0</v>
      </c>
      <c r="AU74" s="61">
        <f t="shared" si="77"/>
        <v>0</v>
      </c>
      <c r="AV74" s="61">
        <f t="shared" si="78"/>
        <v>0</v>
      </c>
      <c r="AW74" s="101">
        <f>VLOOKUP($C74,'Cost RMs'!$B$5:$Q$22,+AW$4-$AW$4+2,0)</f>
        <v>248821</v>
      </c>
      <c r="AX74" s="101">
        <f>VLOOKUP($C74,'Cost RMs'!$B$5:$Q$22,+AX$4-$AW$4+2,0)</f>
        <v>290296</v>
      </c>
      <c r="AY74" s="101">
        <f>VLOOKUP($C74,'Cost RMs'!$B$5:$Q$22,+AY$4-$AW$4+2,0)</f>
        <v>316267</v>
      </c>
      <c r="AZ74" s="101">
        <f>VLOOKUP($C74,'Cost RMs'!$B$5:$Q$22,+AZ$4-$AW$4+2,0)</f>
        <v>337089</v>
      </c>
      <c r="BA74" s="101">
        <f>VLOOKUP($C74,'Cost RMs'!$B$5:$Q$22,+BA$4-$AW$4+2,0)</f>
        <v>408568</v>
      </c>
      <c r="BB74" s="101">
        <f>VLOOKUP($C74,'Cost RMs'!$B$5:$Q$22,+BB$4-$AW$4+2,0)</f>
        <v>457555</v>
      </c>
      <c r="BC74" s="101">
        <f>VLOOKUP($C74,'Cost RMs'!$B$5:$Q$22,+BC$4-$AW$4+2,0)</f>
        <v>512919</v>
      </c>
      <c r="BD74" s="101">
        <f>VLOOKUP($C74,'Cost RMs'!$B$5:$Q$22,+BD$4-$AW$4+2,0)</f>
        <v>574982</v>
      </c>
      <c r="BE74" s="101">
        <f>VLOOKUP($C74,'Cost RMs'!$B$5:$Q$22,+BE$4-$AW$4+2,0)</f>
        <v>644555</v>
      </c>
      <c r="BF74" s="101">
        <f>VLOOKUP($C74,'Cost RMs'!$B$5:$Q$22,+BF$4-$AW$4+2,0)</f>
        <v>722546</v>
      </c>
      <c r="BG74" s="101">
        <f>VLOOKUP($C74,'Cost RMs'!$B$5:$Q$22,+BG$4-$AW$4+2,0)</f>
        <v>809974</v>
      </c>
      <c r="BH74" s="101">
        <f>VLOOKUP($C74,'Cost RMs'!$B$5:$Q$22,+BH$4-$AW$4+2,0)</f>
        <v>907981</v>
      </c>
      <c r="BI74" s="101">
        <f>VLOOKUP($C74,'Cost RMs'!$B$5:$Q$22,+BI$4-$AW$4+2,0)</f>
        <v>1017847</v>
      </c>
      <c r="BJ74" s="101">
        <f>VLOOKUP($C74,'Cost RMs'!$B$5:$Q$22,+BJ$4-$AW$4+2,0)</f>
        <v>1141006</v>
      </c>
      <c r="BK74" s="101">
        <f>VLOOKUP($C74,'Cost RMs'!$B$5:$Q$22,+BK$4-$AW$4+2,0)</f>
        <v>1279068</v>
      </c>
      <c r="BL74" s="102">
        <f t="shared" si="79"/>
        <v>0</v>
      </c>
      <c r="BM74" s="102">
        <f t="shared" si="80"/>
        <v>0</v>
      </c>
      <c r="BN74" s="102">
        <f t="shared" si="81"/>
        <v>0</v>
      </c>
      <c r="BO74" s="102">
        <f t="shared" si="82"/>
        <v>0</v>
      </c>
      <c r="BP74" s="102">
        <f t="shared" si="83"/>
        <v>0</v>
      </c>
      <c r="BQ74" s="102">
        <f t="shared" si="84"/>
        <v>0</v>
      </c>
      <c r="BR74" s="102">
        <f t="shared" si="85"/>
        <v>0</v>
      </c>
      <c r="BS74" s="102">
        <f t="shared" si="86"/>
        <v>0</v>
      </c>
      <c r="BT74" s="102">
        <f t="shared" si="87"/>
        <v>0</v>
      </c>
      <c r="BU74" s="102">
        <f t="shared" si="88"/>
        <v>0</v>
      </c>
      <c r="BV74" s="102">
        <f t="shared" si="89"/>
        <v>0</v>
      </c>
      <c r="BW74" s="102">
        <f t="shared" si="90"/>
        <v>0</v>
      </c>
      <c r="BX74" s="102">
        <f t="shared" si="91"/>
        <v>0</v>
      </c>
      <c r="BY74" s="102">
        <f t="shared" si="92"/>
        <v>0</v>
      </c>
      <c r="BZ74" s="102">
        <f t="shared" si="93"/>
        <v>0</v>
      </c>
    </row>
    <row r="75" spans="1:78" x14ac:dyDescent="0.25">
      <c r="A75" s="26" t="str">
        <f>+Assumptions!$A$36</f>
        <v>NPK 15-15-15</v>
      </c>
      <c r="B75" s="73">
        <f>+Assumptions!$R$52</f>
        <v>0.15</v>
      </c>
      <c r="C75" s="166" t="s">
        <v>538</v>
      </c>
      <c r="F75">
        <v>1.6870000000000001</v>
      </c>
      <c r="G75" s="61">
        <f t="shared" si="95"/>
        <v>1.6870000000000001</v>
      </c>
      <c r="H75" s="61">
        <f t="shared" si="95"/>
        <v>1.6870000000000001</v>
      </c>
      <c r="I75" s="61">
        <f t="shared" si="95"/>
        <v>1.6870000000000001</v>
      </c>
      <c r="J75" s="61">
        <f t="shared" si="95"/>
        <v>1.6870000000000001</v>
      </c>
      <c r="K75" s="61">
        <f t="shared" si="95"/>
        <v>1.6870000000000001</v>
      </c>
      <c r="L75" s="61">
        <f t="shared" si="95"/>
        <v>1.6870000000000001</v>
      </c>
      <c r="M75" s="61">
        <f t="shared" si="95"/>
        <v>1.6870000000000001</v>
      </c>
      <c r="N75" s="61">
        <f t="shared" si="95"/>
        <v>1.6870000000000001</v>
      </c>
      <c r="O75" s="61">
        <f t="shared" si="95"/>
        <v>1.6870000000000001</v>
      </c>
      <c r="P75" s="61">
        <f t="shared" si="95"/>
        <v>1.6870000000000001</v>
      </c>
      <c r="Q75" s="61">
        <f t="shared" si="95"/>
        <v>1.6870000000000001</v>
      </c>
      <c r="R75" s="61">
        <f t="shared" si="95"/>
        <v>1.6870000000000001</v>
      </c>
      <c r="S75" s="74">
        <f>VLOOKUP($A75,turnover!$A$184:$Q$192,+S$4-$S$4+3,0)</f>
        <v>0</v>
      </c>
      <c r="T75" s="74">
        <f>VLOOKUP($A75,turnover!$A$184:$Q$192,+T$4-$S$4+3,0)</f>
        <v>0</v>
      </c>
      <c r="U75" s="74">
        <f>VLOOKUP($A75,turnover!$A$184:$Q$192,+U$4-$S$4+3,0)</f>
        <v>0</v>
      </c>
      <c r="V75" s="74">
        <f>VLOOKUP($A75,turnover!$A$184:$Q$192,+V$4-$S$4+3,0)</f>
        <v>0</v>
      </c>
      <c r="W75" s="74">
        <f>VLOOKUP($A75,turnover!$A$184:$Q$192,+W$4-$S$4+3,0)</f>
        <v>0</v>
      </c>
      <c r="X75" s="74">
        <f>VLOOKUP($A75,turnover!$A$184:$Q$192,+X$4-$S$4+3,0)</f>
        <v>0</v>
      </c>
      <c r="Y75" s="74">
        <f>VLOOKUP($A75,turnover!$A$184:$Q$192,+Y$4-$S$4+3,0)</f>
        <v>1.2000000000000002</v>
      </c>
      <c r="Z75" s="74">
        <f>VLOOKUP($A75,turnover!$A$184:$Q$192,+Z$4-$S$4+3,0)</f>
        <v>2.4000000000000004</v>
      </c>
      <c r="AA75" s="74">
        <f>VLOOKUP($A75,turnover!$A$184:$Q$192,+AA$4-$S$4+3,0)</f>
        <v>2.4000000000000004</v>
      </c>
      <c r="AB75" s="74">
        <f>VLOOKUP($A75,turnover!$A$184:$Q$192,+AB$4-$S$4+3,0)</f>
        <v>2.4000000000000004</v>
      </c>
      <c r="AC75" s="74">
        <f>VLOOKUP($A75,turnover!$A$184:$Q$192,+AC$4-$S$4+3,0)</f>
        <v>2.4000000000000004</v>
      </c>
      <c r="AD75" s="74">
        <f>VLOOKUP($A75,turnover!$A$184:$Q$192,+AD$4-$S$4+3,0)</f>
        <v>2.4000000000000004</v>
      </c>
      <c r="AE75" s="74">
        <f>VLOOKUP($A75,turnover!$A$184:$Q$192,+AE$4-$S$4+3,0)</f>
        <v>2.4000000000000004</v>
      </c>
      <c r="AF75" s="74">
        <f>VLOOKUP($A75,turnover!$A$184:$Q$192,+AF$4-$S$4+3,0)</f>
        <v>2.4000000000000004</v>
      </c>
      <c r="AG75" s="74">
        <f>VLOOKUP($A75,turnover!$A$184:$Q$192,+AG$4-$S$4+3,0)</f>
        <v>2.4000000000000004</v>
      </c>
      <c r="AH75" s="61">
        <f t="shared" si="64"/>
        <v>0</v>
      </c>
      <c r="AI75" s="61">
        <f t="shared" si="65"/>
        <v>0</v>
      </c>
      <c r="AJ75" s="61">
        <f t="shared" si="66"/>
        <v>0</v>
      </c>
      <c r="AK75" s="61">
        <f t="shared" si="67"/>
        <v>0</v>
      </c>
      <c r="AL75" s="61">
        <f t="shared" si="68"/>
        <v>0</v>
      </c>
      <c r="AM75" s="61">
        <f t="shared" si="69"/>
        <v>0</v>
      </c>
      <c r="AN75" s="61">
        <f t="shared" si="70"/>
        <v>2.0244000000000004</v>
      </c>
      <c r="AO75" s="61">
        <f t="shared" si="71"/>
        <v>4.0488000000000008</v>
      </c>
      <c r="AP75" s="61">
        <f t="shared" si="72"/>
        <v>4.0488000000000008</v>
      </c>
      <c r="AQ75" s="61">
        <f t="shared" si="73"/>
        <v>4.0488000000000008</v>
      </c>
      <c r="AR75" s="61">
        <f t="shared" si="74"/>
        <v>4.0488000000000008</v>
      </c>
      <c r="AS75" s="61">
        <f t="shared" si="75"/>
        <v>4.0488000000000008</v>
      </c>
      <c r="AT75" s="61">
        <f t="shared" si="76"/>
        <v>4.0488000000000008</v>
      </c>
      <c r="AU75" s="61">
        <f t="shared" si="77"/>
        <v>4.0488000000000008</v>
      </c>
      <c r="AV75" s="61">
        <f t="shared" si="78"/>
        <v>4.0488000000000008</v>
      </c>
      <c r="AW75" s="101">
        <f>VLOOKUP($C75,'Cost RMs'!$B$5:$Q$22,+AW$4-$AW$4+2,0)</f>
        <v>0</v>
      </c>
      <c r="AX75" s="101">
        <f>VLOOKUP($C75,'Cost RMs'!$B$5:$Q$22,+AX$4-$AW$4+2,0)</f>
        <v>0</v>
      </c>
      <c r="AY75" s="101">
        <f>VLOOKUP($C75,'Cost RMs'!$B$5:$Q$22,+AY$4-$AW$4+2,0)</f>
        <v>0</v>
      </c>
      <c r="AZ75" s="101">
        <f>VLOOKUP($C75,'Cost RMs'!$B$5:$Q$22,+AZ$4-$AW$4+2,0)</f>
        <v>0</v>
      </c>
      <c r="BA75" s="101">
        <f>VLOOKUP($C75,'Cost RMs'!$B$5:$Q$22,+BA$4-$AW$4+2,0)</f>
        <v>520000</v>
      </c>
      <c r="BB75" s="101">
        <f>VLOOKUP($C75,'Cost RMs'!$B$5:$Q$22,+BB$4-$AW$4+2,0)</f>
        <v>582348</v>
      </c>
      <c r="BC75" s="101">
        <f>VLOOKUP($C75,'Cost RMs'!$B$5:$Q$22,+BC$4-$AW$4+2,0)</f>
        <v>652812</v>
      </c>
      <c r="BD75" s="101">
        <f>VLOOKUP($C75,'Cost RMs'!$B$5:$Q$22,+BD$4-$AW$4+2,0)</f>
        <v>731802</v>
      </c>
      <c r="BE75" s="101">
        <f>VLOOKUP($C75,'Cost RMs'!$B$5:$Q$22,+BE$4-$AW$4+2,0)</f>
        <v>820350</v>
      </c>
      <c r="BF75" s="101">
        <f>VLOOKUP($C75,'Cost RMs'!$B$5:$Q$22,+BF$4-$AW$4+2,0)</f>
        <v>919612</v>
      </c>
      <c r="BG75" s="101">
        <f>VLOOKUP($C75,'Cost RMs'!$B$5:$Q$22,+BG$4-$AW$4+2,0)</f>
        <v>1030885</v>
      </c>
      <c r="BH75" s="101">
        <f>VLOOKUP($C75,'Cost RMs'!$B$5:$Q$22,+BH$4-$AW$4+2,0)</f>
        <v>1155622</v>
      </c>
      <c r="BI75" s="101">
        <f>VLOOKUP($C75,'Cost RMs'!$B$5:$Q$22,+BI$4-$AW$4+2,0)</f>
        <v>1295452</v>
      </c>
      <c r="BJ75" s="101">
        <f>VLOOKUP($C75,'Cost RMs'!$B$5:$Q$22,+BJ$4-$AW$4+2,0)</f>
        <v>1452202</v>
      </c>
      <c r="BK75" s="101">
        <f>VLOOKUP($C75,'Cost RMs'!$B$5:$Q$22,+BK$4-$AW$4+2,0)</f>
        <v>1627918</v>
      </c>
      <c r="BL75" s="102">
        <f t="shared" si="79"/>
        <v>0</v>
      </c>
      <c r="BM75" s="102">
        <f t="shared" si="80"/>
        <v>0</v>
      </c>
      <c r="BN75" s="102">
        <f t="shared" si="81"/>
        <v>0</v>
      </c>
      <c r="BO75" s="102">
        <f t="shared" si="82"/>
        <v>0</v>
      </c>
      <c r="BP75" s="102">
        <f t="shared" si="83"/>
        <v>0</v>
      </c>
      <c r="BQ75" s="102">
        <f t="shared" si="84"/>
        <v>0</v>
      </c>
      <c r="BR75" s="102">
        <f t="shared" si="85"/>
        <v>1321552.6128000002</v>
      </c>
      <c r="BS75" s="102">
        <f t="shared" si="86"/>
        <v>2962919.9376000008</v>
      </c>
      <c r="BT75" s="102">
        <f t="shared" si="87"/>
        <v>3321433.0800000005</v>
      </c>
      <c r="BU75" s="102">
        <f t="shared" si="88"/>
        <v>3723325.0656000008</v>
      </c>
      <c r="BV75" s="102">
        <f t="shared" si="89"/>
        <v>4173847.188000001</v>
      </c>
      <c r="BW75" s="102">
        <f t="shared" si="90"/>
        <v>4678882.353600001</v>
      </c>
      <c r="BX75" s="102">
        <f t="shared" si="91"/>
        <v>5245026.0576000009</v>
      </c>
      <c r="BY75" s="102">
        <f t="shared" si="92"/>
        <v>5879675.4576000012</v>
      </c>
      <c r="BZ75" s="102">
        <f t="shared" si="93"/>
        <v>6591114.3984000012</v>
      </c>
    </row>
    <row r="76" spans="1:78" x14ac:dyDescent="0.25">
      <c r="A76" s="26" t="str">
        <f>+Assumptions!$A$36</f>
        <v>NPK 15-15-15</v>
      </c>
      <c r="B76" s="73">
        <f>+Assumptions!$R$52</f>
        <v>0.15</v>
      </c>
      <c r="C76" t="s">
        <v>127</v>
      </c>
      <c r="F76">
        <v>6.3360000000000003</v>
      </c>
      <c r="G76" s="61">
        <f t="shared" si="95"/>
        <v>6.3360000000000003</v>
      </c>
      <c r="H76" s="61">
        <f t="shared" si="95"/>
        <v>6.3360000000000003</v>
      </c>
      <c r="I76" s="61">
        <f t="shared" si="95"/>
        <v>6.3360000000000003</v>
      </c>
      <c r="J76" s="61">
        <f t="shared" si="95"/>
        <v>6.3360000000000003</v>
      </c>
      <c r="K76" s="61">
        <f t="shared" si="95"/>
        <v>6.3360000000000003</v>
      </c>
      <c r="L76" s="61">
        <f t="shared" si="95"/>
        <v>6.3360000000000003</v>
      </c>
      <c r="M76" s="61">
        <f t="shared" si="95"/>
        <v>6.3360000000000003</v>
      </c>
      <c r="N76" s="61">
        <f t="shared" si="95"/>
        <v>6.3360000000000003</v>
      </c>
      <c r="O76" s="61">
        <f t="shared" si="95"/>
        <v>6.3360000000000003</v>
      </c>
      <c r="P76" s="61">
        <f t="shared" si="95"/>
        <v>6.3360000000000003</v>
      </c>
      <c r="Q76" s="61">
        <f t="shared" si="95"/>
        <v>6.3360000000000003</v>
      </c>
      <c r="R76" s="61">
        <f t="shared" si="95"/>
        <v>6.3360000000000003</v>
      </c>
      <c r="S76" s="74">
        <f>VLOOKUP($A76,turnover!$A$184:$Q$192,+S$4-$S$4+3,0)</f>
        <v>0</v>
      </c>
      <c r="T76" s="74">
        <f>VLOOKUP($A76,turnover!$A$184:$Q$192,+T$4-$S$4+3,0)</f>
        <v>0</v>
      </c>
      <c r="U76" s="74">
        <f>VLOOKUP($A76,turnover!$A$184:$Q$192,+U$4-$S$4+3,0)</f>
        <v>0</v>
      </c>
      <c r="V76" s="74">
        <f>VLOOKUP($A76,turnover!$A$184:$Q$192,+V$4-$S$4+3,0)</f>
        <v>0</v>
      </c>
      <c r="W76" s="74">
        <f>VLOOKUP($A76,turnover!$A$184:$Q$192,+W$4-$S$4+3,0)</f>
        <v>0</v>
      </c>
      <c r="X76" s="74">
        <f>VLOOKUP($A76,turnover!$A$184:$Q$192,+X$4-$S$4+3,0)</f>
        <v>0</v>
      </c>
      <c r="Y76" s="74">
        <f>VLOOKUP($A76,turnover!$A$184:$Q$192,+Y$4-$S$4+3,0)</f>
        <v>1.2000000000000002</v>
      </c>
      <c r="Z76" s="74">
        <f>VLOOKUP($A76,turnover!$A$184:$Q$192,+Z$4-$S$4+3,0)</f>
        <v>2.4000000000000004</v>
      </c>
      <c r="AA76" s="74">
        <f>VLOOKUP($A76,turnover!$A$184:$Q$192,+AA$4-$S$4+3,0)</f>
        <v>2.4000000000000004</v>
      </c>
      <c r="AB76" s="74">
        <f>VLOOKUP($A76,turnover!$A$184:$Q$192,+AB$4-$S$4+3,0)</f>
        <v>2.4000000000000004</v>
      </c>
      <c r="AC76" s="74">
        <f>VLOOKUP($A76,turnover!$A$184:$Q$192,+AC$4-$S$4+3,0)</f>
        <v>2.4000000000000004</v>
      </c>
      <c r="AD76" s="74">
        <f>VLOOKUP($A76,turnover!$A$184:$Q$192,+AD$4-$S$4+3,0)</f>
        <v>2.4000000000000004</v>
      </c>
      <c r="AE76" s="74">
        <f>VLOOKUP($A76,turnover!$A$184:$Q$192,+AE$4-$S$4+3,0)</f>
        <v>2.4000000000000004</v>
      </c>
      <c r="AF76" s="74">
        <f>VLOOKUP($A76,turnover!$A$184:$Q$192,+AF$4-$S$4+3,0)</f>
        <v>2.4000000000000004</v>
      </c>
      <c r="AG76" s="74">
        <f>VLOOKUP($A76,turnover!$A$184:$Q$192,+AG$4-$S$4+3,0)</f>
        <v>2.4000000000000004</v>
      </c>
      <c r="AH76" s="61">
        <f t="shared" si="64"/>
        <v>0</v>
      </c>
      <c r="AI76" s="61">
        <f t="shared" si="65"/>
        <v>0</v>
      </c>
      <c r="AJ76" s="61">
        <f t="shared" si="66"/>
        <v>0</v>
      </c>
      <c r="AK76" s="61">
        <f t="shared" si="67"/>
        <v>0</v>
      </c>
      <c r="AL76" s="61">
        <f t="shared" si="68"/>
        <v>0</v>
      </c>
      <c r="AM76" s="61">
        <f t="shared" si="69"/>
        <v>0</v>
      </c>
      <c r="AN76" s="61">
        <f t="shared" si="70"/>
        <v>7.6032000000000011</v>
      </c>
      <c r="AO76" s="61">
        <f t="shared" si="71"/>
        <v>15.206400000000002</v>
      </c>
      <c r="AP76" s="61">
        <f t="shared" si="72"/>
        <v>15.206400000000002</v>
      </c>
      <c r="AQ76" s="61">
        <f t="shared" si="73"/>
        <v>15.206400000000002</v>
      </c>
      <c r="AR76" s="61">
        <f t="shared" si="74"/>
        <v>15.206400000000002</v>
      </c>
      <c r="AS76" s="61">
        <f t="shared" si="75"/>
        <v>15.206400000000002</v>
      </c>
      <c r="AT76" s="61">
        <f t="shared" si="76"/>
        <v>15.206400000000002</v>
      </c>
      <c r="AU76" s="61">
        <f t="shared" si="77"/>
        <v>15.206400000000002</v>
      </c>
      <c r="AV76" s="61">
        <f t="shared" si="78"/>
        <v>15.206400000000002</v>
      </c>
      <c r="AW76" s="101">
        <f>VLOOKUP($C76,'Cost RMs'!$B$5:$Q$22,+AW$4-$AW$4+2,0)</f>
        <v>31510</v>
      </c>
      <c r="AX76" s="101">
        <f>VLOOKUP($C76,'Cost RMs'!$B$5:$Q$22,+AX$4-$AW$4+2,0)</f>
        <v>40370</v>
      </c>
      <c r="AY76" s="101">
        <f>VLOOKUP($C76,'Cost RMs'!$B$5:$Q$22,+AY$4-$AW$4+2,0)</f>
        <v>41166</v>
      </c>
      <c r="AZ76" s="101">
        <f>VLOOKUP($C76,'Cost RMs'!$B$5:$Q$22,+AZ$4-$AW$4+2,0)</f>
        <v>48881</v>
      </c>
      <c r="BA76" s="101">
        <f>VLOOKUP($C76,'Cost RMs'!$B$5:$Q$22,+BA$4-$AW$4+2,0)</f>
        <v>47121</v>
      </c>
      <c r="BB76" s="101">
        <f ca="1">VLOOKUP($C76,'Cost RMs'!$B$5:$Q$22,+BB$4-$AW$4+2,0)</f>
        <v>50566.413250959507</v>
      </c>
      <c r="BC76" s="101">
        <f ca="1">VLOOKUP($C76,'Cost RMs'!$B$5:$Q$22,+BC$4-$AW$4+2,0)</f>
        <v>56631.49986439231</v>
      </c>
      <c r="BD76" s="101">
        <f ca="1">VLOOKUP($C76,'Cost RMs'!$B$5:$Q$22,+BD$4-$AW$4+2,0)</f>
        <v>63938.797808160256</v>
      </c>
      <c r="BE76" s="101">
        <f ca="1">VLOOKUP($C76,'Cost RMs'!$B$5:$Q$22,+BE$4-$AW$4+2,0)</f>
        <v>72083.206654867696</v>
      </c>
      <c r="BF76" s="101">
        <f ca="1">VLOOKUP($C76,'Cost RMs'!$B$5:$Q$22,+BF$4-$AW$4+2,0)</f>
        <v>81313.760903297516</v>
      </c>
      <c r="BG76" s="101">
        <f ca="1">VLOOKUP($C76,'Cost RMs'!$B$5:$Q$22,+BG$4-$AW$4+2,0)</f>
        <v>91785.423765355576</v>
      </c>
      <c r="BH76" s="101">
        <f ca="1">VLOOKUP($C76,'Cost RMs'!$B$5:$Q$22,+BH$4-$AW$4+2,0)</f>
        <v>103677.12991004685</v>
      </c>
      <c r="BI76" s="101">
        <f ca="1">VLOOKUP($C76,'Cost RMs'!$B$5:$Q$22,+BI$4-$AW$4+2,0)</f>
        <v>117195.56148271105</v>
      </c>
      <c r="BJ76" s="101">
        <f ca="1">VLOOKUP($C76,'Cost RMs'!$B$5:$Q$22,+BJ$4-$AW$4+2,0)</f>
        <v>132580.59576203892</v>
      </c>
      <c r="BK76" s="101">
        <f ca="1">VLOOKUP($C76,'Cost RMs'!$B$5:$Q$22,+BK$4-$AW$4+2,0)</f>
        <v>150111.0973392961</v>
      </c>
      <c r="BL76" s="102">
        <f t="shared" si="79"/>
        <v>0</v>
      </c>
      <c r="BM76" s="102">
        <f t="shared" si="80"/>
        <v>0</v>
      </c>
      <c r="BN76" s="102">
        <f t="shared" si="81"/>
        <v>0</v>
      </c>
      <c r="BO76" s="102">
        <f t="shared" si="82"/>
        <v>0</v>
      </c>
      <c r="BP76" s="102">
        <f t="shared" si="83"/>
        <v>0</v>
      </c>
      <c r="BQ76" s="102">
        <f t="shared" ca="1" si="84"/>
        <v>0</v>
      </c>
      <c r="BR76" s="102">
        <f t="shared" ca="1" si="85"/>
        <v>430580.61976894765</v>
      </c>
      <c r="BS76" s="102">
        <f t="shared" ca="1" si="86"/>
        <v>972278.93499000825</v>
      </c>
      <c r="BT76" s="102">
        <f t="shared" ca="1" si="87"/>
        <v>1096126.0736765803</v>
      </c>
      <c r="BU76" s="102">
        <f t="shared" ca="1" si="88"/>
        <v>1236489.5737999035</v>
      </c>
      <c r="BV76" s="102">
        <f t="shared" ca="1" si="89"/>
        <v>1395725.8679455032</v>
      </c>
      <c r="BW76" s="102">
        <f t="shared" ca="1" si="90"/>
        <v>1576555.9082641366</v>
      </c>
      <c r="BX76" s="102">
        <f t="shared" ca="1" si="91"/>
        <v>1782122.5861306977</v>
      </c>
      <c r="BY76" s="102">
        <f t="shared" ca="1" si="92"/>
        <v>2016073.5713958689</v>
      </c>
      <c r="BZ76" s="102">
        <f t="shared" ca="1" si="93"/>
        <v>2282649.3905802728</v>
      </c>
    </row>
    <row r="77" spans="1:78" x14ac:dyDescent="0.25">
      <c r="A77" s="26" t="str">
        <f>+Assumptions!$A$36</f>
        <v>NPK 15-15-15</v>
      </c>
      <c r="B77" s="73">
        <f>+Assumptions!$R$52</f>
        <v>0.15</v>
      </c>
      <c r="C77" s="26" t="s">
        <v>132</v>
      </c>
      <c r="G77" s="61">
        <f t="shared" si="95"/>
        <v>0</v>
      </c>
      <c r="H77" s="61">
        <f t="shared" si="95"/>
        <v>0</v>
      </c>
      <c r="I77" s="61">
        <f t="shared" si="95"/>
        <v>0</v>
      </c>
      <c r="J77" s="61">
        <f t="shared" si="95"/>
        <v>0</v>
      </c>
      <c r="K77" s="61">
        <f t="shared" si="95"/>
        <v>0</v>
      </c>
      <c r="L77" s="61">
        <f t="shared" si="95"/>
        <v>0</v>
      </c>
      <c r="M77" s="61">
        <f t="shared" si="95"/>
        <v>0</v>
      </c>
      <c r="N77" s="61">
        <f t="shared" si="95"/>
        <v>0</v>
      </c>
      <c r="O77" s="61">
        <f t="shared" si="95"/>
        <v>0</v>
      </c>
      <c r="P77" s="61">
        <f t="shared" si="95"/>
        <v>0</v>
      </c>
      <c r="Q77" s="61">
        <f t="shared" si="95"/>
        <v>0</v>
      </c>
      <c r="R77" s="61">
        <f t="shared" si="95"/>
        <v>0</v>
      </c>
      <c r="S77" s="74">
        <f>VLOOKUP($A77,turnover!$A$184:$Q$192,+S$4-$S$4+3,0)</f>
        <v>0</v>
      </c>
      <c r="T77" s="74">
        <f>VLOOKUP($A77,turnover!$A$184:$Q$192,+T$4-$S$4+3,0)</f>
        <v>0</v>
      </c>
      <c r="U77" s="74">
        <f>VLOOKUP($A77,turnover!$A$184:$Q$192,+U$4-$S$4+3,0)</f>
        <v>0</v>
      </c>
      <c r="V77" s="74">
        <f>VLOOKUP($A77,turnover!$A$184:$Q$192,+V$4-$S$4+3,0)</f>
        <v>0</v>
      </c>
      <c r="W77" s="74">
        <f>VLOOKUP($A77,turnover!$A$184:$Q$192,+W$4-$S$4+3,0)</f>
        <v>0</v>
      </c>
      <c r="X77" s="74">
        <f>VLOOKUP($A77,turnover!$A$184:$Q$192,+X$4-$S$4+3,0)</f>
        <v>0</v>
      </c>
      <c r="Y77" s="74">
        <f>VLOOKUP($A77,turnover!$A$184:$Q$192,+Y$4-$S$4+3,0)</f>
        <v>1.2000000000000002</v>
      </c>
      <c r="Z77" s="74">
        <f>VLOOKUP($A77,turnover!$A$184:$Q$192,+Z$4-$S$4+3,0)</f>
        <v>2.4000000000000004</v>
      </c>
      <c r="AA77" s="74">
        <f>VLOOKUP($A77,turnover!$A$184:$Q$192,+AA$4-$S$4+3,0)</f>
        <v>2.4000000000000004</v>
      </c>
      <c r="AB77" s="74">
        <f>VLOOKUP($A77,turnover!$A$184:$Q$192,+AB$4-$S$4+3,0)</f>
        <v>2.4000000000000004</v>
      </c>
      <c r="AC77" s="74">
        <f>VLOOKUP($A77,turnover!$A$184:$Q$192,+AC$4-$S$4+3,0)</f>
        <v>2.4000000000000004</v>
      </c>
      <c r="AD77" s="74">
        <f>VLOOKUP($A77,turnover!$A$184:$Q$192,+AD$4-$S$4+3,0)</f>
        <v>2.4000000000000004</v>
      </c>
      <c r="AE77" s="74">
        <f>VLOOKUP($A77,turnover!$A$184:$Q$192,+AE$4-$S$4+3,0)</f>
        <v>2.4000000000000004</v>
      </c>
      <c r="AF77" s="74">
        <f>VLOOKUP($A77,turnover!$A$184:$Q$192,+AF$4-$S$4+3,0)</f>
        <v>2.4000000000000004</v>
      </c>
      <c r="AG77" s="74">
        <f>VLOOKUP($A77,turnover!$A$184:$Q$192,+AG$4-$S$4+3,0)</f>
        <v>2.4000000000000004</v>
      </c>
      <c r="AH77" s="61">
        <f t="shared" si="64"/>
        <v>0</v>
      </c>
      <c r="AI77" s="61">
        <f t="shared" si="65"/>
        <v>0</v>
      </c>
      <c r="AJ77" s="61">
        <f t="shared" si="66"/>
        <v>0</v>
      </c>
      <c r="AK77" s="61">
        <f t="shared" si="67"/>
        <v>0</v>
      </c>
      <c r="AL77" s="61">
        <f t="shared" si="68"/>
        <v>0</v>
      </c>
      <c r="AM77" s="61">
        <f t="shared" si="69"/>
        <v>0</v>
      </c>
      <c r="AN77" s="61">
        <f t="shared" si="70"/>
        <v>0</v>
      </c>
      <c r="AO77" s="61">
        <f t="shared" si="71"/>
        <v>0</v>
      </c>
      <c r="AP77" s="61">
        <f t="shared" si="72"/>
        <v>0</v>
      </c>
      <c r="AQ77" s="61">
        <f t="shared" si="73"/>
        <v>0</v>
      </c>
      <c r="AR77" s="61">
        <f t="shared" si="74"/>
        <v>0</v>
      </c>
      <c r="AS77" s="61">
        <f t="shared" si="75"/>
        <v>0</v>
      </c>
      <c r="AT77" s="61">
        <f t="shared" si="76"/>
        <v>0</v>
      </c>
      <c r="AU77" s="61">
        <f t="shared" si="77"/>
        <v>0</v>
      </c>
      <c r="AV77" s="61">
        <f t="shared" si="78"/>
        <v>0</v>
      </c>
      <c r="AW77" s="101">
        <f>VLOOKUP($C77,'Cost RMs'!$B$5:$Q$22,+AW$4-$AW$4+2,0)</f>
        <v>37079</v>
      </c>
      <c r="AX77" s="101">
        <f>VLOOKUP($C77,'Cost RMs'!$B$5:$Q$22,+AX$4-$AW$4+2,0)</f>
        <v>52416</v>
      </c>
      <c r="AY77" s="101">
        <f>VLOOKUP($C77,'Cost RMs'!$B$5:$Q$22,+AY$4-$AW$4+2,0)</f>
        <v>45564</v>
      </c>
      <c r="AZ77" s="101">
        <f>VLOOKUP($C77,'Cost RMs'!$B$5:$Q$22,+AZ$4-$AW$4+2,0)</f>
        <v>49142</v>
      </c>
      <c r="BA77" s="101">
        <f>VLOOKUP($C77,'Cost RMs'!$B$5:$Q$22,+BA$4-$AW$4+2,0)</f>
        <v>50394</v>
      </c>
      <c r="BB77" s="101">
        <f>VLOOKUP($C77,'Cost RMs'!$B$5:$Q$22,+BB$4-$AW$4+2,0)</f>
        <v>56436</v>
      </c>
      <c r="BC77" s="101">
        <f>VLOOKUP($C77,'Cost RMs'!$B$5:$Q$22,+BC$4-$AW$4+2,0)</f>
        <v>63265</v>
      </c>
      <c r="BD77" s="101">
        <f>VLOOKUP($C77,'Cost RMs'!$B$5:$Q$22,+BD$4-$AW$4+2,0)</f>
        <v>70920</v>
      </c>
      <c r="BE77" s="101">
        <f>VLOOKUP($C77,'Cost RMs'!$B$5:$Q$22,+BE$4-$AW$4+2,0)</f>
        <v>79501</v>
      </c>
      <c r="BF77" s="101">
        <f>VLOOKUP($C77,'Cost RMs'!$B$5:$Q$22,+BF$4-$AW$4+2,0)</f>
        <v>89121</v>
      </c>
      <c r="BG77" s="101">
        <f>VLOOKUP($C77,'Cost RMs'!$B$5:$Q$22,+BG$4-$AW$4+2,0)</f>
        <v>99905</v>
      </c>
      <c r="BH77" s="101">
        <f>VLOOKUP($C77,'Cost RMs'!$B$5:$Q$22,+BH$4-$AW$4+2,0)</f>
        <v>111994</v>
      </c>
      <c r="BI77" s="101">
        <f>VLOOKUP($C77,'Cost RMs'!$B$5:$Q$22,+BI$4-$AW$4+2,0)</f>
        <v>125545</v>
      </c>
      <c r="BJ77" s="101">
        <f>VLOOKUP($C77,'Cost RMs'!$B$5:$Q$22,+BJ$4-$AW$4+2,0)</f>
        <v>140736</v>
      </c>
      <c r="BK77" s="101">
        <f>VLOOKUP($C77,'Cost RMs'!$B$5:$Q$22,+BK$4-$AW$4+2,0)</f>
        <v>157765</v>
      </c>
      <c r="BL77" s="102">
        <f t="shared" si="79"/>
        <v>0</v>
      </c>
      <c r="BM77" s="102">
        <f t="shared" si="80"/>
        <v>0</v>
      </c>
      <c r="BN77" s="102">
        <f t="shared" si="81"/>
        <v>0</v>
      </c>
      <c r="BO77" s="102">
        <f t="shared" si="82"/>
        <v>0</v>
      </c>
      <c r="BP77" s="102">
        <f t="shared" si="83"/>
        <v>0</v>
      </c>
      <c r="BQ77" s="102">
        <f t="shared" si="84"/>
        <v>0</v>
      </c>
      <c r="BR77" s="102">
        <f t="shared" si="85"/>
        <v>0</v>
      </c>
      <c r="BS77" s="102">
        <f t="shared" si="86"/>
        <v>0</v>
      </c>
      <c r="BT77" s="102">
        <f t="shared" si="87"/>
        <v>0</v>
      </c>
      <c r="BU77" s="102">
        <f t="shared" si="88"/>
        <v>0</v>
      </c>
      <c r="BV77" s="102">
        <f t="shared" si="89"/>
        <v>0</v>
      </c>
      <c r="BW77" s="102">
        <f t="shared" si="90"/>
        <v>0</v>
      </c>
      <c r="BX77" s="102">
        <f t="shared" si="91"/>
        <v>0</v>
      </c>
      <c r="BY77" s="102">
        <f t="shared" si="92"/>
        <v>0</v>
      </c>
      <c r="BZ77" s="102">
        <f t="shared" si="93"/>
        <v>0</v>
      </c>
    </row>
    <row r="78" spans="1:78" x14ac:dyDescent="0.25">
      <c r="A78" s="26" t="str">
        <f>+Assumptions!$A$36</f>
        <v>NPK 15-15-15</v>
      </c>
      <c r="B78" s="73">
        <f>+Assumptions!$R$52</f>
        <v>0.15</v>
      </c>
      <c r="C78" s="166" t="s">
        <v>536</v>
      </c>
      <c r="F78">
        <v>0.26700000000000002</v>
      </c>
      <c r="G78" s="61">
        <f t="shared" si="95"/>
        <v>0.26700000000000002</v>
      </c>
      <c r="H78" s="61">
        <f t="shared" si="95"/>
        <v>0.26700000000000002</v>
      </c>
      <c r="I78" s="61">
        <f t="shared" si="95"/>
        <v>0.26700000000000002</v>
      </c>
      <c r="J78" s="61">
        <f t="shared" si="95"/>
        <v>0.26700000000000002</v>
      </c>
      <c r="K78" s="61">
        <f t="shared" si="95"/>
        <v>0.26700000000000002</v>
      </c>
      <c r="L78" s="61">
        <f t="shared" si="95"/>
        <v>0.26700000000000002</v>
      </c>
      <c r="M78" s="61">
        <f t="shared" si="95"/>
        <v>0.26700000000000002</v>
      </c>
      <c r="N78" s="61">
        <f t="shared" si="95"/>
        <v>0.26700000000000002</v>
      </c>
      <c r="O78" s="61">
        <f t="shared" si="95"/>
        <v>0.26700000000000002</v>
      </c>
      <c r="P78" s="61">
        <f t="shared" si="95"/>
        <v>0.26700000000000002</v>
      </c>
      <c r="Q78" s="61">
        <f t="shared" si="95"/>
        <v>0.26700000000000002</v>
      </c>
      <c r="R78" s="61">
        <f t="shared" si="95"/>
        <v>0.26700000000000002</v>
      </c>
      <c r="S78" s="74">
        <f>VLOOKUP($A78,turnover!$A$184:$Q$192,+S$4-$S$4+3,0)</f>
        <v>0</v>
      </c>
      <c r="T78" s="74">
        <f>VLOOKUP($A78,turnover!$A$184:$Q$192,+T$4-$S$4+3,0)</f>
        <v>0</v>
      </c>
      <c r="U78" s="74">
        <f>VLOOKUP($A78,turnover!$A$184:$Q$192,+U$4-$S$4+3,0)</f>
        <v>0</v>
      </c>
      <c r="V78" s="74">
        <f>VLOOKUP($A78,turnover!$A$184:$Q$192,+V$4-$S$4+3,0)</f>
        <v>0</v>
      </c>
      <c r="W78" s="74">
        <f>VLOOKUP($A78,turnover!$A$184:$Q$192,+W$4-$S$4+3,0)</f>
        <v>0</v>
      </c>
      <c r="X78" s="74">
        <f>VLOOKUP($A78,turnover!$A$184:$Q$192,+X$4-$S$4+3,0)</f>
        <v>0</v>
      </c>
      <c r="Y78" s="74">
        <f>VLOOKUP($A78,turnover!$A$184:$Q$192,+Y$4-$S$4+3,0)</f>
        <v>1.2000000000000002</v>
      </c>
      <c r="Z78" s="74">
        <f>VLOOKUP($A78,turnover!$A$184:$Q$192,+Z$4-$S$4+3,0)</f>
        <v>2.4000000000000004</v>
      </c>
      <c r="AA78" s="74">
        <f>VLOOKUP($A78,turnover!$A$184:$Q$192,+AA$4-$S$4+3,0)</f>
        <v>2.4000000000000004</v>
      </c>
      <c r="AB78" s="74">
        <f>VLOOKUP($A78,turnover!$A$184:$Q$192,+AB$4-$S$4+3,0)</f>
        <v>2.4000000000000004</v>
      </c>
      <c r="AC78" s="74">
        <f>VLOOKUP($A78,turnover!$A$184:$Q$192,+AC$4-$S$4+3,0)</f>
        <v>2.4000000000000004</v>
      </c>
      <c r="AD78" s="74">
        <f>VLOOKUP($A78,turnover!$A$184:$Q$192,+AD$4-$S$4+3,0)</f>
        <v>2.4000000000000004</v>
      </c>
      <c r="AE78" s="74">
        <f>VLOOKUP($A78,turnover!$A$184:$Q$192,+AE$4-$S$4+3,0)</f>
        <v>2.4000000000000004</v>
      </c>
      <c r="AF78" s="74">
        <f>VLOOKUP($A78,turnover!$A$184:$Q$192,+AF$4-$S$4+3,0)</f>
        <v>2.4000000000000004</v>
      </c>
      <c r="AG78" s="74">
        <f>VLOOKUP($A78,turnover!$A$184:$Q$192,+AG$4-$S$4+3,0)</f>
        <v>2.4000000000000004</v>
      </c>
      <c r="AH78" s="61">
        <f t="shared" si="64"/>
        <v>0</v>
      </c>
      <c r="AI78" s="61">
        <f t="shared" si="65"/>
        <v>0</v>
      </c>
      <c r="AJ78" s="61">
        <f t="shared" si="66"/>
        <v>0</v>
      </c>
      <c r="AK78" s="61">
        <f t="shared" si="67"/>
        <v>0</v>
      </c>
      <c r="AL78" s="61">
        <f t="shared" si="68"/>
        <v>0</v>
      </c>
      <c r="AM78" s="61">
        <f t="shared" si="69"/>
        <v>0</v>
      </c>
      <c r="AN78" s="61">
        <f t="shared" si="70"/>
        <v>0.32040000000000007</v>
      </c>
      <c r="AO78" s="61">
        <f t="shared" si="71"/>
        <v>0.64080000000000015</v>
      </c>
      <c r="AP78" s="61">
        <f t="shared" si="72"/>
        <v>0.64080000000000015</v>
      </c>
      <c r="AQ78" s="61">
        <f t="shared" si="73"/>
        <v>0.64080000000000015</v>
      </c>
      <c r="AR78" s="61">
        <f t="shared" si="74"/>
        <v>0.64080000000000015</v>
      </c>
      <c r="AS78" s="61">
        <f t="shared" si="75"/>
        <v>0.64080000000000015</v>
      </c>
      <c r="AT78" s="61">
        <f t="shared" si="76"/>
        <v>0.64080000000000015</v>
      </c>
      <c r="AU78" s="61">
        <f t="shared" si="77"/>
        <v>0.64080000000000015</v>
      </c>
      <c r="AV78" s="61">
        <f t="shared" si="78"/>
        <v>0.64080000000000015</v>
      </c>
      <c r="AW78" s="101">
        <f>VLOOKUP($C78,'Cost RMs'!$B$5:$Q$22,+AW$4-$AW$4+2,0)</f>
        <v>0</v>
      </c>
      <c r="AX78" s="101">
        <f>VLOOKUP($C78,'Cost RMs'!$B$5:$Q$22,+AX$4-$AW$4+2,0)</f>
        <v>0</v>
      </c>
      <c r="AY78" s="101">
        <f>VLOOKUP($C78,'Cost RMs'!$B$5:$Q$22,+AY$4-$AW$4+2,0)</f>
        <v>0</v>
      </c>
      <c r="AZ78" s="101">
        <f>VLOOKUP($C78,'Cost RMs'!$B$5:$Q$22,+AZ$4-$AW$4+2,0)</f>
        <v>0</v>
      </c>
      <c r="BA78" s="101">
        <f>VLOOKUP($C78,'Cost RMs'!$B$5:$Q$22,+BA$4-$AW$4+2,0)</f>
        <v>317520</v>
      </c>
      <c r="BB78" s="101">
        <f>VLOOKUP($C78,'Cost RMs'!$B$5:$Q$22,+BB$4-$AW$4+2,0)</f>
        <v>355591</v>
      </c>
      <c r="BC78" s="101">
        <f>VLOOKUP($C78,'Cost RMs'!$B$5:$Q$22,+BC$4-$AW$4+2,0)</f>
        <v>398618</v>
      </c>
      <c r="BD78" s="101">
        <f>VLOOKUP($C78,'Cost RMs'!$B$5:$Q$22,+BD$4-$AW$4+2,0)</f>
        <v>446851</v>
      </c>
      <c r="BE78" s="101">
        <f>VLOOKUP($C78,'Cost RMs'!$B$5:$Q$22,+BE$4-$AW$4+2,0)</f>
        <v>500920</v>
      </c>
      <c r="BF78" s="101">
        <f>VLOOKUP($C78,'Cost RMs'!$B$5:$Q$22,+BF$4-$AW$4+2,0)</f>
        <v>561531</v>
      </c>
      <c r="BG78" s="101">
        <f>VLOOKUP($C78,'Cost RMs'!$B$5:$Q$22,+BG$4-$AW$4+2,0)</f>
        <v>629476</v>
      </c>
      <c r="BH78" s="101">
        <f>VLOOKUP($C78,'Cost RMs'!$B$5:$Q$22,+BH$4-$AW$4+2,0)</f>
        <v>705643</v>
      </c>
      <c r="BI78" s="101">
        <f>VLOOKUP($C78,'Cost RMs'!$B$5:$Q$22,+BI$4-$AW$4+2,0)</f>
        <v>791026</v>
      </c>
      <c r="BJ78" s="101">
        <f>VLOOKUP($C78,'Cost RMs'!$B$5:$Q$22,+BJ$4-$AW$4+2,0)</f>
        <v>886740</v>
      </c>
      <c r="BK78" s="101">
        <f>VLOOKUP($C78,'Cost RMs'!$B$5:$Q$22,+BK$4-$AW$4+2,0)</f>
        <v>994036</v>
      </c>
      <c r="BL78" s="102">
        <f t="shared" si="79"/>
        <v>0</v>
      </c>
      <c r="BM78" s="102">
        <f t="shared" si="80"/>
        <v>0</v>
      </c>
      <c r="BN78" s="102">
        <f t="shared" si="81"/>
        <v>0</v>
      </c>
      <c r="BO78" s="102">
        <f t="shared" si="82"/>
        <v>0</v>
      </c>
      <c r="BP78" s="102">
        <f t="shared" si="83"/>
        <v>0</v>
      </c>
      <c r="BQ78" s="102">
        <f t="shared" si="84"/>
        <v>0</v>
      </c>
      <c r="BR78" s="102">
        <f t="shared" si="85"/>
        <v>127717.20720000003</v>
      </c>
      <c r="BS78" s="102">
        <f t="shared" si="86"/>
        <v>286342.12080000009</v>
      </c>
      <c r="BT78" s="102">
        <f t="shared" si="87"/>
        <v>320989.53600000008</v>
      </c>
      <c r="BU78" s="102">
        <f t="shared" si="88"/>
        <v>359829.06480000011</v>
      </c>
      <c r="BV78" s="102">
        <f t="shared" si="89"/>
        <v>403368.22080000007</v>
      </c>
      <c r="BW78" s="102">
        <f t="shared" si="90"/>
        <v>452176.03440000012</v>
      </c>
      <c r="BX78" s="102">
        <f t="shared" si="91"/>
        <v>506889.46080000012</v>
      </c>
      <c r="BY78" s="102">
        <f t="shared" si="92"/>
        <v>568222.99200000009</v>
      </c>
      <c r="BZ78" s="102">
        <f t="shared" si="93"/>
        <v>636978.26880000019</v>
      </c>
    </row>
    <row r="79" spans="1:78" x14ac:dyDescent="0.25">
      <c r="A79" s="26" t="str">
        <f>+Assumptions!$A$36</f>
        <v>NPK 15-15-15</v>
      </c>
      <c r="B79" s="73">
        <f>+Assumptions!$R$52</f>
        <v>0.15</v>
      </c>
      <c r="C79" t="s">
        <v>129</v>
      </c>
      <c r="F79">
        <v>0.754</v>
      </c>
      <c r="G79" s="61">
        <f t="shared" si="95"/>
        <v>0.754</v>
      </c>
      <c r="H79" s="61">
        <f t="shared" si="95"/>
        <v>0.754</v>
      </c>
      <c r="I79" s="61">
        <f t="shared" si="95"/>
        <v>0.754</v>
      </c>
      <c r="J79" s="61">
        <f t="shared" si="95"/>
        <v>0.754</v>
      </c>
      <c r="K79" s="61">
        <f t="shared" si="95"/>
        <v>0.754</v>
      </c>
      <c r="L79" s="61">
        <f t="shared" si="95"/>
        <v>0.754</v>
      </c>
      <c r="M79" s="61">
        <f t="shared" si="95"/>
        <v>0.754</v>
      </c>
      <c r="N79" s="61">
        <f t="shared" si="95"/>
        <v>0.754</v>
      </c>
      <c r="O79" s="61">
        <f t="shared" si="95"/>
        <v>0.754</v>
      </c>
      <c r="P79" s="61">
        <f t="shared" si="95"/>
        <v>0.754</v>
      </c>
      <c r="Q79" s="61">
        <f t="shared" si="95"/>
        <v>0.754</v>
      </c>
      <c r="R79" s="61">
        <f t="shared" si="95"/>
        <v>0.754</v>
      </c>
      <c r="S79" s="74">
        <f>VLOOKUP($A79,turnover!$A$184:$Q$192,+S$4-$S$4+3,0)</f>
        <v>0</v>
      </c>
      <c r="T79" s="74">
        <f>VLOOKUP($A79,turnover!$A$184:$Q$192,+T$4-$S$4+3,0)</f>
        <v>0</v>
      </c>
      <c r="U79" s="74">
        <f>VLOOKUP($A79,turnover!$A$184:$Q$192,+U$4-$S$4+3,0)</f>
        <v>0</v>
      </c>
      <c r="V79" s="74">
        <f>VLOOKUP($A79,turnover!$A$184:$Q$192,+V$4-$S$4+3,0)</f>
        <v>0</v>
      </c>
      <c r="W79" s="74">
        <f>VLOOKUP($A79,turnover!$A$184:$Q$192,+W$4-$S$4+3,0)</f>
        <v>0</v>
      </c>
      <c r="X79" s="74">
        <f>VLOOKUP($A79,turnover!$A$184:$Q$192,+X$4-$S$4+3,0)</f>
        <v>0</v>
      </c>
      <c r="Y79" s="74">
        <f>VLOOKUP($A79,turnover!$A$184:$Q$192,+Y$4-$S$4+3,0)</f>
        <v>1.2000000000000002</v>
      </c>
      <c r="Z79" s="74">
        <f>VLOOKUP($A79,turnover!$A$184:$Q$192,+Z$4-$S$4+3,0)</f>
        <v>2.4000000000000004</v>
      </c>
      <c r="AA79" s="74">
        <f>VLOOKUP($A79,turnover!$A$184:$Q$192,+AA$4-$S$4+3,0)</f>
        <v>2.4000000000000004</v>
      </c>
      <c r="AB79" s="74">
        <f>VLOOKUP($A79,turnover!$A$184:$Q$192,+AB$4-$S$4+3,0)</f>
        <v>2.4000000000000004</v>
      </c>
      <c r="AC79" s="74">
        <f>VLOOKUP($A79,turnover!$A$184:$Q$192,+AC$4-$S$4+3,0)</f>
        <v>2.4000000000000004</v>
      </c>
      <c r="AD79" s="74">
        <f>VLOOKUP($A79,turnover!$A$184:$Q$192,+AD$4-$S$4+3,0)</f>
        <v>2.4000000000000004</v>
      </c>
      <c r="AE79" s="74">
        <f>VLOOKUP($A79,turnover!$A$184:$Q$192,+AE$4-$S$4+3,0)</f>
        <v>2.4000000000000004</v>
      </c>
      <c r="AF79" s="74">
        <f>VLOOKUP($A79,turnover!$A$184:$Q$192,+AF$4-$S$4+3,0)</f>
        <v>2.4000000000000004</v>
      </c>
      <c r="AG79" s="74">
        <f>VLOOKUP($A79,turnover!$A$184:$Q$192,+AG$4-$S$4+3,0)</f>
        <v>2.4000000000000004</v>
      </c>
      <c r="AH79" s="61">
        <f t="shared" si="64"/>
        <v>0</v>
      </c>
      <c r="AI79" s="61">
        <f t="shared" si="65"/>
        <v>0</v>
      </c>
      <c r="AJ79" s="61">
        <f t="shared" si="66"/>
        <v>0</v>
      </c>
      <c r="AK79" s="61">
        <f t="shared" si="67"/>
        <v>0</v>
      </c>
      <c r="AL79" s="61">
        <f t="shared" si="68"/>
        <v>0</v>
      </c>
      <c r="AM79" s="61">
        <f t="shared" si="69"/>
        <v>0</v>
      </c>
      <c r="AN79" s="61">
        <f t="shared" si="70"/>
        <v>0.90480000000000016</v>
      </c>
      <c r="AO79" s="61">
        <f t="shared" si="71"/>
        <v>1.8096000000000003</v>
      </c>
      <c r="AP79" s="61">
        <f t="shared" si="72"/>
        <v>1.8096000000000003</v>
      </c>
      <c r="AQ79" s="61">
        <f t="shared" si="73"/>
        <v>1.8096000000000003</v>
      </c>
      <c r="AR79" s="61">
        <f t="shared" si="74"/>
        <v>1.8096000000000003</v>
      </c>
      <c r="AS79" s="61">
        <f t="shared" si="75"/>
        <v>1.8096000000000003</v>
      </c>
      <c r="AT79" s="61">
        <f t="shared" si="76"/>
        <v>1.8096000000000003</v>
      </c>
      <c r="AU79" s="61">
        <f t="shared" si="77"/>
        <v>1.8096000000000003</v>
      </c>
      <c r="AV79" s="61">
        <f t="shared" si="78"/>
        <v>1.8096000000000003</v>
      </c>
      <c r="AW79" s="101">
        <f>VLOOKUP($C79,'Cost RMs'!$B$5:$Q$22,+AW$4-$AW$4+2,0)</f>
        <v>40086</v>
      </c>
      <c r="AX79" s="101">
        <f>VLOOKUP($C79,'Cost RMs'!$B$5:$Q$22,+AX$4-$AW$4+2,0)</f>
        <v>56197</v>
      </c>
      <c r="AY79" s="101">
        <f>VLOOKUP($C79,'Cost RMs'!$B$5:$Q$22,+AY$4-$AW$4+2,0)</f>
        <v>64582</v>
      </c>
      <c r="AZ79" s="101">
        <f>VLOOKUP($C79,'Cost RMs'!$B$5:$Q$22,+AZ$4-$AW$4+2,0)</f>
        <v>76567</v>
      </c>
      <c r="BA79" s="101">
        <f ca="1">VLOOKUP($C79,'Cost RMs'!$B$5:$Q$22,+BA$4-$AW$4+2,0)</f>
        <v>86638</v>
      </c>
      <c r="BB79" s="101">
        <f ca="1">VLOOKUP($C79,'Cost RMs'!$B$5:$Q$22,+BB$4-$AW$4+2,0)</f>
        <v>97026</v>
      </c>
      <c r="BC79" s="101">
        <f ca="1">VLOOKUP($C79,'Cost RMs'!$B$5:$Q$22,+BC$4-$AW$4+2,0)</f>
        <v>108766</v>
      </c>
      <c r="BD79" s="101">
        <f ca="1">VLOOKUP($C79,'Cost RMs'!$B$5:$Q$22,+BD$4-$AW$4+2,0)</f>
        <v>121927</v>
      </c>
      <c r="BE79" s="101">
        <f ca="1">VLOOKUP($C79,'Cost RMs'!$B$5:$Q$22,+BE$4-$AW$4+2,0)</f>
        <v>136680</v>
      </c>
      <c r="BF79" s="101">
        <f ca="1">VLOOKUP($C79,'Cost RMs'!$B$5:$Q$22,+BF$4-$AW$4+2,0)</f>
        <v>153218</v>
      </c>
      <c r="BG79" s="101">
        <f ca="1">VLOOKUP($C79,'Cost RMs'!$B$5:$Q$22,+BG$4-$AW$4+2,0)</f>
        <v>171757</v>
      </c>
      <c r="BH79" s="101">
        <f ca="1">VLOOKUP($C79,'Cost RMs'!$B$5:$Q$22,+BH$4-$AW$4+2,0)</f>
        <v>192540</v>
      </c>
      <c r="BI79" s="101">
        <f ca="1">VLOOKUP($C79,'Cost RMs'!$B$5:$Q$22,+BI$4-$AW$4+2,0)</f>
        <v>215837</v>
      </c>
      <c r="BJ79" s="101">
        <f ca="1">VLOOKUP($C79,'Cost RMs'!$B$5:$Q$22,+BJ$4-$AW$4+2,0)</f>
        <v>241953</v>
      </c>
      <c r="BK79" s="101">
        <f ca="1">VLOOKUP($C79,'Cost RMs'!$B$5:$Q$22,+BK$4-$AW$4+2,0)</f>
        <v>271229</v>
      </c>
      <c r="BL79" s="102">
        <f t="shared" si="79"/>
        <v>0</v>
      </c>
      <c r="BM79" s="102">
        <f t="shared" si="80"/>
        <v>0</v>
      </c>
      <c r="BN79" s="102">
        <f t="shared" si="81"/>
        <v>0</v>
      </c>
      <c r="BO79" s="102">
        <f t="shared" si="82"/>
        <v>0</v>
      </c>
      <c r="BP79" s="102">
        <f t="shared" ca="1" si="83"/>
        <v>0</v>
      </c>
      <c r="BQ79" s="102">
        <f t="shared" ca="1" si="84"/>
        <v>0</v>
      </c>
      <c r="BR79" s="102">
        <f t="shared" ca="1" si="85"/>
        <v>98411.476800000019</v>
      </c>
      <c r="BS79" s="102">
        <f t="shared" ca="1" si="86"/>
        <v>220639.09920000003</v>
      </c>
      <c r="BT79" s="102">
        <f t="shared" ca="1" si="87"/>
        <v>247336.12800000006</v>
      </c>
      <c r="BU79" s="102">
        <f t="shared" ca="1" si="88"/>
        <v>277263.29280000005</v>
      </c>
      <c r="BV79" s="102">
        <f t="shared" ca="1" si="89"/>
        <v>310811.46720000007</v>
      </c>
      <c r="BW79" s="102">
        <f t="shared" ca="1" si="90"/>
        <v>348420.38400000008</v>
      </c>
      <c r="BX79" s="102">
        <f t="shared" ca="1" si="91"/>
        <v>390578.63520000008</v>
      </c>
      <c r="BY79" s="102">
        <f t="shared" ca="1" si="92"/>
        <v>437838.14880000008</v>
      </c>
      <c r="BZ79" s="102">
        <f t="shared" ca="1" si="93"/>
        <v>490815.9984000001</v>
      </c>
    </row>
    <row r="80" spans="1:78" x14ac:dyDescent="0.25">
      <c r="A80" s="26" t="str">
        <f>+Assumptions!$A$36</f>
        <v>NPK 15-15-15</v>
      </c>
      <c r="B80" s="73">
        <f>+Assumptions!$R$52</f>
        <v>0.15</v>
      </c>
      <c r="C80" t="s">
        <v>130</v>
      </c>
      <c r="F80">
        <v>0.60199999999999998</v>
      </c>
      <c r="G80" s="61">
        <f t="shared" si="95"/>
        <v>0.60199999999999998</v>
      </c>
      <c r="H80" s="61">
        <f t="shared" si="95"/>
        <v>0.60199999999999998</v>
      </c>
      <c r="I80" s="61">
        <f t="shared" si="95"/>
        <v>0.60199999999999998</v>
      </c>
      <c r="J80" s="61">
        <f t="shared" si="95"/>
        <v>0.60199999999999998</v>
      </c>
      <c r="K80" s="61">
        <f t="shared" si="95"/>
        <v>0.60199999999999998</v>
      </c>
      <c r="L80" s="61">
        <f t="shared" si="95"/>
        <v>0.60199999999999998</v>
      </c>
      <c r="M80" s="61">
        <f t="shared" si="95"/>
        <v>0.60199999999999998</v>
      </c>
      <c r="N80" s="61">
        <f t="shared" si="95"/>
        <v>0.60199999999999998</v>
      </c>
      <c r="O80" s="61">
        <f t="shared" si="95"/>
        <v>0.60199999999999998</v>
      </c>
      <c r="P80" s="61">
        <f t="shared" si="95"/>
        <v>0.60199999999999998</v>
      </c>
      <c r="Q80" s="61">
        <f t="shared" si="95"/>
        <v>0.60199999999999998</v>
      </c>
      <c r="R80" s="61">
        <f t="shared" si="95"/>
        <v>0.60199999999999998</v>
      </c>
      <c r="S80" s="74">
        <f>VLOOKUP($A80,turnover!$A$184:$Q$192,+S$4-$S$4+3,0)</f>
        <v>0</v>
      </c>
      <c r="T80" s="74">
        <f>VLOOKUP($A80,turnover!$A$184:$Q$192,+T$4-$S$4+3,0)</f>
        <v>0</v>
      </c>
      <c r="U80" s="74">
        <f>VLOOKUP($A80,turnover!$A$184:$Q$192,+U$4-$S$4+3,0)</f>
        <v>0</v>
      </c>
      <c r="V80" s="74">
        <f>VLOOKUP($A80,turnover!$A$184:$Q$192,+V$4-$S$4+3,0)</f>
        <v>0</v>
      </c>
      <c r="W80" s="74">
        <f>VLOOKUP($A80,turnover!$A$184:$Q$192,+W$4-$S$4+3,0)</f>
        <v>0</v>
      </c>
      <c r="X80" s="74">
        <f>VLOOKUP($A80,turnover!$A$184:$Q$192,+X$4-$S$4+3,0)</f>
        <v>0</v>
      </c>
      <c r="Y80" s="74">
        <f>VLOOKUP($A80,turnover!$A$184:$Q$192,+Y$4-$S$4+3,0)</f>
        <v>1.2000000000000002</v>
      </c>
      <c r="Z80" s="74">
        <f>VLOOKUP($A80,turnover!$A$184:$Q$192,+Z$4-$S$4+3,0)</f>
        <v>2.4000000000000004</v>
      </c>
      <c r="AA80" s="74">
        <f>VLOOKUP($A80,turnover!$A$184:$Q$192,+AA$4-$S$4+3,0)</f>
        <v>2.4000000000000004</v>
      </c>
      <c r="AB80" s="74">
        <f>VLOOKUP($A80,turnover!$A$184:$Q$192,+AB$4-$S$4+3,0)</f>
        <v>2.4000000000000004</v>
      </c>
      <c r="AC80" s="74">
        <f>VLOOKUP($A80,turnover!$A$184:$Q$192,+AC$4-$S$4+3,0)</f>
        <v>2.4000000000000004</v>
      </c>
      <c r="AD80" s="74">
        <f>VLOOKUP($A80,turnover!$A$184:$Q$192,+AD$4-$S$4+3,0)</f>
        <v>2.4000000000000004</v>
      </c>
      <c r="AE80" s="74">
        <f>VLOOKUP($A80,turnover!$A$184:$Q$192,+AE$4-$S$4+3,0)</f>
        <v>2.4000000000000004</v>
      </c>
      <c r="AF80" s="74">
        <f>VLOOKUP($A80,turnover!$A$184:$Q$192,+AF$4-$S$4+3,0)</f>
        <v>2.4000000000000004</v>
      </c>
      <c r="AG80" s="74">
        <f>VLOOKUP($A80,turnover!$A$184:$Q$192,+AG$4-$S$4+3,0)</f>
        <v>2.4000000000000004</v>
      </c>
      <c r="AH80" s="61">
        <f t="shared" si="64"/>
        <v>0</v>
      </c>
      <c r="AI80" s="61">
        <f t="shared" si="65"/>
        <v>0</v>
      </c>
      <c r="AJ80" s="61">
        <f t="shared" si="66"/>
        <v>0</v>
      </c>
      <c r="AK80" s="61">
        <f t="shared" si="67"/>
        <v>0</v>
      </c>
      <c r="AL80" s="61">
        <f t="shared" si="68"/>
        <v>0</v>
      </c>
      <c r="AM80" s="61">
        <f t="shared" si="69"/>
        <v>0</v>
      </c>
      <c r="AN80" s="61">
        <f t="shared" si="70"/>
        <v>0.72240000000000004</v>
      </c>
      <c r="AO80" s="61">
        <f t="shared" si="71"/>
        <v>1.4448000000000001</v>
      </c>
      <c r="AP80" s="61">
        <f t="shared" si="72"/>
        <v>1.4448000000000001</v>
      </c>
      <c r="AQ80" s="61">
        <f t="shared" si="73"/>
        <v>1.4448000000000001</v>
      </c>
      <c r="AR80" s="61">
        <f t="shared" si="74"/>
        <v>1.4448000000000001</v>
      </c>
      <c r="AS80" s="61">
        <f t="shared" si="75"/>
        <v>1.4448000000000001</v>
      </c>
      <c r="AT80" s="61">
        <f t="shared" si="76"/>
        <v>1.4448000000000001</v>
      </c>
      <c r="AU80" s="61">
        <f t="shared" si="77"/>
        <v>1.4448000000000001</v>
      </c>
      <c r="AV80" s="61">
        <f t="shared" si="78"/>
        <v>1.4448000000000001</v>
      </c>
      <c r="AW80" s="101">
        <f>VLOOKUP($C80,'Cost RMs'!$B$5:$Q$22,+AW$4-$AW$4+2,0)</f>
        <v>42500</v>
      </c>
      <c r="AX80" s="101">
        <f>VLOOKUP($C80,'Cost RMs'!$B$5:$Q$22,+AX$4-$AW$4+2,0)</f>
        <v>63692</v>
      </c>
      <c r="AY80" s="101">
        <f>VLOOKUP($C80,'Cost RMs'!$B$5:$Q$22,+AY$4-$AW$4+2,0)</f>
        <v>71301</v>
      </c>
      <c r="AZ80" s="101">
        <f>VLOOKUP($C80,'Cost RMs'!$B$5:$Q$22,+AZ$4-$AW$4+2,0)</f>
        <v>82665</v>
      </c>
      <c r="BA80" s="101">
        <f ca="1">VLOOKUP($C80,'Cost RMs'!$B$5:$Q$22,+BA$4-$AW$4+2,0)</f>
        <v>96790</v>
      </c>
      <c r="BB80" s="101">
        <f ca="1">VLOOKUP($C80,'Cost RMs'!$B$5:$Q$22,+BB$4-$AW$4+2,0)</f>
        <v>108395</v>
      </c>
      <c r="BC80" s="101">
        <f ca="1">VLOOKUP($C80,'Cost RMs'!$B$5:$Q$22,+BC$4-$AW$4+2,0)</f>
        <v>121511</v>
      </c>
      <c r="BD80" s="101">
        <f ca="1">VLOOKUP($C80,'Cost RMs'!$B$5:$Q$22,+BD$4-$AW$4+2,0)</f>
        <v>136214</v>
      </c>
      <c r="BE80" s="101">
        <f ca="1">VLOOKUP($C80,'Cost RMs'!$B$5:$Q$22,+BE$4-$AW$4+2,0)</f>
        <v>152696</v>
      </c>
      <c r="BF80" s="101">
        <f ca="1">VLOOKUP($C80,'Cost RMs'!$B$5:$Q$22,+BF$4-$AW$4+2,0)</f>
        <v>171172</v>
      </c>
      <c r="BG80" s="101">
        <f ca="1">VLOOKUP($C80,'Cost RMs'!$B$5:$Q$22,+BG$4-$AW$4+2,0)</f>
        <v>191884</v>
      </c>
      <c r="BH80" s="101">
        <f ca="1">VLOOKUP($C80,'Cost RMs'!$B$5:$Q$22,+BH$4-$AW$4+2,0)</f>
        <v>215102</v>
      </c>
      <c r="BI80" s="101">
        <f ca="1">VLOOKUP($C80,'Cost RMs'!$B$5:$Q$22,+BI$4-$AW$4+2,0)</f>
        <v>241129</v>
      </c>
      <c r="BJ80" s="101">
        <f ca="1">VLOOKUP($C80,'Cost RMs'!$B$5:$Q$22,+BJ$4-$AW$4+2,0)</f>
        <v>270306</v>
      </c>
      <c r="BK80" s="101">
        <f ca="1">VLOOKUP($C80,'Cost RMs'!$B$5:$Q$22,+BK$4-$AW$4+2,0)</f>
        <v>303013</v>
      </c>
      <c r="BL80" s="102">
        <f t="shared" si="79"/>
        <v>0</v>
      </c>
      <c r="BM80" s="102">
        <f t="shared" si="80"/>
        <v>0</v>
      </c>
      <c r="BN80" s="102">
        <f t="shared" si="81"/>
        <v>0</v>
      </c>
      <c r="BO80" s="102">
        <f t="shared" si="82"/>
        <v>0</v>
      </c>
      <c r="BP80" s="102">
        <f t="shared" ca="1" si="83"/>
        <v>0</v>
      </c>
      <c r="BQ80" s="102">
        <f t="shared" ca="1" si="84"/>
        <v>0</v>
      </c>
      <c r="BR80" s="102">
        <f t="shared" ca="1" si="85"/>
        <v>87779.546400000007</v>
      </c>
      <c r="BS80" s="102">
        <f t="shared" ca="1" si="86"/>
        <v>196801.9872</v>
      </c>
      <c r="BT80" s="102">
        <f t="shared" ca="1" si="87"/>
        <v>220615.1808</v>
      </c>
      <c r="BU80" s="102">
        <f t="shared" ca="1" si="88"/>
        <v>247309.30560000002</v>
      </c>
      <c r="BV80" s="102">
        <f t="shared" ca="1" si="89"/>
        <v>277234.00320000004</v>
      </c>
      <c r="BW80" s="102">
        <f t="shared" ca="1" si="90"/>
        <v>310779.36960000003</v>
      </c>
      <c r="BX80" s="102">
        <f t="shared" ca="1" si="91"/>
        <v>348383.17920000001</v>
      </c>
      <c r="BY80" s="102">
        <f t="shared" ca="1" si="92"/>
        <v>390538.10880000005</v>
      </c>
      <c r="BZ80" s="102">
        <f t="shared" ca="1" si="93"/>
        <v>437793.18240000005</v>
      </c>
    </row>
    <row r="81" spans="1:78" x14ac:dyDescent="0.25">
      <c r="A81" s="26" t="str">
        <f>+Assumptions!$A$36</f>
        <v>NPK 15-15-15</v>
      </c>
      <c r="B81" s="73">
        <f>+Assumptions!$R$52</f>
        <v>0.15</v>
      </c>
      <c r="C81" s="59" t="s">
        <v>146</v>
      </c>
      <c r="F81">
        <v>2.2559999999999998</v>
      </c>
      <c r="G81" s="61">
        <f t="shared" si="95"/>
        <v>2.2559999999999998</v>
      </c>
      <c r="H81" s="61">
        <f t="shared" si="95"/>
        <v>2.2559999999999998</v>
      </c>
      <c r="I81" s="61">
        <f t="shared" si="95"/>
        <v>2.2559999999999998</v>
      </c>
      <c r="J81" s="61">
        <f t="shared" si="95"/>
        <v>2.2559999999999998</v>
      </c>
      <c r="K81" s="61">
        <f t="shared" si="95"/>
        <v>2.2559999999999998</v>
      </c>
      <c r="L81" s="61">
        <f t="shared" si="95"/>
        <v>2.2559999999999998</v>
      </c>
      <c r="M81" s="61">
        <f t="shared" si="95"/>
        <v>2.2559999999999998</v>
      </c>
      <c r="N81" s="61">
        <f t="shared" si="95"/>
        <v>2.2559999999999998</v>
      </c>
      <c r="O81" s="61">
        <f t="shared" si="95"/>
        <v>2.2559999999999998</v>
      </c>
      <c r="P81" s="61">
        <f t="shared" si="95"/>
        <v>2.2559999999999998</v>
      </c>
      <c r="Q81" s="61">
        <f t="shared" si="95"/>
        <v>2.2559999999999998</v>
      </c>
      <c r="R81" s="61">
        <f t="shared" si="95"/>
        <v>2.2559999999999998</v>
      </c>
      <c r="S81" s="74">
        <f>VLOOKUP($A81,turnover!$A$184:$Q$192,+S$4-$S$4+3,0)</f>
        <v>0</v>
      </c>
      <c r="T81" s="74">
        <f>VLOOKUP($A81,turnover!$A$184:$Q$192,+T$4-$S$4+3,0)</f>
        <v>0</v>
      </c>
      <c r="U81" s="74">
        <f>VLOOKUP($A81,turnover!$A$184:$Q$192,+U$4-$S$4+3,0)</f>
        <v>0</v>
      </c>
      <c r="V81" s="74">
        <f>VLOOKUP($A81,turnover!$A$184:$Q$192,+V$4-$S$4+3,0)</f>
        <v>0</v>
      </c>
      <c r="W81" s="74">
        <f>VLOOKUP($A81,turnover!$A$184:$Q$192,+W$4-$S$4+3,0)</f>
        <v>0</v>
      </c>
      <c r="X81" s="74">
        <f>VLOOKUP($A81,turnover!$A$184:$Q$192,+X$4-$S$4+3,0)</f>
        <v>0</v>
      </c>
      <c r="Y81" s="74">
        <f>VLOOKUP($A81,turnover!$A$184:$Q$192,+Y$4-$S$4+3,0)</f>
        <v>1.2000000000000002</v>
      </c>
      <c r="Z81" s="74">
        <f>VLOOKUP($A81,turnover!$A$184:$Q$192,+Z$4-$S$4+3,0)</f>
        <v>2.4000000000000004</v>
      </c>
      <c r="AA81" s="74">
        <f>VLOOKUP($A81,turnover!$A$184:$Q$192,+AA$4-$S$4+3,0)</f>
        <v>2.4000000000000004</v>
      </c>
      <c r="AB81" s="74">
        <f>VLOOKUP($A81,turnover!$A$184:$Q$192,+AB$4-$S$4+3,0)</f>
        <v>2.4000000000000004</v>
      </c>
      <c r="AC81" s="74">
        <f>VLOOKUP($A81,turnover!$A$184:$Q$192,+AC$4-$S$4+3,0)</f>
        <v>2.4000000000000004</v>
      </c>
      <c r="AD81" s="74">
        <f>VLOOKUP($A81,turnover!$A$184:$Q$192,+AD$4-$S$4+3,0)</f>
        <v>2.4000000000000004</v>
      </c>
      <c r="AE81" s="74">
        <f>VLOOKUP($A81,turnover!$A$184:$Q$192,+AE$4-$S$4+3,0)</f>
        <v>2.4000000000000004</v>
      </c>
      <c r="AF81" s="74">
        <f>VLOOKUP($A81,turnover!$A$184:$Q$192,+AF$4-$S$4+3,0)</f>
        <v>2.4000000000000004</v>
      </c>
      <c r="AG81" s="74">
        <f>VLOOKUP($A81,turnover!$A$184:$Q$192,+AG$4-$S$4+3,0)</f>
        <v>2.4000000000000004</v>
      </c>
      <c r="AH81" s="61">
        <f t="shared" si="64"/>
        <v>0</v>
      </c>
      <c r="AI81" s="61">
        <f t="shared" si="65"/>
        <v>0</v>
      </c>
      <c r="AJ81" s="61">
        <f t="shared" si="66"/>
        <v>0</v>
      </c>
      <c r="AK81" s="61">
        <f t="shared" si="67"/>
        <v>0</v>
      </c>
      <c r="AL81" s="61">
        <f t="shared" si="68"/>
        <v>0</v>
      </c>
      <c r="AM81" s="61">
        <f t="shared" si="69"/>
        <v>0</v>
      </c>
      <c r="AN81" s="61">
        <f t="shared" si="70"/>
        <v>2.7072000000000003</v>
      </c>
      <c r="AO81" s="61">
        <f t="shared" si="71"/>
        <v>5.4144000000000005</v>
      </c>
      <c r="AP81" s="61">
        <f t="shared" si="72"/>
        <v>5.4144000000000005</v>
      </c>
      <c r="AQ81" s="61">
        <f t="shared" si="73"/>
        <v>5.4144000000000005</v>
      </c>
      <c r="AR81" s="61">
        <f t="shared" si="74"/>
        <v>5.4144000000000005</v>
      </c>
      <c r="AS81" s="61">
        <f t="shared" si="75"/>
        <v>5.4144000000000005</v>
      </c>
      <c r="AT81" s="61">
        <f t="shared" si="76"/>
        <v>5.4144000000000005</v>
      </c>
      <c r="AU81" s="61">
        <f t="shared" si="77"/>
        <v>5.4144000000000005</v>
      </c>
      <c r="AV81" s="61">
        <f t="shared" si="78"/>
        <v>5.4144000000000005</v>
      </c>
      <c r="AW81" s="101">
        <f>VLOOKUP($C81,'Cost RMs'!$B$5:$Q$22,+AW$4-$AW$4+2,0)</f>
        <v>7020</v>
      </c>
      <c r="AX81" s="101">
        <f>VLOOKUP($C81,'Cost RMs'!$B$5:$Q$22,+AX$4-$AW$4+2,0)</f>
        <v>8883</v>
      </c>
      <c r="AY81" s="101">
        <f>VLOOKUP($C81,'Cost RMs'!$B$5:$Q$22,+AY$4-$AW$4+2,0)</f>
        <v>11764</v>
      </c>
      <c r="AZ81" s="101">
        <f>VLOOKUP($C81,'Cost RMs'!$B$5:$Q$22,+AZ$4-$AW$4+2,0)</f>
        <v>15733</v>
      </c>
      <c r="BA81" s="101">
        <f ca="1">VLOOKUP($C81,'Cost RMs'!$B$5:$Q$22,+BA$4-$AW$4+2,0)</f>
        <v>19200</v>
      </c>
      <c r="BB81" s="101">
        <f ca="1">VLOOKUP($C81,'Cost RMs'!$B$5:$Q$22,+BB$4-$AW$4+2,0)</f>
        <v>21502</v>
      </c>
      <c r="BC81" s="101">
        <f ca="1">VLOOKUP($C81,'Cost RMs'!$B$5:$Q$22,+BC$4-$AW$4+2,0)</f>
        <v>24104</v>
      </c>
      <c r="BD81" s="101">
        <f ca="1">VLOOKUP($C81,'Cost RMs'!$B$5:$Q$22,+BD$4-$AW$4+2,0)</f>
        <v>27021</v>
      </c>
      <c r="BE81" s="101">
        <f ca="1">VLOOKUP($C81,'Cost RMs'!$B$5:$Q$22,+BE$4-$AW$4+2,0)</f>
        <v>30291</v>
      </c>
      <c r="BF81" s="101">
        <f ca="1">VLOOKUP($C81,'Cost RMs'!$B$5:$Q$22,+BF$4-$AW$4+2,0)</f>
        <v>33956</v>
      </c>
      <c r="BG81" s="101">
        <f ca="1">VLOOKUP($C81,'Cost RMs'!$B$5:$Q$22,+BG$4-$AW$4+2,0)</f>
        <v>38065</v>
      </c>
      <c r="BH81" s="101">
        <f ca="1">VLOOKUP($C81,'Cost RMs'!$B$5:$Q$22,+BH$4-$AW$4+2,0)</f>
        <v>42671</v>
      </c>
      <c r="BI81" s="101">
        <f ca="1">VLOOKUP($C81,'Cost RMs'!$B$5:$Q$22,+BI$4-$AW$4+2,0)</f>
        <v>47834</v>
      </c>
      <c r="BJ81" s="101">
        <f ca="1">VLOOKUP($C81,'Cost RMs'!$B$5:$Q$22,+BJ$4-$AW$4+2,0)</f>
        <v>53622</v>
      </c>
      <c r="BK81" s="101">
        <f ca="1">VLOOKUP($C81,'Cost RMs'!$B$5:$Q$22,+BK$4-$AW$4+2,0)</f>
        <v>60110</v>
      </c>
      <c r="BL81" s="102">
        <f t="shared" si="79"/>
        <v>0</v>
      </c>
      <c r="BM81" s="102">
        <f t="shared" si="80"/>
        <v>0</v>
      </c>
      <c r="BN81" s="102">
        <f t="shared" si="81"/>
        <v>0</v>
      </c>
      <c r="BO81" s="102">
        <f t="shared" si="82"/>
        <v>0</v>
      </c>
      <c r="BP81" s="102">
        <f t="shared" ca="1" si="83"/>
        <v>0</v>
      </c>
      <c r="BQ81" s="102">
        <f t="shared" ca="1" si="84"/>
        <v>0</v>
      </c>
      <c r="BR81" s="102">
        <f t="shared" ca="1" si="85"/>
        <v>65254.348800000007</v>
      </c>
      <c r="BS81" s="102">
        <f t="shared" ca="1" si="86"/>
        <v>146302.50240000003</v>
      </c>
      <c r="BT81" s="102">
        <f t="shared" ca="1" si="87"/>
        <v>164007.59040000002</v>
      </c>
      <c r="BU81" s="102">
        <f t="shared" ca="1" si="88"/>
        <v>183851.36640000003</v>
      </c>
      <c r="BV81" s="102">
        <f t="shared" ca="1" si="89"/>
        <v>206099.13600000003</v>
      </c>
      <c r="BW81" s="102">
        <f t="shared" ca="1" si="90"/>
        <v>231037.86240000001</v>
      </c>
      <c r="BX81" s="102">
        <f t="shared" ca="1" si="91"/>
        <v>258992.40960000001</v>
      </c>
      <c r="BY81" s="102">
        <f t="shared" ca="1" si="92"/>
        <v>290330.95680000004</v>
      </c>
      <c r="BZ81" s="102">
        <f t="shared" ca="1" si="93"/>
        <v>325459.58400000003</v>
      </c>
    </row>
    <row r="82" spans="1:78" x14ac:dyDescent="0.25">
      <c r="A82" s="26" t="str">
        <f>+Assumptions!$A$36</f>
        <v>NPK 15-15-15</v>
      </c>
      <c r="B82" s="73">
        <f>+Assumptions!$R$52</f>
        <v>0.15</v>
      </c>
      <c r="C82" s="59" t="s">
        <v>147</v>
      </c>
      <c r="F82">
        <v>0.29199999999999998</v>
      </c>
      <c r="G82" s="61">
        <f t="shared" si="95"/>
        <v>0.29199999999999998</v>
      </c>
      <c r="H82" s="61">
        <f t="shared" si="95"/>
        <v>0.29199999999999998</v>
      </c>
      <c r="I82" s="61">
        <f t="shared" si="95"/>
        <v>0.29199999999999998</v>
      </c>
      <c r="J82" s="61">
        <f t="shared" si="95"/>
        <v>0.29199999999999998</v>
      </c>
      <c r="K82" s="61">
        <f t="shared" si="95"/>
        <v>0.29199999999999998</v>
      </c>
      <c r="L82" s="61">
        <f t="shared" si="95"/>
        <v>0.29199999999999998</v>
      </c>
      <c r="M82" s="61">
        <f t="shared" si="95"/>
        <v>0.29199999999999998</v>
      </c>
      <c r="N82" s="61">
        <f t="shared" si="95"/>
        <v>0.29199999999999998</v>
      </c>
      <c r="O82" s="61">
        <f t="shared" si="95"/>
        <v>0.29199999999999998</v>
      </c>
      <c r="P82" s="61">
        <f t="shared" si="95"/>
        <v>0.29199999999999998</v>
      </c>
      <c r="Q82" s="61">
        <f t="shared" si="95"/>
        <v>0.29199999999999998</v>
      </c>
      <c r="R82" s="61">
        <f t="shared" si="95"/>
        <v>0.29199999999999998</v>
      </c>
      <c r="S82" s="74">
        <f>VLOOKUP($A82,turnover!$A$184:$Q$192,+S$4-$S$4+3,0)</f>
        <v>0</v>
      </c>
      <c r="T82" s="74">
        <f>VLOOKUP($A82,turnover!$A$184:$Q$192,+T$4-$S$4+3,0)</f>
        <v>0</v>
      </c>
      <c r="U82" s="74">
        <f>VLOOKUP($A82,turnover!$A$184:$Q$192,+U$4-$S$4+3,0)</f>
        <v>0</v>
      </c>
      <c r="V82" s="74">
        <f>VLOOKUP($A82,turnover!$A$184:$Q$192,+V$4-$S$4+3,0)</f>
        <v>0</v>
      </c>
      <c r="W82" s="74">
        <f>VLOOKUP($A82,turnover!$A$184:$Q$192,+W$4-$S$4+3,0)</f>
        <v>0</v>
      </c>
      <c r="X82" s="74">
        <f>VLOOKUP($A82,turnover!$A$184:$Q$192,+X$4-$S$4+3,0)</f>
        <v>0</v>
      </c>
      <c r="Y82" s="74">
        <f>VLOOKUP($A82,turnover!$A$184:$Q$192,+Y$4-$S$4+3,0)</f>
        <v>1.2000000000000002</v>
      </c>
      <c r="Z82" s="74">
        <f>VLOOKUP($A82,turnover!$A$184:$Q$192,+Z$4-$S$4+3,0)</f>
        <v>2.4000000000000004</v>
      </c>
      <c r="AA82" s="74">
        <f>VLOOKUP($A82,turnover!$A$184:$Q$192,+AA$4-$S$4+3,0)</f>
        <v>2.4000000000000004</v>
      </c>
      <c r="AB82" s="74">
        <f>VLOOKUP($A82,turnover!$A$184:$Q$192,+AB$4-$S$4+3,0)</f>
        <v>2.4000000000000004</v>
      </c>
      <c r="AC82" s="74">
        <f>VLOOKUP($A82,turnover!$A$184:$Q$192,+AC$4-$S$4+3,0)</f>
        <v>2.4000000000000004</v>
      </c>
      <c r="AD82" s="74">
        <f>VLOOKUP($A82,turnover!$A$184:$Q$192,+AD$4-$S$4+3,0)</f>
        <v>2.4000000000000004</v>
      </c>
      <c r="AE82" s="74">
        <f>VLOOKUP($A82,turnover!$A$184:$Q$192,+AE$4-$S$4+3,0)</f>
        <v>2.4000000000000004</v>
      </c>
      <c r="AF82" s="74">
        <f>VLOOKUP($A82,turnover!$A$184:$Q$192,+AF$4-$S$4+3,0)</f>
        <v>2.4000000000000004</v>
      </c>
      <c r="AG82" s="74">
        <f>VLOOKUP($A82,turnover!$A$184:$Q$192,+AG$4-$S$4+3,0)</f>
        <v>2.4000000000000004</v>
      </c>
      <c r="AH82" s="61">
        <f t="shared" si="64"/>
        <v>0</v>
      </c>
      <c r="AI82" s="61">
        <f t="shared" si="65"/>
        <v>0</v>
      </c>
      <c r="AJ82" s="61">
        <f t="shared" si="66"/>
        <v>0</v>
      </c>
      <c r="AK82" s="61">
        <f t="shared" si="67"/>
        <v>0</v>
      </c>
      <c r="AL82" s="61">
        <f t="shared" si="68"/>
        <v>0</v>
      </c>
      <c r="AM82" s="61">
        <f t="shared" si="69"/>
        <v>0</v>
      </c>
      <c r="AN82" s="61">
        <f t="shared" si="70"/>
        <v>0.35040000000000004</v>
      </c>
      <c r="AO82" s="61">
        <f t="shared" si="71"/>
        <v>0.70080000000000009</v>
      </c>
      <c r="AP82" s="61">
        <f t="shared" si="72"/>
        <v>0.70080000000000009</v>
      </c>
      <c r="AQ82" s="61">
        <f t="shared" si="73"/>
        <v>0.70080000000000009</v>
      </c>
      <c r="AR82" s="61">
        <f t="shared" si="74"/>
        <v>0.70080000000000009</v>
      </c>
      <c r="AS82" s="61">
        <f t="shared" si="75"/>
        <v>0.70080000000000009</v>
      </c>
      <c r="AT82" s="61">
        <f t="shared" si="76"/>
        <v>0.70080000000000009</v>
      </c>
      <c r="AU82" s="61">
        <f t="shared" si="77"/>
        <v>0.70080000000000009</v>
      </c>
      <c r="AV82" s="61">
        <f t="shared" si="78"/>
        <v>0.70080000000000009</v>
      </c>
      <c r="AW82" s="101">
        <f>VLOOKUP($C82,'Cost RMs'!$B$5:$Q$22,+AW$4-$AW$4+2,0)</f>
        <v>25380</v>
      </c>
      <c r="AX82" s="101">
        <f>VLOOKUP($C82,'Cost RMs'!$B$5:$Q$22,+AX$4-$AW$4+2,0)</f>
        <v>33957</v>
      </c>
      <c r="AY82" s="101">
        <f>VLOOKUP($C82,'Cost RMs'!$B$5:$Q$22,+AY$4-$AW$4+2,0)</f>
        <v>50212</v>
      </c>
      <c r="AZ82" s="101">
        <f>VLOOKUP($C82,'Cost RMs'!$B$5:$Q$22,+AZ$4-$AW$4+2,0)</f>
        <v>63581</v>
      </c>
      <c r="BA82" s="101">
        <f ca="1">VLOOKUP($C82,'Cost RMs'!$B$5:$Q$22,+BA$4-$AW$4+2,0)</f>
        <v>82384</v>
      </c>
      <c r="BB82" s="101">
        <f ca="1">VLOOKUP($C82,'Cost RMs'!$B$5:$Q$22,+BB$4-$AW$4+2,0)</f>
        <v>92262</v>
      </c>
      <c r="BC82" s="101">
        <f ca="1">VLOOKUP($C82,'Cost RMs'!$B$5:$Q$22,+BC$4-$AW$4+2,0)</f>
        <v>103426</v>
      </c>
      <c r="BD82" s="101">
        <f ca="1">VLOOKUP($C82,'Cost RMs'!$B$5:$Q$22,+BD$4-$AW$4+2,0)</f>
        <v>115941</v>
      </c>
      <c r="BE82" s="101">
        <f ca="1">VLOOKUP($C82,'Cost RMs'!$B$5:$Q$22,+BE$4-$AW$4+2,0)</f>
        <v>129970</v>
      </c>
      <c r="BF82" s="101">
        <f ca="1">VLOOKUP($C82,'Cost RMs'!$B$5:$Q$22,+BF$4-$AW$4+2,0)</f>
        <v>145696</v>
      </c>
      <c r="BG82" s="101">
        <f ca="1">VLOOKUP($C82,'Cost RMs'!$B$5:$Q$22,+BG$4-$AW$4+2,0)</f>
        <v>163325</v>
      </c>
      <c r="BH82" s="101">
        <f ca="1">VLOOKUP($C82,'Cost RMs'!$B$5:$Q$22,+BH$4-$AW$4+2,0)</f>
        <v>183087</v>
      </c>
      <c r="BI82" s="101">
        <f ca="1">VLOOKUP($C82,'Cost RMs'!$B$5:$Q$22,+BI$4-$AW$4+2,0)</f>
        <v>205241</v>
      </c>
      <c r="BJ82" s="101">
        <f ca="1">VLOOKUP($C82,'Cost RMs'!$B$5:$Q$22,+BJ$4-$AW$4+2,0)</f>
        <v>230075</v>
      </c>
      <c r="BK82" s="101">
        <f ca="1">VLOOKUP($C82,'Cost RMs'!$B$5:$Q$22,+BK$4-$AW$4+2,0)</f>
        <v>257914</v>
      </c>
      <c r="BL82" s="102">
        <f t="shared" si="79"/>
        <v>0</v>
      </c>
      <c r="BM82" s="102">
        <f t="shared" si="80"/>
        <v>0</v>
      </c>
      <c r="BN82" s="102">
        <f t="shared" si="81"/>
        <v>0</v>
      </c>
      <c r="BO82" s="102">
        <f t="shared" si="82"/>
        <v>0</v>
      </c>
      <c r="BP82" s="102">
        <f t="shared" ca="1" si="83"/>
        <v>0</v>
      </c>
      <c r="BQ82" s="102">
        <f t="shared" ca="1" si="84"/>
        <v>0</v>
      </c>
      <c r="BR82" s="102">
        <f t="shared" ca="1" si="85"/>
        <v>36240.470400000006</v>
      </c>
      <c r="BS82" s="102">
        <f t="shared" ca="1" si="86"/>
        <v>81251.452800000014</v>
      </c>
      <c r="BT82" s="102">
        <f t="shared" ca="1" si="87"/>
        <v>91082.97600000001</v>
      </c>
      <c r="BU82" s="102">
        <f t="shared" ca="1" si="88"/>
        <v>102103.75680000002</v>
      </c>
      <c r="BV82" s="102">
        <f t="shared" ca="1" si="89"/>
        <v>114458.16000000002</v>
      </c>
      <c r="BW82" s="102">
        <f t="shared" ca="1" si="90"/>
        <v>128307.36960000002</v>
      </c>
      <c r="BX82" s="102">
        <f t="shared" ca="1" si="91"/>
        <v>143832.89280000003</v>
      </c>
      <c r="BY82" s="102">
        <f t="shared" ca="1" si="92"/>
        <v>161236.56000000003</v>
      </c>
      <c r="BZ82" s="102">
        <f t="shared" ca="1" si="93"/>
        <v>180746.13120000003</v>
      </c>
    </row>
    <row r="83" spans="1:78" x14ac:dyDescent="0.25">
      <c r="A83" s="26" t="str">
        <f>+Assumptions!$A$36</f>
        <v>NPK 15-15-15</v>
      </c>
      <c r="B83" s="73">
        <f>+Assumptions!$R$52</f>
        <v>0.15</v>
      </c>
      <c r="C83" s="59" t="s">
        <v>148</v>
      </c>
      <c r="F83">
        <v>4.3999999999999997E-2</v>
      </c>
      <c r="G83" s="61">
        <f t="shared" si="95"/>
        <v>4.3999999999999997E-2</v>
      </c>
      <c r="H83" s="61">
        <f t="shared" si="95"/>
        <v>4.3999999999999997E-2</v>
      </c>
      <c r="I83" s="61">
        <f t="shared" si="95"/>
        <v>4.3999999999999997E-2</v>
      </c>
      <c r="J83" s="61">
        <f t="shared" si="95"/>
        <v>4.3999999999999997E-2</v>
      </c>
      <c r="K83" s="61">
        <f t="shared" si="95"/>
        <v>4.3999999999999997E-2</v>
      </c>
      <c r="L83" s="61">
        <f t="shared" si="95"/>
        <v>4.3999999999999997E-2</v>
      </c>
      <c r="M83" s="61">
        <f t="shared" si="95"/>
        <v>4.3999999999999997E-2</v>
      </c>
      <c r="N83" s="61">
        <f t="shared" si="95"/>
        <v>4.3999999999999997E-2</v>
      </c>
      <c r="O83" s="61">
        <f t="shared" si="95"/>
        <v>4.3999999999999997E-2</v>
      </c>
      <c r="P83" s="61">
        <f t="shared" si="95"/>
        <v>4.3999999999999997E-2</v>
      </c>
      <c r="Q83" s="61">
        <f t="shared" si="95"/>
        <v>4.3999999999999997E-2</v>
      </c>
      <c r="R83" s="61">
        <f t="shared" si="95"/>
        <v>4.3999999999999997E-2</v>
      </c>
      <c r="S83" s="74">
        <f>VLOOKUP($A83,turnover!$A$184:$Q$192,+S$4-$S$4+3,0)</f>
        <v>0</v>
      </c>
      <c r="T83" s="74">
        <f>VLOOKUP($A83,turnover!$A$184:$Q$192,+T$4-$S$4+3,0)</f>
        <v>0</v>
      </c>
      <c r="U83" s="74">
        <f>VLOOKUP($A83,turnover!$A$184:$Q$192,+U$4-$S$4+3,0)</f>
        <v>0</v>
      </c>
      <c r="V83" s="74">
        <f>VLOOKUP($A83,turnover!$A$184:$Q$192,+V$4-$S$4+3,0)</f>
        <v>0</v>
      </c>
      <c r="W83" s="74">
        <f>VLOOKUP($A83,turnover!$A$184:$Q$192,+W$4-$S$4+3,0)</f>
        <v>0</v>
      </c>
      <c r="X83" s="74">
        <f>VLOOKUP($A83,turnover!$A$184:$Q$192,+X$4-$S$4+3,0)</f>
        <v>0</v>
      </c>
      <c r="Y83" s="74">
        <f>VLOOKUP($A83,turnover!$A$184:$Q$192,+Y$4-$S$4+3,0)</f>
        <v>1.2000000000000002</v>
      </c>
      <c r="Z83" s="74">
        <f>VLOOKUP($A83,turnover!$A$184:$Q$192,+Z$4-$S$4+3,0)</f>
        <v>2.4000000000000004</v>
      </c>
      <c r="AA83" s="74">
        <f>VLOOKUP($A83,turnover!$A$184:$Q$192,+AA$4-$S$4+3,0)</f>
        <v>2.4000000000000004</v>
      </c>
      <c r="AB83" s="74">
        <f>VLOOKUP($A83,turnover!$A$184:$Q$192,+AB$4-$S$4+3,0)</f>
        <v>2.4000000000000004</v>
      </c>
      <c r="AC83" s="74">
        <f>VLOOKUP($A83,turnover!$A$184:$Q$192,+AC$4-$S$4+3,0)</f>
        <v>2.4000000000000004</v>
      </c>
      <c r="AD83" s="74">
        <f>VLOOKUP($A83,turnover!$A$184:$Q$192,+AD$4-$S$4+3,0)</f>
        <v>2.4000000000000004</v>
      </c>
      <c r="AE83" s="74">
        <f>VLOOKUP($A83,turnover!$A$184:$Q$192,+AE$4-$S$4+3,0)</f>
        <v>2.4000000000000004</v>
      </c>
      <c r="AF83" s="74">
        <f>VLOOKUP($A83,turnover!$A$184:$Q$192,+AF$4-$S$4+3,0)</f>
        <v>2.4000000000000004</v>
      </c>
      <c r="AG83" s="74">
        <f>VLOOKUP($A83,turnover!$A$184:$Q$192,+AG$4-$S$4+3,0)</f>
        <v>2.4000000000000004</v>
      </c>
      <c r="AH83" s="61">
        <f t="shared" si="64"/>
        <v>0</v>
      </c>
      <c r="AI83" s="61">
        <f t="shared" si="65"/>
        <v>0</v>
      </c>
      <c r="AJ83" s="61">
        <f t="shared" si="66"/>
        <v>0</v>
      </c>
      <c r="AK83" s="61">
        <f t="shared" si="67"/>
        <v>0</v>
      </c>
      <c r="AL83" s="61">
        <f t="shared" si="68"/>
        <v>0</v>
      </c>
      <c r="AM83" s="61">
        <f t="shared" si="69"/>
        <v>0</v>
      </c>
      <c r="AN83" s="61">
        <f t="shared" si="70"/>
        <v>5.2800000000000007E-2</v>
      </c>
      <c r="AO83" s="61">
        <f t="shared" si="71"/>
        <v>0.10560000000000001</v>
      </c>
      <c r="AP83" s="61">
        <f t="shared" si="72"/>
        <v>0.10560000000000001</v>
      </c>
      <c r="AQ83" s="61">
        <f t="shared" si="73"/>
        <v>0.10560000000000001</v>
      </c>
      <c r="AR83" s="61">
        <f t="shared" si="74"/>
        <v>0.10560000000000001</v>
      </c>
      <c r="AS83" s="61">
        <f t="shared" si="75"/>
        <v>0.10560000000000001</v>
      </c>
      <c r="AT83" s="61">
        <f t="shared" si="76"/>
        <v>0.10560000000000001</v>
      </c>
      <c r="AU83" s="61">
        <f t="shared" si="77"/>
        <v>0.10560000000000001</v>
      </c>
      <c r="AV83" s="61">
        <f t="shared" si="78"/>
        <v>0.10560000000000001</v>
      </c>
      <c r="AW83" s="101">
        <f>VLOOKUP($C83,'Cost RMs'!$B$5:$Q$22,+AW$4-$AW$4+2,0)</f>
        <v>27439</v>
      </c>
      <c r="AX83" s="101">
        <f>VLOOKUP($C83,'Cost RMs'!$B$5:$Q$22,+AX$4-$AW$4+2,0)</f>
        <v>32275</v>
      </c>
      <c r="AY83" s="101">
        <f>VLOOKUP($C83,'Cost RMs'!$B$5:$Q$22,+AY$4-$AW$4+2,0)</f>
        <v>45664</v>
      </c>
      <c r="AZ83" s="101">
        <f>VLOOKUP($C83,'Cost RMs'!$B$5:$Q$22,+AZ$4-$AW$4+2,0)</f>
        <v>50129</v>
      </c>
      <c r="BA83" s="101">
        <f ca="1">VLOOKUP($C83,'Cost RMs'!$B$5:$Q$22,+BA$4-$AW$4+2,0)</f>
        <v>75490</v>
      </c>
      <c r="BB83" s="101">
        <f ca="1">VLOOKUP($C83,'Cost RMs'!$B$5:$Q$22,+BB$4-$AW$4+2,0)</f>
        <v>84541</v>
      </c>
      <c r="BC83" s="101">
        <f ca="1">VLOOKUP($C83,'Cost RMs'!$B$5:$Q$22,+BC$4-$AW$4+2,0)</f>
        <v>94770</v>
      </c>
      <c r="BD83" s="101">
        <f ca="1">VLOOKUP($C83,'Cost RMs'!$B$5:$Q$22,+BD$4-$AW$4+2,0)</f>
        <v>106237</v>
      </c>
      <c r="BE83" s="101">
        <f ca="1">VLOOKUP($C83,'Cost RMs'!$B$5:$Q$22,+BE$4-$AW$4+2,0)</f>
        <v>119092</v>
      </c>
      <c r="BF83" s="101">
        <f ca="1">VLOOKUP($C83,'Cost RMs'!$B$5:$Q$22,+BF$4-$AW$4+2,0)</f>
        <v>133502</v>
      </c>
      <c r="BG83" s="101">
        <f ca="1">VLOOKUP($C83,'Cost RMs'!$B$5:$Q$22,+BG$4-$AW$4+2,0)</f>
        <v>149656</v>
      </c>
      <c r="BH83" s="101">
        <f ca="1">VLOOKUP($C83,'Cost RMs'!$B$5:$Q$22,+BH$4-$AW$4+2,0)</f>
        <v>167764</v>
      </c>
      <c r="BI83" s="101">
        <f ca="1">VLOOKUP($C83,'Cost RMs'!$B$5:$Q$22,+BI$4-$AW$4+2,0)</f>
        <v>188063</v>
      </c>
      <c r="BJ83" s="101">
        <f ca="1">VLOOKUP($C83,'Cost RMs'!$B$5:$Q$22,+BJ$4-$AW$4+2,0)</f>
        <v>210819</v>
      </c>
      <c r="BK83" s="101">
        <f ca="1">VLOOKUP($C83,'Cost RMs'!$B$5:$Q$22,+BK$4-$AW$4+2,0)</f>
        <v>236328</v>
      </c>
      <c r="BL83" s="102">
        <f t="shared" si="79"/>
        <v>0</v>
      </c>
      <c r="BM83" s="102">
        <f t="shared" si="80"/>
        <v>0</v>
      </c>
      <c r="BN83" s="102">
        <f t="shared" si="81"/>
        <v>0</v>
      </c>
      <c r="BO83" s="102">
        <f t="shared" si="82"/>
        <v>0</v>
      </c>
      <c r="BP83" s="102">
        <f t="shared" ca="1" si="83"/>
        <v>0</v>
      </c>
      <c r="BQ83" s="102">
        <f t="shared" ca="1" si="84"/>
        <v>0</v>
      </c>
      <c r="BR83" s="102">
        <f t="shared" ca="1" si="85"/>
        <v>5003.8560000000007</v>
      </c>
      <c r="BS83" s="102">
        <f t="shared" ca="1" si="86"/>
        <v>11218.627200000001</v>
      </c>
      <c r="BT83" s="102">
        <f t="shared" ca="1" si="87"/>
        <v>12576.115200000002</v>
      </c>
      <c r="BU83" s="102">
        <f t="shared" ca="1" si="88"/>
        <v>14097.811200000002</v>
      </c>
      <c r="BV83" s="102">
        <f t="shared" ca="1" si="89"/>
        <v>15803.673600000002</v>
      </c>
      <c r="BW83" s="102">
        <f t="shared" ca="1" si="90"/>
        <v>17715.878400000001</v>
      </c>
      <c r="BX83" s="102">
        <f t="shared" ca="1" si="91"/>
        <v>19859.452800000003</v>
      </c>
      <c r="BY83" s="102">
        <f t="shared" ca="1" si="92"/>
        <v>22262.486400000002</v>
      </c>
      <c r="BZ83" s="102">
        <f t="shared" ca="1" si="93"/>
        <v>24956.236800000002</v>
      </c>
    </row>
    <row r="84" spans="1:78" x14ac:dyDescent="0.25">
      <c r="A84" s="26" t="str">
        <f>+Assumptions!$A$36</f>
        <v>NPK 15-15-15</v>
      </c>
      <c r="B84" s="73">
        <f>+Assumptions!$R$52</f>
        <v>0.15</v>
      </c>
      <c r="C84" s="59" t="s">
        <v>149</v>
      </c>
      <c r="F84">
        <v>2.177</v>
      </c>
      <c r="G84" s="61">
        <f t="shared" si="95"/>
        <v>2.177</v>
      </c>
      <c r="H84" s="61">
        <f t="shared" si="95"/>
        <v>2.177</v>
      </c>
      <c r="I84" s="61">
        <f t="shared" si="95"/>
        <v>2.177</v>
      </c>
      <c r="J84" s="61">
        <f t="shared" si="95"/>
        <v>2.177</v>
      </c>
      <c r="K84" s="61">
        <f t="shared" si="95"/>
        <v>2.177</v>
      </c>
      <c r="L84" s="61">
        <f t="shared" si="95"/>
        <v>2.177</v>
      </c>
      <c r="M84" s="61">
        <f t="shared" si="95"/>
        <v>2.177</v>
      </c>
      <c r="N84" s="61">
        <f t="shared" si="95"/>
        <v>2.177</v>
      </c>
      <c r="O84" s="61">
        <f t="shared" si="95"/>
        <v>2.177</v>
      </c>
      <c r="P84" s="61">
        <f t="shared" si="95"/>
        <v>2.177</v>
      </c>
      <c r="Q84" s="61">
        <f t="shared" si="95"/>
        <v>2.177</v>
      </c>
      <c r="R84" s="61">
        <f t="shared" si="95"/>
        <v>2.177</v>
      </c>
      <c r="S84" s="74">
        <f>VLOOKUP($A84,turnover!$A$184:$Q$192,+S$4-$S$4+3,0)</f>
        <v>0</v>
      </c>
      <c r="T84" s="74">
        <f>VLOOKUP($A84,turnover!$A$184:$Q$192,+T$4-$S$4+3,0)</f>
        <v>0</v>
      </c>
      <c r="U84" s="74">
        <f>VLOOKUP($A84,turnover!$A$184:$Q$192,+U$4-$S$4+3,0)</f>
        <v>0</v>
      </c>
      <c r="V84" s="74">
        <f>VLOOKUP($A84,turnover!$A$184:$Q$192,+V$4-$S$4+3,0)</f>
        <v>0</v>
      </c>
      <c r="W84" s="74">
        <f>VLOOKUP($A84,turnover!$A$184:$Q$192,+W$4-$S$4+3,0)</f>
        <v>0</v>
      </c>
      <c r="X84" s="74">
        <f>VLOOKUP($A84,turnover!$A$184:$Q$192,+X$4-$S$4+3,0)</f>
        <v>0</v>
      </c>
      <c r="Y84" s="74">
        <f>VLOOKUP($A84,turnover!$A$184:$Q$192,+Y$4-$S$4+3,0)</f>
        <v>1.2000000000000002</v>
      </c>
      <c r="Z84" s="74">
        <f>VLOOKUP($A84,turnover!$A$184:$Q$192,+Z$4-$S$4+3,0)</f>
        <v>2.4000000000000004</v>
      </c>
      <c r="AA84" s="74">
        <f>VLOOKUP($A84,turnover!$A$184:$Q$192,+AA$4-$S$4+3,0)</f>
        <v>2.4000000000000004</v>
      </c>
      <c r="AB84" s="74">
        <f>VLOOKUP($A84,turnover!$A$184:$Q$192,+AB$4-$S$4+3,0)</f>
        <v>2.4000000000000004</v>
      </c>
      <c r="AC84" s="74">
        <f>VLOOKUP($A84,turnover!$A$184:$Q$192,+AC$4-$S$4+3,0)</f>
        <v>2.4000000000000004</v>
      </c>
      <c r="AD84" s="74">
        <f>VLOOKUP($A84,turnover!$A$184:$Q$192,+AD$4-$S$4+3,0)</f>
        <v>2.4000000000000004</v>
      </c>
      <c r="AE84" s="74">
        <f>VLOOKUP($A84,turnover!$A$184:$Q$192,+AE$4-$S$4+3,0)</f>
        <v>2.4000000000000004</v>
      </c>
      <c r="AF84" s="74">
        <f>VLOOKUP($A84,turnover!$A$184:$Q$192,+AF$4-$S$4+3,0)</f>
        <v>2.4000000000000004</v>
      </c>
      <c r="AG84" s="74">
        <f>VLOOKUP($A84,turnover!$A$184:$Q$192,+AG$4-$S$4+3,0)</f>
        <v>2.4000000000000004</v>
      </c>
      <c r="AH84" s="61">
        <f t="shared" si="64"/>
        <v>0</v>
      </c>
      <c r="AI84" s="61">
        <f t="shared" si="65"/>
        <v>0</v>
      </c>
      <c r="AJ84" s="61">
        <f t="shared" si="66"/>
        <v>0</v>
      </c>
      <c r="AK84" s="61">
        <f t="shared" si="67"/>
        <v>0</v>
      </c>
      <c r="AL84" s="61">
        <f t="shared" si="68"/>
        <v>0</v>
      </c>
      <c r="AM84" s="61">
        <f t="shared" si="69"/>
        <v>0</v>
      </c>
      <c r="AN84" s="61">
        <f t="shared" si="70"/>
        <v>2.6124000000000005</v>
      </c>
      <c r="AO84" s="61">
        <f t="shared" si="71"/>
        <v>5.224800000000001</v>
      </c>
      <c r="AP84" s="61">
        <f t="shared" si="72"/>
        <v>5.224800000000001</v>
      </c>
      <c r="AQ84" s="61">
        <f t="shared" si="73"/>
        <v>5.224800000000001</v>
      </c>
      <c r="AR84" s="61">
        <f t="shared" si="74"/>
        <v>5.224800000000001</v>
      </c>
      <c r="AS84" s="61">
        <f t="shared" si="75"/>
        <v>5.224800000000001</v>
      </c>
      <c r="AT84" s="61">
        <f t="shared" si="76"/>
        <v>5.224800000000001</v>
      </c>
      <c r="AU84" s="61">
        <f t="shared" si="77"/>
        <v>5.224800000000001</v>
      </c>
      <c r="AV84" s="61">
        <f t="shared" si="78"/>
        <v>5.224800000000001</v>
      </c>
      <c r="AW84" s="101">
        <f>VLOOKUP($C84,'Cost RMs'!$B$5:$Q$22,+AW$4-$AW$4+2,0)</f>
        <v>9377</v>
      </c>
      <c r="AX84" s="101">
        <f>VLOOKUP($C84,'Cost RMs'!$B$5:$Q$22,+AX$4-$AW$4+2,0)</f>
        <v>9969</v>
      </c>
      <c r="AY84" s="101">
        <f>VLOOKUP($C84,'Cost RMs'!$B$5:$Q$22,+AY$4-$AW$4+2,0)</f>
        <v>14915</v>
      </c>
      <c r="AZ84" s="101">
        <f>VLOOKUP($C84,'Cost RMs'!$B$5:$Q$22,+AZ$4-$AW$4+2,0)</f>
        <v>16547</v>
      </c>
      <c r="BA84" s="101">
        <f ca="1">VLOOKUP($C84,'Cost RMs'!$B$5:$Q$22,+BA$4-$AW$4+2,0)</f>
        <v>17617</v>
      </c>
      <c r="BB84" s="101">
        <f ca="1">VLOOKUP($C84,'Cost RMs'!$B$5:$Q$22,+BB$4-$AW$4+2,0)</f>
        <v>19729</v>
      </c>
      <c r="BC84" s="101">
        <f ca="1">VLOOKUP($C84,'Cost RMs'!$B$5:$Q$22,+BC$4-$AW$4+2,0)</f>
        <v>22116</v>
      </c>
      <c r="BD84" s="101">
        <f ca="1">VLOOKUP($C84,'Cost RMs'!$B$5:$Q$22,+BD$4-$AW$4+2,0)</f>
        <v>24792</v>
      </c>
      <c r="BE84" s="101">
        <f ca="1">VLOOKUP($C84,'Cost RMs'!$B$5:$Q$22,+BE$4-$AW$4+2,0)</f>
        <v>27792</v>
      </c>
      <c r="BF84" s="101">
        <f ca="1">VLOOKUP($C84,'Cost RMs'!$B$5:$Q$22,+BF$4-$AW$4+2,0)</f>
        <v>31155</v>
      </c>
      <c r="BG84" s="101">
        <f ca="1">VLOOKUP($C84,'Cost RMs'!$B$5:$Q$22,+BG$4-$AW$4+2,0)</f>
        <v>34925</v>
      </c>
      <c r="BH84" s="101">
        <f ca="1">VLOOKUP($C84,'Cost RMs'!$B$5:$Q$22,+BH$4-$AW$4+2,0)</f>
        <v>39151</v>
      </c>
      <c r="BI84" s="101">
        <f ca="1">VLOOKUP($C84,'Cost RMs'!$B$5:$Q$22,+BI$4-$AW$4+2,0)</f>
        <v>43888</v>
      </c>
      <c r="BJ84" s="101">
        <f ca="1">VLOOKUP($C84,'Cost RMs'!$B$5:$Q$22,+BJ$4-$AW$4+2,0)</f>
        <v>49198</v>
      </c>
      <c r="BK84" s="101">
        <f ca="1">VLOOKUP($C84,'Cost RMs'!$B$5:$Q$22,+BK$4-$AW$4+2,0)</f>
        <v>55151</v>
      </c>
      <c r="BL84" s="102">
        <f t="shared" si="79"/>
        <v>0</v>
      </c>
      <c r="BM84" s="102">
        <f t="shared" si="80"/>
        <v>0</v>
      </c>
      <c r="BN84" s="102">
        <f t="shared" si="81"/>
        <v>0</v>
      </c>
      <c r="BO84" s="102">
        <f t="shared" si="82"/>
        <v>0</v>
      </c>
      <c r="BP84" s="102">
        <f t="shared" ca="1" si="83"/>
        <v>0</v>
      </c>
      <c r="BQ84" s="102">
        <f t="shared" ca="1" si="84"/>
        <v>0</v>
      </c>
      <c r="BR84" s="102">
        <f t="shared" ca="1" si="85"/>
        <v>57775.838400000008</v>
      </c>
      <c r="BS84" s="102">
        <f t="shared" ca="1" si="86"/>
        <v>129533.24160000002</v>
      </c>
      <c r="BT84" s="102">
        <f t="shared" ca="1" si="87"/>
        <v>145207.64160000003</v>
      </c>
      <c r="BU84" s="102">
        <f t="shared" ca="1" si="88"/>
        <v>162778.64400000003</v>
      </c>
      <c r="BV84" s="102">
        <f t="shared" ca="1" si="89"/>
        <v>182476.14000000004</v>
      </c>
      <c r="BW84" s="102">
        <f t="shared" ca="1" si="90"/>
        <v>204556.14480000004</v>
      </c>
      <c r="BX84" s="102">
        <f t="shared" ca="1" si="91"/>
        <v>229306.02240000005</v>
      </c>
      <c r="BY84" s="102">
        <f t="shared" ca="1" si="92"/>
        <v>257049.71040000004</v>
      </c>
      <c r="BZ84" s="102">
        <f t="shared" ca="1" si="93"/>
        <v>288152.94480000006</v>
      </c>
    </row>
    <row r="85" spans="1:78" x14ac:dyDescent="0.25">
      <c r="A85" s="26" t="str">
        <f>+Assumptions!$A$36</f>
        <v>NPK 15-15-15</v>
      </c>
      <c r="B85" s="73">
        <f>+Assumptions!$R$52</f>
        <v>0.15</v>
      </c>
      <c r="C85" s="59" t="s">
        <v>546</v>
      </c>
      <c r="F85">
        <v>16.667000000000002</v>
      </c>
      <c r="G85" s="61">
        <f t="shared" si="95"/>
        <v>16.667000000000002</v>
      </c>
      <c r="H85" s="61">
        <f t="shared" si="95"/>
        <v>16.667000000000002</v>
      </c>
      <c r="I85" s="61">
        <f t="shared" si="95"/>
        <v>16.667000000000002</v>
      </c>
      <c r="J85" s="61">
        <f t="shared" si="95"/>
        <v>16.667000000000002</v>
      </c>
      <c r="K85" s="61">
        <f t="shared" si="95"/>
        <v>16.667000000000002</v>
      </c>
      <c r="L85" s="61">
        <f t="shared" si="95"/>
        <v>16.667000000000002</v>
      </c>
      <c r="M85" s="61">
        <f t="shared" si="95"/>
        <v>16.667000000000002</v>
      </c>
      <c r="N85" s="61">
        <f t="shared" si="95"/>
        <v>16.667000000000002</v>
      </c>
      <c r="O85" s="61">
        <f t="shared" si="95"/>
        <v>16.667000000000002</v>
      </c>
      <c r="P85" s="61">
        <f t="shared" si="95"/>
        <v>16.667000000000002</v>
      </c>
      <c r="Q85" s="61">
        <f t="shared" si="95"/>
        <v>16.667000000000002</v>
      </c>
      <c r="R85" s="61">
        <f t="shared" si="95"/>
        <v>16.667000000000002</v>
      </c>
      <c r="S85" s="74">
        <f>VLOOKUP($A85,turnover!$A$184:$Q$192,+S$4-$S$4+3,0)</f>
        <v>0</v>
      </c>
      <c r="T85" s="74">
        <f>VLOOKUP($A85,turnover!$A$184:$Q$192,+T$4-$S$4+3,0)</f>
        <v>0</v>
      </c>
      <c r="U85" s="74">
        <f>VLOOKUP($A85,turnover!$A$184:$Q$192,+U$4-$S$4+3,0)</f>
        <v>0</v>
      </c>
      <c r="V85" s="74">
        <f>VLOOKUP($A85,turnover!$A$184:$Q$192,+V$4-$S$4+3,0)</f>
        <v>0</v>
      </c>
      <c r="W85" s="74">
        <f>VLOOKUP($A85,turnover!$A$184:$Q$192,+W$4-$S$4+3,0)</f>
        <v>0</v>
      </c>
      <c r="X85" s="74">
        <f>VLOOKUP($A85,turnover!$A$184:$Q$192,+X$4-$S$4+3,0)</f>
        <v>0</v>
      </c>
      <c r="Y85" s="74">
        <f>VLOOKUP($A85,turnover!$A$184:$Q$192,+Y$4-$S$4+3,0)</f>
        <v>1.2000000000000002</v>
      </c>
      <c r="Z85" s="74">
        <f>VLOOKUP($A85,turnover!$A$184:$Q$192,+Z$4-$S$4+3,0)</f>
        <v>2.4000000000000004</v>
      </c>
      <c r="AA85" s="74">
        <f>VLOOKUP($A85,turnover!$A$184:$Q$192,+AA$4-$S$4+3,0)</f>
        <v>2.4000000000000004</v>
      </c>
      <c r="AB85" s="74">
        <f>VLOOKUP($A85,turnover!$A$184:$Q$192,+AB$4-$S$4+3,0)</f>
        <v>2.4000000000000004</v>
      </c>
      <c r="AC85" s="74">
        <f>VLOOKUP($A85,turnover!$A$184:$Q$192,+AC$4-$S$4+3,0)</f>
        <v>2.4000000000000004</v>
      </c>
      <c r="AD85" s="74">
        <f>VLOOKUP($A85,turnover!$A$184:$Q$192,+AD$4-$S$4+3,0)</f>
        <v>2.4000000000000004</v>
      </c>
      <c r="AE85" s="74">
        <f>VLOOKUP($A85,turnover!$A$184:$Q$192,+AE$4-$S$4+3,0)</f>
        <v>2.4000000000000004</v>
      </c>
      <c r="AF85" s="74">
        <f>VLOOKUP($A85,turnover!$A$184:$Q$192,+AF$4-$S$4+3,0)</f>
        <v>2.4000000000000004</v>
      </c>
      <c r="AG85" s="74">
        <f>VLOOKUP($A85,turnover!$A$184:$Q$192,+AG$4-$S$4+3,0)</f>
        <v>2.4000000000000004</v>
      </c>
      <c r="AH85" s="61">
        <f t="shared" si="64"/>
        <v>0</v>
      </c>
      <c r="AI85" s="61">
        <f t="shared" si="65"/>
        <v>0</v>
      </c>
      <c r="AJ85" s="61">
        <f t="shared" si="66"/>
        <v>0</v>
      </c>
      <c r="AK85" s="61">
        <f t="shared" si="67"/>
        <v>0</v>
      </c>
      <c r="AL85" s="61">
        <f t="shared" si="68"/>
        <v>0</v>
      </c>
      <c r="AM85" s="61">
        <f t="shared" si="69"/>
        <v>0</v>
      </c>
      <c r="AN85" s="61">
        <f t="shared" si="70"/>
        <v>20.000400000000006</v>
      </c>
      <c r="AO85" s="61">
        <f t="shared" si="71"/>
        <v>40.000800000000012</v>
      </c>
      <c r="AP85" s="61">
        <f t="shared" si="72"/>
        <v>40.000800000000012</v>
      </c>
      <c r="AQ85" s="61">
        <f t="shared" si="73"/>
        <v>40.000800000000012</v>
      </c>
      <c r="AR85" s="61">
        <f t="shared" si="74"/>
        <v>40.000800000000012</v>
      </c>
      <c r="AS85" s="61">
        <f t="shared" si="75"/>
        <v>40.000800000000012</v>
      </c>
      <c r="AT85" s="61">
        <f t="shared" si="76"/>
        <v>40.000800000000012</v>
      </c>
      <c r="AU85" s="61">
        <f t="shared" si="77"/>
        <v>40.000800000000012</v>
      </c>
      <c r="AV85" s="61">
        <f t="shared" si="78"/>
        <v>40.000800000000012</v>
      </c>
      <c r="AW85" s="101">
        <f>VLOOKUP($C85,'Cost RMs'!$B$5:$Q$22,+AW$4-$AW$4+2,0)</f>
        <v>0</v>
      </c>
      <c r="AX85" s="101">
        <f>VLOOKUP($C85,'Cost RMs'!$B$5:$Q$22,+AX$4-$AW$4+2,0)</f>
        <v>0</v>
      </c>
      <c r="AY85" s="101">
        <f>VLOOKUP($C85,'Cost RMs'!$B$5:$Q$22,+AY$4-$AW$4+2,0)</f>
        <v>0</v>
      </c>
      <c r="AZ85" s="101">
        <f>VLOOKUP($C85,'Cost RMs'!$B$5:$Q$22,+AZ$4-$AW$4+2,0)</f>
        <v>0</v>
      </c>
      <c r="BA85" s="101">
        <f>VLOOKUP($C85,'Cost RMs'!$B$5:$Q$22,+BA$4-$AW$4+2,0)</f>
        <v>2835</v>
      </c>
      <c r="BB85" s="101">
        <f>VLOOKUP($C85,'Cost RMs'!$B$5:$Q$22,+BB$4-$AW$4+2,0)</f>
        <v>3175</v>
      </c>
      <c r="BC85" s="101">
        <f>VLOOKUP($C85,'Cost RMs'!$B$5:$Q$22,+BC$4-$AW$4+2,0)</f>
        <v>3559</v>
      </c>
      <c r="BD85" s="101">
        <f>VLOOKUP($C85,'Cost RMs'!$B$5:$Q$22,+BD$4-$AW$4+2,0)</f>
        <v>3990</v>
      </c>
      <c r="BE85" s="101">
        <f>VLOOKUP($C85,'Cost RMs'!$B$5:$Q$22,+BE$4-$AW$4+2,0)</f>
        <v>4473</v>
      </c>
      <c r="BF85" s="101">
        <f>VLOOKUP($C85,'Cost RMs'!$B$5:$Q$22,+BF$4-$AW$4+2,0)</f>
        <v>5014</v>
      </c>
      <c r="BG85" s="101">
        <f>VLOOKUP($C85,'Cost RMs'!$B$5:$Q$22,+BG$4-$AW$4+2,0)</f>
        <v>5621</v>
      </c>
      <c r="BH85" s="101">
        <f>VLOOKUP($C85,'Cost RMs'!$B$5:$Q$22,+BH$4-$AW$4+2,0)</f>
        <v>6301</v>
      </c>
      <c r="BI85" s="101">
        <f>VLOOKUP($C85,'Cost RMs'!$B$5:$Q$22,+BI$4-$AW$4+2,0)</f>
        <v>7063</v>
      </c>
      <c r="BJ85" s="101">
        <f>VLOOKUP($C85,'Cost RMs'!$B$5:$Q$22,+BJ$4-$AW$4+2,0)</f>
        <v>7918</v>
      </c>
      <c r="BK85" s="101">
        <f>VLOOKUP($C85,'Cost RMs'!$B$5:$Q$22,+BK$4-$AW$4+2,0)</f>
        <v>8876</v>
      </c>
      <c r="BL85" s="102">
        <f t="shared" si="79"/>
        <v>0</v>
      </c>
      <c r="BM85" s="102">
        <f t="shared" si="80"/>
        <v>0</v>
      </c>
      <c r="BN85" s="102">
        <f t="shared" si="81"/>
        <v>0</v>
      </c>
      <c r="BO85" s="102">
        <f t="shared" si="82"/>
        <v>0</v>
      </c>
      <c r="BP85" s="102">
        <f t="shared" si="83"/>
        <v>0</v>
      </c>
      <c r="BQ85" s="102">
        <f t="shared" si="84"/>
        <v>0</v>
      </c>
      <c r="BR85" s="102">
        <f t="shared" si="85"/>
        <v>71181.423600000024</v>
      </c>
      <c r="BS85" s="102">
        <f t="shared" si="86"/>
        <v>159603.19200000004</v>
      </c>
      <c r="BT85" s="102">
        <f t="shared" si="87"/>
        <v>178923.57840000006</v>
      </c>
      <c r="BU85" s="102">
        <f t="shared" si="88"/>
        <v>200564.01120000007</v>
      </c>
      <c r="BV85" s="102">
        <f t="shared" si="89"/>
        <v>224844.49680000008</v>
      </c>
      <c r="BW85" s="102">
        <f t="shared" si="90"/>
        <v>252045.04080000008</v>
      </c>
      <c r="BX85" s="102">
        <f t="shared" si="91"/>
        <v>282525.6504000001</v>
      </c>
      <c r="BY85" s="102">
        <f t="shared" si="92"/>
        <v>316726.33440000011</v>
      </c>
      <c r="BZ85" s="102">
        <f t="shared" si="93"/>
        <v>355047.10080000013</v>
      </c>
    </row>
    <row r="86" spans="1:78" x14ac:dyDescent="0.25">
      <c r="A86" s="26" t="str">
        <f>+Assumptions!$A$36</f>
        <v>NPK 15-15-15</v>
      </c>
      <c r="B86" s="73">
        <f>+Assumptions!$R$52</f>
        <v>0.15</v>
      </c>
      <c r="C86" s="59" t="s">
        <v>547</v>
      </c>
      <c r="F86">
        <v>3.3330000000000002</v>
      </c>
      <c r="G86" s="61">
        <f t="shared" si="95"/>
        <v>3.3330000000000002</v>
      </c>
      <c r="H86" s="61">
        <f t="shared" si="95"/>
        <v>3.3330000000000002</v>
      </c>
      <c r="I86" s="61">
        <f t="shared" si="95"/>
        <v>3.3330000000000002</v>
      </c>
      <c r="J86" s="61">
        <f t="shared" si="95"/>
        <v>3.3330000000000002</v>
      </c>
      <c r="K86" s="61">
        <f t="shared" si="95"/>
        <v>3.3330000000000002</v>
      </c>
      <c r="L86" s="61">
        <f t="shared" si="95"/>
        <v>3.3330000000000002</v>
      </c>
      <c r="M86" s="61">
        <f t="shared" si="95"/>
        <v>3.3330000000000002</v>
      </c>
      <c r="N86" s="61">
        <f t="shared" si="95"/>
        <v>3.3330000000000002</v>
      </c>
      <c r="O86" s="61">
        <f t="shared" si="95"/>
        <v>3.3330000000000002</v>
      </c>
      <c r="P86" s="61">
        <f t="shared" si="95"/>
        <v>3.3330000000000002</v>
      </c>
      <c r="Q86" s="61">
        <f t="shared" si="95"/>
        <v>3.3330000000000002</v>
      </c>
      <c r="R86" s="61">
        <f t="shared" si="95"/>
        <v>3.3330000000000002</v>
      </c>
      <c r="S86" s="74">
        <f>VLOOKUP($A86,turnover!$A$184:$Q$192,+S$4-$S$4+3,0)</f>
        <v>0</v>
      </c>
      <c r="T86" s="74">
        <f>VLOOKUP($A86,turnover!$A$184:$Q$192,+T$4-$S$4+3,0)</f>
        <v>0</v>
      </c>
      <c r="U86" s="74">
        <f>VLOOKUP($A86,turnover!$A$184:$Q$192,+U$4-$S$4+3,0)</f>
        <v>0</v>
      </c>
      <c r="V86" s="74">
        <f>VLOOKUP($A86,turnover!$A$184:$Q$192,+V$4-$S$4+3,0)</f>
        <v>0</v>
      </c>
      <c r="W86" s="74">
        <f>VLOOKUP($A86,turnover!$A$184:$Q$192,+W$4-$S$4+3,0)</f>
        <v>0</v>
      </c>
      <c r="X86" s="74">
        <f>VLOOKUP($A86,turnover!$A$184:$Q$192,+X$4-$S$4+3,0)</f>
        <v>0</v>
      </c>
      <c r="Y86" s="74">
        <f>VLOOKUP($A86,turnover!$A$184:$Q$192,+Y$4-$S$4+3,0)</f>
        <v>1.2000000000000002</v>
      </c>
      <c r="Z86" s="74">
        <f>VLOOKUP($A86,turnover!$A$184:$Q$192,+Z$4-$S$4+3,0)</f>
        <v>2.4000000000000004</v>
      </c>
      <c r="AA86" s="74">
        <f>VLOOKUP($A86,turnover!$A$184:$Q$192,+AA$4-$S$4+3,0)</f>
        <v>2.4000000000000004</v>
      </c>
      <c r="AB86" s="74">
        <f>VLOOKUP($A86,turnover!$A$184:$Q$192,+AB$4-$S$4+3,0)</f>
        <v>2.4000000000000004</v>
      </c>
      <c r="AC86" s="74">
        <f>VLOOKUP($A86,turnover!$A$184:$Q$192,+AC$4-$S$4+3,0)</f>
        <v>2.4000000000000004</v>
      </c>
      <c r="AD86" s="74">
        <f>VLOOKUP($A86,turnover!$A$184:$Q$192,+AD$4-$S$4+3,0)</f>
        <v>2.4000000000000004</v>
      </c>
      <c r="AE86" s="74">
        <f>VLOOKUP($A86,turnover!$A$184:$Q$192,+AE$4-$S$4+3,0)</f>
        <v>2.4000000000000004</v>
      </c>
      <c r="AF86" s="74">
        <f>VLOOKUP($A86,turnover!$A$184:$Q$192,+AF$4-$S$4+3,0)</f>
        <v>2.4000000000000004</v>
      </c>
      <c r="AG86" s="74">
        <f>VLOOKUP($A86,turnover!$A$184:$Q$192,+AG$4-$S$4+3,0)</f>
        <v>2.4000000000000004</v>
      </c>
      <c r="AH86" s="61">
        <f t="shared" si="64"/>
        <v>0</v>
      </c>
      <c r="AI86" s="61">
        <f t="shared" si="65"/>
        <v>0</v>
      </c>
      <c r="AJ86" s="61">
        <f t="shared" si="66"/>
        <v>0</v>
      </c>
      <c r="AK86" s="61">
        <f t="shared" si="67"/>
        <v>0</v>
      </c>
      <c r="AL86" s="61">
        <f t="shared" si="68"/>
        <v>0</v>
      </c>
      <c r="AM86" s="61">
        <f t="shared" si="69"/>
        <v>0</v>
      </c>
      <c r="AN86" s="61">
        <f t="shared" si="70"/>
        <v>3.9996000000000009</v>
      </c>
      <c r="AO86" s="61">
        <f t="shared" si="71"/>
        <v>7.9992000000000019</v>
      </c>
      <c r="AP86" s="61">
        <f t="shared" si="72"/>
        <v>7.9992000000000019</v>
      </c>
      <c r="AQ86" s="61">
        <f t="shared" si="73"/>
        <v>7.9992000000000019</v>
      </c>
      <c r="AR86" s="61">
        <f t="shared" si="74"/>
        <v>7.9992000000000019</v>
      </c>
      <c r="AS86" s="61">
        <f t="shared" si="75"/>
        <v>7.9992000000000019</v>
      </c>
      <c r="AT86" s="61">
        <f t="shared" si="76"/>
        <v>7.9992000000000019</v>
      </c>
      <c r="AU86" s="61">
        <f t="shared" si="77"/>
        <v>7.9992000000000019</v>
      </c>
      <c r="AV86" s="61">
        <f t="shared" si="78"/>
        <v>7.9992000000000019</v>
      </c>
      <c r="AW86" s="101">
        <f>VLOOKUP($C86,'Cost RMs'!$B$5:$Q$22,+AW$4-$AW$4+2,0)</f>
        <v>0</v>
      </c>
      <c r="AX86" s="101">
        <f>VLOOKUP($C86,'Cost RMs'!$B$5:$Q$22,+AX$4-$AW$4+2,0)</f>
        <v>0</v>
      </c>
      <c r="AY86" s="101">
        <f>VLOOKUP($C86,'Cost RMs'!$B$5:$Q$22,+AY$4-$AW$4+2,0)</f>
        <v>0</v>
      </c>
      <c r="AZ86" s="101">
        <f>VLOOKUP($C86,'Cost RMs'!$B$5:$Q$22,+AZ$4-$AW$4+2,0)</f>
        <v>0</v>
      </c>
      <c r="BA86" s="101">
        <f>VLOOKUP($C86,'Cost RMs'!$B$5:$Q$22,+BA$4-$AW$4+2,0)</f>
        <v>3780</v>
      </c>
      <c r="BB86" s="101">
        <f>VLOOKUP($C86,'Cost RMs'!$B$5:$Q$22,+BB$4-$AW$4+2,0)</f>
        <v>4233</v>
      </c>
      <c r="BC86" s="101">
        <f>VLOOKUP($C86,'Cost RMs'!$B$5:$Q$22,+BC$4-$AW$4+2,0)</f>
        <v>4745</v>
      </c>
      <c r="BD86" s="101">
        <f>VLOOKUP($C86,'Cost RMs'!$B$5:$Q$22,+BD$4-$AW$4+2,0)</f>
        <v>5319</v>
      </c>
      <c r="BE86" s="101">
        <f>VLOOKUP($C86,'Cost RMs'!$B$5:$Q$22,+BE$4-$AW$4+2,0)</f>
        <v>5963</v>
      </c>
      <c r="BF86" s="101">
        <f>VLOOKUP($C86,'Cost RMs'!$B$5:$Q$22,+BF$4-$AW$4+2,0)</f>
        <v>6685</v>
      </c>
      <c r="BG86" s="101">
        <f>VLOOKUP($C86,'Cost RMs'!$B$5:$Q$22,+BG$4-$AW$4+2,0)</f>
        <v>7494</v>
      </c>
      <c r="BH86" s="101">
        <f>VLOOKUP($C86,'Cost RMs'!$B$5:$Q$22,+BH$4-$AW$4+2,0)</f>
        <v>8401</v>
      </c>
      <c r="BI86" s="101">
        <f>VLOOKUP($C86,'Cost RMs'!$B$5:$Q$22,+BI$4-$AW$4+2,0)</f>
        <v>9418</v>
      </c>
      <c r="BJ86" s="101">
        <f>VLOOKUP($C86,'Cost RMs'!$B$5:$Q$22,+BJ$4-$AW$4+2,0)</f>
        <v>10558</v>
      </c>
      <c r="BK86" s="101">
        <f>VLOOKUP($C86,'Cost RMs'!$B$5:$Q$22,+BK$4-$AW$4+2,0)</f>
        <v>11836</v>
      </c>
      <c r="BL86" s="102">
        <f t="shared" si="79"/>
        <v>0</v>
      </c>
      <c r="BM86" s="102">
        <f t="shared" si="80"/>
        <v>0</v>
      </c>
      <c r="BN86" s="102">
        <f t="shared" si="81"/>
        <v>0</v>
      </c>
      <c r="BO86" s="102">
        <f t="shared" si="82"/>
        <v>0</v>
      </c>
      <c r="BP86" s="102">
        <f t="shared" si="83"/>
        <v>0</v>
      </c>
      <c r="BQ86" s="102">
        <f t="shared" si="84"/>
        <v>0</v>
      </c>
      <c r="BR86" s="102">
        <f t="shared" si="85"/>
        <v>18978.102000000006</v>
      </c>
      <c r="BS86" s="102">
        <f t="shared" si="86"/>
        <v>42547.744800000008</v>
      </c>
      <c r="BT86" s="102">
        <f t="shared" si="87"/>
        <v>47699.229600000013</v>
      </c>
      <c r="BU86" s="102">
        <f t="shared" si="88"/>
        <v>53474.652000000009</v>
      </c>
      <c r="BV86" s="102">
        <f t="shared" si="89"/>
        <v>59946.004800000017</v>
      </c>
      <c r="BW86" s="102">
        <f t="shared" si="90"/>
        <v>67201.279200000019</v>
      </c>
      <c r="BX86" s="102">
        <f t="shared" si="91"/>
        <v>75336.46560000001</v>
      </c>
      <c r="BY86" s="102">
        <f t="shared" si="92"/>
        <v>84455.553600000014</v>
      </c>
      <c r="BZ86" s="102">
        <f t="shared" si="93"/>
        <v>94678.531200000027</v>
      </c>
    </row>
    <row r="87" spans="1:78" x14ac:dyDescent="0.25">
      <c r="A87" s="26" t="str">
        <f>+Assumptions!$A$37</f>
        <v>NPK 16-16-16</v>
      </c>
      <c r="B87" s="73">
        <f>+Assumptions!$R$53</f>
        <v>0.16</v>
      </c>
      <c r="C87" t="s">
        <v>123</v>
      </c>
      <c r="F87">
        <v>1.0629999999999999</v>
      </c>
      <c r="G87" s="61">
        <f t="shared" si="95"/>
        <v>1.0629999999999999</v>
      </c>
      <c r="H87" s="61">
        <f t="shared" si="95"/>
        <v>1.0629999999999999</v>
      </c>
      <c r="I87" s="61">
        <f t="shared" si="95"/>
        <v>1.0629999999999999</v>
      </c>
      <c r="J87" s="61">
        <f t="shared" si="95"/>
        <v>1.0629999999999999</v>
      </c>
      <c r="K87" s="61">
        <f t="shared" si="95"/>
        <v>1.0629999999999999</v>
      </c>
      <c r="L87" s="61">
        <f t="shared" si="95"/>
        <v>1.0629999999999999</v>
      </c>
      <c r="M87" s="61">
        <f t="shared" si="95"/>
        <v>1.0629999999999999</v>
      </c>
      <c r="N87" s="61">
        <f t="shared" si="95"/>
        <v>1.0629999999999999</v>
      </c>
      <c r="O87" s="61">
        <f t="shared" si="95"/>
        <v>1.0629999999999999</v>
      </c>
      <c r="P87" s="61">
        <f t="shared" si="95"/>
        <v>1.0629999999999999</v>
      </c>
      <c r="Q87" s="61">
        <f t="shared" si="95"/>
        <v>1.0629999999999999</v>
      </c>
      <c r="R87" s="61">
        <f t="shared" si="95"/>
        <v>1.0629999999999999</v>
      </c>
      <c r="S87" s="74">
        <f>VLOOKUP($A87,turnover!$A$184:$Q$192,+S$4-$S$4+3,0)</f>
        <v>0</v>
      </c>
      <c r="T87" s="74">
        <f>VLOOKUP($A87,turnover!$A$184:$Q$192,+T$4-$S$4+3,0)</f>
        <v>0</v>
      </c>
      <c r="U87" s="74">
        <f>VLOOKUP($A87,turnover!$A$184:$Q$192,+U$4-$S$4+3,0)</f>
        <v>0</v>
      </c>
      <c r="V87" s="74">
        <f>VLOOKUP($A87,turnover!$A$184:$Q$192,+V$4-$S$4+3,0)</f>
        <v>0</v>
      </c>
      <c r="W87" s="74">
        <f>VLOOKUP($A87,turnover!$A$184:$Q$192,+W$4-$S$4+3,0)</f>
        <v>0</v>
      </c>
      <c r="X87" s="74">
        <f>VLOOKUP($A87,turnover!$A$184:$Q$192,+X$4-$S$4+3,0)</f>
        <v>0</v>
      </c>
      <c r="Y87" s="74">
        <f>VLOOKUP($A87,turnover!$A$184:$Q$192,+Y$4-$S$4+3,0)</f>
        <v>8.9600000000000009</v>
      </c>
      <c r="Z87" s="74">
        <f>VLOOKUP($A87,turnover!$A$184:$Q$192,+Z$4-$S$4+3,0)</f>
        <v>17.920000000000002</v>
      </c>
      <c r="AA87" s="74">
        <f>VLOOKUP($A87,turnover!$A$184:$Q$192,+AA$4-$S$4+3,0)</f>
        <v>17.920000000000002</v>
      </c>
      <c r="AB87" s="74">
        <f>VLOOKUP($A87,turnover!$A$184:$Q$192,+AB$4-$S$4+3,0)</f>
        <v>17.920000000000002</v>
      </c>
      <c r="AC87" s="74">
        <f>VLOOKUP($A87,turnover!$A$184:$Q$192,+AC$4-$S$4+3,0)</f>
        <v>17.920000000000002</v>
      </c>
      <c r="AD87" s="74">
        <f>VLOOKUP($A87,turnover!$A$184:$Q$192,+AD$4-$S$4+3,0)</f>
        <v>17.920000000000002</v>
      </c>
      <c r="AE87" s="74">
        <f>VLOOKUP($A87,turnover!$A$184:$Q$192,+AE$4-$S$4+3,0)</f>
        <v>17.920000000000002</v>
      </c>
      <c r="AF87" s="74">
        <f>VLOOKUP($A87,turnover!$A$184:$Q$192,+AF$4-$S$4+3,0)</f>
        <v>17.920000000000002</v>
      </c>
      <c r="AG87" s="74">
        <f>VLOOKUP($A87,turnover!$A$184:$Q$192,+AG$4-$S$4+3,0)</f>
        <v>17.920000000000002</v>
      </c>
      <c r="AH87" s="61">
        <f t="shared" si="64"/>
        <v>0</v>
      </c>
      <c r="AI87" s="61">
        <f t="shared" si="65"/>
        <v>0</v>
      </c>
      <c r="AJ87" s="61">
        <f t="shared" si="66"/>
        <v>0</v>
      </c>
      <c r="AK87" s="61">
        <f t="shared" si="67"/>
        <v>0</v>
      </c>
      <c r="AL87" s="61">
        <f t="shared" si="68"/>
        <v>0</v>
      </c>
      <c r="AM87" s="61">
        <f t="shared" si="69"/>
        <v>0</v>
      </c>
      <c r="AN87" s="61">
        <f t="shared" si="70"/>
        <v>9.5244800000000005</v>
      </c>
      <c r="AO87" s="61">
        <f t="shared" si="71"/>
        <v>19.048960000000001</v>
      </c>
      <c r="AP87" s="61">
        <f t="shared" si="72"/>
        <v>19.048960000000001</v>
      </c>
      <c r="AQ87" s="61">
        <f t="shared" si="73"/>
        <v>19.048960000000001</v>
      </c>
      <c r="AR87" s="61">
        <f t="shared" si="74"/>
        <v>19.048960000000001</v>
      </c>
      <c r="AS87" s="61">
        <f t="shared" si="75"/>
        <v>19.048960000000001</v>
      </c>
      <c r="AT87" s="61">
        <f t="shared" si="76"/>
        <v>19.048960000000001</v>
      </c>
      <c r="AU87" s="61">
        <f t="shared" si="77"/>
        <v>19.048960000000001</v>
      </c>
      <c r="AV87" s="61">
        <f t="shared" si="78"/>
        <v>19.048960000000001</v>
      </c>
      <c r="AW87" s="101">
        <f>VLOOKUP($C87,'Cost RMs'!$B$5:$Q$22,+AW$4-$AW$4+2,0)</f>
        <v>191127</v>
      </c>
      <c r="AX87" s="101">
        <f>VLOOKUP($C87,'Cost RMs'!$B$5:$Q$22,+AX$4-$AW$4+2,0)</f>
        <v>196602</v>
      </c>
      <c r="AY87" s="101">
        <f>VLOOKUP($C87,'Cost RMs'!$B$5:$Q$22,+AY$4-$AW$4+2,0)</f>
        <v>209999</v>
      </c>
      <c r="AZ87" s="101">
        <f>VLOOKUP($C87,'Cost RMs'!$B$5:$Q$22,+AZ$4-$AW$4+2,0)</f>
        <v>266286</v>
      </c>
      <c r="BA87" s="101">
        <f>VLOOKUP($C87,'Cost RMs'!$B$5:$Q$22,+BA$4-$AW$4+2,0)</f>
        <v>275187</v>
      </c>
      <c r="BB87" s="101">
        <f>VLOOKUP($C87,'Cost RMs'!$B$5:$Q$22,+BB$4-$AW$4+2,0)</f>
        <v>308182</v>
      </c>
      <c r="BC87" s="101">
        <f>VLOOKUP($C87,'Cost RMs'!$B$5:$Q$22,+BC$4-$AW$4+2,0)</f>
        <v>345472</v>
      </c>
      <c r="BD87" s="101">
        <f>VLOOKUP($C87,'Cost RMs'!$B$5:$Q$22,+BD$4-$AW$4+2,0)</f>
        <v>387274</v>
      </c>
      <c r="BE87" s="101">
        <f>VLOOKUP($C87,'Cost RMs'!$B$5:$Q$22,+BE$4-$AW$4+2,0)</f>
        <v>434134</v>
      </c>
      <c r="BF87" s="101">
        <f>VLOOKUP($C87,'Cost RMs'!$B$5:$Q$22,+BF$4-$AW$4+2,0)</f>
        <v>486664</v>
      </c>
      <c r="BG87" s="101">
        <f>VLOOKUP($C87,'Cost RMs'!$B$5:$Q$22,+BG$4-$AW$4+2,0)</f>
        <v>545550</v>
      </c>
      <c r="BH87" s="101">
        <f>VLOOKUP($C87,'Cost RMs'!$B$5:$Q$22,+BH$4-$AW$4+2,0)</f>
        <v>611562</v>
      </c>
      <c r="BI87" s="101">
        <f>VLOOKUP($C87,'Cost RMs'!$B$5:$Q$22,+BI$4-$AW$4+2,0)</f>
        <v>685561</v>
      </c>
      <c r="BJ87" s="101">
        <f>VLOOKUP($C87,'Cost RMs'!$B$5:$Q$22,+BJ$4-$AW$4+2,0)</f>
        <v>768514</v>
      </c>
      <c r="BK87" s="101">
        <f>VLOOKUP($C87,'Cost RMs'!$B$5:$Q$22,+BK$4-$AW$4+2,0)</f>
        <v>861504</v>
      </c>
      <c r="BL87" s="102">
        <f t="shared" si="79"/>
        <v>0</v>
      </c>
      <c r="BM87" s="102">
        <f t="shared" si="80"/>
        <v>0</v>
      </c>
      <c r="BN87" s="102">
        <f t="shared" si="81"/>
        <v>0</v>
      </c>
      <c r="BO87" s="102">
        <f t="shared" si="82"/>
        <v>0</v>
      </c>
      <c r="BP87" s="102">
        <f t="shared" si="83"/>
        <v>0</v>
      </c>
      <c r="BQ87" s="102">
        <f t="shared" si="84"/>
        <v>0</v>
      </c>
      <c r="BR87" s="102">
        <f t="shared" si="85"/>
        <v>3290441.1545600002</v>
      </c>
      <c r="BS87" s="102">
        <f t="shared" si="86"/>
        <v>7377166.9350400008</v>
      </c>
      <c r="BT87" s="102">
        <f t="shared" si="87"/>
        <v>8269801.2006400004</v>
      </c>
      <c r="BU87" s="102">
        <f t="shared" si="88"/>
        <v>9270443.0694399998</v>
      </c>
      <c r="BV87" s="102">
        <f t="shared" si="89"/>
        <v>10392160.128</v>
      </c>
      <c r="BW87" s="102">
        <f t="shared" si="90"/>
        <v>11649620.075520001</v>
      </c>
      <c r="BX87" s="102">
        <f t="shared" si="91"/>
        <v>13059224.06656</v>
      </c>
      <c r="BY87" s="102">
        <f t="shared" si="92"/>
        <v>14639392.44544</v>
      </c>
      <c r="BZ87" s="102">
        <f t="shared" si="93"/>
        <v>16410755.23584</v>
      </c>
    </row>
    <row r="88" spans="1:78" x14ac:dyDescent="0.25">
      <c r="A88" s="26" t="str">
        <f>+Assumptions!$A$37</f>
        <v>NPK 16-16-16</v>
      </c>
      <c r="B88" s="73">
        <f>+Assumptions!$R$53</f>
        <v>0.16</v>
      </c>
      <c r="C88" t="s">
        <v>124</v>
      </c>
      <c r="F88">
        <v>1.202</v>
      </c>
      <c r="G88" s="61">
        <f t="shared" si="95"/>
        <v>1.202</v>
      </c>
      <c r="H88" s="61">
        <f t="shared" ref="H88:R102" si="96">G88</f>
        <v>1.202</v>
      </c>
      <c r="I88" s="61">
        <f t="shared" si="96"/>
        <v>1.202</v>
      </c>
      <c r="J88" s="61">
        <f t="shared" si="96"/>
        <v>1.202</v>
      </c>
      <c r="K88" s="61">
        <f t="shared" si="96"/>
        <v>1.202</v>
      </c>
      <c r="L88" s="61">
        <f t="shared" si="96"/>
        <v>1.202</v>
      </c>
      <c r="M88" s="61">
        <f t="shared" si="96"/>
        <v>1.202</v>
      </c>
      <c r="N88" s="61">
        <f t="shared" si="96"/>
        <v>1.202</v>
      </c>
      <c r="O88" s="61">
        <f t="shared" si="96"/>
        <v>1.202</v>
      </c>
      <c r="P88" s="61">
        <f t="shared" si="96"/>
        <v>1.202</v>
      </c>
      <c r="Q88" s="61">
        <f t="shared" si="96"/>
        <v>1.202</v>
      </c>
      <c r="R88" s="61">
        <f t="shared" si="96"/>
        <v>1.202</v>
      </c>
      <c r="S88" s="74">
        <f>VLOOKUP($A88,turnover!$A$184:$Q$192,+S$4-$S$4+3,0)</f>
        <v>0</v>
      </c>
      <c r="T88" s="74">
        <f>VLOOKUP($A88,turnover!$A$184:$Q$192,+T$4-$S$4+3,0)</f>
        <v>0</v>
      </c>
      <c r="U88" s="74">
        <f>VLOOKUP($A88,turnover!$A$184:$Q$192,+U$4-$S$4+3,0)</f>
        <v>0</v>
      </c>
      <c r="V88" s="74">
        <f>VLOOKUP($A88,turnover!$A$184:$Q$192,+V$4-$S$4+3,0)</f>
        <v>0</v>
      </c>
      <c r="W88" s="74">
        <f>VLOOKUP($A88,turnover!$A$184:$Q$192,+W$4-$S$4+3,0)</f>
        <v>0</v>
      </c>
      <c r="X88" s="74">
        <f>VLOOKUP($A88,turnover!$A$184:$Q$192,+X$4-$S$4+3,0)</f>
        <v>0</v>
      </c>
      <c r="Y88" s="74">
        <f>VLOOKUP($A88,turnover!$A$184:$Q$192,+Y$4-$S$4+3,0)</f>
        <v>8.9600000000000009</v>
      </c>
      <c r="Z88" s="74">
        <f>VLOOKUP($A88,turnover!$A$184:$Q$192,+Z$4-$S$4+3,0)</f>
        <v>17.920000000000002</v>
      </c>
      <c r="AA88" s="74">
        <f>VLOOKUP($A88,turnover!$A$184:$Q$192,+AA$4-$S$4+3,0)</f>
        <v>17.920000000000002</v>
      </c>
      <c r="AB88" s="74">
        <f>VLOOKUP($A88,turnover!$A$184:$Q$192,+AB$4-$S$4+3,0)</f>
        <v>17.920000000000002</v>
      </c>
      <c r="AC88" s="74">
        <f>VLOOKUP($A88,turnover!$A$184:$Q$192,+AC$4-$S$4+3,0)</f>
        <v>17.920000000000002</v>
      </c>
      <c r="AD88" s="74">
        <f>VLOOKUP($A88,turnover!$A$184:$Q$192,+AD$4-$S$4+3,0)</f>
        <v>17.920000000000002</v>
      </c>
      <c r="AE88" s="74">
        <f>VLOOKUP($A88,turnover!$A$184:$Q$192,+AE$4-$S$4+3,0)</f>
        <v>17.920000000000002</v>
      </c>
      <c r="AF88" s="74">
        <f>VLOOKUP($A88,turnover!$A$184:$Q$192,+AF$4-$S$4+3,0)</f>
        <v>17.920000000000002</v>
      </c>
      <c r="AG88" s="74">
        <f>VLOOKUP($A88,turnover!$A$184:$Q$192,+AG$4-$S$4+3,0)</f>
        <v>17.920000000000002</v>
      </c>
      <c r="AH88" s="61">
        <f t="shared" si="64"/>
        <v>0</v>
      </c>
      <c r="AI88" s="61">
        <f t="shared" si="65"/>
        <v>0</v>
      </c>
      <c r="AJ88" s="61">
        <f t="shared" si="66"/>
        <v>0</v>
      </c>
      <c r="AK88" s="61">
        <f t="shared" si="67"/>
        <v>0</v>
      </c>
      <c r="AL88" s="61">
        <f t="shared" si="68"/>
        <v>0</v>
      </c>
      <c r="AM88" s="61">
        <f t="shared" si="69"/>
        <v>0</v>
      </c>
      <c r="AN88" s="61">
        <f t="shared" si="70"/>
        <v>10.769920000000001</v>
      </c>
      <c r="AO88" s="61">
        <f t="shared" si="71"/>
        <v>21.539840000000002</v>
      </c>
      <c r="AP88" s="61">
        <f t="shared" si="72"/>
        <v>21.539840000000002</v>
      </c>
      <c r="AQ88" s="61">
        <f t="shared" si="73"/>
        <v>21.539840000000002</v>
      </c>
      <c r="AR88" s="61">
        <f t="shared" si="74"/>
        <v>21.539840000000002</v>
      </c>
      <c r="AS88" s="61">
        <f t="shared" si="75"/>
        <v>21.539840000000002</v>
      </c>
      <c r="AT88" s="61">
        <f t="shared" si="76"/>
        <v>21.539840000000002</v>
      </c>
      <c r="AU88" s="61">
        <f t="shared" si="77"/>
        <v>21.539840000000002</v>
      </c>
      <c r="AV88" s="61">
        <f t="shared" si="78"/>
        <v>21.539840000000002</v>
      </c>
      <c r="AW88" s="101">
        <f>VLOOKUP($C88,'Cost RMs'!$B$5:$Q$22,+AW$4-$AW$4+2,0)</f>
        <v>235089</v>
      </c>
      <c r="AX88" s="101">
        <f>VLOOKUP($C88,'Cost RMs'!$B$5:$Q$22,+AX$4-$AW$4+2,0)</f>
        <v>283888</v>
      </c>
      <c r="AY88" s="101">
        <f>VLOOKUP($C88,'Cost RMs'!$B$5:$Q$22,+AY$4-$AW$4+2,0)</f>
        <v>306490</v>
      </c>
      <c r="AZ88" s="101">
        <f>VLOOKUP($C88,'Cost RMs'!$B$5:$Q$22,+AZ$4-$AW$4+2,0)</f>
        <v>318975</v>
      </c>
      <c r="BA88" s="101">
        <f>VLOOKUP($C88,'Cost RMs'!$B$5:$Q$22,+BA$4-$AW$4+2,0)</f>
        <v>365112</v>
      </c>
      <c r="BB88" s="101">
        <f>VLOOKUP($C88,'Cost RMs'!$B$5:$Q$22,+BB$4-$AW$4+2,0)</f>
        <v>408889</v>
      </c>
      <c r="BC88" s="101">
        <f>VLOOKUP($C88,'Cost RMs'!$B$5:$Q$22,+BC$4-$AW$4+2,0)</f>
        <v>458365</v>
      </c>
      <c r="BD88" s="101">
        <f>VLOOKUP($C88,'Cost RMs'!$B$5:$Q$22,+BD$4-$AW$4+2,0)</f>
        <v>513827</v>
      </c>
      <c r="BE88" s="101">
        <f>VLOOKUP($C88,'Cost RMs'!$B$5:$Q$22,+BE$4-$AW$4+2,0)</f>
        <v>576000</v>
      </c>
      <c r="BF88" s="101">
        <f>VLOOKUP($C88,'Cost RMs'!$B$5:$Q$22,+BF$4-$AW$4+2,0)</f>
        <v>645696</v>
      </c>
      <c r="BG88" s="101">
        <f>VLOOKUP($C88,'Cost RMs'!$B$5:$Q$22,+BG$4-$AW$4+2,0)</f>
        <v>723825</v>
      </c>
      <c r="BH88" s="101">
        <f>VLOOKUP($C88,'Cost RMs'!$B$5:$Q$22,+BH$4-$AW$4+2,0)</f>
        <v>811408</v>
      </c>
      <c r="BI88" s="101">
        <f>VLOOKUP($C88,'Cost RMs'!$B$5:$Q$22,+BI$4-$AW$4+2,0)</f>
        <v>909588</v>
      </c>
      <c r="BJ88" s="101">
        <f>VLOOKUP($C88,'Cost RMs'!$B$5:$Q$22,+BJ$4-$AW$4+2,0)</f>
        <v>1019648</v>
      </c>
      <c r="BK88" s="101">
        <f>VLOOKUP($C88,'Cost RMs'!$B$5:$Q$22,+BK$4-$AW$4+2,0)</f>
        <v>1143025</v>
      </c>
      <c r="BL88" s="102">
        <f t="shared" si="79"/>
        <v>0</v>
      </c>
      <c r="BM88" s="102">
        <f t="shared" si="80"/>
        <v>0</v>
      </c>
      <c r="BN88" s="102">
        <f t="shared" si="81"/>
        <v>0</v>
      </c>
      <c r="BO88" s="102">
        <f t="shared" si="82"/>
        <v>0</v>
      </c>
      <c r="BP88" s="102">
        <f t="shared" si="83"/>
        <v>0</v>
      </c>
      <c r="BQ88" s="102">
        <f t="shared" si="84"/>
        <v>0</v>
      </c>
      <c r="BR88" s="102">
        <f t="shared" si="85"/>
        <v>4936554.3808000004</v>
      </c>
      <c r="BS88" s="102">
        <f t="shared" si="86"/>
        <v>11067751.36768</v>
      </c>
      <c r="BT88" s="102">
        <f t="shared" si="87"/>
        <v>12406947.840000002</v>
      </c>
      <c r="BU88" s="102">
        <f t="shared" si="88"/>
        <v>13908188.52864</v>
      </c>
      <c r="BV88" s="102">
        <f t="shared" si="89"/>
        <v>15591074.688000001</v>
      </c>
      <c r="BW88" s="102">
        <f t="shared" si="90"/>
        <v>17477598.494720001</v>
      </c>
      <c r="BX88" s="102">
        <f t="shared" si="91"/>
        <v>19592379.985920001</v>
      </c>
      <c r="BY88" s="102">
        <f t="shared" si="92"/>
        <v>21963054.776320003</v>
      </c>
      <c r="BZ88" s="102">
        <f t="shared" si="93"/>
        <v>24620575.616</v>
      </c>
    </row>
    <row r="89" spans="1:78" x14ac:dyDescent="0.25">
      <c r="A89" s="26" t="str">
        <f>+Assumptions!$A$37</f>
        <v>NPK 16-16-16</v>
      </c>
      <c r="B89" s="73">
        <f>+Assumptions!$R$53</f>
        <v>0.16</v>
      </c>
      <c r="C89" t="s">
        <v>125</v>
      </c>
      <c r="G89" s="61">
        <f t="shared" si="95"/>
        <v>0</v>
      </c>
      <c r="H89" s="61">
        <f t="shared" si="96"/>
        <v>0</v>
      </c>
      <c r="I89" s="61">
        <f t="shared" si="96"/>
        <v>0</v>
      </c>
      <c r="J89" s="61">
        <f t="shared" si="96"/>
        <v>0</v>
      </c>
      <c r="K89" s="61">
        <f t="shared" si="96"/>
        <v>0</v>
      </c>
      <c r="L89" s="61">
        <f t="shared" si="96"/>
        <v>0</v>
      </c>
      <c r="M89" s="61">
        <f t="shared" si="96"/>
        <v>0</v>
      </c>
      <c r="N89" s="61">
        <f t="shared" si="96"/>
        <v>0</v>
      </c>
      <c r="O89" s="61">
        <f t="shared" si="96"/>
        <v>0</v>
      </c>
      <c r="P89" s="61">
        <f t="shared" si="96"/>
        <v>0</v>
      </c>
      <c r="Q89" s="61">
        <f t="shared" si="96"/>
        <v>0</v>
      </c>
      <c r="R89" s="61">
        <f t="shared" si="96"/>
        <v>0</v>
      </c>
      <c r="S89" s="74">
        <f>VLOOKUP($A89,turnover!$A$184:$Q$192,+S$4-$S$4+3,0)</f>
        <v>0</v>
      </c>
      <c r="T89" s="74">
        <f>VLOOKUP($A89,turnover!$A$184:$Q$192,+T$4-$S$4+3,0)</f>
        <v>0</v>
      </c>
      <c r="U89" s="74">
        <f>VLOOKUP($A89,turnover!$A$184:$Q$192,+U$4-$S$4+3,0)</f>
        <v>0</v>
      </c>
      <c r="V89" s="74">
        <f>VLOOKUP($A89,turnover!$A$184:$Q$192,+V$4-$S$4+3,0)</f>
        <v>0</v>
      </c>
      <c r="W89" s="74">
        <f>VLOOKUP($A89,turnover!$A$184:$Q$192,+W$4-$S$4+3,0)</f>
        <v>0</v>
      </c>
      <c r="X89" s="74">
        <f>VLOOKUP($A89,turnover!$A$184:$Q$192,+X$4-$S$4+3,0)</f>
        <v>0</v>
      </c>
      <c r="Y89" s="74">
        <f>VLOOKUP($A89,turnover!$A$184:$Q$192,+Y$4-$S$4+3,0)</f>
        <v>8.9600000000000009</v>
      </c>
      <c r="Z89" s="74">
        <f>VLOOKUP($A89,turnover!$A$184:$Q$192,+Z$4-$S$4+3,0)</f>
        <v>17.920000000000002</v>
      </c>
      <c r="AA89" s="74">
        <f>VLOOKUP($A89,turnover!$A$184:$Q$192,+AA$4-$S$4+3,0)</f>
        <v>17.920000000000002</v>
      </c>
      <c r="AB89" s="74">
        <f>VLOOKUP($A89,turnover!$A$184:$Q$192,+AB$4-$S$4+3,0)</f>
        <v>17.920000000000002</v>
      </c>
      <c r="AC89" s="74">
        <f>VLOOKUP($A89,turnover!$A$184:$Q$192,+AC$4-$S$4+3,0)</f>
        <v>17.920000000000002</v>
      </c>
      <c r="AD89" s="74">
        <f>VLOOKUP($A89,turnover!$A$184:$Q$192,+AD$4-$S$4+3,0)</f>
        <v>17.920000000000002</v>
      </c>
      <c r="AE89" s="74">
        <f>VLOOKUP($A89,turnover!$A$184:$Q$192,+AE$4-$S$4+3,0)</f>
        <v>17.920000000000002</v>
      </c>
      <c r="AF89" s="74">
        <f>VLOOKUP($A89,turnover!$A$184:$Q$192,+AF$4-$S$4+3,0)</f>
        <v>17.920000000000002</v>
      </c>
      <c r="AG89" s="74">
        <f>VLOOKUP($A89,turnover!$A$184:$Q$192,+AG$4-$S$4+3,0)</f>
        <v>17.920000000000002</v>
      </c>
      <c r="AH89" s="61">
        <f t="shared" si="64"/>
        <v>0</v>
      </c>
      <c r="AI89" s="61">
        <f t="shared" si="65"/>
        <v>0</v>
      </c>
      <c r="AJ89" s="61">
        <f t="shared" si="66"/>
        <v>0</v>
      </c>
      <c r="AK89" s="61">
        <f t="shared" si="67"/>
        <v>0</v>
      </c>
      <c r="AL89" s="61">
        <f t="shared" si="68"/>
        <v>0</v>
      </c>
      <c r="AM89" s="61">
        <f t="shared" si="69"/>
        <v>0</v>
      </c>
      <c r="AN89" s="61">
        <f t="shared" si="70"/>
        <v>0</v>
      </c>
      <c r="AO89" s="61">
        <f t="shared" si="71"/>
        <v>0</v>
      </c>
      <c r="AP89" s="61">
        <f t="shared" si="72"/>
        <v>0</v>
      </c>
      <c r="AQ89" s="61">
        <f t="shared" si="73"/>
        <v>0</v>
      </c>
      <c r="AR89" s="61">
        <f t="shared" si="74"/>
        <v>0</v>
      </c>
      <c r="AS89" s="61">
        <f t="shared" si="75"/>
        <v>0</v>
      </c>
      <c r="AT89" s="61">
        <f t="shared" si="76"/>
        <v>0</v>
      </c>
      <c r="AU89" s="61">
        <f t="shared" si="77"/>
        <v>0</v>
      </c>
      <c r="AV89" s="61">
        <f t="shared" si="78"/>
        <v>0</v>
      </c>
      <c r="AW89" s="101">
        <f>VLOOKUP($C89,'Cost RMs'!$B$5:$Q$22,+AW$4-$AW$4+2,0)</f>
        <v>266257</v>
      </c>
      <c r="AX89" s="101">
        <f>VLOOKUP($C89,'Cost RMs'!$B$5:$Q$22,+AX$4-$AW$4+2,0)</f>
        <v>266257</v>
      </c>
      <c r="AY89" s="101">
        <f>VLOOKUP($C89,'Cost RMs'!$B$5:$Q$22,+AY$4-$AW$4+2,0)</f>
        <v>266257</v>
      </c>
      <c r="AZ89" s="101">
        <f ca="1">VLOOKUP($C89,'Cost RMs'!$B$5:$Q$22,+AZ$4-$AW$4+2,0)</f>
        <v>266257</v>
      </c>
      <c r="BA89" s="101">
        <f ca="1">VLOOKUP($C89,'Cost RMs'!$B$5:$Q$22,+BA$4-$AW$4+2,0)</f>
        <v>266257</v>
      </c>
      <c r="BB89" s="101">
        <f ca="1">VLOOKUP($C89,'Cost RMs'!$B$5:$Q$22,+BB$4-$AW$4+2,0)</f>
        <v>298181</v>
      </c>
      <c r="BC89" s="101">
        <f ca="1">VLOOKUP($C89,'Cost RMs'!$B$5:$Q$22,+BC$4-$AW$4+2,0)</f>
        <v>334261</v>
      </c>
      <c r="BD89" s="101">
        <f ca="1">VLOOKUP($C89,'Cost RMs'!$B$5:$Q$22,+BD$4-$AW$4+2,0)</f>
        <v>374707</v>
      </c>
      <c r="BE89" s="101">
        <f ca="1">VLOOKUP($C89,'Cost RMs'!$B$5:$Q$22,+BE$4-$AW$4+2,0)</f>
        <v>420047</v>
      </c>
      <c r="BF89" s="101">
        <f ca="1">VLOOKUP($C89,'Cost RMs'!$B$5:$Q$22,+BF$4-$AW$4+2,0)</f>
        <v>470873</v>
      </c>
      <c r="BG89" s="101">
        <f ca="1">VLOOKUP($C89,'Cost RMs'!$B$5:$Q$22,+BG$4-$AW$4+2,0)</f>
        <v>527849</v>
      </c>
      <c r="BH89" s="101">
        <f ca="1">VLOOKUP($C89,'Cost RMs'!$B$5:$Q$22,+BH$4-$AW$4+2,0)</f>
        <v>591719</v>
      </c>
      <c r="BI89" s="101">
        <f ca="1">VLOOKUP($C89,'Cost RMs'!$B$5:$Q$22,+BI$4-$AW$4+2,0)</f>
        <v>663317</v>
      </c>
      <c r="BJ89" s="101">
        <f ca="1">VLOOKUP($C89,'Cost RMs'!$B$5:$Q$22,+BJ$4-$AW$4+2,0)</f>
        <v>743578</v>
      </c>
      <c r="BK89" s="101">
        <f ca="1">VLOOKUP($C89,'Cost RMs'!$B$5:$Q$22,+BK$4-$AW$4+2,0)</f>
        <v>833551</v>
      </c>
      <c r="BL89" s="102">
        <f t="shared" si="79"/>
        <v>0</v>
      </c>
      <c r="BM89" s="102">
        <f t="shared" si="80"/>
        <v>0</v>
      </c>
      <c r="BN89" s="102">
        <f t="shared" si="81"/>
        <v>0</v>
      </c>
      <c r="BO89" s="102">
        <f t="shared" ca="1" si="82"/>
        <v>0</v>
      </c>
      <c r="BP89" s="102">
        <f t="shared" ca="1" si="83"/>
        <v>0</v>
      </c>
      <c r="BQ89" s="102">
        <f t="shared" ca="1" si="84"/>
        <v>0</v>
      </c>
      <c r="BR89" s="102">
        <f t="shared" ca="1" si="85"/>
        <v>0</v>
      </c>
      <c r="BS89" s="102">
        <f t="shared" ca="1" si="86"/>
        <v>0</v>
      </c>
      <c r="BT89" s="102">
        <f t="shared" ca="1" si="87"/>
        <v>0</v>
      </c>
      <c r="BU89" s="102">
        <f t="shared" ca="1" si="88"/>
        <v>0</v>
      </c>
      <c r="BV89" s="102">
        <f t="shared" ca="1" si="89"/>
        <v>0</v>
      </c>
      <c r="BW89" s="102">
        <f t="shared" ca="1" si="90"/>
        <v>0</v>
      </c>
      <c r="BX89" s="102">
        <f t="shared" ca="1" si="91"/>
        <v>0</v>
      </c>
      <c r="BY89" s="102">
        <f t="shared" ca="1" si="92"/>
        <v>0</v>
      </c>
      <c r="BZ89" s="102">
        <f t="shared" ca="1" si="93"/>
        <v>0</v>
      </c>
    </row>
    <row r="90" spans="1:78" x14ac:dyDescent="0.25">
      <c r="A90" s="26" t="str">
        <f>+Assumptions!$A$37</f>
        <v>NPK 16-16-16</v>
      </c>
      <c r="B90" s="73">
        <f>+Assumptions!$R$53</f>
        <v>0.16</v>
      </c>
      <c r="C90" t="s">
        <v>126</v>
      </c>
      <c r="G90" s="61">
        <f t="shared" si="95"/>
        <v>0</v>
      </c>
      <c r="H90" s="61">
        <f t="shared" si="96"/>
        <v>0</v>
      </c>
      <c r="I90" s="61">
        <f t="shared" si="96"/>
        <v>0</v>
      </c>
      <c r="J90" s="61">
        <f t="shared" si="96"/>
        <v>0</v>
      </c>
      <c r="K90" s="61">
        <f t="shared" si="96"/>
        <v>0</v>
      </c>
      <c r="L90" s="61">
        <f t="shared" si="96"/>
        <v>0</v>
      </c>
      <c r="M90" s="61">
        <f t="shared" si="96"/>
        <v>0</v>
      </c>
      <c r="N90" s="61">
        <f t="shared" si="96"/>
        <v>0</v>
      </c>
      <c r="O90" s="61">
        <f t="shared" si="96"/>
        <v>0</v>
      </c>
      <c r="P90" s="61">
        <f t="shared" si="96"/>
        <v>0</v>
      </c>
      <c r="Q90" s="61">
        <f t="shared" si="96"/>
        <v>0</v>
      </c>
      <c r="R90" s="61">
        <f t="shared" si="96"/>
        <v>0</v>
      </c>
      <c r="S90" s="74">
        <f>VLOOKUP($A90,turnover!$A$184:$Q$192,+S$4-$S$4+3,0)</f>
        <v>0</v>
      </c>
      <c r="T90" s="74">
        <f>VLOOKUP($A90,turnover!$A$184:$Q$192,+T$4-$S$4+3,0)</f>
        <v>0</v>
      </c>
      <c r="U90" s="74">
        <f>VLOOKUP($A90,turnover!$A$184:$Q$192,+U$4-$S$4+3,0)</f>
        <v>0</v>
      </c>
      <c r="V90" s="74">
        <f>VLOOKUP($A90,turnover!$A$184:$Q$192,+V$4-$S$4+3,0)</f>
        <v>0</v>
      </c>
      <c r="W90" s="74">
        <f>VLOOKUP($A90,turnover!$A$184:$Q$192,+W$4-$S$4+3,0)</f>
        <v>0</v>
      </c>
      <c r="X90" s="74">
        <f>VLOOKUP($A90,turnover!$A$184:$Q$192,+X$4-$S$4+3,0)</f>
        <v>0</v>
      </c>
      <c r="Y90" s="74">
        <f>VLOOKUP($A90,turnover!$A$184:$Q$192,+Y$4-$S$4+3,0)</f>
        <v>8.9600000000000009</v>
      </c>
      <c r="Z90" s="74">
        <f>VLOOKUP($A90,turnover!$A$184:$Q$192,+Z$4-$S$4+3,0)</f>
        <v>17.920000000000002</v>
      </c>
      <c r="AA90" s="74">
        <f>VLOOKUP($A90,turnover!$A$184:$Q$192,+AA$4-$S$4+3,0)</f>
        <v>17.920000000000002</v>
      </c>
      <c r="AB90" s="74">
        <f>VLOOKUP($A90,turnover!$A$184:$Q$192,+AB$4-$S$4+3,0)</f>
        <v>17.920000000000002</v>
      </c>
      <c r="AC90" s="74">
        <f>VLOOKUP($A90,turnover!$A$184:$Q$192,+AC$4-$S$4+3,0)</f>
        <v>17.920000000000002</v>
      </c>
      <c r="AD90" s="74">
        <f>VLOOKUP($A90,turnover!$A$184:$Q$192,+AD$4-$S$4+3,0)</f>
        <v>17.920000000000002</v>
      </c>
      <c r="AE90" s="74">
        <f>VLOOKUP($A90,turnover!$A$184:$Q$192,+AE$4-$S$4+3,0)</f>
        <v>17.920000000000002</v>
      </c>
      <c r="AF90" s="74">
        <f>VLOOKUP($A90,turnover!$A$184:$Q$192,+AF$4-$S$4+3,0)</f>
        <v>17.920000000000002</v>
      </c>
      <c r="AG90" s="74">
        <f>VLOOKUP($A90,turnover!$A$184:$Q$192,+AG$4-$S$4+3,0)</f>
        <v>17.920000000000002</v>
      </c>
      <c r="AH90" s="61">
        <f t="shared" si="64"/>
        <v>0</v>
      </c>
      <c r="AI90" s="61">
        <f t="shared" si="65"/>
        <v>0</v>
      </c>
      <c r="AJ90" s="61">
        <f t="shared" si="66"/>
        <v>0</v>
      </c>
      <c r="AK90" s="61">
        <f t="shared" si="67"/>
        <v>0</v>
      </c>
      <c r="AL90" s="61">
        <f t="shared" si="68"/>
        <v>0</v>
      </c>
      <c r="AM90" s="61">
        <f t="shared" si="69"/>
        <v>0</v>
      </c>
      <c r="AN90" s="61">
        <f t="shared" si="70"/>
        <v>0</v>
      </c>
      <c r="AO90" s="61">
        <f t="shared" si="71"/>
        <v>0</v>
      </c>
      <c r="AP90" s="61">
        <f t="shared" si="72"/>
        <v>0</v>
      </c>
      <c r="AQ90" s="61">
        <f t="shared" si="73"/>
        <v>0</v>
      </c>
      <c r="AR90" s="61">
        <f t="shared" si="74"/>
        <v>0</v>
      </c>
      <c r="AS90" s="61">
        <f t="shared" si="75"/>
        <v>0</v>
      </c>
      <c r="AT90" s="61">
        <f t="shared" si="76"/>
        <v>0</v>
      </c>
      <c r="AU90" s="61">
        <f t="shared" si="77"/>
        <v>0</v>
      </c>
      <c r="AV90" s="61">
        <f t="shared" si="78"/>
        <v>0</v>
      </c>
      <c r="AW90" s="101">
        <f>VLOOKUP($C90,'Cost RMs'!$B$5:$Q$22,+AW$4-$AW$4+2,0)</f>
        <v>248821</v>
      </c>
      <c r="AX90" s="101">
        <f>VLOOKUP($C90,'Cost RMs'!$B$5:$Q$22,+AX$4-$AW$4+2,0)</f>
        <v>290296</v>
      </c>
      <c r="AY90" s="101">
        <f>VLOOKUP($C90,'Cost RMs'!$B$5:$Q$22,+AY$4-$AW$4+2,0)</f>
        <v>316267</v>
      </c>
      <c r="AZ90" s="101">
        <f>VLOOKUP($C90,'Cost RMs'!$B$5:$Q$22,+AZ$4-$AW$4+2,0)</f>
        <v>337089</v>
      </c>
      <c r="BA90" s="101">
        <f>VLOOKUP($C90,'Cost RMs'!$B$5:$Q$22,+BA$4-$AW$4+2,0)</f>
        <v>408568</v>
      </c>
      <c r="BB90" s="101">
        <f>VLOOKUP($C90,'Cost RMs'!$B$5:$Q$22,+BB$4-$AW$4+2,0)</f>
        <v>457555</v>
      </c>
      <c r="BC90" s="101">
        <f>VLOOKUP($C90,'Cost RMs'!$B$5:$Q$22,+BC$4-$AW$4+2,0)</f>
        <v>512919</v>
      </c>
      <c r="BD90" s="101">
        <f>VLOOKUP($C90,'Cost RMs'!$B$5:$Q$22,+BD$4-$AW$4+2,0)</f>
        <v>574982</v>
      </c>
      <c r="BE90" s="101">
        <f>VLOOKUP($C90,'Cost RMs'!$B$5:$Q$22,+BE$4-$AW$4+2,0)</f>
        <v>644555</v>
      </c>
      <c r="BF90" s="101">
        <f>VLOOKUP($C90,'Cost RMs'!$B$5:$Q$22,+BF$4-$AW$4+2,0)</f>
        <v>722546</v>
      </c>
      <c r="BG90" s="101">
        <f>VLOOKUP($C90,'Cost RMs'!$B$5:$Q$22,+BG$4-$AW$4+2,0)</f>
        <v>809974</v>
      </c>
      <c r="BH90" s="101">
        <f>VLOOKUP($C90,'Cost RMs'!$B$5:$Q$22,+BH$4-$AW$4+2,0)</f>
        <v>907981</v>
      </c>
      <c r="BI90" s="101">
        <f>VLOOKUP($C90,'Cost RMs'!$B$5:$Q$22,+BI$4-$AW$4+2,0)</f>
        <v>1017847</v>
      </c>
      <c r="BJ90" s="101">
        <f>VLOOKUP($C90,'Cost RMs'!$B$5:$Q$22,+BJ$4-$AW$4+2,0)</f>
        <v>1141006</v>
      </c>
      <c r="BK90" s="101">
        <f>VLOOKUP($C90,'Cost RMs'!$B$5:$Q$22,+BK$4-$AW$4+2,0)</f>
        <v>1279068</v>
      </c>
      <c r="BL90" s="102">
        <f t="shared" si="79"/>
        <v>0</v>
      </c>
      <c r="BM90" s="102">
        <f t="shared" si="80"/>
        <v>0</v>
      </c>
      <c r="BN90" s="102">
        <f t="shared" si="81"/>
        <v>0</v>
      </c>
      <c r="BO90" s="102">
        <f t="shared" si="82"/>
        <v>0</v>
      </c>
      <c r="BP90" s="102">
        <f t="shared" si="83"/>
        <v>0</v>
      </c>
      <c r="BQ90" s="102">
        <f t="shared" si="84"/>
        <v>0</v>
      </c>
      <c r="BR90" s="102">
        <f t="shared" si="85"/>
        <v>0</v>
      </c>
      <c r="BS90" s="102">
        <f t="shared" si="86"/>
        <v>0</v>
      </c>
      <c r="BT90" s="102">
        <f t="shared" si="87"/>
        <v>0</v>
      </c>
      <c r="BU90" s="102">
        <f t="shared" si="88"/>
        <v>0</v>
      </c>
      <c r="BV90" s="102">
        <f t="shared" si="89"/>
        <v>0</v>
      </c>
      <c r="BW90" s="102">
        <f t="shared" si="90"/>
        <v>0</v>
      </c>
      <c r="BX90" s="102">
        <f t="shared" si="91"/>
        <v>0</v>
      </c>
      <c r="BY90" s="102">
        <f t="shared" si="92"/>
        <v>0</v>
      </c>
      <c r="BZ90" s="102">
        <f t="shared" si="93"/>
        <v>0</v>
      </c>
    </row>
    <row r="91" spans="1:78" x14ac:dyDescent="0.25">
      <c r="A91" s="26" t="str">
        <f>+Assumptions!$A$37</f>
        <v>NPK 16-16-16</v>
      </c>
      <c r="B91" s="73">
        <f>+Assumptions!$R$53</f>
        <v>0.16</v>
      </c>
      <c r="C91" s="166" t="s">
        <v>538</v>
      </c>
      <c r="F91">
        <v>1.6870000000000001</v>
      </c>
      <c r="G91" s="61">
        <f t="shared" si="95"/>
        <v>1.6870000000000001</v>
      </c>
      <c r="H91" s="61">
        <f t="shared" si="96"/>
        <v>1.6870000000000001</v>
      </c>
      <c r="I91" s="61">
        <f t="shared" si="96"/>
        <v>1.6870000000000001</v>
      </c>
      <c r="J91" s="61">
        <f t="shared" si="96"/>
        <v>1.6870000000000001</v>
      </c>
      <c r="K91" s="61">
        <f t="shared" si="96"/>
        <v>1.6870000000000001</v>
      </c>
      <c r="L91" s="61">
        <f t="shared" si="96"/>
        <v>1.6870000000000001</v>
      </c>
      <c r="M91" s="61">
        <f t="shared" si="96"/>
        <v>1.6870000000000001</v>
      </c>
      <c r="N91" s="61">
        <f t="shared" si="96"/>
        <v>1.6870000000000001</v>
      </c>
      <c r="O91" s="61">
        <f t="shared" si="96"/>
        <v>1.6870000000000001</v>
      </c>
      <c r="P91" s="61">
        <f t="shared" si="96"/>
        <v>1.6870000000000001</v>
      </c>
      <c r="Q91" s="61">
        <f t="shared" si="96"/>
        <v>1.6870000000000001</v>
      </c>
      <c r="R91" s="61">
        <f t="shared" si="96"/>
        <v>1.6870000000000001</v>
      </c>
      <c r="S91" s="74">
        <f>VLOOKUP($A91,turnover!$A$184:$Q$192,+S$4-$S$4+3,0)</f>
        <v>0</v>
      </c>
      <c r="T91" s="74">
        <f>VLOOKUP($A91,turnover!$A$184:$Q$192,+T$4-$S$4+3,0)</f>
        <v>0</v>
      </c>
      <c r="U91" s="74">
        <f>VLOOKUP($A91,turnover!$A$184:$Q$192,+U$4-$S$4+3,0)</f>
        <v>0</v>
      </c>
      <c r="V91" s="74">
        <f>VLOOKUP($A91,turnover!$A$184:$Q$192,+V$4-$S$4+3,0)</f>
        <v>0</v>
      </c>
      <c r="W91" s="74">
        <f>VLOOKUP($A91,turnover!$A$184:$Q$192,+W$4-$S$4+3,0)</f>
        <v>0</v>
      </c>
      <c r="X91" s="74">
        <f>VLOOKUP($A91,turnover!$A$184:$Q$192,+X$4-$S$4+3,0)</f>
        <v>0</v>
      </c>
      <c r="Y91" s="74">
        <f>VLOOKUP($A91,turnover!$A$184:$Q$192,+Y$4-$S$4+3,0)</f>
        <v>8.9600000000000009</v>
      </c>
      <c r="Z91" s="74">
        <f>VLOOKUP($A91,turnover!$A$184:$Q$192,+Z$4-$S$4+3,0)</f>
        <v>17.920000000000002</v>
      </c>
      <c r="AA91" s="74">
        <f>VLOOKUP($A91,turnover!$A$184:$Q$192,+AA$4-$S$4+3,0)</f>
        <v>17.920000000000002</v>
      </c>
      <c r="AB91" s="74">
        <f>VLOOKUP($A91,turnover!$A$184:$Q$192,+AB$4-$S$4+3,0)</f>
        <v>17.920000000000002</v>
      </c>
      <c r="AC91" s="74">
        <f>VLOOKUP($A91,turnover!$A$184:$Q$192,+AC$4-$S$4+3,0)</f>
        <v>17.920000000000002</v>
      </c>
      <c r="AD91" s="74">
        <f>VLOOKUP($A91,turnover!$A$184:$Q$192,+AD$4-$S$4+3,0)</f>
        <v>17.920000000000002</v>
      </c>
      <c r="AE91" s="74">
        <f>VLOOKUP($A91,turnover!$A$184:$Q$192,+AE$4-$S$4+3,0)</f>
        <v>17.920000000000002</v>
      </c>
      <c r="AF91" s="74">
        <f>VLOOKUP($A91,turnover!$A$184:$Q$192,+AF$4-$S$4+3,0)</f>
        <v>17.920000000000002</v>
      </c>
      <c r="AG91" s="74">
        <f>VLOOKUP($A91,turnover!$A$184:$Q$192,+AG$4-$S$4+3,0)</f>
        <v>17.920000000000002</v>
      </c>
      <c r="AH91" s="61">
        <f t="shared" si="64"/>
        <v>0</v>
      </c>
      <c r="AI91" s="61">
        <f t="shared" si="65"/>
        <v>0</v>
      </c>
      <c r="AJ91" s="61">
        <f t="shared" si="66"/>
        <v>0</v>
      </c>
      <c r="AK91" s="61">
        <f t="shared" si="67"/>
        <v>0</v>
      </c>
      <c r="AL91" s="61">
        <f t="shared" si="68"/>
        <v>0</v>
      </c>
      <c r="AM91" s="61">
        <f t="shared" si="69"/>
        <v>0</v>
      </c>
      <c r="AN91" s="61">
        <f t="shared" si="70"/>
        <v>15.115520000000002</v>
      </c>
      <c r="AO91" s="61">
        <f t="shared" si="71"/>
        <v>30.231040000000004</v>
      </c>
      <c r="AP91" s="61">
        <f t="shared" si="72"/>
        <v>30.231040000000004</v>
      </c>
      <c r="AQ91" s="61">
        <f t="shared" si="73"/>
        <v>30.231040000000004</v>
      </c>
      <c r="AR91" s="61">
        <f t="shared" si="74"/>
        <v>30.231040000000004</v>
      </c>
      <c r="AS91" s="61">
        <f t="shared" si="75"/>
        <v>30.231040000000004</v>
      </c>
      <c r="AT91" s="61">
        <f t="shared" si="76"/>
        <v>30.231040000000004</v>
      </c>
      <c r="AU91" s="61">
        <f t="shared" si="77"/>
        <v>30.231040000000004</v>
      </c>
      <c r="AV91" s="61">
        <f t="shared" si="78"/>
        <v>30.231040000000004</v>
      </c>
      <c r="AW91" s="101">
        <f>VLOOKUP($C91,'Cost RMs'!$B$5:$Q$22,+AW$4-$AW$4+2,0)</f>
        <v>0</v>
      </c>
      <c r="AX91" s="101">
        <f>VLOOKUP($C91,'Cost RMs'!$B$5:$Q$22,+AX$4-$AW$4+2,0)</f>
        <v>0</v>
      </c>
      <c r="AY91" s="101">
        <f>VLOOKUP($C91,'Cost RMs'!$B$5:$Q$22,+AY$4-$AW$4+2,0)</f>
        <v>0</v>
      </c>
      <c r="AZ91" s="101">
        <f>VLOOKUP($C91,'Cost RMs'!$B$5:$Q$22,+AZ$4-$AW$4+2,0)</f>
        <v>0</v>
      </c>
      <c r="BA91" s="101">
        <f>VLOOKUP($C91,'Cost RMs'!$B$5:$Q$22,+BA$4-$AW$4+2,0)</f>
        <v>520000</v>
      </c>
      <c r="BB91" s="101">
        <f>VLOOKUP($C91,'Cost RMs'!$B$5:$Q$22,+BB$4-$AW$4+2,0)</f>
        <v>582348</v>
      </c>
      <c r="BC91" s="101">
        <f>VLOOKUP($C91,'Cost RMs'!$B$5:$Q$22,+BC$4-$AW$4+2,0)</f>
        <v>652812</v>
      </c>
      <c r="BD91" s="101">
        <f>VLOOKUP($C91,'Cost RMs'!$B$5:$Q$22,+BD$4-$AW$4+2,0)</f>
        <v>731802</v>
      </c>
      <c r="BE91" s="101">
        <f>VLOOKUP($C91,'Cost RMs'!$B$5:$Q$22,+BE$4-$AW$4+2,0)</f>
        <v>820350</v>
      </c>
      <c r="BF91" s="101">
        <f>VLOOKUP($C91,'Cost RMs'!$B$5:$Q$22,+BF$4-$AW$4+2,0)</f>
        <v>919612</v>
      </c>
      <c r="BG91" s="101">
        <f>VLOOKUP($C91,'Cost RMs'!$B$5:$Q$22,+BG$4-$AW$4+2,0)</f>
        <v>1030885</v>
      </c>
      <c r="BH91" s="101">
        <f>VLOOKUP($C91,'Cost RMs'!$B$5:$Q$22,+BH$4-$AW$4+2,0)</f>
        <v>1155622</v>
      </c>
      <c r="BI91" s="101">
        <f>VLOOKUP($C91,'Cost RMs'!$B$5:$Q$22,+BI$4-$AW$4+2,0)</f>
        <v>1295452</v>
      </c>
      <c r="BJ91" s="101">
        <f>VLOOKUP($C91,'Cost RMs'!$B$5:$Q$22,+BJ$4-$AW$4+2,0)</f>
        <v>1452202</v>
      </c>
      <c r="BK91" s="101">
        <f>VLOOKUP($C91,'Cost RMs'!$B$5:$Q$22,+BK$4-$AW$4+2,0)</f>
        <v>1627918</v>
      </c>
      <c r="BL91" s="102">
        <f t="shared" si="79"/>
        <v>0</v>
      </c>
      <c r="BM91" s="102">
        <f t="shared" si="80"/>
        <v>0</v>
      </c>
      <c r="BN91" s="102">
        <f t="shared" si="81"/>
        <v>0</v>
      </c>
      <c r="BO91" s="102">
        <f t="shared" si="82"/>
        <v>0</v>
      </c>
      <c r="BP91" s="102">
        <f t="shared" si="83"/>
        <v>0</v>
      </c>
      <c r="BQ91" s="102">
        <f t="shared" si="84"/>
        <v>0</v>
      </c>
      <c r="BR91" s="102">
        <f t="shared" si="85"/>
        <v>9867592.842240002</v>
      </c>
      <c r="BS91" s="102">
        <f t="shared" si="86"/>
        <v>22123135.534080002</v>
      </c>
      <c r="BT91" s="102">
        <f t="shared" si="87"/>
        <v>24800033.664000005</v>
      </c>
      <c r="BU91" s="102">
        <f t="shared" si="88"/>
        <v>27800827.156480003</v>
      </c>
      <c r="BV91" s="102">
        <f t="shared" si="89"/>
        <v>31164725.670400005</v>
      </c>
      <c r="BW91" s="102">
        <f t="shared" si="90"/>
        <v>34935654.906880006</v>
      </c>
      <c r="BX91" s="102">
        <f t="shared" si="91"/>
        <v>39162861.230080001</v>
      </c>
      <c r="BY91" s="102">
        <f t="shared" si="92"/>
        <v>43901576.750080004</v>
      </c>
      <c r="BZ91" s="102">
        <f t="shared" si="93"/>
        <v>49213654.174720004</v>
      </c>
    </row>
    <row r="92" spans="1:78" x14ac:dyDescent="0.25">
      <c r="A92" s="26" t="str">
        <f>+Assumptions!$A$37</f>
        <v>NPK 16-16-16</v>
      </c>
      <c r="B92" s="73">
        <f>+Assumptions!$R$53</f>
        <v>0.16</v>
      </c>
      <c r="C92" t="s">
        <v>127</v>
      </c>
      <c r="F92">
        <v>6.0330000000000004</v>
      </c>
      <c r="G92" s="61">
        <f t="shared" si="95"/>
        <v>6.0330000000000004</v>
      </c>
      <c r="H92" s="61">
        <f t="shared" si="96"/>
        <v>6.0330000000000004</v>
      </c>
      <c r="I92" s="61">
        <f t="shared" si="96"/>
        <v>6.0330000000000004</v>
      </c>
      <c r="J92" s="61">
        <f t="shared" si="96"/>
        <v>6.0330000000000004</v>
      </c>
      <c r="K92" s="61">
        <f t="shared" si="96"/>
        <v>6.0330000000000004</v>
      </c>
      <c r="L92" s="61">
        <f t="shared" si="96"/>
        <v>6.0330000000000004</v>
      </c>
      <c r="M92" s="61">
        <f t="shared" si="96"/>
        <v>6.0330000000000004</v>
      </c>
      <c r="N92" s="61">
        <f t="shared" si="96"/>
        <v>6.0330000000000004</v>
      </c>
      <c r="O92" s="61">
        <f t="shared" si="96"/>
        <v>6.0330000000000004</v>
      </c>
      <c r="P92" s="61">
        <f t="shared" si="96"/>
        <v>6.0330000000000004</v>
      </c>
      <c r="Q92" s="61">
        <f t="shared" si="96"/>
        <v>6.0330000000000004</v>
      </c>
      <c r="R92" s="61">
        <f t="shared" si="96"/>
        <v>6.0330000000000004</v>
      </c>
      <c r="S92" s="74">
        <f>VLOOKUP($A92,turnover!$A$184:$Q$192,+S$4-$S$4+3,0)</f>
        <v>0</v>
      </c>
      <c r="T92" s="74">
        <f>VLOOKUP($A92,turnover!$A$184:$Q$192,+T$4-$S$4+3,0)</f>
        <v>0</v>
      </c>
      <c r="U92" s="74">
        <f>VLOOKUP($A92,turnover!$A$184:$Q$192,+U$4-$S$4+3,0)</f>
        <v>0</v>
      </c>
      <c r="V92" s="74">
        <f>VLOOKUP($A92,turnover!$A$184:$Q$192,+V$4-$S$4+3,0)</f>
        <v>0</v>
      </c>
      <c r="W92" s="74">
        <f>VLOOKUP($A92,turnover!$A$184:$Q$192,+W$4-$S$4+3,0)</f>
        <v>0</v>
      </c>
      <c r="X92" s="74">
        <f>VLOOKUP($A92,turnover!$A$184:$Q$192,+X$4-$S$4+3,0)</f>
        <v>0</v>
      </c>
      <c r="Y92" s="74">
        <f>VLOOKUP($A92,turnover!$A$184:$Q$192,+Y$4-$S$4+3,0)</f>
        <v>8.9600000000000009</v>
      </c>
      <c r="Z92" s="74">
        <f>VLOOKUP($A92,turnover!$A$184:$Q$192,+Z$4-$S$4+3,0)</f>
        <v>17.920000000000002</v>
      </c>
      <c r="AA92" s="74">
        <f>VLOOKUP($A92,turnover!$A$184:$Q$192,+AA$4-$S$4+3,0)</f>
        <v>17.920000000000002</v>
      </c>
      <c r="AB92" s="74">
        <f>VLOOKUP($A92,turnover!$A$184:$Q$192,+AB$4-$S$4+3,0)</f>
        <v>17.920000000000002</v>
      </c>
      <c r="AC92" s="74">
        <f>VLOOKUP($A92,turnover!$A$184:$Q$192,+AC$4-$S$4+3,0)</f>
        <v>17.920000000000002</v>
      </c>
      <c r="AD92" s="74">
        <f>VLOOKUP($A92,turnover!$A$184:$Q$192,+AD$4-$S$4+3,0)</f>
        <v>17.920000000000002</v>
      </c>
      <c r="AE92" s="74">
        <f>VLOOKUP($A92,turnover!$A$184:$Q$192,+AE$4-$S$4+3,0)</f>
        <v>17.920000000000002</v>
      </c>
      <c r="AF92" s="74">
        <f>VLOOKUP($A92,turnover!$A$184:$Q$192,+AF$4-$S$4+3,0)</f>
        <v>17.920000000000002</v>
      </c>
      <c r="AG92" s="74">
        <f>VLOOKUP($A92,turnover!$A$184:$Q$192,+AG$4-$S$4+3,0)</f>
        <v>17.920000000000002</v>
      </c>
      <c r="AH92" s="61">
        <f t="shared" si="64"/>
        <v>0</v>
      </c>
      <c r="AI92" s="61">
        <f t="shared" si="65"/>
        <v>0</v>
      </c>
      <c r="AJ92" s="61">
        <f t="shared" si="66"/>
        <v>0</v>
      </c>
      <c r="AK92" s="61">
        <f t="shared" si="67"/>
        <v>0</v>
      </c>
      <c r="AL92" s="61">
        <f t="shared" si="68"/>
        <v>0</v>
      </c>
      <c r="AM92" s="61">
        <f t="shared" si="69"/>
        <v>0</v>
      </c>
      <c r="AN92" s="61">
        <f t="shared" si="70"/>
        <v>54.055680000000009</v>
      </c>
      <c r="AO92" s="61">
        <f t="shared" si="71"/>
        <v>108.11136000000002</v>
      </c>
      <c r="AP92" s="61">
        <f t="shared" si="72"/>
        <v>108.11136000000002</v>
      </c>
      <c r="AQ92" s="61">
        <f t="shared" si="73"/>
        <v>108.11136000000002</v>
      </c>
      <c r="AR92" s="61">
        <f t="shared" si="74"/>
        <v>108.11136000000002</v>
      </c>
      <c r="AS92" s="61">
        <f t="shared" si="75"/>
        <v>108.11136000000002</v>
      </c>
      <c r="AT92" s="61">
        <f t="shared" si="76"/>
        <v>108.11136000000002</v>
      </c>
      <c r="AU92" s="61">
        <f t="shared" si="77"/>
        <v>108.11136000000002</v>
      </c>
      <c r="AV92" s="61">
        <f t="shared" si="78"/>
        <v>108.11136000000002</v>
      </c>
      <c r="AW92" s="101">
        <f>VLOOKUP($C92,'Cost RMs'!$B$5:$Q$22,+AW$4-$AW$4+2,0)</f>
        <v>31510</v>
      </c>
      <c r="AX92" s="101">
        <f>VLOOKUP($C92,'Cost RMs'!$B$5:$Q$22,+AX$4-$AW$4+2,0)</f>
        <v>40370</v>
      </c>
      <c r="AY92" s="101">
        <f>VLOOKUP($C92,'Cost RMs'!$B$5:$Q$22,+AY$4-$AW$4+2,0)</f>
        <v>41166</v>
      </c>
      <c r="AZ92" s="101">
        <f>VLOOKUP($C92,'Cost RMs'!$B$5:$Q$22,+AZ$4-$AW$4+2,0)</f>
        <v>48881</v>
      </c>
      <c r="BA92" s="101">
        <f>VLOOKUP($C92,'Cost RMs'!$B$5:$Q$22,+BA$4-$AW$4+2,0)</f>
        <v>47121</v>
      </c>
      <c r="BB92" s="101">
        <f ca="1">VLOOKUP($C92,'Cost RMs'!$B$5:$Q$22,+BB$4-$AW$4+2,0)</f>
        <v>50566.413250959507</v>
      </c>
      <c r="BC92" s="101">
        <f ca="1">VLOOKUP($C92,'Cost RMs'!$B$5:$Q$22,+BC$4-$AW$4+2,0)</f>
        <v>56631.49986439231</v>
      </c>
      <c r="BD92" s="101">
        <f ca="1">VLOOKUP($C92,'Cost RMs'!$B$5:$Q$22,+BD$4-$AW$4+2,0)</f>
        <v>63938.797808160256</v>
      </c>
      <c r="BE92" s="101">
        <f ca="1">VLOOKUP($C92,'Cost RMs'!$B$5:$Q$22,+BE$4-$AW$4+2,0)</f>
        <v>72083.206654867696</v>
      </c>
      <c r="BF92" s="101">
        <f ca="1">VLOOKUP($C92,'Cost RMs'!$B$5:$Q$22,+BF$4-$AW$4+2,0)</f>
        <v>81313.760903297516</v>
      </c>
      <c r="BG92" s="101">
        <f ca="1">VLOOKUP($C92,'Cost RMs'!$B$5:$Q$22,+BG$4-$AW$4+2,0)</f>
        <v>91785.423765355576</v>
      </c>
      <c r="BH92" s="101">
        <f ca="1">VLOOKUP($C92,'Cost RMs'!$B$5:$Q$22,+BH$4-$AW$4+2,0)</f>
        <v>103677.12991004685</v>
      </c>
      <c r="BI92" s="101">
        <f ca="1">VLOOKUP($C92,'Cost RMs'!$B$5:$Q$22,+BI$4-$AW$4+2,0)</f>
        <v>117195.56148271105</v>
      </c>
      <c r="BJ92" s="101">
        <f ca="1">VLOOKUP($C92,'Cost RMs'!$B$5:$Q$22,+BJ$4-$AW$4+2,0)</f>
        <v>132580.59576203892</v>
      </c>
      <c r="BK92" s="101">
        <f ca="1">VLOOKUP($C92,'Cost RMs'!$B$5:$Q$22,+BK$4-$AW$4+2,0)</f>
        <v>150111.0973392961</v>
      </c>
      <c r="BL92" s="102">
        <f t="shared" si="79"/>
        <v>0</v>
      </c>
      <c r="BM92" s="102">
        <f t="shared" si="80"/>
        <v>0</v>
      </c>
      <c r="BN92" s="102">
        <f t="shared" si="81"/>
        <v>0</v>
      </c>
      <c r="BO92" s="102">
        <f t="shared" si="82"/>
        <v>0</v>
      </c>
      <c r="BP92" s="102">
        <f t="shared" si="83"/>
        <v>0</v>
      </c>
      <c r="BQ92" s="102">
        <f t="shared" ca="1" si="84"/>
        <v>0</v>
      </c>
      <c r="BR92" s="102">
        <f t="shared" ca="1" si="85"/>
        <v>3061254.2345896345</v>
      </c>
      <c r="BS92" s="102">
        <f t="shared" ca="1" si="86"/>
        <v>6912510.3878052253</v>
      </c>
      <c r="BT92" s="102">
        <f t="shared" ca="1" si="87"/>
        <v>7793013.5046187984</v>
      </c>
      <c r="BU92" s="102">
        <f t="shared" ca="1" si="88"/>
        <v>8790941.2779703252</v>
      </c>
      <c r="BV92" s="102">
        <f t="shared" ca="1" si="89"/>
        <v>9923046.9914489146</v>
      </c>
      <c r="BW92" s="102">
        <f t="shared" ca="1" si="90"/>
        <v>11208675.515471844</v>
      </c>
      <c r="BX92" s="102">
        <f t="shared" ca="1" si="91"/>
        <v>12670171.537859511</v>
      </c>
      <c r="BY92" s="102">
        <f t="shared" ca="1" si="92"/>
        <v>14333468.517444266</v>
      </c>
      <c r="BZ92" s="102">
        <f t="shared" ca="1" si="93"/>
        <v>16228714.884443685</v>
      </c>
    </row>
    <row r="93" spans="1:78" x14ac:dyDescent="0.25">
      <c r="A93" s="26" t="str">
        <f>+Assumptions!$A$37</f>
        <v>NPK 16-16-16</v>
      </c>
      <c r="B93" s="73">
        <f>+Assumptions!$R$53</f>
        <v>0.16</v>
      </c>
      <c r="C93" s="26" t="s">
        <v>132</v>
      </c>
      <c r="G93" s="61">
        <f t="shared" si="95"/>
        <v>0</v>
      </c>
      <c r="H93" s="61">
        <f t="shared" si="96"/>
        <v>0</v>
      </c>
      <c r="I93" s="61">
        <f t="shared" si="96"/>
        <v>0</v>
      </c>
      <c r="J93" s="61">
        <f t="shared" si="96"/>
        <v>0</v>
      </c>
      <c r="K93" s="61">
        <f t="shared" si="96"/>
        <v>0</v>
      </c>
      <c r="L93" s="61">
        <f t="shared" si="96"/>
        <v>0</v>
      </c>
      <c r="M93" s="61">
        <f t="shared" si="96"/>
        <v>0</v>
      </c>
      <c r="N93" s="61">
        <f t="shared" si="96"/>
        <v>0</v>
      </c>
      <c r="O93" s="61">
        <f t="shared" si="96"/>
        <v>0</v>
      </c>
      <c r="P93" s="61">
        <f t="shared" si="96"/>
        <v>0</v>
      </c>
      <c r="Q93" s="61">
        <f t="shared" si="96"/>
        <v>0</v>
      </c>
      <c r="R93" s="61">
        <f t="shared" si="96"/>
        <v>0</v>
      </c>
      <c r="S93" s="74">
        <f>VLOOKUP($A93,turnover!$A$184:$Q$192,+S$4-$S$4+3,0)</f>
        <v>0</v>
      </c>
      <c r="T93" s="74">
        <f>VLOOKUP($A93,turnover!$A$184:$Q$192,+T$4-$S$4+3,0)</f>
        <v>0</v>
      </c>
      <c r="U93" s="74">
        <f>VLOOKUP($A93,turnover!$A$184:$Q$192,+U$4-$S$4+3,0)</f>
        <v>0</v>
      </c>
      <c r="V93" s="74">
        <f>VLOOKUP($A93,turnover!$A$184:$Q$192,+V$4-$S$4+3,0)</f>
        <v>0</v>
      </c>
      <c r="W93" s="74">
        <f>VLOOKUP($A93,turnover!$A$184:$Q$192,+W$4-$S$4+3,0)</f>
        <v>0</v>
      </c>
      <c r="X93" s="74">
        <f>VLOOKUP($A93,turnover!$A$184:$Q$192,+X$4-$S$4+3,0)</f>
        <v>0</v>
      </c>
      <c r="Y93" s="74">
        <f>VLOOKUP($A93,turnover!$A$184:$Q$192,+Y$4-$S$4+3,0)</f>
        <v>8.9600000000000009</v>
      </c>
      <c r="Z93" s="74">
        <f>VLOOKUP($A93,turnover!$A$184:$Q$192,+Z$4-$S$4+3,0)</f>
        <v>17.920000000000002</v>
      </c>
      <c r="AA93" s="74">
        <f>VLOOKUP($A93,turnover!$A$184:$Q$192,+AA$4-$S$4+3,0)</f>
        <v>17.920000000000002</v>
      </c>
      <c r="AB93" s="74">
        <f>VLOOKUP($A93,turnover!$A$184:$Q$192,+AB$4-$S$4+3,0)</f>
        <v>17.920000000000002</v>
      </c>
      <c r="AC93" s="74">
        <f>VLOOKUP($A93,turnover!$A$184:$Q$192,+AC$4-$S$4+3,0)</f>
        <v>17.920000000000002</v>
      </c>
      <c r="AD93" s="74">
        <f>VLOOKUP($A93,turnover!$A$184:$Q$192,+AD$4-$S$4+3,0)</f>
        <v>17.920000000000002</v>
      </c>
      <c r="AE93" s="74">
        <f>VLOOKUP($A93,turnover!$A$184:$Q$192,+AE$4-$S$4+3,0)</f>
        <v>17.920000000000002</v>
      </c>
      <c r="AF93" s="74">
        <f>VLOOKUP($A93,turnover!$A$184:$Q$192,+AF$4-$S$4+3,0)</f>
        <v>17.920000000000002</v>
      </c>
      <c r="AG93" s="74">
        <f>VLOOKUP($A93,turnover!$A$184:$Q$192,+AG$4-$S$4+3,0)</f>
        <v>17.920000000000002</v>
      </c>
      <c r="AH93" s="61">
        <f t="shared" si="64"/>
        <v>0</v>
      </c>
      <c r="AI93" s="61">
        <f t="shared" si="65"/>
        <v>0</v>
      </c>
      <c r="AJ93" s="61">
        <f t="shared" si="66"/>
        <v>0</v>
      </c>
      <c r="AK93" s="61">
        <f t="shared" si="67"/>
        <v>0</v>
      </c>
      <c r="AL93" s="61">
        <f t="shared" si="68"/>
        <v>0</v>
      </c>
      <c r="AM93" s="61">
        <f t="shared" si="69"/>
        <v>0</v>
      </c>
      <c r="AN93" s="61">
        <f t="shared" si="70"/>
        <v>0</v>
      </c>
      <c r="AO93" s="61">
        <f t="shared" si="71"/>
        <v>0</v>
      </c>
      <c r="AP93" s="61">
        <f t="shared" si="72"/>
        <v>0</v>
      </c>
      <c r="AQ93" s="61">
        <f t="shared" si="73"/>
        <v>0</v>
      </c>
      <c r="AR93" s="61">
        <f t="shared" si="74"/>
        <v>0</v>
      </c>
      <c r="AS93" s="61">
        <f t="shared" si="75"/>
        <v>0</v>
      </c>
      <c r="AT93" s="61">
        <f t="shared" si="76"/>
        <v>0</v>
      </c>
      <c r="AU93" s="61">
        <f t="shared" si="77"/>
        <v>0</v>
      </c>
      <c r="AV93" s="61">
        <f t="shared" si="78"/>
        <v>0</v>
      </c>
      <c r="AW93" s="101">
        <f>VLOOKUP($C93,'Cost RMs'!$B$5:$Q$22,+AW$4-$AW$4+2,0)</f>
        <v>37079</v>
      </c>
      <c r="AX93" s="101">
        <f>VLOOKUP($C93,'Cost RMs'!$B$5:$Q$22,+AX$4-$AW$4+2,0)</f>
        <v>52416</v>
      </c>
      <c r="AY93" s="101">
        <f>VLOOKUP($C93,'Cost RMs'!$B$5:$Q$22,+AY$4-$AW$4+2,0)</f>
        <v>45564</v>
      </c>
      <c r="AZ93" s="101">
        <f>VLOOKUP($C93,'Cost RMs'!$B$5:$Q$22,+AZ$4-$AW$4+2,0)</f>
        <v>49142</v>
      </c>
      <c r="BA93" s="101">
        <f>VLOOKUP($C93,'Cost RMs'!$B$5:$Q$22,+BA$4-$AW$4+2,0)</f>
        <v>50394</v>
      </c>
      <c r="BB93" s="101">
        <f>VLOOKUP($C93,'Cost RMs'!$B$5:$Q$22,+BB$4-$AW$4+2,0)</f>
        <v>56436</v>
      </c>
      <c r="BC93" s="101">
        <f>VLOOKUP($C93,'Cost RMs'!$B$5:$Q$22,+BC$4-$AW$4+2,0)</f>
        <v>63265</v>
      </c>
      <c r="BD93" s="101">
        <f>VLOOKUP($C93,'Cost RMs'!$B$5:$Q$22,+BD$4-$AW$4+2,0)</f>
        <v>70920</v>
      </c>
      <c r="BE93" s="101">
        <f>VLOOKUP($C93,'Cost RMs'!$B$5:$Q$22,+BE$4-$AW$4+2,0)</f>
        <v>79501</v>
      </c>
      <c r="BF93" s="101">
        <f>VLOOKUP($C93,'Cost RMs'!$B$5:$Q$22,+BF$4-$AW$4+2,0)</f>
        <v>89121</v>
      </c>
      <c r="BG93" s="101">
        <f>VLOOKUP($C93,'Cost RMs'!$B$5:$Q$22,+BG$4-$AW$4+2,0)</f>
        <v>99905</v>
      </c>
      <c r="BH93" s="101">
        <f>VLOOKUP($C93,'Cost RMs'!$B$5:$Q$22,+BH$4-$AW$4+2,0)</f>
        <v>111994</v>
      </c>
      <c r="BI93" s="101">
        <f>VLOOKUP($C93,'Cost RMs'!$B$5:$Q$22,+BI$4-$AW$4+2,0)</f>
        <v>125545</v>
      </c>
      <c r="BJ93" s="101">
        <f>VLOOKUP($C93,'Cost RMs'!$B$5:$Q$22,+BJ$4-$AW$4+2,0)</f>
        <v>140736</v>
      </c>
      <c r="BK93" s="101">
        <f>VLOOKUP($C93,'Cost RMs'!$B$5:$Q$22,+BK$4-$AW$4+2,0)</f>
        <v>157765</v>
      </c>
      <c r="BL93" s="102">
        <f t="shared" si="79"/>
        <v>0</v>
      </c>
      <c r="BM93" s="102">
        <f t="shared" si="80"/>
        <v>0</v>
      </c>
      <c r="BN93" s="102">
        <f t="shared" si="81"/>
        <v>0</v>
      </c>
      <c r="BO93" s="102">
        <f t="shared" si="82"/>
        <v>0</v>
      </c>
      <c r="BP93" s="102">
        <f t="shared" si="83"/>
        <v>0</v>
      </c>
      <c r="BQ93" s="102">
        <f t="shared" si="84"/>
        <v>0</v>
      </c>
      <c r="BR93" s="102">
        <f t="shared" si="85"/>
        <v>0</v>
      </c>
      <c r="BS93" s="102">
        <f t="shared" si="86"/>
        <v>0</v>
      </c>
      <c r="BT93" s="102">
        <f t="shared" si="87"/>
        <v>0</v>
      </c>
      <c r="BU93" s="102">
        <f t="shared" si="88"/>
        <v>0</v>
      </c>
      <c r="BV93" s="102">
        <f t="shared" si="89"/>
        <v>0</v>
      </c>
      <c r="BW93" s="102">
        <f t="shared" si="90"/>
        <v>0</v>
      </c>
      <c r="BX93" s="102">
        <f t="shared" si="91"/>
        <v>0</v>
      </c>
      <c r="BY93" s="102">
        <f t="shared" si="92"/>
        <v>0</v>
      </c>
      <c r="BZ93" s="102">
        <f t="shared" si="93"/>
        <v>0</v>
      </c>
    </row>
    <row r="94" spans="1:78" x14ac:dyDescent="0.25">
      <c r="A94" s="26" t="str">
        <f>+Assumptions!$A$37</f>
        <v>NPK 16-16-16</v>
      </c>
      <c r="B94" s="73">
        <f>+Assumptions!$R$53</f>
        <v>0.16</v>
      </c>
      <c r="C94" s="166" t="s">
        <v>537</v>
      </c>
      <c r="F94">
        <v>0.313</v>
      </c>
      <c r="G94" s="61">
        <f t="shared" si="95"/>
        <v>0.313</v>
      </c>
      <c r="H94" s="61">
        <f t="shared" si="96"/>
        <v>0.313</v>
      </c>
      <c r="I94" s="61">
        <f t="shared" si="96"/>
        <v>0.313</v>
      </c>
      <c r="J94" s="61">
        <f t="shared" si="96"/>
        <v>0.313</v>
      </c>
      <c r="K94" s="61">
        <f t="shared" si="96"/>
        <v>0.313</v>
      </c>
      <c r="L94" s="61">
        <f t="shared" si="96"/>
        <v>0.313</v>
      </c>
      <c r="M94" s="61">
        <f t="shared" si="96"/>
        <v>0.313</v>
      </c>
      <c r="N94" s="61">
        <f t="shared" si="96"/>
        <v>0.313</v>
      </c>
      <c r="O94" s="61">
        <f t="shared" si="96"/>
        <v>0.313</v>
      </c>
      <c r="P94" s="61">
        <f t="shared" si="96"/>
        <v>0.313</v>
      </c>
      <c r="Q94" s="61">
        <f t="shared" si="96"/>
        <v>0.313</v>
      </c>
      <c r="R94" s="61">
        <f t="shared" si="96"/>
        <v>0.313</v>
      </c>
      <c r="S94" s="74">
        <f>VLOOKUP($A94,turnover!$A$184:$Q$192,+S$4-$S$4+3,0)</f>
        <v>0</v>
      </c>
      <c r="T94" s="74">
        <f>VLOOKUP($A94,turnover!$A$184:$Q$192,+T$4-$S$4+3,0)</f>
        <v>0</v>
      </c>
      <c r="U94" s="74">
        <f>VLOOKUP($A94,turnover!$A$184:$Q$192,+U$4-$S$4+3,0)</f>
        <v>0</v>
      </c>
      <c r="V94" s="74">
        <f>VLOOKUP($A94,turnover!$A$184:$Q$192,+V$4-$S$4+3,0)</f>
        <v>0</v>
      </c>
      <c r="W94" s="74">
        <f>VLOOKUP($A94,turnover!$A$184:$Q$192,+W$4-$S$4+3,0)</f>
        <v>0</v>
      </c>
      <c r="X94" s="74">
        <f>VLOOKUP($A94,turnover!$A$184:$Q$192,+X$4-$S$4+3,0)</f>
        <v>0</v>
      </c>
      <c r="Y94" s="74">
        <f>VLOOKUP($A94,turnover!$A$184:$Q$192,+Y$4-$S$4+3,0)</f>
        <v>8.9600000000000009</v>
      </c>
      <c r="Z94" s="74">
        <f>VLOOKUP($A94,turnover!$A$184:$Q$192,+Z$4-$S$4+3,0)</f>
        <v>17.920000000000002</v>
      </c>
      <c r="AA94" s="74">
        <f>VLOOKUP($A94,turnover!$A$184:$Q$192,+AA$4-$S$4+3,0)</f>
        <v>17.920000000000002</v>
      </c>
      <c r="AB94" s="74">
        <f>VLOOKUP($A94,turnover!$A$184:$Q$192,+AB$4-$S$4+3,0)</f>
        <v>17.920000000000002</v>
      </c>
      <c r="AC94" s="74">
        <f>VLOOKUP($A94,turnover!$A$184:$Q$192,+AC$4-$S$4+3,0)</f>
        <v>17.920000000000002</v>
      </c>
      <c r="AD94" s="74">
        <f>VLOOKUP($A94,turnover!$A$184:$Q$192,+AD$4-$S$4+3,0)</f>
        <v>17.920000000000002</v>
      </c>
      <c r="AE94" s="74">
        <f>VLOOKUP($A94,turnover!$A$184:$Q$192,+AE$4-$S$4+3,0)</f>
        <v>17.920000000000002</v>
      </c>
      <c r="AF94" s="74">
        <f>VLOOKUP($A94,turnover!$A$184:$Q$192,+AF$4-$S$4+3,0)</f>
        <v>17.920000000000002</v>
      </c>
      <c r="AG94" s="74">
        <f>VLOOKUP($A94,turnover!$A$184:$Q$192,+AG$4-$S$4+3,0)</f>
        <v>17.920000000000002</v>
      </c>
      <c r="AH94" s="61">
        <f t="shared" si="64"/>
        <v>0</v>
      </c>
      <c r="AI94" s="61">
        <f t="shared" si="65"/>
        <v>0</v>
      </c>
      <c r="AJ94" s="61">
        <f t="shared" si="66"/>
        <v>0</v>
      </c>
      <c r="AK94" s="61">
        <f t="shared" si="67"/>
        <v>0</v>
      </c>
      <c r="AL94" s="61">
        <f t="shared" si="68"/>
        <v>0</v>
      </c>
      <c r="AM94" s="61">
        <f t="shared" si="69"/>
        <v>0</v>
      </c>
      <c r="AN94" s="61">
        <f t="shared" si="70"/>
        <v>2.8044800000000003</v>
      </c>
      <c r="AO94" s="61">
        <f t="shared" si="71"/>
        <v>5.6089600000000006</v>
      </c>
      <c r="AP94" s="61">
        <f t="shared" si="72"/>
        <v>5.6089600000000006</v>
      </c>
      <c r="AQ94" s="61">
        <f t="shared" si="73"/>
        <v>5.6089600000000006</v>
      </c>
      <c r="AR94" s="61">
        <f t="shared" si="74"/>
        <v>5.6089600000000006</v>
      </c>
      <c r="AS94" s="61">
        <f t="shared" si="75"/>
        <v>5.6089600000000006</v>
      </c>
      <c r="AT94" s="61">
        <f t="shared" si="76"/>
        <v>5.6089600000000006</v>
      </c>
      <c r="AU94" s="61">
        <f t="shared" si="77"/>
        <v>5.6089600000000006</v>
      </c>
      <c r="AV94" s="61">
        <f t="shared" si="78"/>
        <v>5.6089600000000006</v>
      </c>
      <c r="AW94" s="101">
        <f>VLOOKUP($C94,'Cost RMs'!$B$5:$Q$22,+AW$4-$AW$4+2,0)</f>
        <v>0</v>
      </c>
      <c r="AX94" s="101">
        <f>VLOOKUP($C94,'Cost RMs'!$B$5:$Q$22,+AX$4-$AW$4+2,0)</f>
        <v>0</v>
      </c>
      <c r="AY94" s="101">
        <f>VLOOKUP($C94,'Cost RMs'!$B$5:$Q$22,+AY$4-$AW$4+2,0)</f>
        <v>0</v>
      </c>
      <c r="AZ94" s="101">
        <f>VLOOKUP($C94,'Cost RMs'!$B$5:$Q$22,+AZ$4-$AW$4+2,0)</f>
        <v>0</v>
      </c>
      <c r="BA94" s="101">
        <f>VLOOKUP($C94,'Cost RMs'!$B$5:$Q$22,+BA$4-$AW$4+2,0)</f>
        <v>317520</v>
      </c>
      <c r="BB94" s="101">
        <f>VLOOKUP($C94,'Cost RMs'!$B$5:$Q$22,+BB$4-$AW$4+2,0)</f>
        <v>355591</v>
      </c>
      <c r="BC94" s="101">
        <f>VLOOKUP($C94,'Cost RMs'!$B$5:$Q$22,+BC$4-$AW$4+2,0)</f>
        <v>398618</v>
      </c>
      <c r="BD94" s="101">
        <f>VLOOKUP($C94,'Cost RMs'!$B$5:$Q$22,+BD$4-$AW$4+2,0)</f>
        <v>446851</v>
      </c>
      <c r="BE94" s="101">
        <f>VLOOKUP($C94,'Cost RMs'!$B$5:$Q$22,+BE$4-$AW$4+2,0)</f>
        <v>500920</v>
      </c>
      <c r="BF94" s="101">
        <f>VLOOKUP($C94,'Cost RMs'!$B$5:$Q$22,+BF$4-$AW$4+2,0)</f>
        <v>561531</v>
      </c>
      <c r="BG94" s="101">
        <f>VLOOKUP($C94,'Cost RMs'!$B$5:$Q$22,+BG$4-$AW$4+2,0)</f>
        <v>629476</v>
      </c>
      <c r="BH94" s="101">
        <f>VLOOKUP($C94,'Cost RMs'!$B$5:$Q$22,+BH$4-$AW$4+2,0)</f>
        <v>705643</v>
      </c>
      <c r="BI94" s="101">
        <f>VLOOKUP($C94,'Cost RMs'!$B$5:$Q$22,+BI$4-$AW$4+2,0)</f>
        <v>791026</v>
      </c>
      <c r="BJ94" s="101">
        <f>VLOOKUP($C94,'Cost RMs'!$B$5:$Q$22,+BJ$4-$AW$4+2,0)</f>
        <v>886740</v>
      </c>
      <c r="BK94" s="101">
        <f>VLOOKUP($C94,'Cost RMs'!$B$5:$Q$22,+BK$4-$AW$4+2,0)</f>
        <v>994036</v>
      </c>
      <c r="BL94" s="102">
        <f t="shared" si="79"/>
        <v>0</v>
      </c>
      <c r="BM94" s="102">
        <f t="shared" si="80"/>
        <v>0</v>
      </c>
      <c r="BN94" s="102">
        <f t="shared" si="81"/>
        <v>0</v>
      </c>
      <c r="BO94" s="102">
        <f t="shared" si="82"/>
        <v>0</v>
      </c>
      <c r="BP94" s="102">
        <f t="shared" si="83"/>
        <v>0</v>
      </c>
      <c r="BQ94" s="102">
        <f t="shared" si="84"/>
        <v>0</v>
      </c>
      <c r="BR94" s="102">
        <f t="shared" si="85"/>
        <v>1117916.2086400001</v>
      </c>
      <c r="BS94" s="102">
        <f t="shared" si="86"/>
        <v>2506369.3849600004</v>
      </c>
      <c r="BT94" s="102">
        <f t="shared" si="87"/>
        <v>2809640.2432000004</v>
      </c>
      <c r="BU94" s="102">
        <f t="shared" si="88"/>
        <v>3149604.9177600006</v>
      </c>
      <c r="BV94" s="102">
        <f t="shared" si="89"/>
        <v>3530705.7049600002</v>
      </c>
      <c r="BW94" s="102">
        <f t="shared" si="90"/>
        <v>3957923.3612800003</v>
      </c>
      <c r="BX94" s="102">
        <f t="shared" si="91"/>
        <v>4436833.1929600006</v>
      </c>
      <c r="BY94" s="102">
        <f t="shared" si="92"/>
        <v>4973689.1904000007</v>
      </c>
      <c r="BZ94" s="102">
        <f t="shared" si="93"/>
        <v>5575508.162560001</v>
      </c>
    </row>
    <row r="95" spans="1:78" x14ac:dyDescent="0.25">
      <c r="A95" s="26" t="str">
        <f>+Assumptions!$A$37</f>
        <v>NPK 16-16-16</v>
      </c>
      <c r="B95" s="73">
        <f>+Assumptions!$R$53</f>
        <v>0.16</v>
      </c>
      <c r="C95" t="s">
        <v>129</v>
      </c>
      <c r="F95">
        <v>0.70687500000000003</v>
      </c>
      <c r="G95" s="61">
        <f t="shared" si="95"/>
        <v>0.70687500000000003</v>
      </c>
      <c r="H95" s="61">
        <f t="shared" si="96"/>
        <v>0.70687500000000003</v>
      </c>
      <c r="I95" s="61">
        <f t="shared" si="96"/>
        <v>0.70687500000000003</v>
      </c>
      <c r="J95" s="61">
        <f t="shared" si="96"/>
        <v>0.70687500000000003</v>
      </c>
      <c r="K95" s="61">
        <f t="shared" si="96"/>
        <v>0.70687500000000003</v>
      </c>
      <c r="L95" s="61">
        <f t="shared" si="96"/>
        <v>0.70687500000000003</v>
      </c>
      <c r="M95" s="61">
        <f t="shared" si="96"/>
        <v>0.70687500000000003</v>
      </c>
      <c r="N95" s="61">
        <f t="shared" si="96"/>
        <v>0.70687500000000003</v>
      </c>
      <c r="O95" s="61">
        <f t="shared" si="96"/>
        <v>0.70687500000000003</v>
      </c>
      <c r="P95" s="61">
        <f t="shared" si="96"/>
        <v>0.70687500000000003</v>
      </c>
      <c r="Q95" s="61">
        <f t="shared" si="96"/>
        <v>0.70687500000000003</v>
      </c>
      <c r="R95" s="61">
        <f t="shared" si="96"/>
        <v>0.70687500000000003</v>
      </c>
      <c r="S95" s="74">
        <f>VLOOKUP($A95,turnover!$A$184:$Q$192,+S$4-$S$4+3,0)</f>
        <v>0</v>
      </c>
      <c r="T95" s="74">
        <f>VLOOKUP($A95,turnover!$A$184:$Q$192,+T$4-$S$4+3,0)</f>
        <v>0</v>
      </c>
      <c r="U95" s="74">
        <f>VLOOKUP($A95,turnover!$A$184:$Q$192,+U$4-$S$4+3,0)</f>
        <v>0</v>
      </c>
      <c r="V95" s="74">
        <f>VLOOKUP($A95,turnover!$A$184:$Q$192,+V$4-$S$4+3,0)</f>
        <v>0</v>
      </c>
      <c r="W95" s="74">
        <f>VLOOKUP($A95,turnover!$A$184:$Q$192,+W$4-$S$4+3,0)</f>
        <v>0</v>
      </c>
      <c r="X95" s="74">
        <f>VLOOKUP($A95,turnover!$A$184:$Q$192,+X$4-$S$4+3,0)</f>
        <v>0</v>
      </c>
      <c r="Y95" s="74">
        <f>VLOOKUP($A95,turnover!$A$184:$Q$192,+Y$4-$S$4+3,0)</f>
        <v>8.9600000000000009</v>
      </c>
      <c r="Z95" s="74">
        <f>VLOOKUP($A95,turnover!$A$184:$Q$192,+Z$4-$S$4+3,0)</f>
        <v>17.920000000000002</v>
      </c>
      <c r="AA95" s="74">
        <f>VLOOKUP($A95,turnover!$A$184:$Q$192,+AA$4-$S$4+3,0)</f>
        <v>17.920000000000002</v>
      </c>
      <c r="AB95" s="74">
        <f>VLOOKUP($A95,turnover!$A$184:$Q$192,+AB$4-$S$4+3,0)</f>
        <v>17.920000000000002</v>
      </c>
      <c r="AC95" s="74">
        <f>VLOOKUP($A95,turnover!$A$184:$Q$192,+AC$4-$S$4+3,0)</f>
        <v>17.920000000000002</v>
      </c>
      <c r="AD95" s="74">
        <f>VLOOKUP($A95,turnover!$A$184:$Q$192,+AD$4-$S$4+3,0)</f>
        <v>17.920000000000002</v>
      </c>
      <c r="AE95" s="74">
        <f>VLOOKUP($A95,turnover!$A$184:$Q$192,+AE$4-$S$4+3,0)</f>
        <v>17.920000000000002</v>
      </c>
      <c r="AF95" s="74">
        <f>VLOOKUP($A95,turnover!$A$184:$Q$192,+AF$4-$S$4+3,0)</f>
        <v>17.920000000000002</v>
      </c>
      <c r="AG95" s="74">
        <f>VLOOKUP($A95,turnover!$A$184:$Q$192,+AG$4-$S$4+3,0)</f>
        <v>17.920000000000002</v>
      </c>
      <c r="AH95" s="61">
        <f t="shared" si="64"/>
        <v>0</v>
      </c>
      <c r="AI95" s="61">
        <f t="shared" si="65"/>
        <v>0</v>
      </c>
      <c r="AJ95" s="61">
        <f t="shared" si="66"/>
        <v>0</v>
      </c>
      <c r="AK95" s="61">
        <f t="shared" si="67"/>
        <v>0</v>
      </c>
      <c r="AL95" s="61">
        <f t="shared" si="68"/>
        <v>0</v>
      </c>
      <c r="AM95" s="61">
        <f t="shared" si="69"/>
        <v>0</v>
      </c>
      <c r="AN95" s="61">
        <f t="shared" si="70"/>
        <v>6.3336000000000006</v>
      </c>
      <c r="AO95" s="61">
        <f t="shared" si="71"/>
        <v>12.667200000000001</v>
      </c>
      <c r="AP95" s="61">
        <f t="shared" si="72"/>
        <v>12.667200000000001</v>
      </c>
      <c r="AQ95" s="61">
        <f t="shared" si="73"/>
        <v>12.667200000000001</v>
      </c>
      <c r="AR95" s="61">
        <f t="shared" si="74"/>
        <v>12.667200000000001</v>
      </c>
      <c r="AS95" s="61">
        <f t="shared" si="75"/>
        <v>12.667200000000001</v>
      </c>
      <c r="AT95" s="61">
        <f t="shared" si="76"/>
        <v>12.667200000000001</v>
      </c>
      <c r="AU95" s="61">
        <f t="shared" si="77"/>
        <v>12.667200000000001</v>
      </c>
      <c r="AV95" s="61">
        <f t="shared" si="78"/>
        <v>12.667200000000001</v>
      </c>
      <c r="AW95" s="101">
        <f>VLOOKUP($C95,'Cost RMs'!$B$5:$Q$22,+AW$4-$AW$4+2,0)</f>
        <v>40086</v>
      </c>
      <c r="AX95" s="101">
        <f>VLOOKUP($C95,'Cost RMs'!$B$5:$Q$22,+AX$4-$AW$4+2,0)</f>
        <v>56197</v>
      </c>
      <c r="AY95" s="101">
        <f>VLOOKUP($C95,'Cost RMs'!$B$5:$Q$22,+AY$4-$AW$4+2,0)</f>
        <v>64582</v>
      </c>
      <c r="AZ95" s="101">
        <f>VLOOKUP($C95,'Cost RMs'!$B$5:$Q$22,+AZ$4-$AW$4+2,0)</f>
        <v>76567</v>
      </c>
      <c r="BA95" s="101">
        <f ca="1">VLOOKUP($C95,'Cost RMs'!$B$5:$Q$22,+BA$4-$AW$4+2,0)</f>
        <v>86638</v>
      </c>
      <c r="BB95" s="101">
        <f ca="1">VLOOKUP($C95,'Cost RMs'!$B$5:$Q$22,+BB$4-$AW$4+2,0)</f>
        <v>97026</v>
      </c>
      <c r="BC95" s="101">
        <f ca="1">VLOOKUP($C95,'Cost RMs'!$B$5:$Q$22,+BC$4-$AW$4+2,0)</f>
        <v>108766</v>
      </c>
      <c r="BD95" s="101">
        <f ca="1">VLOOKUP($C95,'Cost RMs'!$B$5:$Q$22,+BD$4-$AW$4+2,0)</f>
        <v>121927</v>
      </c>
      <c r="BE95" s="101">
        <f ca="1">VLOOKUP($C95,'Cost RMs'!$B$5:$Q$22,+BE$4-$AW$4+2,0)</f>
        <v>136680</v>
      </c>
      <c r="BF95" s="101">
        <f ca="1">VLOOKUP($C95,'Cost RMs'!$B$5:$Q$22,+BF$4-$AW$4+2,0)</f>
        <v>153218</v>
      </c>
      <c r="BG95" s="101">
        <f ca="1">VLOOKUP($C95,'Cost RMs'!$B$5:$Q$22,+BG$4-$AW$4+2,0)</f>
        <v>171757</v>
      </c>
      <c r="BH95" s="101">
        <f ca="1">VLOOKUP($C95,'Cost RMs'!$B$5:$Q$22,+BH$4-$AW$4+2,0)</f>
        <v>192540</v>
      </c>
      <c r="BI95" s="101">
        <f ca="1">VLOOKUP($C95,'Cost RMs'!$B$5:$Q$22,+BI$4-$AW$4+2,0)</f>
        <v>215837</v>
      </c>
      <c r="BJ95" s="101">
        <f ca="1">VLOOKUP($C95,'Cost RMs'!$B$5:$Q$22,+BJ$4-$AW$4+2,0)</f>
        <v>241953</v>
      </c>
      <c r="BK95" s="101">
        <f ca="1">VLOOKUP($C95,'Cost RMs'!$B$5:$Q$22,+BK$4-$AW$4+2,0)</f>
        <v>271229</v>
      </c>
      <c r="BL95" s="102">
        <f t="shared" si="79"/>
        <v>0</v>
      </c>
      <c r="BM95" s="102">
        <f t="shared" si="80"/>
        <v>0</v>
      </c>
      <c r="BN95" s="102">
        <f t="shared" si="81"/>
        <v>0</v>
      </c>
      <c r="BO95" s="102">
        <f t="shared" si="82"/>
        <v>0</v>
      </c>
      <c r="BP95" s="102">
        <f t="shared" ca="1" si="83"/>
        <v>0</v>
      </c>
      <c r="BQ95" s="102">
        <f t="shared" ca="1" si="84"/>
        <v>0</v>
      </c>
      <c r="BR95" s="102">
        <f t="shared" ca="1" si="85"/>
        <v>688880.33760000009</v>
      </c>
      <c r="BS95" s="102">
        <f t="shared" ca="1" si="86"/>
        <v>1544473.6944000002</v>
      </c>
      <c r="BT95" s="102">
        <f t="shared" ca="1" si="87"/>
        <v>1731352.8960000002</v>
      </c>
      <c r="BU95" s="102">
        <f t="shared" ca="1" si="88"/>
        <v>1940843.0496000003</v>
      </c>
      <c r="BV95" s="102">
        <f t="shared" ca="1" si="89"/>
        <v>2175680.2704000003</v>
      </c>
      <c r="BW95" s="102">
        <f t="shared" ca="1" si="90"/>
        <v>2438942.6880000001</v>
      </c>
      <c r="BX95" s="102">
        <f t="shared" ca="1" si="91"/>
        <v>2734050.4464000002</v>
      </c>
      <c r="BY95" s="102">
        <f t="shared" ca="1" si="92"/>
        <v>3064867.0416000001</v>
      </c>
      <c r="BZ95" s="102">
        <f t="shared" ca="1" si="93"/>
        <v>3435711.9888000004</v>
      </c>
    </row>
    <row r="96" spans="1:78" x14ac:dyDescent="0.25">
      <c r="A96" s="26" t="str">
        <f>+Assumptions!$A$37</f>
        <v>NPK 16-16-16</v>
      </c>
      <c r="B96" s="73">
        <f>+Assumptions!$R$53</f>
        <v>0.16</v>
      </c>
      <c r="C96" t="s">
        <v>130</v>
      </c>
      <c r="F96">
        <v>0.56437499999999996</v>
      </c>
      <c r="G96" s="61">
        <f t="shared" si="95"/>
        <v>0.56437499999999996</v>
      </c>
      <c r="H96" s="61">
        <f t="shared" si="96"/>
        <v>0.56437499999999996</v>
      </c>
      <c r="I96" s="61">
        <f t="shared" si="96"/>
        <v>0.56437499999999996</v>
      </c>
      <c r="J96" s="61">
        <f t="shared" si="96"/>
        <v>0.56437499999999996</v>
      </c>
      <c r="K96" s="61">
        <f t="shared" si="96"/>
        <v>0.56437499999999996</v>
      </c>
      <c r="L96" s="61">
        <f t="shared" si="96"/>
        <v>0.56437499999999996</v>
      </c>
      <c r="M96" s="61">
        <f t="shared" si="96"/>
        <v>0.56437499999999996</v>
      </c>
      <c r="N96" s="61">
        <f t="shared" si="96"/>
        <v>0.56437499999999996</v>
      </c>
      <c r="O96" s="61">
        <f t="shared" si="96"/>
        <v>0.56437499999999996</v>
      </c>
      <c r="P96" s="61">
        <f t="shared" si="96"/>
        <v>0.56437499999999996</v>
      </c>
      <c r="Q96" s="61">
        <f t="shared" si="96"/>
        <v>0.56437499999999996</v>
      </c>
      <c r="R96" s="61">
        <f t="shared" si="96"/>
        <v>0.56437499999999996</v>
      </c>
      <c r="S96" s="74">
        <f>VLOOKUP($A96,turnover!$A$184:$Q$192,+S$4-$S$4+3,0)</f>
        <v>0</v>
      </c>
      <c r="T96" s="74">
        <f>VLOOKUP($A96,turnover!$A$184:$Q$192,+T$4-$S$4+3,0)</f>
        <v>0</v>
      </c>
      <c r="U96" s="74">
        <f>VLOOKUP($A96,turnover!$A$184:$Q$192,+U$4-$S$4+3,0)</f>
        <v>0</v>
      </c>
      <c r="V96" s="74">
        <f>VLOOKUP($A96,turnover!$A$184:$Q$192,+V$4-$S$4+3,0)</f>
        <v>0</v>
      </c>
      <c r="W96" s="74">
        <f>VLOOKUP($A96,turnover!$A$184:$Q$192,+W$4-$S$4+3,0)</f>
        <v>0</v>
      </c>
      <c r="X96" s="74">
        <f>VLOOKUP($A96,turnover!$A$184:$Q$192,+X$4-$S$4+3,0)</f>
        <v>0</v>
      </c>
      <c r="Y96" s="74">
        <f>VLOOKUP($A96,turnover!$A$184:$Q$192,+Y$4-$S$4+3,0)</f>
        <v>8.9600000000000009</v>
      </c>
      <c r="Z96" s="74">
        <f>VLOOKUP($A96,turnover!$A$184:$Q$192,+Z$4-$S$4+3,0)</f>
        <v>17.920000000000002</v>
      </c>
      <c r="AA96" s="74">
        <f>VLOOKUP($A96,turnover!$A$184:$Q$192,+AA$4-$S$4+3,0)</f>
        <v>17.920000000000002</v>
      </c>
      <c r="AB96" s="74">
        <f>VLOOKUP($A96,turnover!$A$184:$Q$192,+AB$4-$S$4+3,0)</f>
        <v>17.920000000000002</v>
      </c>
      <c r="AC96" s="74">
        <f>VLOOKUP($A96,turnover!$A$184:$Q$192,+AC$4-$S$4+3,0)</f>
        <v>17.920000000000002</v>
      </c>
      <c r="AD96" s="74">
        <f>VLOOKUP($A96,turnover!$A$184:$Q$192,+AD$4-$S$4+3,0)</f>
        <v>17.920000000000002</v>
      </c>
      <c r="AE96" s="74">
        <f>VLOOKUP($A96,turnover!$A$184:$Q$192,+AE$4-$S$4+3,0)</f>
        <v>17.920000000000002</v>
      </c>
      <c r="AF96" s="74">
        <f>VLOOKUP($A96,turnover!$A$184:$Q$192,+AF$4-$S$4+3,0)</f>
        <v>17.920000000000002</v>
      </c>
      <c r="AG96" s="74">
        <f>VLOOKUP($A96,turnover!$A$184:$Q$192,+AG$4-$S$4+3,0)</f>
        <v>17.920000000000002</v>
      </c>
      <c r="AH96" s="61">
        <f t="shared" si="64"/>
        <v>0</v>
      </c>
      <c r="AI96" s="61">
        <f t="shared" si="65"/>
        <v>0</v>
      </c>
      <c r="AJ96" s="61">
        <f t="shared" si="66"/>
        <v>0</v>
      </c>
      <c r="AK96" s="61">
        <f t="shared" si="67"/>
        <v>0</v>
      </c>
      <c r="AL96" s="61">
        <f t="shared" si="68"/>
        <v>0</v>
      </c>
      <c r="AM96" s="61">
        <f t="shared" si="69"/>
        <v>0</v>
      </c>
      <c r="AN96" s="61">
        <f t="shared" si="70"/>
        <v>5.0568</v>
      </c>
      <c r="AO96" s="61">
        <f t="shared" si="71"/>
        <v>10.1136</v>
      </c>
      <c r="AP96" s="61">
        <f t="shared" si="72"/>
        <v>10.1136</v>
      </c>
      <c r="AQ96" s="61">
        <f t="shared" si="73"/>
        <v>10.1136</v>
      </c>
      <c r="AR96" s="61">
        <f t="shared" si="74"/>
        <v>10.1136</v>
      </c>
      <c r="AS96" s="61">
        <f t="shared" si="75"/>
        <v>10.1136</v>
      </c>
      <c r="AT96" s="61">
        <f t="shared" si="76"/>
        <v>10.1136</v>
      </c>
      <c r="AU96" s="61">
        <f t="shared" si="77"/>
        <v>10.1136</v>
      </c>
      <c r="AV96" s="61">
        <f t="shared" si="78"/>
        <v>10.1136</v>
      </c>
      <c r="AW96" s="101">
        <f>VLOOKUP($C96,'Cost RMs'!$B$5:$Q$22,+AW$4-$AW$4+2,0)</f>
        <v>42500</v>
      </c>
      <c r="AX96" s="101">
        <f>VLOOKUP($C96,'Cost RMs'!$B$5:$Q$22,+AX$4-$AW$4+2,0)</f>
        <v>63692</v>
      </c>
      <c r="AY96" s="101">
        <f>VLOOKUP($C96,'Cost RMs'!$B$5:$Q$22,+AY$4-$AW$4+2,0)</f>
        <v>71301</v>
      </c>
      <c r="AZ96" s="101">
        <f>VLOOKUP($C96,'Cost RMs'!$B$5:$Q$22,+AZ$4-$AW$4+2,0)</f>
        <v>82665</v>
      </c>
      <c r="BA96" s="101">
        <f ca="1">VLOOKUP($C96,'Cost RMs'!$B$5:$Q$22,+BA$4-$AW$4+2,0)</f>
        <v>96790</v>
      </c>
      <c r="BB96" s="101">
        <f ca="1">VLOOKUP($C96,'Cost RMs'!$B$5:$Q$22,+BB$4-$AW$4+2,0)</f>
        <v>108395</v>
      </c>
      <c r="BC96" s="101">
        <f ca="1">VLOOKUP($C96,'Cost RMs'!$B$5:$Q$22,+BC$4-$AW$4+2,0)</f>
        <v>121511</v>
      </c>
      <c r="BD96" s="101">
        <f ca="1">VLOOKUP($C96,'Cost RMs'!$B$5:$Q$22,+BD$4-$AW$4+2,0)</f>
        <v>136214</v>
      </c>
      <c r="BE96" s="101">
        <f ca="1">VLOOKUP($C96,'Cost RMs'!$B$5:$Q$22,+BE$4-$AW$4+2,0)</f>
        <v>152696</v>
      </c>
      <c r="BF96" s="101">
        <f ca="1">VLOOKUP($C96,'Cost RMs'!$B$5:$Q$22,+BF$4-$AW$4+2,0)</f>
        <v>171172</v>
      </c>
      <c r="BG96" s="101">
        <f ca="1">VLOOKUP($C96,'Cost RMs'!$B$5:$Q$22,+BG$4-$AW$4+2,0)</f>
        <v>191884</v>
      </c>
      <c r="BH96" s="101">
        <f ca="1">VLOOKUP($C96,'Cost RMs'!$B$5:$Q$22,+BH$4-$AW$4+2,0)</f>
        <v>215102</v>
      </c>
      <c r="BI96" s="101">
        <f ca="1">VLOOKUP($C96,'Cost RMs'!$B$5:$Q$22,+BI$4-$AW$4+2,0)</f>
        <v>241129</v>
      </c>
      <c r="BJ96" s="101">
        <f ca="1">VLOOKUP($C96,'Cost RMs'!$B$5:$Q$22,+BJ$4-$AW$4+2,0)</f>
        <v>270306</v>
      </c>
      <c r="BK96" s="101">
        <f ca="1">VLOOKUP($C96,'Cost RMs'!$B$5:$Q$22,+BK$4-$AW$4+2,0)</f>
        <v>303013</v>
      </c>
      <c r="BL96" s="102">
        <f t="shared" si="79"/>
        <v>0</v>
      </c>
      <c r="BM96" s="102">
        <f t="shared" si="80"/>
        <v>0</v>
      </c>
      <c r="BN96" s="102">
        <f t="shared" si="81"/>
        <v>0</v>
      </c>
      <c r="BO96" s="102">
        <f t="shared" si="82"/>
        <v>0</v>
      </c>
      <c r="BP96" s="102">
        <f t="shared" ca="1" si="83"/>
        <v>0</v>
      </c>
      <c r="BQ96" s="102">
        <f t="shared" ca="1" si="84"/>
        <v>0</v>
      </c>
      <c r="BR96" s="102">
        <f t="shared" ca="1" si="85"/>
        <v>614456.82479999994</v>
      </c>
      <c r="BS96" s="102">
        <f t="shared" ca="1" si="86"/>
        <v>1377613.9103999999</v>
      </c>
      <c r="BT96" s="102">
        <f t="shared" ca="1" si="87"/>
        <v>1544306.2656</v>
      </c>
      <c r="BU96" s="102">
        <f t="shared" ca="1" si="88"/>
        <v>1731165.1392000001</v>
      </c>
      <c r="BV96" s="102">
        <f t="shared" ca="1" si="89"/>
        <v>1940638.0223999999</v>
      </c>
      <c r="BW96" s="102">
        <f t="shared" ca="1" si="90"/>
        <v>2175455.5872</v>
      </c>
      <c r="BX96" s="102">
        <f t="shared" ca="1" si="91"/>
        <v>2438682.2544</v>
      </c>
      <c r="BY96" s="102">
        <f t="shared" ca="1" si="92"/>
        <v>2733766.7615999999</v>
      </c>
      <c r="BZ96" s="102">
        <f t="shared" ca="1" si="93"/>
        <v>3064552.2768000001</v>
      </c>
    </row>
    <row r="97" spans="1:78" x14ac:dyDescent="0.25">
      <c r="A97" s="26" t="str">
        <f>+Assumptions!$A$37</f>
        <v>NPK 16-16-16</v>
      </c>
      <c r="B97" s="73">
        <f>+Assumptions!$R$53</f>
        <v>0.16</v>
      </c>
      <c r="C97" s="59" t="s">
        <v>146</v>
      </c>
      <c r="F97">
        <v>2.1149999999999998</v>
      </c>
      <c r="G97" s="61">
        <f t="shared" si="95"/>
        <v>2.1149999999999998</v>
      </c>
      <c r="H97" s="61">
        <f t="shared" si="96"/>
        <v>2.1149999999999998</v>
      </c>
      <c r="I97" s="61">
        <f t="shared" si="96"/>
        <v>2.1149999999999998</v>
      </c>
      <c r="J97" s="61">
        <f t="shared" si="96"/>
        <v>2.1149999999999998</v>
      </c>
      <c r="K97" s="61">
        <f t="shared" si="96"/>
        <v>2.1149999999999998</v>
      </c>
      <c r="L97" s="61">
        <f t="shared" si="96"/>
        <v>2.1149999999999998</v>
      </c>
      <c r="M97" s="61">
        <f t="shared" si="96"/>
        <v>2.1149999999999998</v>
      </c>
      <c r="N97" s="61">
        <f t="shared" si="96"/>
        <v>2.1149999999999998</v>
      </c>
      <c r="O97" s="61">
        <f t="shared" si="96"/>
        <v>2.1149999999999998</v>
      </c>
      <c r="P97" s="61">
        <f t="shared" si="96"/>
        <v>2.1149999999999998</v>
      </c>
      <c r="Q97" s="61">
        <f t="shared" si="96"/>
        <v>2.1149999999999998</v>
      </c>
      <c r="R97" s="61">
        <f t="shared" si="96"/>
        <v>2.1149999999999998</v>
      </c>
      <c r="S97" s="74">
        <f>VLOOKUP($A97,turnover!$A$184:$Q$192,+S$4-$S$4+3,0)</f>
        <v>0</v>
      </c>
      <c r="T97" s="74">
        <f>VLOOKUP($A97,turnover!$A$184:$Q$192,+T$4-$S$4+3,0)</f>
        <v>0</v>
      </c>
      <c r="U97" s="74">
        <f>VLOOKUP($A97,turnover!$A$184:$Q$192,+U$4-$S$4+3,0)</f>
        <v>0</v>
      </c>
      <c r="V97" s="74">
        <f>VLOOKUP($A97,turnover!$A$184:$Q$192,+V$4-$S$4+3,0)</f>
        <v>0</v>
      </c>
      <c r="W97" s="74">
        <f>VLOOKUP($A97,turnover!$A$184:$Q$192,+W$4-$S$4+3,0)</f>
        <v>0</v>
      </c>
      <c r="X97" s="74">
        <f>VLOOKUP($A97,turnover!$A$184:$Q$192,+X$4-$S$4+3,0)</f>
        <v>0</v>
      </c>
      <c r="Y97" s="74">
        <f>VLOOKUP($A97,turnover!$A$184:$Q$192,+Y$4-$S$4+3,0)</f>
        <v>8.9600000000000009</v>
      </c>
      <c r="Z97" s="74">
        <f>VLOOKUP($A97,turnover!$A$184:$Q$192,+Z$4-$S$4+3,0)</f>
        <v>17.920000000000002</v>
      </c>
      <c r="AA97" s="74">
        <f>VLOOKUP($A97,turnover!$A$184:$Q$192,+AA$4-$S$4+3,0)</f>
        <v>17.920000000000002</v>
      </c>
      <c r="AB97" s="74">
        <f>VLOOKUP($A97,turnover!$A$184:$Q$192,+AB$4-$S$4+3,0)</f>
        <v>17.920000000000002</v>
      </c>
      <c r="AC97" s="74">
        <f>VLOOKUP($A97,turnover!$A$184:$Q$192,+AC$4-$S$4+3,0)</f>
        <v>17.920000000000002</v>
      </c>
      <c r="AD97" s="74">
        <f>VLOOKUP($A97,turnover!$A$184:$Q$192,+AD$4-$S$4+3,0)</f>
        <v>17.920000000000002</v>
      </c>
      <c r="AE97" s="74">
        <f>VLOOKUP($A97,turnover!$A$184:$Q$192,+AE$4-$S$4+3,0)</f>
        <v>17.920000000000002</v>
      </c>
      <c r="AF97" s="74">
        <f>VLOOKUP($A97,turnover!$A$184:$Q$192,+AF$4-$S$4+3,0)</f>
        <v>17.920000000000002</v>
      </c>
      <c r="AG97" s="74">
        <f>VLOOKUP($A97,turnover!$A$184:$Q$192,+AG$4-$S$4+3,0)</f>
        <v>17.920000000000002</v>
      </c>
      <c r="AH97" s="61">
        <f t="shared" si="64"/>
        <v>0</v>
      </c>
      <c r="AI97" s="61">
        <f t="shared" si="65"/>
        <v>0</v>
      </c>
      <c r="AJ97" s="61">
        <f t="shared" si="66"/>
        <v>0</v>
      </c>
      <c r="AK97" s="61">
        <f t="shared" si="67"/>
        <v>0</v>
      </c>
      <c r="AL97" s="61">
        <f t="shared" si="68"/>
        <v>0</v>
      </c>
      <c r="AM97" s="61">
        <f t="shared" si="69"/>
        <v>0</v>
      </c>
      <c r="AN97" s="61">
        <f t="shared" si="70"/>
        <v>18.950399999999998</v>
      </c>
      <c r="AO97" s="61">
        <f t="shared" si="71"/>
        <v>37.900799999999997</v>
      </c>
      <c r="AP97" s="61">
        <f t="shared" si="72"/>
        <v>37.900799999999997</v>
      </c>
      <c r="AQ97" s="61">
        <f t="shared" si="73"/>
        <v>37.900799999999997</v>
      </c>
      <c r="AR97" s="61">
        <f t="shared" si="74"/>
        <v>37.900799999999997</v>
      </c>
      <c r="AS97" s="61">
        <f t="shared" si="75"/>
        <v>37.900799999999997</v>
      </c>
      <c r="AT97" s="61">
        <f t="shared" si="76"/>
        <v>37.900799999999997</v>
      </c>
      <c r="AU97" s="61">
        <f t="shared" si="77"/>
        <v>37.900799999999997</v>
      </c>
      <c r="AV97" s="61">
        <f t="shared" si="78"/>
        <v>37.900799999999997</v>
      </c>
      <c r="AW97" s="101">
        <f>VLOOKUP($C97,'Cost RMs'!$B$5:$Q$22,+AW$4-$AW$4+2,0)</f>
        <v>7020</v>
      </c>
      <c r="AX97" s="101">
        <f>VLOOKUP($C97,'Cost RMs'!$B$5:$Q$22,+AX$4-$AW$4+2,0)</f>
        <v>8883</v>
      </c>
      <c r="AY97" s="101">
        <f>VLOOKUP($C97,'Cost RMs'!$B$5:$Q$22,+AY$4-$AW$4+2,0)</f>
        <v>11764</v>
      </c>
      <c r="AZ97" s="101">
        <f>VLOOKUP($C97,'Cost RMs'!$B$5:$Q$22,+AZ$4-$AW$4+2,0)</f>
        <v>15733</v>
      </c>
      <c r="BA97" s="101">
        <f ca="1">VLOOKUP($C97,'Cost RMs'!$B$5:$Q$22,+BA$4-$AW$4+2,0)</f>
        <v>19200</v>
      </c>
      <c r="BB97" s="101">
        <f ca="1">VLOOKUP($C97,'Cost RMs'!$B$5:$Q$22,+BB$4-$AW$4+2,0)</f>
        <v>21502</v>
      </c>
      <c r="BC97" s="101">
        <f ca="1">VLOOKUP($C97,'Cost RMs'!$B$5:$Q$22,+BC$4-$AW$4+2,0)</f>
        <v>24104</v>
      </c>
      <c r="BD97" s="101">
        <f ca="1">VLOOKUP($C97,'Cost RMs'!$B$5:$Q$22,+BD$4-$AW$4+2,0)</f>
        <v>27021</v>
      </c>
      <c r="BE97" s="101">
        <f ca="1">VLOOKUP($C97,'Cost RMs'!$B$5:$Q$22,+BE$4-$AW$4+2,0)</f>
        <v>30291</v>
      </c>
      <c r="BF97" s="101">
        <f ca="1">VLOOKUP($C97,'Cost RMs'!$B$5:$Q$22,+BF$4-$AW$4+2,0)</f>
        <v>33956</v>
      </c>
      <c r="BG97" s="101">
        <f ca="1">VLOOKUP($C97,'Cost RMs'!$B$5:$Q$22,+BG$4-$AW$4+2,0)</f>
        <v>38065</v>
      </c>
      <c r="BH97" s="101">
        <f ca="1">VLOOKUP($C97,'Cost RMs'!$B$5:$Q$22,+BH$4-$AW$4+2,0)</f>
        <v>42671</v>
      </c>
      <c r="BI97" s="101">
        <f ca="1">VLOOKUP($C97,'Cost RMs'!$B$5:$Q$22,+BI$4-$AW$4+2,0)</f>
        <v>47834</v>
      </c>
      <c r="BJ97" s="101">
        <f ca="1">VLOOKUP($C97,'Cost RMs'!$B$5:$Q$22,+BJ$4-$AW$4+2,0)</f>
        <v>53622</v>
      </c>
      <c r="BK97" s="101">
        <f ca="1">VLOOKUP($C97,'Cost RMs'!$B$5:$Q$22,+BK$4-$AW$4+2,0)</f>
        <v>60110</v>
      </c>
      <c r="BL97" s="102">
        <f t="shared" si="79"/>
        <v>0</v>
      </c>
      <c r="BM97" s="102">
        <f t="shared" si="80"/>
        <v>0</v>
      </c>
      <c r="BN97" s="102">
        <f t="shared" si="81"/>
        <v>0</v>
      </c>
      <c r="BO97" s="102">
        <f t="shared" si="82"/>
        <v>0</v>
      </c>
      <c r="BP97" s="102">
        <f t="shared" ca="1" si="83"/>
        <v>0</v>
      </c>
      <c r="BQ97" s="102">
        <f t="shared" ca="1" si="84"/>
        <v>0</v>
      </c>
      <c r="BR97" s="102">
        <f t="shared" ca="1" si="85"/>
        <v>456780.44159999996</v>
      </c>
      <c r="BS97" s="102">
        <f t="shared" ca="1" si="86"/>
        <v>1024117.5167999999</v>
      </c>
      <c r="BT97" s="102">
        <f t="shared" ca="1" si="87"/>
        <v>1148053.1327999998</v>
      </c>
      <c r="BU97" s="102">
        <f t="shared" ca="1" si="88"/>
        <v>1286959.5647999998</v>
      </c>
      <c r="BV97" s="102">
        <f t="shared" ca="1" si="89"/>
        <v>1442693.9519999998</v>
      </c>
      <c r="BW97" s="102">
        <f t="shared" ca="1" si="90"/>
        <v>1617265.0367999999</v>
      </c>
      <c r="BX97" s="102">
        <f t="shared" ca="1" si="91"/>
        <v>1812946.8671999997</v>
      </c>
      <c r="BY97" s="102">
        <f t="shared" ca="1" si="92"/>
        <v>2032316.6975999998</v>
      </c>
      <c r="BZ97" s="102">
        <f t="shared" ca="1" si="93"/>
        <v>2278217.088</v>
      </c>
    </row>
    <row r="98" spans="1:78" x14ac:dyDescent="0.25">
      <c r="A98" s="26" t="str">
        <f>+Assumptions!$A$37</f>
        <v>NPK 16-16-16</v>
      </c>
      <c r="B98" s="73">
        <f>+Assumptions!$R$53</f>
        <v>0.16</v>
      </c>
      <c r="C98" s="59" t="s">
        <v>147</v>
      </c>
      <c r="F98">
        <v>0.27374999999999999</v>
      </c>
      <c r="G98" s="61">
        <f t="shared" si="95"/>
        <v>0.27374999999999999</v>
      </c>
      <c r="H98" s="61">
        <f t="shared" si="96"/>
        <v>0.27374999999999999</v>
      </c>
      <c r="I98" s="61">
        <f t="shared" si="96"/>
        <v>0.27374999999999999</v>
      </c>
      <c r="J98" s="61">
        <f t="shared" si="96"/>
        <v>0.27374999999999999</v>
      </c>
      <c r="K98" s="61">
        <f t="shared" si="96"/>
        <v>0.27374999999999999</v>
      </c>
      <c r="L98" s="61">
        <f t="shared" si="96"/>
        <v>0.27374999999999999</v>
      </c>
      <c r="M98" s="61">
        <f t="shared" si="96"/>
        <v>0.27374999999999999</v>
      </c>
      <c r="N98" s="61">
        <f t="shared" si="96"/>
        <v>0.27374999999999999</v>
      </c>
      <c r="O98" s="61">
        <f t="shared" si="96"/>
        <v>0.27374999999999999</v>
      </c>
      <c r="P98" s="61">
        <f t="shared" si="96"/>
        <v>0.27374999999999999</v>
      </c>
      <c r="Q98" s="61">
        <f t="shared" si="96"/>
        <v>0.27374999999999999</v>
      </c>
      <c r="R98" s="61">
        <f t="shared" si="96"/>
        <v>0.27374999999999999</v>
      </c>
      <c r="S98" s="74">
        <f>VLOOKUP($A98,turnover!$A$184:$Q$192,+S$4-$S$4+3,0)</f>
        <v>0</v>
      </c>
      <c r="T98" s="74">
        <f>VLOOKUP($A98,turnover!$A$184:$Q$192,+T$4-$S$4+3,0)</f>
        <v>0</v>
      </c>
      <c r="U98" s="74">
        <f>VLOOKUP($A98,turnover!$A$184:$Q$192,+U$4-$S$4+3,0)</f>
        <v>0</v>
      </c>
      <c r="V98" s="74">
        <f>VLOOKUP($A98,turnover!$A$184:$Q$192,+V$4-$S$4+3,0)</f>
        <v>0</v>
      </c>
      <c r="W98" s="74">
        <f>VLOOKUP($A98,turnover!$A$184:$Q$192,+W$4-$S$4+3,0)</f>
        <v>0</v>
      </c>
      <c r="X98" s="74">
        <f>VLOOKUP($A98,turnover!$A$184:$Q$192,+X$4-$S$4+3,0)</f>
        <v>0</v>
      </c>
      <c r="Y98" s="74">
        <f>VLOOKUP($A98,turnover!$A$184:$Q$192,+Y$4-$S$4+3,0)</f>
        <v>8.9600000000000009</v>
      </c>
      <c r="Z98" s="74">
        <f>VLOOKUP($A98,turnover!$A$184:$Q$192,+Z$4-$S$4+3,0)</f>
        <v>17.920000000000002</v>
      </c>
      <c r="AA98" s="74">
        <f>VLOOKUP($A98,turnover!$A$184:$Q$192,+AA$4-$S$4+3,0)</f>
        <v>17.920000000000002</v>
      </c>
      <c r="AB98" s="74">
        <f>VLOOKUP($A98,turnover!$A$184:$Q$192,+AB$4-$S$4+3,0)</f>
        <v>17.920000000000002</v>
      </c>
      <c r="AC98" s="74">
        <f>VLOOKUP($A98,turnover!$A$184:$Q$192,+AC$4-$S$4+3,0)</f>
        <v>17.920000000000002</v>
      </c>
      <c r="AD98" s="74">
        <f>VLOOKUP($A98,turnover!$A$184:$Q$192,+AD$4-$S$4+3,0)</f>
        <v>17.920000000000002</v>
      </c>
      <c r="AE98" s="74">
        <f>VLOOKUP($A98,turnover!$A$184:$Q$192,+AE$4-$S$4+3,0)</f>
        <v>17.920000000000002</v>
      </c>
      <c r="AF98" s="74">
        <f>VLOOKUP($A98,turnover!$A$184:$Q$192,+AF$4-$S$4+3,0)</f>
        <v>17.920000000000002</v>
      </c>
      <c r="AG98" s="74">
        <f>VLOOKUP($A98,turnover!$A$184:$Q$192,+AG$4-$S$4+3,0)</f>
        <v>17.920000000000002</v>
      </c>
      <c r="AH98" s="61">
        <f t="shared" si="64"/>
        <v>0</v>
      </c>
      <c r="AI98" s="61">
        <f t="shared" si="65"/>
        <v>0</v>
      </c>
      <c r="AJ98" s="61">
        <f t="shared" si="66"/>
        <v>0</v>
      </c>
      <c r="AK98" s="61">
        <f t="shared" si="67"/>
        <v>0</v>
      </c>
      <c r="AL98" s="61">
        <f t="shared" si="68"/>
        <v>0</v>
      </c>
      <c r="AM98" s="61">
        <f t="shared" si="69"/>
        <v>0</v>
      </c>
      <c r="AN98" s="61">
        <f t="shared" si="70"/>
        <v>2.4528000000000003</v>
      </c>
      <c r="AO98" s="61">
        <f t="shared" si="71"/>
        <v>4.9056000000000006</v>
      </c>
      <c r="AP98" s="61">
        <f t="shared" si="72"/>
        <v>4.9056000000000006</v>
      </c>
      <c r="AQ98" s="61">
        <f t="shared" si="73"/>
        <v>4.9056000000000006</v>
      </c>
      <c r="AR98" s="61">
        <f t="shared" si="74"/>
        <v>4.9056000000000006</v>
      </c>
      <c r="AS98" s="61">
        <f t="shared" si="75"/>
        <v>4.9056000000000006</v>
      </c>
      <c r="AT98" s="61">
        <f t="shared" si="76"/>
        <v>4.9056000000000006</v>
      </c>
      <c r="AU98" s="61">
        <f t="shared" si="77"/>
        <v>4.9056000000000006</v>
      </c>
      <c r="AV98" s="61">
        <f t="shared" si="78"/>
        <v>4.9056000000000006</v>
      </c>
      <c r="AW98" s="101">
        <f>VLOOKUP($C98,'Cost RMs'!$B$5:$Q$22,+AW$4-$AW$4+2,0)</f>
        <v>25380</v>
      </c>
      <c r="AX98" s="101">
        <f>VLOOKUP($C98,'Cost RMs'!$B$5:$Q$22,+AX$4-$AW$4+2,0)</f>
        <v>33957</v>
      </c>
      <c r="AY98" s="101">
        <f>VLOOKUP($C98,'Cost RMs'!$B$5:$Q$22,+AY$4-$AW$4+2,0)</f>
        <v>50212</v>
      </c>
      <c r="AZ98" s="101">
        <f>VLOOKUP($C98,'Cost RMs'!$B$5:$Q$22,+AZ$4-$AW$4+2,0)</f>
        <v>63581</v>
      </c>
      <c r="BA98" s="101">
        <f ca="1">VLOOKUP($C98,'Cost RMs'!$B$5:$Q$22,+BA$4-$AW$4+2,0)</f>
        <v>82384</v>
      </c>
      <c r="BB98" s="101">
        <f ca="1">VLOOKUP($C98,'Cost RMs'!$B$5:$Q$22,+BB$4-$AW$4+2,0)</f>
        <v>92262</v>
      </c>
      <c r="BC98" s="101">
        <f ca="1">VLOOKUP($C98,'Cost RMs'!$B$5:$Q$22,+BC$4-$AW$4+2,0)</f>
        <v>103426</v>
      </c>
      <c r="BD98" s="101">
        <f ca="1">VLOOKUP($C98,'Cost RMs'!$B$5:$Q$22,+BD$4-$AW$4+2,0)</f>
        <v>115941</v>
      </c>
      <c r="BE98" s="101">
        <f ca="1">VLOOKUP($C98,'Cost RMs'!$B$5:$Q$22,+BE$4-$AW$4+2,0)</f>
        <v>129970</v>
      </c>
      <c r="BF98" s="101">
        <f ca="1">VLOOKUP($C98,'Cost RMs'!$B$5:$Q$22,+BF$4-$AW$4+2,0)</f>
        <v>145696</v>
      </c>
      <c r="BG98" s="101">
        <f ca="1">VLOOKUP($C98,'Cost RMs'!$B$5:$Q$22,+BG$4-$AW$4+2,0)</f>
        <v>163325</v>
      </c>
      <c r="BH98" s="101">
        <f ca="1">VLOOKUP($C98,'Cost RMs'!$B$5:$Q$22,+BH$4-$AW$4+2,0)</f>
        <v>183087</v>
      </c>
      <c r="BI98" s="101">
        <f ca="1">VLOOKUP($C98,'Cost RMs'!$B$5:$Q$22,+BI$4-$AW$4+2,0)</f>
        <v>205241</v>
      </c>
      <c r="BJ98" s="101">
        <f ca="1">VLOOKUP($C98,'Cost RMs'!$B$5:$Q$22,+BJ$4-$AW$4+2,0)</f>
        <v>230075</v>
      </c>
      <c r="BK98" s="101">
        <f ca="1">VLOOKUP($C98,'Cost RMs'!$B$5:$Q$22,+BK$4-$AW$4+2,0)</f>
        <v>257914</v>
      </c>
      <c r="BL98" s="102">
        <f t="shared" si="79"/>
        <v>0</v>
      </c>
      <c r="BM98" s="102">
        <f t="shared" si="80"/>
        <v>0</v>
      </c>
      <c r="BN98" s="102">
        <f t="shared" si="81"/>
        <v>0</v>
      </c>
      <c r="BO98" s="102">
        <f t="shared" si="82"/>
        <v>0</v>
      </c>
      <c r="BP98" s="102">
        <f t="shared" ca="1" si="83"/>
        <v>0</v>
      </c>
      <c r="BQ98" s="102">
        <f t="shared" ca="1" si="84"/>
        <v>0</v>
      </c>
      <c r="BR98" s="102">
        <f t="shared" ca="1" si="85"/>
        <v>253683.29280000002</v>
      </c>
      <c r="BS98" s="102">
        <f t="shared" ca="1" si="86"/>
        <v>568760.16960000002</v>
      </c>
      <c r="BT98" s="102">
        <f t="shared" ca="1" si="87"/>
        <v>637580.83200000005</v>
      </c>
      <c r="BU98" s="102">
        <f t="shared" ca="1" si="88"/>
        <v>714726.29760000005</v>
      </c>
      <c r="BV98" s="102">
        <f t="shared" ca="1" si="89"/>
        <v>801207.12000000011</v>
      </c>
      <c r="BW98" s="102">
        <f t="shared" ca="1" si="90"/>
        <v>898151.58720000007</v>
      </c>
      <c r="BX98" s="102">
        <f t="shared" ca="1" si="91"/>
        <v>1006830.2496000001</v>
      </c>
      <c r="BY98" s="102">
        <f t="shared" ca="1" si="92"/>
        <v>1128655.9200000002</v>
      </c>
      <c r="BZ98" s="102">
        <f t="shared" ca="1" si="93"/>
        <v>1265222.9184000001</v>
      </c>
    </row>
    <row r="99" spans="1:78" x14ac:dyDescent="0.25">
      <c r="A99" s="26" t="str">
        <f>+Assumptions!$A$37</f>
        <v>NPK 16-16-16</v>
      </c>
      <c r="B99" s="73">
        <f>+Assumptions!$R$53</f>
        <v>0.16</v>
      </c>
      <c r="C99" s="59" t="s">
        <v>148</v>
      </c>
      <c r="F99">
        <v>4.1249999999999995E-2</v>
      </c>
      <c r="G99" s="61">
        <f t="shared" si="95"/>
        <v>4.1249999999999995E-2</v>
      </c>
      <c r="H99" s="61">
        <f t="shared" si="96"/>
        <v>4.1249999999999995E-2</v>
      </c>
      <c r="I99" s="61">
        <f t="shared" si="96"/>
        <v>4.1249999999999995E-2</v>
      </c>
      <c r="J99" s="61">
        <f t="shared" si="96"/>
        <v>4.1249999999999995E-2</v>
      </c>
      <c r="K99" s="61">
        <f t="shared" si="96"/>
        <v>4.1249999999999995E-2</v>
      </c>
      <c r="L99" s="61">
        <f t="shared" si="96"/>
        <v>4.1249999999999995E-2</v>
      </c>
      <c r="M99" s="61">
        <f t="shared" si="96"/>
        <v>4.1249999999999995E-2</v>
      </c>
      <c r="N99" s="61">
        <f t="shared" si="96"/>
        <v>4.1249999999999995E-2</v>
      </c>
      <c r="O99" s="61">
        <f t="shared" si="96"/>
        <v>4.1249999999999995E-2</v>
      </c>
      <c r="P99" s="61">
        <f t="shared" si="96"/>
        <v>4.1249999999999995E-2</v>
      </c>
      <c r="Q99" s="61">
        <f t="shared" si="96"/>
        <v>4.1249999999999995E-2</v>
      </c>
      <c r="R99" s="61">
        <f t="shared" si="96"/>
        <v>4.1249999999999995E-2</v>
      </c>
      <c r="S99" s="74">
        <f>VLOOKUP($A99,turnover!$A$184:$Q$192,+S$4-$S$4+3,0)</f>
        <v>0</v>
      </c>
      <c r="T99" s="74">
        <f>VLOOKUP($A99,turnover!$A$184:$Q$192,+T$4-$S$4+3,0)</f>
        <v>0</v>
      </c>
      <c r="U99" s="74">
        <f>VLOOKUP($A99,turnover!$A$184:$Q$192,+U$4-$S$4+3,0)</f>
        <v>0</v>
      </c>
      <c r="V99" s="74">
        <f>VLOOKUP($A99,turnover!$A$184:$Q$192,+V$4-$S$4+3,0)</f>
        <v>0</v>
      </c>
      <c r="W99" s="74">
        <f>VLOOKUP($A99,turnover!$A$184:$Q$192,+W$4-$S$4+3,0)</f>
        <v>0</v>
      </c>
      <c r="X99" s="74">
        <f>VLOOKUP($A99,turnover!$A$184:$Q$192,+X$4-$S$4+3,0)</f>
        <v>0</v>
      </c>
      <c r="Y99" s="74">
        <f>VLOOKUP($A99,turnover!$A$184:$Q$192,+Y$4-$S$4+3,0)</f>
        <v>8.9600000000000009</v>
      </c>
      <c r="Z99" s="74">
        <f>VLOOKUP($A99,turnover!$A$184:$Q$192,+Z$4-$S$4+3,0)</f>
        <v>17.920000000000002</v>
      </c>
      <c r="AA99" s="74">
        <f>VLOOKUP($A99,turnover!$A$184:$Q$192,+AA$4-$S$4+3,0)</f>
        <v>17.920000000000002</v>
      </c>
      <c r="AB99" s="74">
        <f>VLOOKUP($A99,turnover!$A$184:$Q$192,+AB$4-$S$4+3,0)</f>
        <v>17.920000000000002</v>
      </c>
      <c r="AC99" s="74">
        <f>VLOOKUP($A99,turnover!$A$184:$Q$192,+AC$4-$S$4+3,0)</f>
        <v>17.920000000000002</v>
      </c>
      <c r="AD99" s="74">
        <f>VLOOKUP($A99,turnover!$A$184:$Q$192,+AD$4-$S$4+3,0)</f>
        <v>17.920000000000002</v>
      </c>
      <c r="AE99" s="74">
        <f>VLOOKUP($A99,turnover!$A$184:$Q$192,+AE$4-$S$4+3,0)</f>
        <v>17.920000000000002</v>
      </c>
      <c r="AF99" s="74">
        <f>VLOOKUP($A99,turnover!$A$184:$Q$192,+AF$4-$S$4+3,0)</f>
        <v>17.920000000000002</v>
      </c>
      <c r="AG99" s="74">
        <f>VLOOKUP($A99,turnover!$A$184:$Q$192,+AG$4-$S$4+3,0)</f>
        <v>17.920000000000002</v>
      </c>
      <c r="AH99" s="61">
        <f t="shared" si="64"/>
        <v>0</v>
      </c>
      <c r="AI99" s="61">
        <f t="shared" si="65"/>
        <v>0</v>
      </c>
      <c r="AJ99" s="61">
        <f t="shared" si="66"/>
        <v>0</v>
      </c>
      <c r="AK99" s="61">
        <f t="shared" si="67"/>
        <v>0</v>
      </c>
      <c r="AL99" s="61">
        <f t="shared" si="68"/>
        <v>0</v>
      </c>
      <c r="AM99" s="61">
        <f t="shared" si="69"/>
        <v>0</v>
      </c>
      <c r="AN99" s="61">
        <f t="shared" si="70"/>
        <v>0.36959999999999998</v>
      </c>
      <c r="AO99" s="61">
        <f t="shared" si="71"/>
        <v>0.73919999999999997</v>
      </c>
      <c r="AP99" s="61">
        <f t="shared" si="72"/>
        <v>0.73919999999999997</v>
      </c>
      <c r="AQ99" s="61">
        <f t="shared" si="73"/>
        <v>0.73919999999999997</v>
      </c>
      <c r="AR99" s="61">
        <f t="shared" si="74"/>
        <v>0.73919999999999997</v>
      </c>
      <c r="AS99" s="61">
        <f t="shared" si="75"/>
        <v>0.73919999999999997</v>
      </c>
      <c r="AT99" s="61">
        <f t="shared" si="76"/>
        <v>0.73919999999999997</v>
      </c>
      <c r="AU99" s="61">
        <f t="shared" si="77"/>
        <v>0.73919999999999997</v>
      </c>
      <c r="AV99" s="61">
        <f t="shared" si="78"/>
        <v>0.73919999999999997</v>
      </c>
      <c r="AW99" s="101">
        <f>VLOOKUP($C99,'Cost RMs'!$B$5:$Q$22,+AW$4-$AW$4+2,0)</f>
        <v>27439</v>
      </c>
      <c r="AX99" s="101">
        <f>VLOOKUP($C99,'Cost RMs'!$B$5:$Q$22,+AX$4-$AW$4+2,0)</f>
        <v>32275</v>
      </c>
      <c r="AY99" s="101">
        <f>VLOOKUP($C99,'Cost RMs'!$B$5:$Q$22,+AY$4-$AW$4+2,0)</f>
        <v>45664</v>
      </c>
      <c r="AZ99" s="101">
        <f>VLOOKUP($C99,'Cost RMs'!$B$5:$Q$22,+AZ$4-$AW$4+2,0)</f>
        <v>50129</v>
      </c>
      <c r="BA99" s="101">
        <f ca="1">VLOOKUP($C99,'Cost RMs'!$B$5:$Q$22,+BA$4-$AW$4+2,0)</f>
        <v>75490</v>
      </c>
      <c r="BB99" s="101">
        <f ca="1">VLOOKUP($C99,'Cost RMs'!$B$5:$Q$22,+BB$4-$AW$4+2,0)</f>
        <v>84541</v>
      </c>
      <c r="BC99" s="101">
        <f ca="1">VLOOKUP($C99,'Cost RMs'!$B$5:$Q$22,+BC$4-$AW$4+2,0)</f>
        <v>94770</v>
      </c>
      <c r="BD99" s="101">
        <f ca="1">VLOOKUP($C99,'Cost RMs'!$B$5:$Q$22,+BD$4-$AW$4+2,0)</f>
        <v>106237</v>
      </c>
      <c r="BE99" s="101">
        <f ca="1">VLOOKUP($C99,'Cost RMs'!$B$5:$Q$22,+BE$4-$AW$4+2,0)</f>
        <v>119092</v>
      </c>
      <c r="BF99" s="101">
        <f ca="1">VLOOKUP($C99,'Cost RMs'!$B$5:$Q$22,+BF$4-$AW$4+2,0)</f>
        <v>133502</v>
      </c>
      <c r="BG99" s="101">
        <f ca="1">VLOOKUP($C99,'Cost RMs'!$B$5:$Q$22,+BG$4-$AW$4+2,0)</f>
        <v>149656</v>
      </c>
      <c r="BH99" s="101">
        <f ca="1">VLOOKUP($C99,'Cost RMs'!$B$5:$Q$22,+BH$4-$AW$4+2,0)</f>
        <v>167764</v>
      </c>
      <c r="BI99" s="101">
        <f ca="1">VLOOKUP($C99,'Cost RMs'!$B$5:$Q$22,+BI$4-$AW$4+2,0)</f>
        <v>188063</v>
      </c>
      <c r="BJ99" s="101">
        <f ca="1">VLOOKUP($C99,'Cost RMs'!$B$5:$Q$22,+BJ$4-$AW$4+2,0)</f>
        <v>210819</v>
      </c>
      <c r="BK99" s="101">
        <f ca="1">VLOOKUP($C99,'Cost RMs'!$B$5:$Q$22,+BK$4-$AW$4+2,0)</f>
        <v>236328</v>
      </c>
      <c r="BL99" s="102">
        <f t="shared" si="79"/>
        <v>0</v>
      </c>
      <c r="BM99" s="102">
        <f t="shared" si="80"/>
        <v>0</v>
      </c>
      <c r="BN99" s="102">
        <f t="shared" si="81"/>
        <v>0</v>
      </c>
      <c r="BO99" s="102">
        <f t="shared" si="82"/>
        <v>0</v>
      </c>
      <c r="BP99" s="102">
        <f t="shared" ca="1" si="83"/>
        <v>0</v>
      </c>
      <c r="BQ99" s="102">
        <f t="shared" ca="1" si="84"/>
        <v>0</v>
      </c>
      <c r="BR99" s="102">
        <f t="shared" ca="1" si="85"/>
        <v>35026.991999999998</v>
      </c>
      <c r="BS99" s="102">
        <f t="shared" ca="1" si="86"/>
        <v>78530.390400000004</v>
      </c>
      <c r="BT99" s="102">
        <f t="shared" ca="1" si="87"/>
        <v>88032.806400000001</v>
      </c>
      <c r="BU99" s="102">
        <f t="shared" ca="1" si="88"/>
        <v>98684.67839999999</v>
      </c>
      <c r="BV99" s="102">
        <f t="shared" ca="1" si="89"/>
        <v>110625.71519999999</v>
      </c>
      <c r="BW99" s="102">
        <f t="shared" ca="1" si="90"/>
        <v>124011.1488</v>
      </c>
      <c r="BX99" s="102">
        <f t="shared" ca="1" si="91"/>
        <v>139016.16959999999</v>
      </c>
      <c r="BY99" s="102">
        <f t="shared" ca="1" si="92"/>
        <v>155837.40479999999</v>
      </c>
      <c r="BZ99" s="102">
        <f t="shared" ca="1" si="93"/>
        <v>174693.65760000001</v>
      </c>
    </row>
    <row r="100" spans="1:78" x14ac:dyDescent="0.25">
      <c r="A100" s="26" t="str">
        <f>+Assumptions!$A$37</f>
        <v>NPK 16-16-16</v>
      </c>
      <c r="B100" s="73">
        <f>+Assumptions!$R$53</f>
        <v>0.16</v>
      </c>
      <c r="C100" s="59" t="s">
        <v>149</v>
      </c>
      <c r="F100">
        <v>2.0409375000000001</v>
      </c>
      <c r="G100" s="61">
        <f t="shared" si="95"/>
        <v>2.0409375000000001</v>
      </c>
      <c r="H100" s="61">
        <f t="shared" si="96"/>
        <v>2.0409375000000001</v>
      </c>
      <c r="I100" s="61">
        <f t="shared" si="96"/>
        <v>2.0409375000000001</v>
      </c>
      <c r="J100" s="61">
        <f t="shared" si="96"/>
        <v>2.0409375000000001</v>
      </c>
      <c r="K100" s="61">
        <f t="shared" si="96"/>
        <v>2.0409375000000001</v>
      </c>
      <c r="L100" s="61">
        <f t="shared" si="96"/>
        <v>2.0409375000000001</v>
      </c>
      <c r="M100" s="61">
        <f t="shared" si="96"/>
        <v>2.0409375000000001</v>
      </c>
      <c r="N100" s="61">
        <f t="shared" si="96"/>
        <v>2.0409375000000001</v>
      </c>
      <c r="O100" s="61">
        <f t="shared" si="96"/>
        <v>2.0409375000000001</v>
      </c>
      <c r="P100" s="61">
        <f t="shared" si="96"/>
        <v>2.0409375000000001</v>
      </c>
      <c r="Q100" s="61">
        <f t="shared" si="96"/>
        <v>2.0409375000000001</v>
      </c>
      <c r="R100" s="61">
        <f t="shared" si="96"/>
        <v>2.0409375000000001</v>
      </c>
      <c r="S100" s="74">
        <f>VLOOKUP($A100,turnover!$A$184:$Q$192,+S$4-$S$4+3,0)</f>
        <v>0</v>
      </c>
      <c r="T100" s="74">
        <f>VLOOKUP($A100,turnover!$A$184:$Q$192,+T$4-$S$4+3,0)</f>
        <v>0</v>
      </c>
      <c r="U100" s="74">
        <f>VLOOKUP($A100,turnover!$A$184:$Q$192,+U$4-$S$4+3,0)</f>
        <v>0</v>
      </c>
      <c r="V100" s="74">
        <f>VLOOKUP($A100,turnover!$A$184:$Q$192,+V$4-$S$4+3,0)</f>
        <v>0</v>
      </c>
      <c r="W100" s="74">
        <f>VLOOKUP($A100,turnover!$A$184:$Q$192,+W$4-$S$4+3,0)</f>
        <v>0</v>
      </c>
      <c r="X100" s="74">
        <f>VLOOKUP($A100,turnover!$A$184:$Q$192,+X$4-$S$4+3,0)</f>
        <v>0</v>
      </c>
      <c r="Y100" s="74">
        <f>VLOOKUP($A100,turnover!$A$184:$Q$192,+Y$4-$S$4+3,0)</f>
        <v>8.9600000000000009</v>
      </c>
      <c r="Z100" s="74">
        <f>VLOOKUP($A100,turnover!$A$184:$Q$192,+Z$4-$S$4+3,0)</f>
        <v>17.920000000000002</v>
      </c>
      <c r="AA100" s="74">
        <f>VLOOKUP($A100,turnover!$A$184:$Q$192,+AA$4-$S$4+3,0)</f>
        <v>17.920000000000002</v>
      </c>
      <c r="AB100" s="74">
        <f>VLOOKUP($A100,turnover!$A$184:$Q$192,+AB$4-$S$4+3,0)</f>
        <v>17.920000000000002</v>
      </c>
      <c r="AC100" s="74">
        <f>VLOOKUP($A100,turnover!$A$184:$Q$192,+AC$4-$S$4+3,0)</f>
        <v>17.920000000000002</v>
      </c>
      <c r="AD100" s="74">
        <f>VLOOKUP($A100,turnover!$A$184:$Q$192,+AD$4-$S$4+3,0)</f>
        <v>17.920000000000002</v>
      </c>
      <c r="AE100" s="74">
        <f>VLOOKUP($A100,turnover!$A$184:$Q$192,+AE$4-$S$4+3,0)</f>
        <v>17.920000000000002</v>
      </c>
      <c r="AF100" s="74">
        <f>VLOOKUP($A100,turnover!$A$184:$Q$192,+AF$4-$S$4+3,0)</f>
        <v>17.920000000000002</v>
      </c>
      <c r="AG100" s="74">
        <f>VLOOKUP($A100,turnover!$A$184:$Q$192,+AG$4-$S$4+3,0)</f>
        <v>17.920000000000002</v>
      </c>
      <c r="AH100" s="61">
        <f t="shared" si="64"/>
        <v>0</v>
      </c>
      <c r="AI100" s="61">
        <f t="shared" si="65"/>
        <v>0</v>
      </c>
      <c r="AJ100" s="61">
        <f t="shared" si="66"/>
        <v>0</v>
      </c>
      <c r="AK100" s="61">
        <f t="shared" si="67"/>
        <v>0</v>
      </c>
      <c r="AL100" s="61">
        <f t="shared" si="68"/>
        <v>0</v>
      </c>
      <c r="AM100" s="61">
        <f t="shared" si="69"/>
        <v>0</v>
      </c>
      <c r="AN100" s="61">
        <f t="shared" si="70"/>
        <v>18.286800000000003</v>
      </c>
      <c r="AO100" s="61">
        <f t="shared" si="71"/>
        <v>36.573600000000006</v>
      </c>
      <c r="AP100" s="61">
        <f t="shared" si="72"/>
        <v>36.573600000000006</v>
      </c>
      <c r="AQ100" s="61">
        <f t="shared" si="73"/>
        <v>36.573600000000006</v>
      </c>
      <c r="AR100" s="61">
        <f t="shared" si="74"/>
        <v>36.573600000000006</v>
      </c>
      <c r="AS100" s="61">
        <f t="shared" si="75"/>
        <v>36.573600000000006</v>
      </c>
      <c r="AT100" s="61">
        <f t="shared" si="76"/>
        <v>36.573600000000006</v>
      </c>
      <c r="AU100" s="61">
        <f t="shared" si="77"/>
        <v>36.573600000000006</v>
      </c>
      <c r="AV100" s="61">
        <f t="shared" si="78"/>
        <v>36.573600000000006</v>
      </c>
      <c r="AW100" s="101">
        <f>VLOOKUP($C100,'Cost RMs'!$B$5:$Q$22,+AW$4-$AW$4+2,0)</f>
        <v>9377</v>
      </c>
      <c r="AX100" s="101">
        <f>VLOOKUP($C100,'Cost RMs'!$B$5:$Q$22,+AX$4-$AW$4+2,0)</f>
        <v>9969</v>
      </c>
      <c r="AY100" s="101">
        <f>VLOOKUP($C100,'Cost RMs'!$B$5:$Q$22,+AY$4-$AW$4+2,0)</f>
        <v>14915</v>
      </c>
      <c r="AZ100" s="101">
        <f>VLOOKUP($C100,'Cost RMs'!$B$5:$Q$22,+AZ$4-$AW$4+2,0)</f>
        <v>16547</v>
      </c>
      <c r="BA100" s="101">
        <f ca="1">VLOOKUP($C100,'Cost RMs'!$B$5:$Q$22,+BA$4-$AW$4+2,0)</f>
        <v>17617</v>
      </c>
      <c r="BB100" s="101">
        <f ca="1">VLOOKUP($C100,'Cost RMs'!$B$5:$Q$22,+BB$4-$AW$4+2,0)</f>
        <v>19729</v>
      </c>
      <c r="BC100" s="101">
        <f ca="1">VLOOKUP($C100,'Cost RMs'!$B$5:$Q$22,+BC$4-$AW$4+2,0)</f>
        <v>22116</v>
      </c>
      <c r="BD100" s="101">
        <f ca="1">VLOOKUP($C100,'Cost RMs'!$B$5:$Q$22,+BD$4-$AW$4+2,0)</f>
        <v>24792</v>
      </c>
      <c r="BE100" s="101">
        <f ca="1">VLOOKUP($C100,'Cost RMs'!$B$5:$Q$22,+BE$4-$AW$4+2,0)</f>
        <v>27792</v>
      </c>
      <c r="BF100" s="101">
        <f ca="1">VLOOKUP($C100,'Cost RMs'!$B$5:$Q$22,+BF$4-$AW$4+2,0)</f>
        <v>31155</v>
      </c>
      <c r="BG100" s="101">
        <f ca="1">VLOOKUP($C100,'Cost RMs'!$B$5:$Q$22,+BG$4-$AW$4+2,0)</f>
        <v>34925</v>
      </c>
      <c r="BH100" s="101">
        <f ca="1">VLOOKUP($C100,'Cost RMs'!$B$5:$Q$22,+BH$4-$AW$4+2,0)</f>
        <v>39151</v>
      </c>
      <c r="BI100" s="101">
        <f ca="1">VLOOKUP($C100,'Cost RMs'!$B$5:$Q$22,+BI$4-$AW$4+2,0)</f>
        <v>43888</v>
      </c>
      <c r="BJ100" s="101">
        <f ca="1">VLOOKUP($C100,'Cost RMs'!$B$5:$Q$22,+BJ$4-$AW$4+2,0)</f>
        <v>49198</v>
      </c>
      <c r="BK100" s="101">
        <f ca="1">VLOOKUP($C100,'Cost RMs'!$B$5:$Q$22,+BK$4-$AW$4+2,0)</f>
        <v>55151</v>
      </c>
      <c r="BL100" s="102">
        <f t="shared" si="79"/>
        <v>0</v>
      </c>
      <c r="BM100" s="102">
        <f t="shared" si="80"/>
        <v>0</v>
      </c>
      <c r="BN100" s="102">
        <f t="shared" si="81"/>
        <v>0</v>
      </c>
      <c r="BO100" s="102">
        <f t="shared" si="82"/>
        <v>0</v>
      </c>
      <c r="BP100" s="102">
        <f t="shared" ca="1" si="83"/>
        <v>0</v>
      </c>
      <c r="BQ100" s="102">
        <f t="shared" ca="1" si="84"/>
        <v>0</v>
      </c>
      <c r="BR100" s="102">
        <f t="shared" ca="1" si="85"/>
        <v>404430.86880000005</v>
      </c>
      <c r="BS100" s="102">
        <f t="shared" ca="1" si="86"/>
        <v>906732.69120000012</v>
      </c>
      <c r="BT100" s="102">
        <f t="shared" ca="1" si="87"/>
        <v>1016453.4912000002</v>
      </c>
      <c r="BU100" s="102">
        <f t="shared" ca="1" si="88"/>
        <v>1139450.5080000001</v>
      </c>
      <c r="BV100" s="102">
        <f t="shared" ca="1" si="89"/>
        <v>1277332.9800000002</v>
      </c>
      <c r="BW100" s="102">
        <f t="shared" ca="1" si="90"/>
        <v>1431893.0136000002</v>
      </c>
      <c r="BX100" s="102">
        <f t="shared" ca="1" si="91"/>
        <v>1605142.1568000002</v>
      </c>
      <c r="BY100" s="102">
        <f t="shared" ca="1" si="92"/>
        <v>1799347.9728000003</v>
      </c>
      <c r="BZ100" s="102">
        <f t="shared" ca="1" si="93"/>
        <v>2017070.6136000003</v>
      </c>
    </row>
    <row r="101" spans="1:78" x14ac:dyDescent="0.25">
      <c r="A101" s="26" t="str">
        <f>+Assumptions!$A$37</f>
        <v>NPK 16-16-16</v>
      </c>
      <c r="B101" s="73">
        <f>+Assumptions!$R$53</f>
        <v>0.16</v>
      </c>
      <c r="C101" s="59" t="s">
        <v>546</v>
      </c>
      <c r="F101">
        <v>16.667000000000002</v>
      </c>
      <c r="G101" s="61">
        <f t="shared" si="95"/>
        <v>16.667000000000002</v>
      </c>
      <c r="H101" s="61">
        <f t="shared" si="96"/>
        <v>16.667000000000002</v>
      </c>
      <c r="I101" s="61">
        <f t="shared" si="96"/>
        <v>16.667000000000002</v>
      </c>
      <c r="J101" s="61">
        <f t="shared" si="96"/>
        <v>16.667000000000002</v>
      </c>
      <c r="K101" s="61">
        <f t="shared" si="96"/>
        <v>16.667000000000002</v>
      </c>
      <c r="L101" s="61">
        <f t="shared" si="96"/>
        <v>16.667000000000002</v>
      </c>
      <c r="M101" s="61">
        <f t="shared" si="96"/>
        <v>16.667000000000002</v>
      </c>
      <c r="N101" s="61">
        <f t="shared" si="96"/>
        <v>16.667000000000002</v>
      </c>
      <c r="O101" s="61">
        <f t="shared" si="96"/>
        <v>16.667000000000002</v>
      </c>
      <c r="P101" s="61">
        <f t="shared" si="96"/>
        <v>16.667000000000002</v>
      </c>
      <c r="Q101" s="61">
        <f t="shared" si="96"/>
        <v>16.667000000000002</v>
      </c>
      <c r="R101" s="61">
        <f t="shared" si="96"/>
        <v>16.667000000000002</v>
      </c>
      <c r="S101" s="74">
        <f>VLOOKUP($A101,turnover!$A$184:$Q$192,+S$4-$S$4+3,0)</f>
        <v>0</v>
      </c>
      <c r="T101" s="74">
        <f>VLOOKUP($A101,turnover!$A$184:$Q$192,+T$4-$S$4+3,0)</f>
        <v>0</v>
      </c>
      <c r="U101" s="74">
        <f>VLOOKUP($A101,turnover!$A$184:$Q$192,+U$4-$S$4+3,0)</f>
        <v>0</v>
      </c>
      <c r="V101" s="74">
        <f>VLOOKUP($A101,turnover!$A$184:$Q$192,+V$4-$S$4+3,0)</f>
        <v>0</v>
      </c>
      <c r="W101" s="74">
        <f>VLOOKUP($A101,turnover!$A$184:$Q$192,+W$4-$S$4+3,0)</f>
        <v>0</v>
      </c>
      <c r="X101" s="74">
        <f>VLOOKUP($A101,turnover!$A$184:$Q$192,+X$4-$S$4+3,0)</f>
        <v>0</v>
      </c>
      <c r="Y101" s="74">
        <f>VLOOKUP($A101,turnover!$A$184:$Q$192,+Y$4-$S$4+3,0)</f>
        <v>8.9600000000000009</v>
      </c>
      <c r="Z101" s="74">
        <f>VLOOKUP($A101,turnover!$A$184:$Q$192,+Z$4-$S$4+3,0)</f>
        <v>17.920000000000002</v>
      </c>
      <c r="AA101" s="74">
        <f>VLOOKUP($A101,turnover!$A$184:$Q$192,+AA$4-$S$4+3,0)</f>
        <v>17.920000000000002</v>
      </c>
      <c r="AB101" s="74">
        <f>VLOOKUP($A101,turnover!$A$184:$Q$192,+AB$4-$S$4+3,0)</f>
        <v>17.920000000000002</v>
      </c>
      <c r="AC101" s="74">
        <f>VLOOKUP($A101,turnover!$A$184:$Q$192,+AC$4-$S$4+3,0)</f>
        <v>17.920000000000002</v>
      </c>
      <c r="AD101" s="74">
        <f>VLOOKUP($A101,turnover!$A$184:$Q$192,+AD$4-$S$4+3,0)</f>
        <v>17.920000000000002</v>
      </c>
      <c r="AE101" s="74">
        <f>VLOOKUP($A101,turnover!$A$184:$Q$192,+AE$4-$S$4+3,0)</f>
        <v>17.920000000000002</v>
      </c>
      <c r="AF101" s="74">
        <f>VLOOKUP($A101,turnover!$A$184:$Q$192,+AF$4-$S$4+3,0)</f>
        <v>17.920000000000002</v>
      </c>
      <c r="AG101" s="74">
        <f>VLOOKUP($A101,turnover!$A$184:$Q$192,+AG$4-$S$4+3,0)</f>
        <v>17.920000000000002</v>
      </c>
      <c r="AH101" s="61">
        <f t="shared" si="64"/>
        <v>0</v>
      </c>
      <c r="AI101" s="61">
        <f t="shared" si="65"/>
        <v>0</v>
      </c>
      <c r="AJ101" s="61">
        <f t="shared" si="66"/>
        <v>0</v>
      </c>
      <c r="AK101" s="61">
        <f t="shared" si="67"/>
        <v>0</v>
      </c>
      <c r="AL101" s="61">
        <f t="shared" si="68"/>
        <v>0</v>
      </c>
      <c r="AM101" s="61">
        <f t="shared" si="69"/>
        <v>0</v>
      </c>
      <c r="AN101" s="61">
        <f t="shared" si="70"/>
        <v>149.33632000000003</v>
      </c>
      <c r="AO101" s="61">
        <f t="shared" si="71"/>
        <v>298.67264000000006</v>
      </c>
      <c r="AP101" s="61">
        <f t="shared" si="72"/>
        <v>298.67264000000006</v>
      </c>
      <c r="AQ101" s="61">
        <f t="shared" si="73"/>
        <v>298.67264000000006</v>
      </c>
      <c r="AR101" s="61">
        <f t="shared" si="74"/>
        <v>298.67264000000006</v>
      </c>
      <c r="AS101" s="61">
        <f t="shared" si="75"/>
        <v>298.67264000000006</v>
      </c>
      <c r="AT101" s="61">
        <f t="shared" si="76"/>
        <v>298.67264000000006</v>
      </c>
      <c r="AU101" s="61">
        <f t="shared" si="77"/>
        <v>298.67264000000006</v>
      </c>
      <c r="AV101" s="61">
        <f t="shared" si="78"/>
        <v>298.67264000000006</v>
      </c>
      <c r="AW101" s="101">
        <f>VLOOKUP($C101,'Cost RMs'!$B$5:$Q$22,+AW$4-$AW$4+2,0)</f>
        <v>0</v>
      </c>
      <c r="AX101" s="101">
        <f>VLOOKUP($C101,'Cost RMs'!$B$5:$Q$22,+AX$4-$AW$4+2,0)</f>
        <v>0</v>
      </c>
      <c r="AY101" s="101">
        <f>VLOOKUP($C101,'Cost RMs'!$B$5:$Q$22,+AY$4-$AW$4+2,0)</f>
        <v>0</v>
      </c>
      <c r="AZ101" s="101">
        <f>VLOOKUP($C101,'Cost RMs'!$B$5:$Q$22,+AZ$4-$AW$4+2,0)</f>
        <v>0</v>
      </c>
      <c r="BA101" s="101">
        <f>VLOOKUP($C101,'Cost RMs'!$B$5:$Q$22,+BA$4-$AW$4+2,0)</f>
        <v>2835</v>
      </c>
      <c r="BB101" s="101">
        <f>VLOOKUP($C101,'Cost RMs'!$B$5:$Q$22,+BB$4-$AW$4+2,0)</f>
        <v>3175</v>
      </c>
      <c r="BC101" s="101">
        <f>VLOOKUP($C101,'Cost RMs'!$B$5:$Q$22,+BC$4-$AW$4+2,0)</f>
        <v>3559</v>
      </c>
      <c r="BD101" s="101">
        <f>VLOOKUP($C101,'Cost RMs'!$B$5:$Q$22,+BD$4-$AW$4+2,0)</f>
        <v>3990</v>
      </c>
      <c r="BE101" s="101">
        <f>VLOOKUP($C101,'Cost RMs'!$B$5:$Q$22,+BE$4-$AW$4+2,0)</f>
        <v>4473</v>
      </c>
      <c r="BF101" s="101">
        <f>VLOOKUP($C101,'Cost RMs'!$B$5:$Q$22,+BF$4-$AW$4+2,0)</f>
        <v>5014</v>
      </c>
      <c r="BG101" s="101">
        <f>VLOOKUP($C101,'Cost RMs'!$B$5:$Q$22,+BG$4-$AW$4+2,0)</f>
        <v>5621</v>
      </c>
      <c r="BH101" s="101">
        <f>VLOOKUP($C101,'Cost RMs'!$B$5:$Q$22,+BH$4-$AW$4+2,0)</f>
        <v>6301</v>
      </c>
      <c r="BI101" s="101">
        <f>VLOOKUP($C101,'Cost RMs'!$B$5:$Q$22,+BI$4-$AW$4+2,0)</f>
        <v>7063</v>
      </c>
      <c r="BJ101" s="101">
        <f>VLOOKUP($C101,'Cost RMs'!$B$5:$Q$22,+BJ$4-$AW$4+2,0)</f>
        <v>7918</v>
      </c>
      <c r="BK101" s="101">
        <f>VLOOKUP($C101,'Cost RMs'!$B$5:$Q$22,+BK$4-$AW$4+2,0)</f>
        <v>8876</v>
      </c>
      <c r="BL101" s="102">
        <f t="shared" si="79"/>
        <v>0</v>
      </c>
      <c r="BM101" s="102">
        <f t="shared" si="80"/>
        <v>0</v>
      </c>
      <c r="BN101" s="102">
        <f t="shared" si="81"/>
        <v>0</v>
      </c>
      <c r="BO101" s="102">
        <f t="shared" si="82"/>
        <v>0</v>
      </c>
      <c r="BP101" s="102">
        <f t="shared" si="83"/>
        <v>0</v>
      </c>
      <c r="BQ101" s="102">
        <f t="shared" si="84"/>
        <v>0</v>
      </c>
      <c r="BR101" s="102">
        <f t="shared" si="85"/>
        <v>531487.96288000012</v>
      </c>
      <c r="BS101" s="102">
        <f t="shared" si="86"/>
        <v>1191703.8336000002</v>
      </c>
      <c r="BT101" s="102">
        <f t="shared" si="87"/>
        <v>1335962.7187200002</v>
      </c>
      <c r="BU101" s="102">
        <f t="shared" si="88"/>
        <v>1497544.6169600002</v>
      </c>
      <c r="BV101" s="102">
        <f t="shared" si="89"/>
        <v>1678838.9094400003</v>
      </c>
      <c r="BW101" s="102">
        <f t="shared" si="90"/>
        <v>1881936.3046400005</v>
      </c>
      <c r="BX101" s="102">
        <f t="shared" si="91"/>
        <v>2109524.8563200003</v>
      </c>
      <c r="BY101" s="102">
        <f t="shared" si="92"/>
        <v>2364889.9635200007</v>
      </c>
      <c r="BZ101" s="102">
        <f t="shared" si="93"/>
        <v>2651018.3526400006</v>
      </c>
    </row>
    <row r="102" spans="1:78" x14ac:dyDescent="0.25">
      <c r="A102" s="26" t="str">
        <f>+Assumptions!$A$37</f>
        <v>NPK 16-16-16</v>
      </c>
      <c r="B102" s="73">
        <f>+Assumptions!$R$53</f>
        <v>0.16</v>
      </c>
      <c r="C102" s="59" t="s">
        <v>547</v>
      </c>
      <c r="F102">
        <v>3.1246875000000003</v>
      </c>
      <c r="G102" s="61">
        <f t="shared" si="95"/>
        <v>3.1246875000000003</v>
      </c>
      <c r="H102" s="61">
        <f t="shared" si="96"/>
        <v>3.1246875000000003</v>
      </c>
      <c r="I102" s="61">
        <f t="shared" si="96"/>
        <v>3.1246875000000003</v>
      </c>
      <c r="J102" s="61">
        <f t="shared" si="96"/>
        <v>3.1246875000000003</v>
      </c>
      <c r="K102" s="61">
        <f t="shared" si="96"/>
        <v>3.1246875000000003</v>
      </c>
      <c r="L102" s="61">
        <f t="shared" si="96"/>
        <v>3.1246875000000003</v>
      </c>
      <c r="M102" s="61">
        <f t="shared" si="96"/>
        <v>3.1246875000000003</v>
      </c>
      <c r="N102" s="61">
        <f t="shared" si="96"/>
        <v>3.1246875000000003</v>
      </c>
      <c r="O102" s="61">
        <f t="shared" si="96"/>
        <v>3.1246875000000003</v>
      </c>
      <c r="P102" s="61">
        <f t="shared" si="96"/>
        <v>3.1246875000000003</v>
      </c>
      <c r="Q102" s="61">
        <f t="shared" si="96"/>
        <v>3.1246875000000003</v>
      </c>
      <c r="R102" s="61">
        <f t="shared" si="96"/>
        <v>3.1246875000000003</v>
      </c>
      <c r="S102" s="74">
        <f>VLOOKUP($A102,turnover!$A$184:$Q$192,+S$4-$S$4+3,0)</f>
        <v>0</v>
      </c>
      <c r="T102" s="74">
        <f>VLOOKUP($A102,turnover!$A$184:$Q$192,+T$4-$S$4+3,0)</f>
        <v>0</v>
      </c>
      <c r="U102" s="74">
        <f>VLOOKUP($A102,turnover!$A$184:$Q$192,+U$4-$S$4+3,0)</f>
        <v>0</v>
      </c>
      <c r="V102" s="74">
        <f>VLOOKUP($A102,turnover!$A$184:$Q$192,+V$4-$S$4+3,0)</f>
        <v>0</v>
      </c>
      <c r="W102" s="74">
        <f>VLOOKUP($A102,turnover!$A$184:$Q$192,+W$4-$S$4+3,0)</f>
        <v>0</v>
      </c>
      <c r="X102" s="74">
        <f>VLOOKUP($A102,turnover!$A$184:$Q$192,+X$4-$S$4+3,0)</f>
        <v>0</v>
      </c>
      <c r="Y102" s="74">
        <f>VLOOKUP($A102,turnover!$A$184:$Q$192,+Y$4-$S$4+3,0)</f>
        <v>8.9600000000000009</v>
      </c>
      <c r="Z102" s="74">
        <f>VLOOKUP($A102,turnover!$A$184:$Q$192,+Z$4-$S$4+3,0)</f>
        <v>17.920000000000002</v>
      </c>
      <c r="AA102" s="74">
        <f>VLOOKUP($A102,turnover!$A$184:$Q$192,+AA$4-$S$4+3,0)</f>
        <v>17.920000000000002</v>
      </c>
      <c r="AB102" s="74">
        <f>VLOOKUP($A102,turnover!$A$184:$Q$192,+AB$4-$S$4+3,0)</f>
        <v>17.920000000000002</v>
      </c>
      <c r="AC102" s="74">
        <f>VLOOKUP($A102,turnover!$A$184:$Q$192,+AC$4-$S$4+3,0)</f>
        <v>17.920000000000002</v>
      </c>
      <c r="AD102" s="74">
        <f>VLOOKUP($A102,turnover!$A$184:$Q$192,+AD$4-$S$4+3,0)</f>
        <v>17.920000000000002</v>
      </c>
      <c r="AE102" s="74">
        <f>VLOOKUP($A102,turnover!$A$184:$Q$192,+AE$4-$S$4+3,0)</f>
        <v>17.920000000000002</v>
      </c>
      <c r="AF102" s="74">
        <f>VLOOKUP($A102,turnover!$A$184:$Q$192,+AF$4-$S$4+3,0)</f>
        <v>17.920000000000002</v>
      </c>
      <c r="AG102" s="74">
        <f>VLOOKUP($A102,turnover!$A$184:$Q$192,+AG$4-$S$4+3,0)</f>
        <v>17.920000000000002</v>
      </c>
      <c r="AH102" s="61">
        <f t="shared" ref="AH102:AH133" si="97">+D102*S102</f>
        <v>0</v>
      </c>
      <c r="AI102" s="61">
        <f t="shared" ref="AI102:AI133" si="98">+E102*T102</f>
        <v>0</v>
      </c>
      <c r="AJ102" s="61">
        <f t="shared" ref="AJ102:AJ133" si="99">+F102*U102</f>
        <v>0</v>
      </c>
      <c r="AK102" s="61">
        <f t="shared" ref="AK102:AK133" si="100">+G102*V102</f>
        <v>0</v>
      </c>
      <c r="AL102" s="61">
        <f t="shared" ref="AL102:AL133" si="101">+H102*W102</f>
        <v>0</v>
      </c>
      <c r="AM102" s="61">
        <f t="shared" ref="AM102:AM133" si="102">+I102*X102</f>
        <v>0</v>
      </c>
      <c r="AN102" s="61">
        <f t="shared" ref="AN102:AN133" si="103">+J102*Y102</f>
        <v>27.997200000000007</v>
      </c>
      <c r="AO102" s="61">
        <f t="shared" ref="AO102:AO133" si="104">+K102*Z102</f>
        <v>55.994400000000013</v>
      </c>
      <c r="AP102" s="61">
        <f t="shared" ref="AP102:AP133" si="105">+L102*AA102</f>
        <v>55.994400000000013</v>
      </c>
      <c r="AQ102" s="61">
        <f t="shared" ref="AQ102:AQ133" si="106">+M102*AB102</f>
        <v>55.994400000000013</v>
      </c>
      <c r="AR102" s="61">
        <f t="shared" ref="AR102:AR133" si="107">+N102*AC102</f>
        <v>55.994400000000013</v>
      </c>
      <c r="AS102" s="61">
        <f t="shared" ref="AS102:AS133" si="108">+O102*AD102</f>
        <v>55.994400000000013</v>
      </c>
      <c r="AT102" s="61">
        <f t="shared" ref="AT102:AT133" si="109">+P102*AE102</f>
        <v>55.994400000000013</v>
      </c>
      <c r="AU102" s="61">
        <f t="shared" ref="AU102:AU133" si="110">+Q102*AF102</f>
        <v>55.994400000000013</v>
      </c>
      <c r="AV102" s="61">
        <f t="shared" ref="AV102:AV133" si="111">+R102*AG102</f>
        <v>55.994400000000013</v>
      </c>
      <c r="AW102" s="101">
        <f>VLOOKUP($C102,'Cost RMs'!$B$5:$Q$22,+AW$4-$AW$4+2,0)</f>
        <v>0</v>
      </c>
      <c r="AX102" s="101">
        <f>VLOOKUP($C102,'Cost RMs'!$B$5:$Q$22,+AX$4-$AW$4+2,0)</f>
        <v>0</v>
      </c>
      <c r="AY102" s="101">
        <f>VLOOKUP($C102,'Cost RMs'!$B$5:$Q$22,+AY$4-$AW$4+2,0)</f>
        <v>0</v>
      </c>
      <c r="AZ102" s="101">
        <f>VLOOKUP($C102,'Cost RMs'!$B$5:$Q$22,+AZ$4-$AW$4+2,0)</f>
        <v>0</v>
      </c>
      <c r="BA102" s="101">
        <f>VLOOKUP($C102,'Cost RMs'!$B$5:$Q$22,+BA$4-$AW$4+2,0)</f>
        <v>3780</v>
      </c>
      <c r="BB102" s="101">
        <f>VLOOKUP($C102,'Cost RMs'!$B$5:$Q$22,+BB$4-$AW$4+2,0)</f>
        <v>4233</v>
      </c>
      <c r="BC102" s="101">
        <f>VLOOKUP($C102,'Cost RMs'!$B$5:$Q$22,+BC$4-$AW$4+2,0)</f>
        <v>4745</v>
      </c>
      <c r="BD102" s="101">
        <f>VLOOKUP($C102,'Cost RMs'!$B$5:$Q$22,+BD$4-$AW$4+2,0)</f>
        <v>5319</v>
      </c>
      <c r="BE102" s="101">
        <f>VLOOKUP($C102,'Cost RMs'!$B$5:$Q$22,+BE$4-$AW$4+2,0)</f>
        <v>5963</v>
      </c>
      <c r="BF102" s="101">
        <f>VLOOKUP($C102,'Cost RMs'!$B$5:$Q$22,+BF$4-$AW$4+2,0)</f>
        <v>6685</v>
      </c>
      <c r="BG102" s="101">
        <f>VLOOKUP($C102,'Cost RMs'!$B$5:$Q$22,+BG$4-$AW$4+2,0)</f>
        <v>7494</v>
      </c>
      <c r="BH102" s="101">
        <f>VLOOKUP($C102,'Cost RMs'!$B$5:$Q$22,+BH$4-$AW$4+2,0)</f>
        <v>8401</v>
      </c>
      <c r="BI102" s="101">
        <f>VLOOKUP($C102,'Cost RMs'!$B$5:$Q$22,+BI$4-$AW$4+2,0)</f>
        <v>9418</v>
      </c>
      <c r="BJ102" s="101">
        <f>VLOOKUP($C102,'Cost RMs'!$B$5:$Q$22,+BJ$4-$AW$4+2,0)</f>
        <v>10558</v>
      </c>
      <c r="BK102" s="101">
        <f>VLOOKUP($C102,'Cost RMs'!$B$5:$Q$22,+BK$4-$AW$4+2,0)</f>
        <v>11836</v>
      </c>
      <c r="BL102" s="102">
        <f t="shared" ref="BL102:BL133" si="112">+AH102*AW102</f>
        <v>0</v>
      </c>
      <c r="BM102" s="102">
        <f t="shared" ref="BM102:BM133" si="113">+AI102*AX102</f>
        <v>0</v>
      </c>
      <c r="BN102" s="102">
        <f t="shared" ref="BN102:BN133" si="114">+AJ102*AY102</f>
        <v>0</v>
      </c>
      <c r="BO102" s="102">
        <f t="shared" ref="BO102:BO133" si="115">+AK102*AZ102</f>
        <v>0</v>
      </c>
      <c r="BP102" s="102">
        <f t="shared" ref="BP102:BP133" si="116">+AL102*BA102</f>
        <v>0</v>
      </c>
      <c r="BQ102" s="102">
        <f t="shared" ref="BQ102:BQ133" si="117">+AM102*BB102</f>
        <v>0</v>
      </c>
      <c r="BR102" s="102">
        <f t="shared" ref="BR102:BR133" si="118">+AN102*BC102</f>
        <v>132846.71400000004</v>
      </c>
      <c r="BS102" s="102">
        <f t="shared" ref="BS102:BS133" si="119">+AO102*BD102</f>
        <v>297834.21360000008</v>
      </c>
      <c r="BT102" s="102">
        <f t="shared" ref="BT102:BT133" si="120">+AP102*BE102</f>
        <v>333894.60720000009</v>
      </c>
      <c r="BU102" s="102">
        <f t="shared" ref="BU102:BU133" si="121">+AQ102*BF102</f>
        <v>374322.56400000007</v>
      </c>
      <c r="BV102" s="102">
        <f t="shared" ref="BV102:BV133" si="122">+AR102*BG102</f>
        <v>419622.03360000008</v>
      </c>
      <c r="BW102" s="102">
        <f t="shared" ref="BW102:BW133" si="123">+AS102*BH102</f>
        <v>470408.9544000001</v>
      </c>
      <c r="BX102" s="102">
        <f t="shared" ref="BX102:BX133" si="124">+AT102*BI102</f>
        <v>527355.25920000009</v>
      </c>
      <c r="BY102" s="102">
        <f t="shared" ref="BY102:BY133" si="125">+AU102*BJ102</f>
        <v>591188.87520000013</v>
      </c>
      <c r="BZ102" s="102">
        <f t="shared" ref="BZ102:BZ133" si="126">+AV102*BK102</f>
        <v>662749.71840000013</v>
      </c>
    </row>
    <row r="103" spans="1:78" x14ac:dyDescent="0.25">
      <c r="A103" s="26" t="str">
        <f>+Assumptions!$A$38</f>
        <v>NPK 10-26-26</v>
      </c>
      <c r="B103" s="73">
        <f>+Assumptions!$R$54</f>
        <v>0.26</v>
      </c>
      <c r="C103" t="s">
        <v>123</v>
      </c>
      <c r="F103">
        <v>0.42699999999999999</v>
      </c>
      <c r="G103" s="61">
        <f t="shared" si="95"/>
        <v>0.42699999999999999</v>
      </c>
      <c r="H103" s="61">
        <f t="shared" ref="H103:R118" si="127">G103</f>
        <v>0.42699999999999999</v>
      </c>
      <c r="I103" s="61">
        <f t="shared" si="127"/>
        <v>0.42699999999999999</v>
      </c>
      <c r="J103" s="61">
        <f t="shared" si="127"/>
        <v>0.42699999999999999</v>
      </c>
      <c r="K103" s="61">
        <f t="shared" si="127"/>
        <v>0.42699999999999999</v>
      </c>
      <c r="L103" s="61">
        <f t="shared" si="127"/>
        <v>0.42699999999999999</v>
      </c>
      <c r="M103" s="61">
        <f t="shared" si="127"/>
        <v>0.42699999999999999</v>
      </c>
      <c r="N103" s="61">
        <f t="shared" si="127"/>
        <v>0.42699999999999999</v>
      </c>
      <c r="O103" s="61">
        <f t="shared" si="127"/>
        <v>0.42699999999999999</v>
      </c>
      <c r="P103" s="61">
        <f t="shared" si="127"/>
        <v>0.42699999999999999</v>
      </c>
      <c r="Q103" s="61">
        <f t="shared" si="127"/>
        <v>0.42699999999999999</v>
      </c>
      <c r="R103" s="61">
        <f t="shared" si="127"/>
        <v>0.42699999999999999</v>
      </c>
      <c r="S103" s="74">
        <f>VLOOKUP($A103,turnover!$A$184:$Q$192,+S$4-$S$4+3,0)</f>
        <v>0</v>
      </c>
      <c r="T103" s="74">
        <f>VLOOKUP($A103,turnover!$A$184:$Q$192,+T$4-$S$4+3,0)</f>
        <v>0</v>
      </c>
      <c r="U103" s="74">
        <f>VLOOKUP($A103,turnover!$A$184:$Q$192,+U$4-$S$4+3,0)</f>
        <v>0</v>
      </c>
      <c r="V103" s="74">
        <f>VLOOKUP($A103,turnover!$A$184:$Q$192,+V$4-$S$4+3,0)</f>
        <v>0</v>
      </c>
      <c r="W103" s="74">
        <f>VLOOKUP($A103,turnover!$A$184:$Q$192,+W$4-$S$4+3,0)</f>
        <v>0</v>
      </c>
      <c r="X103" s="74">
        <f>VLOOKUP($A103,turnover!$A$184:$Q$192,+X$4-$S$4+3,0)</f>
        <v>0</v>
      </c>
      <c r="Y103" s="74">
        <f>VLOOKUP($A103,turnover!$A$184:$Q$192,+Y$4-$S$4+3,0)</f>
        <v>2.21</v>
      </c>
      <c r="Z103" s="74">
        <f>VLOOKUP($A103,turnover!$A$184:$Q$192,+Z$4-$S$4+3,0)</f>
        <v>4.42</v>
      </c>
      <c r="AA103" s="74">
        <f>VLOOKUP($A103,turnover!$A$184:$Q$192,+AA$4-$S$4+3,0)</f>
        <v>4.42</v>
      </c>
      <c r="AB103" s="74">
        <f>VLOOKUP($A103,turnover!$A$184:$Q$192,+AB$4-$S$4+3,0)</f>
        <v>4.42</v>
      </c>
      <c r="AC103" s="74">
        <f>VLOOKUP($A103,turnover!$A$184:$Q$192,+AC$4-$S$4+3,0)</f>
        <v>4.42</v>
      </c>
      <c r="AD103" s="74">
        <f>VLOOKUP($A103,turnover!$A$184:$Q$192,+AD$4-$S$4+3,0)</f>
        <v>4.42</v>
      </c>
      <c r="AE103" s="74">
        <f>VLOOKUP($A103,turnover!$A$184:$Q$192,+AE$4-$S$4+3,0)</f>
        <v>4.42</v>
      </c>
      <c r="AF103" s="74">
        <f>VLOOKUP($A103,turnover!$A$184:$Q$192,+AF$4-$S$4+3,0)</f>
        <v>4.42</v>
      </c>
      <c r="AG103" s="74">
        <f>VLOOKUP($A103,turnover!$A$184:$Q$192,+AG$4-$S$4+3,0)</f>
        <v>4.42</v>
      </c>
      <c r="AH103" s="61">
        <f t="shared" si="97"/>
        <v>0</v>
      </c>
      <c r="AI103" s="61">
        <f t="shared" si="98"/>
        <v>0</v>
      </c>
      <c r="AJ103" s="61">
        <f t="shared" si="99"/>
        <v>0</v>
      </c>
      <c r="AK103" s="61">
        <f t="shared" si="100"/>
        <v>0</v>
      </c>
      <c r="AL103" s="61">
        <f t="shared" si="101"/>
        <v>0</v>
      </c>
      <c r="AM103" s="61">
        <f t="shared" si="102"/>
        <v>0</v>
      </c>
      <c r="AN103" s="61">
        <f t="shared" si="103"/>
        <v>0.94367000000000001</v>
      </c>
      <c r="AO103" s="61">
        <f t="shared" si="104"/>
        <v>1.88734</v>
      </c>
      <c r="AP103" s="61">
        <f t="shared" si="105"/>
        <v>1.88734</v>
      </c>
      <c r="AQ103" s="61">
        <f t="shared" si="106"/>
        <v>1.88734</v>
      </c>
      <c r="AR103" s="61">
        <f t="shared" si="107"/>
        <v>1.88734</v>
      </c>
      <c r="AS103" s="61">
        <f t="shared" si="108"/>
        <v>1.88734</v>
      </c>
      <c r="AT103" s="61">
        <f t="shared" si="109"/>
        <v>1.88734</v>
      </c>
      <c r="AU103" s="61">
        <f t="shared" si="110"/>
        <v>1.88734</v>
      </c>
      <c r="AV103" s="61">
        <f t="shared" si="111"/>
        <v>1.88734</v>
      </c>
      <c r="AW103" s="101">
        <f>VLOOKUP($C103,'Cost RMs'!$B$5:$Q$22,+AW$4-$AW$4+2,0)</f>
        <v>191127</v>
      </c>
      <c r="AX103" s="101">
        <f>VLOOKUP($C103,'Cost RMs'!$B$5:$Q$22,+AX$4-$AW$4+2,0)</f>
        <v>196602</v>
      </c>
      <c r="AY103" s="101">
        <f>VLOOKUP($C103,'Cost RMs'!$B$5:$Q$22,+AY$4-$AW$4+2,0)</f>
        <v>209999</v>
      </c>
      <c r="AZ103" s="101">
        <f>VLOOKUP($C103,'Cost RMs'!$B$5:$Q$22,+AZ$4-$AW$4+2,0)</f>
        <v>266286</v>
      </c>
      <c r="BA103" s="101">
        <f>VLOOKUP($C103,'Cost RMs'!$B$5:$Q$22,+BA$4-$AW$4+2,0)</f>
        <v>275187</v>
      </c>
      <c r="BB103" s="101">
        <f>VLOOKUP($C103,'Cost RMs'!$B$5:$Q$22,+BB$4-$AW$4+2,0)</f>
        <v>308182</v>
      </c>
      <c r="BC103" s="101">
        <f>VLOOKUP($C103,'Cost RMs'!$B$5:$Q$22,+BC$4-$AW$4+2,0)</f>
        <v>345472</v>
      </c>
      <c r="BD103" s="101">
        <f>VLOOKUP($C103,'Cost RMs'!$B$5:$Q$22,+BD$4-$AW$4+2,0)</f>
        <v>387274</v>
      </c>
      <c r="BE103" s="101">
        <f>VLOOKUP($C103,'Cost RMs'!$B$5:$Q$22,+BE$4-$AW$4+2,0)</f>
        <v>434134</v>
      </c>
      <c r="BF103" s="101">
        <f>VLOOKUP($C103,'Cost RMs'!$B$5:$Q$22,+BF$4-$AW$4+2,0)</f>
        <v>486664</v>
      </c>
      <c r="BG103" s="101">
        <f>VLOOKUP($C103,'Cost RMs'!$B$5:$Q$22,+BG$4-$AW$4+2,0)</f>
        <v>545550</v>
      </c>
      <c r="BH103" s="101">
        <f>VLOOKUP($C103,'Cost RMs'!$B$5:$Q$22,+BH$4-$AW$4+2,0)</f>
        <v>611562</v>
      </c>
      <c r="BI103" s="101">
        <f>VLOOKUP($C103,'Cost RMs'!$B$5:$Q$22,+BI$4-$AW$4+2,0)</f>
        <v>685561</v>
      </c>
      <c r="BJ103" s="101">
        <f>VLOOKUP($C103,'Cost RMs'!$B$5:$Q$22,+BJ$4-$AW$4+2,0)</f>
        <v>768514</v>
      </c>
      <c r="BK103" s="101">
        <f>VLOOKUP($C103,'Cost RMs'!$B$5:$Q$22,+BK$4-$AW$4+2,0)</f>
        <v>861504</v>
      </c>
      <c r="BL103" s="102">
        <f t="shared" si="112"/>
        <v>0</v>
      </c>
      <c r="BM103" s="102">
        <f t="shared" si="113"/>
        <v>0</v>
      </c>
      <c r="BN103" s="102">
        <f t="shared" si="114"/>
        <v>0</v>
      </c>
      <c r="BO103" s="102">
        <f t="shared" si="115"/>
        <v>0</v>
      </c>
      <c r="BP103" s="102">
        <f t="shared" si="116"/>
        <v>0</v>
      </c>
      <c r="BQ103" s="102">
        <f t="shared" si="117"/>
        <v>0</v>
      </c>
      <c r="BR103" s="102">
        <f t="shared" si="118"/>
        <v>326011.56224</v>
      </c>
      <c r="BS103" s="102">
        <f t="shared" si="119"/>
        <v>730917.71116000006</v>
      </c>
      <c r="BT103" s="102">
        <f t="shared" si="120"/>
        <v>819358.46356000006</v>
      </c>
      <c r="BU103" s="102">
        <f t="shared" si="121"/>
        <v>918500.43376000004</v>
      </c>
      <c r="BV103" s="102">
        <f t="shared" si="122"/>
        <v>1029638.3370000001</v>
      </c>
      <c r="BW103" s="102">
        <f t="shared" si="123"/>
        <v>1154225.42508</v>
      </c>
      <c r="BX103" s="102">
        <f t="shared" si="124"/>
        <v>1293886.69774</v>
      </c>
      <c r="BY103" s="102">
        <f t="shared" si="125"/>
        <v>1450447.21276</v>
      </c>
      <c r="BZ103" s="102">
        <f t="shared" si="126"/>
        <v>1625950.95936</v>
      </c>
    </row>
    <row r="104" spans="1:78" x14ac:dyDescent="0.25">
      <c r="A104" s="26" t="str">
        <f>+Assumptions!$A$38</f>
        <v>NPK 10-26-26</v>
      </c>
      <c r="B104" s="73">
        <f>+Assumptions!$R$54</f>
        <v>0.26</v>
      </c>
      <c r="C104" t="s">
        <v>124</v>
      </c>
      <c r="F104">
        <v>1.2070000000000001</v>
      </c>
      <c r="G104" s="61">
        <f t="shared" si="95"/>
        <v>1.2070000000000001</v>
      </c>
      <c r="H104" s="61">
        <f t="shared" si="127"/>
        <v>1.2070000000000001</v>
      </c>
      <c r="I104" s="61">
        <f t="shared" si="127"/>
        <v>1.2070000000000001</v>
      </c>
      <c r="J104" s="61">
        <f t="shared" si="127"/>
        <v>1.2070000000000001</v>
      </c>
      <c r="K104" s="61">
        <f t="shared" si="127"/>
        <v>1.2070000000000001</v>
      </c>
      <c r="L104" s="61">
        <f t="shared" si="127"/>
        <v>1.2070000000000001</v>
      </c>
      <c r="M104" s="61">
        <f t="shared" si="127"/>
        <v>1.2070000000000001</v>
      </c>
      <c r="N104" s="61">
        <f t="shared" si="127"/>
        <v>1.2070000000000001</v>
      </c>
      <c r="O104" s="61">
        <f t="shared" si="127"/>
        <v>1.2070000000000001</v>
      </c>
      <c r="P104" s="61">
        <f t="shared" si="127"/>
        <v>1.2070000000000001</v>
      </c>
      <c r="Q104" s="61">
        <f t="shared" si="127"/>
        <v>1.2070000000000001</v>
      </c>
      <c r="R104" s="61">
        <f t="shared" si="127"/>
        <v>1.2070000000000001</v>
      </c>
      <c r="S104" s="74">
        <f>VLOOKUP($A104,turnover!$A$184:$Q$192,+S$4-$S$4+3,0)</f>
        <v>0</v>
      </c>
      <c r="T104" s="74">
        <f>VLOOKUP($A104,turnover!$A$184:$Q$192,+T$4-$S$4+3,0)</f>
        <v>0</v>
      </c>
      <c r="U104" s="74">
        <f>VLOOKUP($A104,turnover!$A$184:$Q$192,+U$4-$S$4+3,0)</f>
        <v>0</v>
      </c>
      <c r="V104" s="74">
        <f>VLOOKUP($A104,turnover!$A$184:$Q$192,+V$4-$S$4+3,0)</f>
        <v>0</v>
      </c>
      <c r="W104" s="74">
        <f>VLOOKUP($A104,turnover!$A$184:$Q$192,+W$4-$S$4+3,0)</f>
        <v>0</v>
      </c>
      <c r="X104" s="74">
        <f>VLOOKUP($A104,turnover!$A$184:$Q$192,+X$4-$S$4+3,0)</f>
        <v>0</v>
      </c>
      <c r="Y104" s="74">
        <f>VLOOKUP($A104,turnover!$A$184:$Q$192,+Y$4-$S$4+3,0)</f>
        <v>2.21</v>
      </c>
      <c r="Z104" s="74">
        <f>VLOOKUP($A104,turnover!$A$184:$Q$192,+Z$4-$S$4+3,0)</f>
        <v>4.42</v>
      </c>
      <c r="AA104" s="74">
        <f>VLOOKUP($A104,turnover!$A$184:$Q$192,+AA$4-$S$4+3,0)</f>
        <v>4.42</v>
      </c>
      <c r="AB104" s="74">
        <f>VLOOKUP($A104,turnover!$A$184:$Q$192,+AB$4-$S$4+3,0)</f>
        <v>4.42</v>
      </c>
      <c r="AC104" s="74">
        <f>VLOOKUP($A104,turnover!$A$184:$Q$192,+AC$4-$S$4+3,0)</f>
        <v>4.42</v>
      </c>
      <c r="AD104" s="74">
        <f>VLOOKUP($A104,turnover!$A$184:$Q$192,+AD$4-$S$4+3,0)</f>
        <v>4.42</v>
      </c>
      <c r="AE104" s="74">
        <f>VLOOKUP($A104,turnover!$A$184:$Q$192,+AE$4-$S$4+3,0)</f>
        <v>4.42</v>
      </c>
      <c r="AF104" s="74">
        <f>VLOOKUP($A104,turnover!$A$184:$Q$192,+AF$4-$S$4+3,0)</f>
        <v>4.42</v>
      </c>
      <c r="AG104" s="74">
        <f>VLOOKUP($A104,turnover!$A$184:$Q$192,+AG$4-$S$4+3,0)</f>
        <v>4.42</v>
      </c>
      <c r="AH104" s="61">
        <f t="shared" si="97"/>
        <v>0</v>
      </c>
      <c r="AI104" s="61">
        <f t="shared" si="98"/>
        <v>0</v>
      </c>
      <c r="AJ104" s="61">
        <f t="shared" si="99"/>
        <v>0</v>
      </c>
      <c r="AK104" s="61">
        <f t="shared" si="100"/>
        <v>0</v>
      </c>
      <c r="AL104" s="61">
        <f t="shared" si="101"/>
        <v>0</v>
      </c>
      <c r="AM104" s="61">
        <f t="shared" si="102"/>
        <v>0</v>
      </c>
      <c r="AN104" s="61">
        <f t="shared" si="103"/>
        <v>2.6674700000000002</v>
      </c>
      <c r="AO104" s="61">
        <f t="shared" si="104"/>
        <v>5.3349400000000005</v>
      </c>
      <c r="AP104" s="61">
        <f t="shared" si="105"/>
        <v>5.3349400000000005</v>
      </c>
      <c r="AQ104" s="61">
        <f t="shared" si="106"/>
        <v>5.3349400000000005</v>
      </c>
      <c r="AR104" s="61">
        <f t="shared" si="107"/>
        <v>5.3349400000000005</v>
      </c>
      <c r="AS104" s="61">
        <f t="shared" si="108"/>
        <v>5.3349400000000005</v>
      </c>
      <c r="AT104" s="61">
        <f t="shared" si="109"/>
        <v>5.3349400000000005</v>
      </c>
      <c r="AU104" s="61">
        <f t="shared" si="110"/>
        <v>5.3349400000000005</v>
      </c>
      <c r="AV104" s="61">
        <f t="shared" si="111"/>
        <v>5.3349400000000005</v>
      </c>
      <c r="AW104" s="101">
        <f>VLOOKUP($C104,'Cost RMs'!$B$5:$Q$22,+AW$4-$AW$4+2,0)</f>
        <v>235089</v>
      </c>
      <c r="AX104" s="101">
        <f>VLOOKUP($C104,'Cost RMs'!$B$5:$Q$22,+AX$4-$AW$4+2,0)</f>
        <v>283888</v>
      </c>
      <c r="AY104" s="101">
        <f>VLOOKUP($C104,'Cost RMs'!$B$5:$Q$22,+AY$4-$AW$4+2,0)</f>
        <v>306490</v>
      </c>
      <c r="AZ104" s="101">
        <f>VLOOKUP($C104,'Cost RMs'!$B$5:$Q$22,+AZ$4-$AW$4+2,0)</f>
        <v>318975</v>
      </c>
      <c r="BA104" s="101">
        <f>VLOOKUP($C104,'Cost RMs'!$B$5:$Q$22,+BA$4-$AW$4+2,0)</f>
        <v>365112</v>
      </c>
      <c r="BB104" s="101">
        <f>VLOOKUP($C104,'Cost RMs'!$B$5:$Q$22,+BB$4-$AW$4+2,0)</f>
        <v>408889</v>
      </c>
      <c r="BC104" s="101">
        <f>VLOOKUP($C104,'Cost RMs'!$B$5:$Q$22,+BC$4-$AW$4+2,0)</f>
        <v>458365</v>
      </c>
      <c r="BD104" s="101">
        <f>VLOOKUP($C104,'Cost RMs'!$B$5:$Q$22,+BD$4-$AW$4+2,0)</f>
        <v>513827</v>
      </c>
      <c r="BE104" s="101">
        <f>VLOOKUP($C104,'Cost RMs'!$B$5:$Q$22,+BE$4-$AW$4+2,0)</f>
        <v>576000</v>
      </c>
      <c r="BF104" s="101">
        <f>VLOOKUP($C104,'Cost RMs'!$B$5:$Q$22,+BF$4-$AW$4+2,0)</f>
        <v>645696</v>
      </c>
      <c r="BG104" s="101">
        <f>VLOOKUP($C104,'Cost RMs'!$B$5:$Q$22,+BG$4-$AW$4+2,0)</f>
        <v>723825</v>
      </c>
      <c r="BH104" s="101">
        <f>VLOOKUP($C104,'Cost RMs'!$B$5:$Q$22,+BH$4-$AW$4+2,0)</f>
        <v>811408</v>
      </c>
      <c r="BI104" s="101">
        <f>VLOOKUP($C104,'Cost RMs'!$B$5:$Q$22,+BI$4-$AW$4+2,0)</f>
        <v>909588</v>
      </c>
      <c r="BJ104" s="101">
        <f>VLOOKUP($C104,'Cost RMs'!$B$5:$Q$22,+BJ$4-$AW$4+2,0)</f>
        <v>1019648</v>
      </c>
      <c r="BK104" s="101">
        <f>VLOOKUP($C104,'Cost RMs'!$B$5:$Q$22,+BK$4-$AW$4+2,0)</f>
        <v>1143025</v>
      </c>
      <c r="BL104" s="102">
        <f t="shared" si="112"/>
        <v>0</v>
      </c>
      <c r="BM104" s="102">
        <f t="shared" si="113"/>
        <v>0</v>
      </c>
      <c r="BN104" s="102">
        <f t="shared" si="114"/>
        <v>0</v>
      </c>
      <c r="BO104" s="102">
        <f t="shared" si="115"/>
        <v>0</v>
      </c>
      <c r="BP104" s="102">
        <f t="shared" si="116"/>
        <v>0</v>
      </c>
      <c r="BQ104" s="102">
        <f t="shared" si="117"/>
        <v>0</v>
      </c>
      <c r="BR104" s="102">
        <f t="shared" si="118"/>
        <v>1222674.8865500002</v>
      </c>
      <c r="BS104" s="102">
        <f t="shared" si="119"/>
        <v>2741236.2153800004</v>
      </c>
      <c r="BT104" s="102">
        <f t="shared" si="120"/>
        <v>3072925.4400000004</v>
      </c>
      <c r="BU104" s="102">
        <f t="shared" si="121"/>
        <v>3444749.4182400005</v>
      </c>
      <c r="BV104" s="102">
        <f t="shared" si="122"/>
        <v>3861562.9455000004</v>
      </c>
      <c r="BW104" s="102">
        <f t="shared" si="123"/>
        <v>4328812.9955200003</v>
      </c>
      <c r="BX104" s="102">
        <f t="shared" si="124"/>
        <v>4852597.40472</v>
      </c>
      <c r="BY104" s="102">
        <f t="shared" si="125"/>
        <v>5439760.9011200005</v>
      </c>
      <c r="BZ104" s="102">
        <f t="shared" si="126"/>
        <v>6097969.7935000006</v>
      </c>
    </row>
    <row r="105" spans="1:78" x14ac:dyDescent="0.25">
      <c r="A105" s="26" t="str">
        <f>+Assumptions!$A$38</f>
        <v>NPK 10-26-26</v>
      </c>
      <c r="B105" s="73">
        <f>+Assumptions!$R$54</f>
        <v>0.26</v>
      </c>
      <c r="C105" t="s">
        <v>125</v>
      </c>
      <c r="G105" s="61">
        <f t="shared" si="95"/>
        <v>0</v>
      </c>
      <c r="H105" s="61">
        <f t="shared" si="127"/>
        <v>0</v>
      </c>
      <c r="I105" s="61">
        <f t="shared" si="127"/>
        <v>0</v>
      </c>
      <c r="J105" s="61">
        <f t="shared" si="127"/>
        <v>0</v>
      </c>
      <c r="K105" s="61">
        <f t="shared" si="127"/>
        <v>0</v>
      </c>
      <c r="L105" s="61">
        <f t="shared" si="127"/>
        <v>0</v>
      </c>
      <c r="M105" s="61">
        <f t="shared" si="127"/>
        <v>0</v>
      </c>
      <c r="N105" s="61">
        <f t="shared" si="127"/>
        <v>0</v>
      </c>
      <c r="O105" s="61">
        <f t="shared" si="127"/>
        <v>0</v>
      </c>
      <c r="P105" s="61">
        <f t="shared" si="127"/>
        <v>0</v>
      </c>
      <c r="Q105" s="61">
        <f t="shared" si="127"/>
        <v>0</v>
      </c>
      <c r="R105" s="61">
        <f t="shared" si="127"/>
        <v>0</v>
      </c>
      <c r="S105" s="74">
        <f>VLOOKUP($A105,turnover!$A$184:$Q$192,+S$4-$S$4+3,0)</f>
        <v>0</v>
      </c>
      <c r="T105" s="74">
        <f>VLOOKUP($A105,turnover!$A$184:$Q$192,+T$4-$S$4+3,0)</f>
        <v>0</v>
      </c>
      <c r="U105" s="74">
        <f>VLOOKUP($A105,turnover!$A$184:$Q$192,+U$4-$S$4+3,0)</f>
        <v>0</v>
      </c>
      <c r="V105" s="74">
        <f>VLOOKUP($A105,turnover!$A$184:$Q$192,+V$4-$S$4+3,0)</f>
        <v>0</v>
      </c>
      <c r="W105" s="74">
        <f>VLOOKUP($A105,turnover!$A$184:$Q$192,+W$4-$S$4+3,0)</f>
        <v>0</v>
      </c>
      <c r="X105" s="74">
        <f>VLOOKUP($A105,turnover!$A$184:$Q$192,+X$4-$S$4+3,0)</f>
        <v>0</v>
      </c>
      <c r="Y105" s="74">
        <f>VLOOKUP($A105,turnover!$A$184:$Q$192,+Y$4-$S$4+3,0)</f>
        <v>2.21</v>
      </c>
      <c r="Z105" s="74">
        <f>VLOOKUP($A105,turnover!$A$184:$Q$192,+Z$4-$S$4+3,0)</f>
        <v>4.42</v>
      </c>
      <c r="AA105" s="74">
        <f>VLOOKUP($A105,turnover!$A$184:$Q$192,+AA$4-$S$4+3,0)</f>
        <v>4.42</v>
      </c>
      <c r="AB105" s="74">
        <f>VLOOKUP($A105,turnover!$A$184:$Q$192,+AB$4-$S$4+3,0)</f>
        <v>4.42</v>
      </c>
      <c r="AC105" s="74">
        <f>VLOOKUP($A105,turnover!$A$184:$Q$192,+AC$4-$S$4+3,0)</f>
        <v>4.42</v>
      </c>
      <c r="AD105" s="74">
        <f>VLOOKUP($A105,turnover!$A$184:$Q$192,+AD$4-$S$4+3,0)</f>
        <v>4.42</v>
      </c>
      <c r="AE105" s="74">
        <f>VLOOKUP($A105,turnover!$A$184:$Q$192,+AE$4-$S$4+3,0)</f>
        <v>4.42</v>
      </c>
      <c r="AF105" s="74">
        <f>VLOOKUP($A105,turnover!$A$184:$Q$192,+AF$4-$S$4+3,0)</f>
        <v>4.42</v>
      </c>
      <c r="AG105" s="74">
        <f>VLOOKUP($A105,turnover!$A$184:$Q$192,+AG$4-$S$4+3,0)</f>
        <v>4.42</v>
      </c>
      <c r="AH105" s="61">
        <f t="shared" si="97"/>
        <v>0</v>
      </c>
      <c r="AI105" s="61">
        <f t="shared" si="98"/>
        <v>0</v>
      </c>
      <c r="AJ105" s="61">
        <f t="shared" si="99"/>
        <v>0</v>
      </c>
      <c r="AK105" s="61">
        <f t="shared" si="100"/>
        <v>0</v>
      </c>
      <c r="AL105" s="61">
        <f t="shared" si="101"/>
        <v>0</v>
      </c>
      <c r="AM105" s="61">
        <f t="shared" si="102"/>
        <v>0</v>
      </c>
      <c r="AN105" s="61">
        <f t="shared" si="103"/>
        <v>0</v>
      </c>
      <c r="AO105" s="61">
        <f t="shared" si="104"/>
        <v>0</v>
      </c>
      <c r="AP105" s="61">
        <f t="shared" si="105"/>
        <v>0</v>
      </c>
      <c r="AQ105" s="61">
        <f t="shared" si="106"/>
        <v>0</v>
      </c>
      <c r="AR105" s="61">
        <f t="shared" si="107"/>
        <v>0</v>
      </c>
      <c r="AS105" s="61">
        <f t="shared" si="108"/>
        <v>0</v>
      </c>
      <c r="AT105" s="61">
        <f t="shared" si="109"/>
        <v>0</v>
      </c>
      <c r="AU105" s="61">
        <f t="shared" si="110"/>
        <v>0</v>
      </c>
      <c r="AV105" s="61">
        <f t="shared" si="111"/>
        <v>0</v>
      </c>
      <c r="AW105" s="101">
        <f>VLOOKUP($C105,'Cost RMs'!$B$5:$Q$22,+AW$4-$AW$4+2,0)</f>
        <v>266257</v>
      </c>
      <c r="AX105" s="101">
        <f>VLOOKUP($C105,'Cost RMs'!$B$5:$Q$22,+AX$4-$AW$4+2,0)</f>
        <v>266257</v>
      </c>
      <c r="AY105" s="101">
        <f>VLOOKUP($C105,'Cost RMs'!$B$5:$Q$22,+AY$4-$AW$4+2,0)</f>
        <v>266257</v>
      </c>
      <c r="AZ105" s="101">
        <f ca="1">VLOOKUP($C105,'Cost RMs'!$B$5:$Q$22,+AZ$4-$AW$4+2,0)</f>
        <v>266257</v>
      </c>
      <c r="BA105" s="101">
        <f ca="1">VLOOKUP($C105,'Cost RMs'!$B$5:$Q$22,+BA$4-$AW$4+2,0)</f>
        <v>266257</v>
      </c>
      <c r="BB105" s="101">
        <f ca="1">VLOOKUP($C105,'Cost RMs'!$B$5:$Q$22,+BB$4-$AW$4+2,0)</f>
        <v>298181</v>
      </c>
      <c r="BC105" s="101">
        <f ca="1">VLOOKUP($C105,'Cost RMs'!$B$5:$Q$22,+BC$4-$AW$4+2,0)</f>
        <v>334261</v>
      </c>
      <c r="BD105" s="101">
        <f ca="1">VLOOKUP($C105,'Cost RMs'!$B$5:$Q$22,+BD$4-$AW$4+2,0)</f>
        <v>374707</v>
      </c>
      <c r="BE105" s="101">
        <f ca="1">VLOOKUP($C105,'Cost RMs'!$B$5:$Q$22,+BE$4-$AW$4+2,0)</f>
        <v>420047</v>
      </c>
      <c r="BF105" s="101">
        <f ca="1">VLOOKUP($C105,'Cost RMs'!$B$5:$Q$22,+BF$4-$AW$4+2,0)</f>
        <v>470873</v>
      </c>
      <c r="BG105" s="101">
        <f ca="1">VLOOKUP($C105,'Cost RMs'!$B$5:$Q$22,+BG$4-$AW$4+2,0)</f>
        <v>527849</v>
      </c>
      <c r="BH105" s="101">
        <f ca="1">VLOOKUP($C105,'Cost RMs'!$B$5:$Q$22,+BH$4-$AW$4+2,0)</f>
        <v>591719</v>
      </c>
      <c r="BI105" s="101">
        <f ca="1">VLOOKUP($C105,'Cost RMs'!$B$5:$Q$22,+BI$4-$AW$4+2,0)</f>
        <v>663317</v>
      </c>
      <c r="BJ105" s="101">
        <f ca="1">VLOOKUP($C105,'Cost RMs'!$B$5:$Q$22,+BJ$4-$AW$4+2,0)</f>
        <v>743578</v>
      </c>
      <c r="BK105" s="101">
        <f ca="1">VLOOKUP($C105,'Cost RMs'!$B$5:$Q$22,+BK$4-$AW$4+2,0)</f>
        <v>833551</v>
      </c>
      <c r="BL105" s="102">
        <f t="shared" si="112"/>
        <v>0</v>
      </c>
      <c r="BM105" s="102">
        <f t="shared" si="113"/>
        <v>0</v>
      </c>
      <c r="BN105" s="102">
        <f t="shared" si="114"/>
        <v>0</v>
      </c>
      <c r="BO105" s="102">
        <f t="shared" ca="1" si="115"/>
        <v>0</v>
      </c>
      <c r="BP105" s="102">
        <f t="shared" ca="1" si="116"/>
        <v>0</v>
      </c>
      <c r="BQ105" s="102">
        <f t="shared" ca="1" si="117"/>
        <v>0</v>
      </c>
      <c r="BR105" s="102">
        <f t="shared" ca="1" si="118"/>
        <v>0</v>
      </c>
      <c r="BS105" s="102">
        <f t="shared" ca="1" si="119"/>
        <v>0</v>
      </c>
      <c r="BT105" s="102">
        <f t="shared" ca="1" si="120"/>
        <v>0</v>
      </c>
      <c r="BU105" s="102">
        <f t="shared" ca="1" si="121"/>
        <v>0</v>
      </c>
      <c r="BV105" s="102">
        <f t="shared" ca="1" si="122"/>
        <v>0</v>
      </c>
      <c r="BW105" s="102">
        <f t="shared" ca="1" si="123"/>
        <v>0</v>
      </c>
      <c r="BX105" s="102">
        <f t="shared" ca="1" si="124"/>
        <v>0</v>
      </c>
      <c r="BY105" s="102">
        <f t="shared" ca="1" si="125"/>
        <v>0</v>
      </c>
      <c r="BZ105" s="102">
        <f t="shared" ca="1" si="126"/>
        <v>0</v>
      </c>
    </row>
    <row r="106" spans="1:78" x14ac:dyDescent="0.25">
      <c r="A106" s="26" t="str">
        <f>+Assumptions!$A$38</f>
        <v>NPK 10-26-26</v>
      </c>
      <c r="B106" s="73">
        <f>+Assumptions!$R$54</f>
        <v>0.26</v>
      </c>
      <c r="C106" t="s">
        <v>126</v>
      </c>
      <c r="G106" s="61">
        <f t="shared" si="95"/>
        <v>0</v>
      </c>
      <c r="H106" s="61">
        <f t="shared" si="127"/>
        <v>0</v>
      </c>
      <c r="I106" s="61">
        <f t="shared" si="127"/>
        <v>0</v>
      </c>
      <c r="J106" s="61">
        <f t="shared" si="127"/>
        <v>0</v>
      </c>
      <c r="K106" s="61">
        <f t="shared" si="127"/>
        <v>0</v>
      </c>
      <c r="L106" s="61">
        <f t="shared" si="127"/>
        <v>0</v>
      </c>
      <c r="M106" s="61">
        <f t="shared" si="127"/>
        <v>0</v>
      </c>
      <c r="N106" s="61">
        <f t="shared" si="127"/>
        <v>0</v>
      </c>
      <c r="O106" s="61">
        <f t="shared" si="127"/>
        <v>0</v>
      </c>
      <c r="P106" s="61">
        <f t="shared" si="127"/>
        <v>0</v>
      </c>
      <c r="Q106" s="61">
        <f t="shared" si="127"/>
        <v>0</v>
      </c>
      <c r="R106" s="61">
        <f t="shared" si="127"/>
        <v>0</v>
      </c>
      <c r="S106" s="74">
        <f>VLOOKUP($A106,turnover!$A$184:$Q$192,+S$4-$S$4+3,0)</f>
        <v>0</v>
      </c>
      <c r="T106" s="74">
        <f>VLOOKUP($A106,turnover!$A$184:$Q$192,+T$4-$S$4+3,0)</f>
        <v>0</v>
      </c>
      <c r="U106" s="74">
        <f>VLOOKUP($A106,turnover!$A$184:$Q$192,+U$4-$S$4+3,0)</f>
        <v>0</v>
      </c>
      <c r="V106" s="74">
        <f>VLOOKUP($A106,turnover!$A$184:$Q$192,+V$4-$S$4+3,0)</f>
        <v>0</v>
      </c>
      <c r="W106" s="74">
        <f>VLOOKUP($A106,turnover!$A$184:$Q$192,+W$4-$S$4+3,0)</f>
        <v>0</v>
      </c>
      <c r="X106" s="74">
        <f>VLOOKUP($A106,turnover!$A$184:$Q$192,+X$4-$S$4+3,0)</f>
        <v>0</v>
      </c>
      <c r="Y106" s="74">
        <f>VLOOKUP($A106,turnover!$A$184:$Q$192,+Y$4-$S$4+3,0)</f>
        <v>2.21</v>
      </c>
      <c r="Z106" s="74">
        <f>VLOOKUP($A106,turnover!$A$184:$Q$192,+Z$4-$S$4+3,0)</f>
        <v>4.42</v>
      </c>
      <c r="AA106" s="74">
        <f>VLOOKUP($A106,turnover!$A$184:$Q$192,+AA$4-$S$4+3,0)</f>
        <v>4.42</v>
      </c>
      <c r="AB106" s="74">
        <f>VLOOKUP($A106,turnover!$A$184:$Q$192,+AB$4-$S$4+3,0)</f>
        <v>4.42</v>
      </c>
      <c r="AC106" s="74">
        <f>VLOOKUP($A106,turnover!$A$184:$Q$192,+AC$4-$S$4+3,0)</f>
        <v>4.42</v>
      </c>
      <c r="AD106" s="74">
        <f>VLOOKUP($A106,turnover!$A$184:$Q$192,+AD$4-$S$4+3,0)</f>
        <v>4.42</v>
      </c>
      <c r="AE106" s="74">
        <f>VLOOKUP($A106,turnover!$A$184:$Q$192,+AE$4-$S$4+3,0)</f>
        <v>4.42</v>
      </c>
      <c r="AF106" s="74">
        <f>VLOOKUP($A106,turnover!$A$184:$Q$192,+AF$4-$S$4+3,0)</f>
        <v>4.42</v>
      </c>
      <c r="AG106" s="74">
        <f>VLOOKUP($A106,turnover!$A$184:$Q$192,+AG$4-$S$4+3,0)</f>
        <v>4.42</v>
      </c>
      <c r="AH106" s="61">
        <f t="shared" si="97"/>
        <v>0</v>
      </c>
      <c r="AI106" s="61">
        <f t="shared" si="98"/>
        <v>0</v>
      </c>
      <c r="AJ106" s="61">
        <f t="shared" si="99"/>
        <v>0</v>
      </c>
      <c r="AK106" s="61">
        <f t="shared" si="100"/>
        <v>0</v>
      </c>
      <c r="AL106" s="61">
        <f t="shared" si="101"/>
        <v>0</v>
      </c>
      <c r="AM106" s="61">
        <f t="shared" si="102"/>
        <v>0</v>
      </c>
      <c r="AN106" s="61">
        <f t="shared" si="103"/>
        <v>0</v>
      </c>
      <c r="AO106" s="61">
        <f t="shared" si="104"/>
        <v>0</v>
      </c>
      <c r="AP106" s="61">
        <f t="shared" si="105"/>
        <v>0</v>
      </c>
      <c r="AQ106" s="61">
        <f t="shared" si="106"/>
        <v>0</v>
      </c>
      <c r="AR106" s="61">
        <f t="shared" si="107"/>
        <v>0</v>
      </c>
      <c r="AS106" s="61">
        <f t="shared" si="108"/>
        <v>0</v>
      </c>
      <c r="AT106" s="61">
        <f t="shared" si="109"/>
        <v>0</v>
      </c>
      <c r="AU106" s="61">
        <f t="shared" si="110"/>
        <v>0</v>
      </c>
      <c r="AV106" s="61">
        <f t="shared" si="111"/>
        <v>0</v>
      </c>
      <c r="AW106" s="101">
        <f>VLOOKUP($C106,'Cost RMs'!$B$5:$Q$22,+AW$4-$AW$4+2,0)</f>
        <v>248821</v>
      </c>
      <c r="AX106" s="101">
        <f>VLOOKUP($C106,'Cost RMs'!$B$5:$Q$22,+AX$4-$AW$4+2,0)</f>
        <v>290296</v>
      </c>
      <c r="AY106" s="101">
        <f>VLOOKUP($C106,'Cost RMs'!$B$5:$Q$22,+AY$4-$AW$4+2,0)</f>
        <v>316267</v>
      </c>
      <c r="AZ106" s="101">
        <f>VLOOKUP($C106,'Cost RMs'!$B$5:$Q$22,+AZ$4-$AW$4+2,0)</f>
        <v>337089</v>
      </c>
      <c r="BA106" s="101">
        <f>VLOOKUP($C106,'Cost RMs'!$B$5:$Q$22,+BA$4-$AW$4+2,0)</f>
        <v>408568</v>
      </c>
      <c r="BB106" s="101">
        <f>VLOOKUP($C106,'Cost RMs'!$B$5:$Q$22,+BB$4-$AW$4+2,0)</f>
        <v>457555</v>
      </c>
      <c r="BC106" s="101">
        <f>VLOOKUP($C106,'Cost RMs'!$B$5:$Q$22,+BC$4-$AW$4+2,0)</f>
        <v>512919</v>
      </c>
      <c r="BD106" s="101">
        <f>VLOOKUP($C106,'Cost RMs'!$B$5:$Q$22,+BD$4-$AW$4+2,0)</f>
        <v>574982</v>
      </c>
      <c r="BE106" s="101">
        <f>VLOOKUP($C106,'Cost RMs'!$B$5:$Q$22,+BE$4-$AW$4+2,0)</f>
        <v>644555</v>
      </c>
      <c r="BF106" s="101">
        <f>VLOOKUP($C106,'Cost RMs'!$B$5:$Q$22,+BF$4-$AW$4+2,0)</f>
        <v>722546</v>
      </c>
      <c r="BG106" s="101">
        <f>VLOOKUP($C106,'Cost RMs'!$B$5:$Q$22,+BG$4-$AW$4+2,0)</f>
        <v>809974</v>
      </c>
      <c r="BH106" s="101">
        <f>VLOOKUP($C106,'Cost RMs'!$B$5:$Q$22,+BH$4-$AW$4+2,0)</f>
        <v>907981</v>
      </c>
      <c r="BI106" s="101">
        <f>VLOOKUP($C106,'Cost RMs'!$B$5:$Q$22,+BI$4-$AW$4+2,0)</f>
        <v>1017847</v>
      </c>
      <c r="BJ106" s="101">
        <f>VLOOKUP($C106,'Cost RMs'!$B$5:$Q$22,+BJ$4-$AW$4+2,0)</f>
        <v>1141006</v>
      </c>
      <c r="BK106" s="101">
        <f>VLOOKUP($C106,'Cost RMs'!$B$5:$Q$22,+BK$4-$AW$4+2,0)</f>
        <v>1279068</v>
      </c>
      <c r="BL106" s="102">
        <f t="shared" si="112"/>
        <v>0</v>
      </c>
      <c r="BM106" s="102">
        <f t="shared" si="113"/>
        <v>0</v>
      </c>
      <c r="BN106" s="102">
        <f t="shared" si="114"/>
        <v>0</v>
      </c>
      <c r="BO106" s="102">
        <f t="shared" si="115"/>
        <v>0</v>
      </c>
      <c r="BP106" s="102">
        <f t="shared" si="116"/>
        <v>0</v>
      </c>
      <c r="BQ106" s="102">
        <f t="shared" si="117"/>
        <v>0</v>
      </c>
      <c r="BR106" s="102">
        <f t="shared" si="118"/>
        <v>0</v>
      </c>
      <c r="BS106" s="102">
        <f t="shared" si="119"/>
        <v>0</v>
      </c>
      <c r="BT106" s="102">
        <f t="shared" si="120"/>
        <v>0</v>
      </c>
      <c r="BU106" s="102">
        <f t="shared" si="121"/>
        <v>0</v>
      </c>
      <c r="BV106" s="102">
        <f t="shared" si="122"/>
        <v>0</v>
      </c>
      <c r="BW106" s="102">
        <f t="shared" si="123"/>
        <v>0</v>
      </c>
      <c r="BX106" s="102">
        <f t="shared" si="124"/>
        <v>0</v>
      </c>
      <c r="BY106" s="102">
        <f t="shared" si="125"/>
        <v>0</v>
      </c>
      <c r="BZ106" s="102">
        <f t="shared" si="126"/>
        <v>0</v>
      </c>
    </row>
    <row r="107" spans="1:78" x14ac:dyDescent="0.25">
      <c r="A107" s="26" t="str">
        <f>+Assumptions!$A$38</f>
        <v>NPK 10-26-26</v>
      </c>
      <c r="B107" s="73">
        <f>+Assumptions!$R$54</f>
        <v>0.26</v>
      </c>
      <c r="C107" s="166" t="s">
        <v>538</v>
      </c>
      <c r="F107">
        <v>1.677</v>
      </c>
      <c r="G107" s="61">
        <f t="shared" si="95"/>
        <v>1.677</v>
      </c>
      <c r="H107" s="61">
        <f t="shared" si="127"/>
        <v>1.677</v>
      </c>
      <c r="I107" s="61">
        <f t="shared" si="127"/>
        <v>1.677</v>
      </c>
      <c r="J107" s="61">
        <f t="shared" si="127"/>
        <v>1.677</v>
      </c>
      <c r="K107" s="61">
        <f t="shared" si="127"/>
        <v>1.677</v>
      </c>
      <c r="L107" s="61">
        <f t="shared" si="127"/>
        <v>1.677</v>
      </c>
      <c r="M107" s="61">
        <f t="shared" si="127"/>
        <v>1.677</v>
      </c>
      <c r="N107" s="61">
        <f t="shared" si="127"/>
        <v>1.677</v>
      </c>
      <c r="O107" s="61">
        <f t="shared" si="127"/>
        <v>1.677</v>
      </c>
      <c r="P107" s="61">
        <f t="shared" si="127"/>
        <v>1.677</v>
      </c>
      <c r="Q107" s="61">
        <f t="shared" si="127"/>
        <v>1.677</v>
      </c>
      <c r="R107" s="61">
        <f t="shared" si="127"/>
        <v>1.677</v>
      </c>
      <c r="S107" s="74">
        <f>VLOOKUP($A107,turnover!$A$184:$Q$192,+S$4-$S$4+3,0)</f>
        <v>0</v>
      </c>
      <c r="T107" s="74">
        <f>VLOOKUP($A107,turnover!$A$184:$Q$192,+T$4-$S$4+3,0)</f>
        <v>0</v>
      </c>
      <c r="U107" s="74">
        <f>VLOOKUP($A107,turnover!$A$184:$Q$192,+U$4-$S$4+3,0)</f>
        <v>0</v>
      </c>
      <c r="V107" s="74">
        <f>VLOOKUP($A107,turnover!$A$184:$Q$192,+V$4-$S$4+3,0)</f>
        <v>0</v>
      </c>
      <c r="W107" s="74">
        <f>VLOOKUP($A107,turnover!$A$184:$Q$192,+W$4-$S$4+3,0)</f>
        <v>0</v>
      </c>
      <c r="X107" s="74">
        <f>VLOOKUP($A107,turnover!$A$184:$Q$192,+X$4-$S$4+3,0)</f>
        <v>0</v>
      </c>
      <c r="Y107" s="74">
        <f>VLOOKUP($A107,turnover!$A$184:$Q$192,+Y$4-$S$4+3,0)</f>
        <v>2.21</v>
      </c>
      <c r="Z107" s="74">
        <f>VLOOKUP($A107,turnover!$A$184:$Q$192,+Z$4-$S$4+3,0)</f>
        <v>4.42</v>
      </c>
      <c r="AA107" s="74">
        <f>VLOOKUP($A107,turnover!$A$184:$Q$192,+AA$4-$S$4+3,0)</f>
        <v>4.42</v>
      </c>
      <c r="AB107" s="74">
        <f>VLOOKUP($A107,turnover!$A$184:$Q$192,+AB$4-$S$4+3,0)</f>
        <v>4.42</v>
      </c>
      <c r="AC107" s="74">
        <f>VLOOKUP($A107,turnover!$A$184:$Q$192,+AC$4-$S$4+3,0)</f>
        <v>4.42</v>
      </c>
      <c r="AD107" s="74">
        <f>VLOOKUP($A107,turnover!$A$184:$Q$192,+AD$4-$S$4+3,0)</f>
        <v>4.42</v>
      </c>
      <c r="AE107" s="74">
        <f>VLOOKUP($A107,turnover!$A$184:$Q$192,+AE$4-$S$4+3,0)</f>
        <v>4.42</v>
      </c>
      <c r="AF107" s="74">
        <f>VLOOKUP($A107,turnover!$A$184:$Q$192,+AF$4-$S$4+3,0)</f>
        <v>4.42</v>
      </c>
      <c r="AG107" s="74">
        <f>VLOOKUP($A107,turnover!$A$184:$Q$192,+AG$4-$S$4+3,0)</f>
        <v>4.42</v>
      </c>
      <c r="AH107" s="61">
        <f t="shared" si="97"/>
        <v>0</v>
      </c>
      <c r="AI107" s="61">
        <f t="shared" si="98"/>
        <v>0</v>
      </c>
      <c r="AJ107" s="61">
        <f t="shared" si="99"/>
        <v>0</v>
      </c>
      <c r="AK107" s="61">
        <f t="shared" si="100"/>
        <v>0</v>
      </c>
      <c r="AL107" s="61">
        <f t="shared" si="101"/>
        <v>0</v>
      </c>
      <c r="AM107" s="61">
        <f t="shared" si="102"/>
        <v>0</v>
      </c>
      <c r="AN107" s="61">
        <f t="shared" si="103"/>
        <v>3.7061700000000002</v>
      </c>
      <c r="AO107" s="61">
        <f t="shared" si="104"/>
        <v>7.4123400000000004</v>
      </c>
      <c r="AP107" s="61">
        <f t="shared" si="105"/>
        <v>7.4123400000000004</v>
      </c>
      <c r="AQ107" s="61">
        <f t="shared" si="106"/>
        <v>7.4123400000000004</v>
      </c>
      <c r="AR107" s="61">
        <f t="shared" si="107"/>
        <v>7.4123400000000004</v>
      </c>
      <c r="AS107" s="61">
        <f t="shared" si="108"/>
        <v>7.4123400000000004</v>
      </c>
      <c r="AT107" s="61">
        <f t="shared" si="109"/>
        <v>7.4123400000000004</v>
      </c>
      <c r="AU107" s="61">
        <f t="shared" si="110"/>
        <v>7.4123400000000004</v>
      </c>
      <c r="AV107" s="61">
        <f t="shared" si="111"/>
        <v>7.4123400000000004</v>
      </c>
      <c r="AW107" s="101">
        <f>VLOOKUP($C107,'Cost RMs'!$B$5:$Q$22,+AW$4-$AW$4+2,0)</f>
        <v>0</v>
      </c>
      <c r="AX107" s="101">
        <f>VLOOKUP($C107,'Cost RMs'!$B$5:$Q$22,+AX$4-$AW$4+2,0)</f>
        <v>0</v>
      </c>
      <c r="AY107" s="101">
        <f>VLOOKUP($C107,'Cost RMs'!$B$5:$Q$22,+AY$4-$AW$4+2,0)</f>
        <v>0</v>
      </c>
      <c r="AZ107" s="101">
        <f>VLOOKUP($C107,'Cost RMs'!$B$5:$Q$22,+AZ$4-$AW$4+2,0)</f>
        <v>0</v>
      </c>
      <c r="BA107" s="101">
        <f>VLOOKUP($C107,'Cost RMs'!$B$5:$Q$22,+BA$4-$AW$4+2,0)</f>
        <v>520000</v>
      </c>
      <c r="BB107" s="101">
        <f>VLOOKUP($C107,'Cost RMs'!$B$5:$Q$22,+BB$4-$AW$4+2,0)</f>
        <v>582348</v>
      </c>
      <c r="BC107" s="101">
        <f>VLOOKUP($C107,'Cost RMs'!$B$5:$Q$22,+BC$4-$AW$4+2,0)</f>
        <v>652812</v>
      </c>
      <c r="BD107" s="101">
        <f>VLOOKUP($C107,'Cost RMs'!$B$5:$Q$22,+BD$4-$AW$4+2,0)</f>
        <v>731802</v>
      </c>
      <c r="BE107" s="101">
        <f>VLOOKUP($C107,'Cost RMs'!$B$5:$Q$22,+BE$4-$AW$4+2,0)</f>
        <v>820350</v>
      </c>
      <c r="BF107" s="101">
        <f>VLOOKUP($C107,'Cost RMs'!$B$5:$Q$22,+BF$4-$AW$4+2,0)</f>
        <v>919612</v>
      </c>
      <c r="BG107" s="101">
        <f>VLOOKUP($C107,'Cost RMs'!$B$5:$Q$22,+BG$4-$AW$4+2,0)</f>
        <v>1030885</v>
      </c>
      <c r="BH107" s="101">
        <f>VLOOKUP($C107,'Cost RMs'!$B$5:$Q$22,+BH$4-$AW$4+2,0)</f>
        <v>1155622</v>
      </c>
      <c r="BI107" s="101">
        <f>VLOOKUP($C107,'Cost RMs'!$B$5:$Q$22,+BI$4-$AW$4+2,0)</f>
        <v>1295452</v>
      </c>
      <c r="BJ107" s="101">
        <f>VLOOKUP($C107,'Cost RMs'!$B$5:$Q$22,+BJ$4-$AW$4+2,0)</f>
        <v>1452202</v>
      </c>
      <c r="BK107" s="101">
        <f>VLOOKUP($C107,'Cost RMs'!$B$5:$Q$22,+BK$4-$AW$4+2,0)</f>
        <v>1627918</v>
      </c>
      <c r="BL107" s="102">
        <f t="shared" si="112"/>
        <v>0</v>
      </c>
      <c r="BM107" s="102">
        <f t="shared" si="113"/>
        <v>0</v>
      </c>
      <c r="BN107" s="102">
        <f t="shared" si="114"/>
        <v>0</v>
      </c>
      <c r="BO107" s="102">
        <f t="shared" si="115"/>
        <v>0</v>
      </c>
      <c r="BP107" s="102">
        <f t="shared" si="116"/>
        <v>0</v>
      </c>
      <c r="BQ107" s="102">
        <f t="shared" si="117"/>
        <v>0</v>
      </c>
      <c r="BR107" s="102">
        <f t="shared" si="118"/>
        <v>2419432.2500400003</v>
      </c>
      <c r="BS107" s="102">
        <f t="shared" si="119"/>
        <v>5424365.2366800001</v>
      </c>
      <c r="BT107" s="102">
        <f t="shared" si="120"/>
        <v>6080713.1189999999</v>
      </c>
      <c r="BU107" s="102">
        <f t="shared" si="121"/>
        <v>6816476.8120800005</v>
      </c>
      <c r="BV107" s="102">
        <f t="shared" si="122"/>
        <v>7641270.1209000004</v>
      </c>
      <c r="BW107" s="102">
        <f t="shared" si="123"/>
        <v>8565863.1754800007</v>
      </c>
      <c r="BX107" s="102">
        <f t="shared" si="124"/>
        <v>9602330.6776800007</v>
      </c>
      <c r="BY107" s="102">
        <f t="shared" si="125"/>
        <v>10764214.972680001</v>
      </c>
      <c r="BZ107" s="102">
        <f t="shared" si="126"/>
        <v>12066681.708120001</v>
      </c>
    </row>
    <row r="108" spans="1:78" x14ac:dyDescent="0.25">
      <c r="A108" s="26" t="str">
        <f>+Assumptions!$A$38</f>
        <v>NPK 10-26-26</v>
      </c>
      <c r="B108" s="73">
        <f>+Assumptions!$R$54</f>
        <v>0.26</v>
      </c>
      <c r="C108" t="s">
        <v>127</v>
      </c>
      <c r="F108">
        <v>4.6289999999999996</v>
      </c>
      <c r="G108" s="61">
        <f t="shared" si="95"/>
        <v>4.6289999999999996</v>
      </c>
      <c r="H108" s="61">
        <f t="shared" si="127"/>
        <v>4.6289999999999996</v>
      </c>
      <c r="I108" s="61">
        <f t="shared" si="127"/>
        <v>4.6289999999999996</v>
      </c>
      <c r="J108" s="61">
        <f t="shared" si="127"/>
        <v>4.6289999999999996</v>
      </c>
      <c r="K108" s="61">
        <f t="shared" si="127"/>
        <v>4.6289999999999996</v>
      </c>
      <c r="L108" s="61">
        <f t="shared" si="127"/>
        <v>4.6289999999999996</v>
      </c>
      <c r="M108" s="61">
        <f t="shared" si="127"/>
        <v>4.6289999999999996</v>
      </c>
      <c r="N108" s="61">
        <f t="shared" si="127"/>
        <v>4.6289999999999996</v>
      </c>
      <c r="O108" s="61">
        <f t="shared" si="127"/>
        <v>4.6289999999999996</v>
      </c>
      <c r="P108" s="61">
        <f t="shared" si="127"/>
        <v>4.6289999999999996</v>
      </c>
      <c r="Q108" s="61">
        <f t="shared" si="127"/>
        <v>4.6289999999999996</v>
      </c>
      <c r="R108" s="61">
        <f t="shared" si="127"/>
        <v>4.6289999999999996</v>
      </c>
      <c r="S108" s="74">
        <f>VLOOKUP($A108,turnover!$A$184:$Q$192,+S$4-$S$4+3,0)</f>
        <v>0</v>
      </c>
      <c r="T108" s="74">
        <f>VLOOKUP($A108,turnover!$A$184:$Q$192,+T$4-$S$4+3,0)</f>
        <v>0</v>
      </c>
      <c r="U108" s="74">
        <f>VLOOKUP($A108,turnover!$A$184:$Q$192,+U$4-$S$4+3,0)</f>
        <v>0</v>
      </c>
      <c r="V108" s="74">
        <f>VLOOKUP($A108,turnover!$A$184:$Q$192,+V$4-$S$4+3,0)</f>
        <v>0</v>
      </c>
      <c r="W108" s="74">
        <f>VLOOKUP($A108,turnover!$A$184:$Q$192,+W$4-$S$4+3,0)</f>
        <v>0</v>
      </c>
      <c r="X108" s="74">
        <f>VLOOKUP($A108,turnover!$A$184:$Q$192,+X$4-$S$4+3,0)</f>
        <v>0</v>
      </c>
      <c r="Y108" s="74">
        <f>VLOOKUP($A108,turnover!$A$184:$Q$192,+Y$4-$S$4+3,0)</f>
        <v>2.21</v>
      </c>
      <c r="Z108" s="74">
        <f>VLOOKUP($A108,turnover!$A$184:$Q$192,+Z$4-$S$4+3,0)</f>
        <v>4.42</v>
      </c>
      <c r="AA108" s="74">
        <f>VLOOKUP($A108,turnover!$A$184:$Q$192,+AA$4-$S$4+3,0)</f>
        <v>4.42</v>
      </c>
      <c r="AB108" s="74">
        <f>VLOOKUP($A108,turnover!$A$184:$Q$192,+AB$4-$S$4+3,0)</f>
        <v>4.42</v>
      </c>
      <c r="AC108" s="74">
        <f>VLOOKUP($A108,turnover!$A$184:$Q$192,+AC$4-$S$4+3,0)</f>
        <v>4.42</v>
      </c>
      <c r="AD108" s="74">
        <f>VLOOKUP($A108,turnover!$A$184:$Q$192,+AD$4-$S$4+3,0)</f>
        <v>4.42</v>
      </c>
      <c r="AE108" s="74">
        <f>VLOOKUP($A108,turnover!$A$184:$Q$192,+AE$4-$S$4+3,0)</f>
        <v>4.42</v>
      </c>
      <c r="AF108" s="74">
        <f>VLOOKUP($A108,turnover!$A$184:$Q$192,+AF$4-$S$4+3,0)</f>
        <v>4.42</v>
      </c>
      <c r="AG108" s="74">
        <f>VLOOKUP($A108,turnover!$A$184:$Q$192,+AG$4-$S$4+3,0)</f>
        <v>4.42</v>
      </c>
      <c r="AH108" s="61">
        <f t="shared" si="97"/>
        <v>0</v>
      </c>
      <c r="AI108" s="61">
        <f t="shared" si="98"/>
        <v>0</v>
      </c>
      <c r="AJ108" s="61">
        <f t="shared" si="99"/>
        <v>0</v>
      </c>
      <c r="AK108" s="61">
        <f t="shared" si="100"/>
        <v>0</v>
      </c>
      <c r="AL108" s="61">
        <f t="shared" si="101"/>
        <v>0</v>
      </c>
      <c r="AM108" s="61">
        <f t="shared" si="102"/>
        <v>0</v>
      </c>
      <c r="AN108" s="61">
        <f t="shared" si="103"/>
        <v>10.230089999999999</v>
      </c>
      <c r="AO108" s="61">
        <f t="shared" si="104"/>
        <v>20.460179999999998</v>
      </c>
      <c r="AP108" s="61">
        <f t="shared" si="105"/>
        <v>20.460179999999998</v>
      </c>
      <c r="AQ108" s="61">
        <f t="shared" si="106"/>
        <v>20.460179999999998</v>
      </c>
      <c r="AR108" s="61">
        <f t="shared" si="107"/>
        <v>20.460179999999998</v>
      </c>
      <c r="AS108" s="61">
        <f t="shared" si="108"/>
        <v>20.460179999999998</v>
      </c>
      <c r="AT108" s="61">
        <f t="shared" si="109"/>
        <v>20.460179999999998</v>
      </c>
      <c r="AU108" s="61">
        <f t="shared" si="110"/>
        <v>20.460179999999998</v>
      </c>
      <c r="AV108" s="61">
        <f t="shared" si="111"/>
        <v>20.460179999999998</v>
      </c>
      <c r="AW108" s="101">
        <f>VLOOKUP($C108,'Cost RMs'!$B$5:$Q$22,+AW$4-$AW$4+2,0)</f>
        <v>31510</v>
      </c>
      <c r="AX108" s="101">
        <f>VLOOKUP($C108,'Cost RMs'!$B$5:$Q$22,+AX$4-$AW$4+2,0)</f>
        <v>40370</v>
      </c>
      <c r="AY108" s="101">
        <f>VLOOKUP($C108,'Cost RMs'!$B$5:$Q$22,+AY$4-$AW$4+2,0)</f>
        <v>41166</v>
      </c>
      <c r="AZ108" s="101">
        <f>VLOOKUP($C108,'Cost RMs'!$B$5:$Q$22,+AZ$4-$AW$4+2,0)</f>
        <v>48881</v>
      </c>
      <c r="BA108" s="101">
        <f>VLOOKUP($C108,'Cost RMs'!$B$5:$Q$22,+BA$4-$AW$4+2,0)</f>
        <v>47121</v>
      </c>
      <c r="BB108" s="101">
        <f ca="1">VLOOKUP($C108,'Cost RMs'!$B$5:$Q$22,+BB$4-$AW$4+2,0)</f>
        <v>50566.413250959507</v>
      </c>
      <c r="BC108" s="101">
        <f ca="1">VLOOKUP($C108,'Cost RMs'!$B$5:$Q$22,+BC$4-$AW$4+2,0)</f>
        <v>56631.49986439231</v>
      </c>
      <c r="BD108" s="101">
        <f ca="1">VLOOKUP($C108,'Cost RMs'!$B$5:$Q$22,+BD$4-$AW$4+2,0)</f>
        <v>63938.797808160256</v>
      </c>
      <c r="BE108" s="101">
        <f ca="1">VLOOKUP($C108,'Cost RMs'!$B$5:$Q$22,+BE$4-$AW$4+2,0)</f>
        <v>72083.206654867696</v>
      </c>
      <c r="BF108" s="101">
        <f ca="1">VLOOKUP($C108,'Cost RMs'!$B$5:$Q$22,+BF$4-$AW$4+2,0)</f>
        <v>81313.760903297516</v>
      </c>
      <c r="BG108" s="101">
        <f ca="1">VLOOKUP($C108,'Cost RMs'!$B$5:$Q$22,+BG$4-$AW$4+2,0)</f>
        <v>91785.423765355576</v>
      </c>
      <c r="BH108" s="101">
        <f ca="1">VLOOKUP($C108,'Cost RMs'!$B$5:$Q$22,+BH$4-$AW$4+2,0)</f>
        <v>103677.12991004685</v>
      </c>
      <c r="BI108" s="101">
        <f ca="1">VLOOKUP($C108,'Cost RMs'!$B$5:$Q$22,+BI$4-$AW$4+2,0)</f>
        <v>117195.56148271105</v>
      </c>
      <c r="BJ108" s="101">
        <f ca="1">VLOOKUP($C108,'Cost RMs'!$B$5:$Q$22,+BJ$4-$AW$4+2,0)</f>
        <v>132580.59576203892</v>
      </c>
      <c r="BK108" s="101">
        <f ca="1">VLOOKUP($C108,'Cost RMs'!$B$5:$Q$22,+BK$4-$AW$4+2,0)</f>
        <v>150111.0973392961</v>
      </c>
      <c r="BL108" s="102">
        <f t="shared" si="112"/>
        <v>0</v>
      </c>
      <c r="BM108" s="102">
        <f t="shared" si="113"/>
        <v>0</v>
      </c>
      <c r="BN108" s="102">
        <f t="shared" si="114"/>
        <v>0</v>
      </c>
      <c r="BO108" s="102">
        <f t="shared" si="115"/>
        <v>0</v>
      </c>
      <c r="BP108" s="102">
        <f t="shared" si="116"/>
        <v>0</v>
      </c>
      <c r="BQ108" s="102">
        <f t="shared" ca="1" si="117"/>
        <v>0</v>
      </c>
      <c r="BR108" s="102">
        <f t="shared" ca="1" si="118"/>
        <v>579345.34044772107</v>
      </c>
      <c r="BS108" s="102">
        <f t="shared" ca="1" si="119"/>
        <v>1308199.3121385642</v>
      </c>
      <c r="BT108" s="102">
        <f t="shared" ca="1" si="120"/>
        <v>1474835.3831357907</v>
      </c>
      <c r="BU108" s="102">
        <f t="shared" ca="1" si="121"/>
        <v>1663694.1845584295</v>
      </c>
      <c r="BV108" s="102">
        <f t="shared" ca="1" si="122"/>
        <v>1877946.2916154526</v>
      </c>
      <c r="BW108" s="102">
        <f t="shared" ca="1" si="123"/>
        <v>2121252.739842942</v>
      </c>
      <c r="BX108" s="102">
        <f t="shared" ca="1" si="124"/>
        <v>2397842.283137335</v>
      </c>
      <c r="BY108" s="102">
        <f t="shared" ca="1" si="125"/>
        <v>2712622.8537985533</v>
      </c>
      <c r="BZ108" s="102">
        <f t="shared" ca="1" si="126"/>
        <v>3071300.071559519</v>
      </c>
    </row>
    <row r="109" spans="1:78" x14ac:dyDescent="0.25">
      <c r="A109" s="26" t="str">
        <f>+Assumptions!$A$38</f>
        <v>NPK 10-26-26</v>
      </c>
      <c r="B109" s="73">
        <f>+Assumptions!$R$54</f>
        <v>0.26</v>
      </c>
      <c r="C109" s="26" t="s">
        <v>132</v>
      </c>
      <c r="G109" s="61">
        <f t="shared" si="95"/>
        <v>0</v>
      </c>
      <c r="H109" s="61">
        <f t="shared" si="127"/>
        <v>0</v>
      </c>
      <c r="I109" s="61">
        <f t="shared" si="127"/>
        <v>0</v>
      </c>
      <c r="J109" s="61">
        <f t="shared" si="127"/>
        <v>0</v>
      </c>
      <c r="K109" s="61">
        <f t="shared" si="127"/>
        <v>0</v>
      </c>
      <c r="L109" s="61">
        <f t="shared" si="127"/>
        <v>0</v>
      </c>
      <c r="M109" s="61">
        <f t="shared" si="127"/>
        <v>0</v>
      </c>
      <c r="N109" s="61">
        <f t="shared" si="127"/>
        <v>0</v>
      </c>
      <c r="O109" s="61">
        <f t="shared" si="127"/>
        <v>0</v>
      </c>
      <c r="P109" s="61">
        <f t="shared" si="127"/>
        <v>0</v>
      </c>
      <c r="Q109" s="61">
        <f t="shared" si="127"/>
        <v>0</v>
      </c>
      <c r="R109" s="61">
        <f t="shared" si="127"/>
        <v>0</v>
      </c>
      <c r="S109" s="74">
        <f>VLOOKUP($A109,turnover!$A$184:$Q$192,+S$4-$S$4+3,0)</f>
        <v>0</v>
      </c>
      <c r="T109" s="74">
        <f>VLOOKUP($A109,turnover!$A$184:$Q$192,+T$4-$S$4+3,0)</f>
        <v>0</v>
      </c>
      <c r="U109" s="74">
        <f>VLOOKUP($A109,turnover!$A$184:$Q$192,+U$4-$S$4+3,0)</f>
        <v>0</v>
      </c>
      <c r="V109" s="74">
        <f>VLOOKUP($A109,turnover!$A$184:$Q$192,+V$4-$S$4+3,0)</f>
        <v>0</v>
      </c>
      <c r="W109" s="74">
        <f>VLOOKUP($A109,turnover!$A$184:$Q$192,+W$4-$S$4+3,0)</f>
        <v>0</v>
      </c>
      <c r="X109" s="74">
        <f>VLOOKUP($A109,turnover!$A$184:$Q$192,+X$4-$S$4+3,0)</f>
        <v>0</v>
      </c>
      <c r="Y109" s="74">
        <f>VLOOKUP($A109,turnover!$A$184:$Q$192,+Y$4-$S$4+3,0)</f>
        <v>2.21</v>
      </c>
      <c r="Z109" s="74">
        <f>VLOOKUP($A109,turnover!$A$184:$Q$192,+Z$4-$S$4+3,0)</f>
        <v>4.42</v>
      </c>
      <c r="AA109" s="74">
        <f>VLOOKUP($A109,turnover!$A$184:$Q$192,+AA$4-$S$4+3,0)</f>
        <v>4.42</v>
      </c>
      <c r="AB109" s="74">
        <f>VLOOKUP($A109,turnover!$A$184:$Q$192,+AB$4-$S$4+3,0)</f>
        <v>4.42</v>
      </c>
      <c r="AC109" s="74">
        <f>VLOOKUP($A109,turnover!$A$184:$Q$192,+AC$4-$S$4+3,0)</f>
        <v>4.42</v>
      </c>
      <c r="AD109" s="74">
        <f>VLOOKUP($A109,turnover!$A$184:$Q$192,+AD$4-$S$4+3,0)</f>
        <v>4.42</v>
      </c>
      <c r="AE109" s="74">
        <f>VLOOKUP($A109,turnover!$A$184:$Q$192,+AE$4-$S$4+3,0)</f>
        <v>4.42</v>
      </c>
      <c r="AF109" s="74">
        <f>VLOOKUP($A109,turnover!$A$184:$Q$192,+AF$4-$S$4+3,0)</f>
        <v>4.42</v>
      </c>
      <c r="AG109" s="74">
        <f>VLOOKUP($A109,turnover!$A$184:$Q$192,+AG$4-$S$4+3,0)</f>
        <v>4.42</v>
      </c>
      <c r="AH109" s="61">
        <f t="shared" si="97"/>
        <v>0</v>
      </c>
      <c r="AI109" s="61">
        <f t="shared" si="98"/>
        <v>0</v>
      </c>
      <c r="AJ109" s="61">
        <f t="shared" si="99"/>
        <v>0</v>
      </c>
      <c r="AK109" s="61">
        <f t="shared" si="100"/>
        <v>0</v>
      </c>
      <c r="AL109" s="61">
        <f t="shared" si="101"/>
        <v>0</v>
      </c>
      <c r="AM109" s="61">
        <f t="shared" si="102"/>
        <v>0</v>
      </c>
      <c r="AN109" s="61">
        <f t="shared" si="103"/>
        <v>0</v>
      </c>
      <c r="AO109" s="61">
        <f t="shared" si="104"/>
        <v>0</v>
      </c>
      <c r="AP109" s="61">
        <f t="shared" si="105"/>
        <v>0</v>
      </c>
      <c r="AQ109" s="61">
        <f t="shared" si="106"/>
        <v>0</v>
      </c>
      <c r="AR109" s="61">
        <f t="shared" si="107"/>
        <v>0</v>
      </c>
      <c r="AS109" s="61">
        <f t="shared" si="108"/>
        <v>0</v>
      </c>
      <c r="AT109" s="61">
        <f t="shared" si="109"/>
        <v>0</v>
      </c>
      <c r="AU109" s="61">
        <f t="shared" si="110"/>
        <v>0</v>
      </c>
      <c r="AV109" s="61">
        <f t="shared" si="111"/>
        <v>0</v>
      </c>
      <c r="AW109" s="101">
        <f>VLOOKUP($C109,'Cost RMs'!$B$5:$Q$22,+AW$4-$AW$4+2,0)</f>
        <v>37079</v>
      </c>
      <c r="AX109" s="101">
        <f>VLOOKUP($C109,'Cost RMs'!$B$5:$Q$22,+AX$4-$AW$4+2,0)</f>
        <v>52416</v>
      </c>
      <c r="AY109" s="101">
        <f>VLOOKUP($C109,'Cost RMs'!$B$5:$Q$22,+AY$4-$AW$4+2,0)</f>
        <v>45564</v>
      </c>
      <c r="AZ109" s="101">
        <f>VLOOKUP($C109,'Cost RMs'!$B$5:$Q$22,+AZ$4-$AW$4+2,0)</f>
        <v>49142</v>
      </c>
      <c r="BA109" s="101">
        <f>VLOOKUP($C109,'Cost RMs'!$B$5:$Q$22,+BA$4-$AW$4+2,0)</f>
        <v>50394</v>
      </c>
      <c r="BB109" s="101">
        <f>VLOOKUP($C109,'Cost RMs'!$B$5:$Q$22,+BB$4-$AW$4+2,0)</f>
        <v>56436</v>
      </c>
      <c r="BC109" s="101">
        <f>VLOOKUP($C109,'Cost RMs'!$B$5:$Q$22,+BC$4-$AW$4+2,0)</f>
        <v>63265</v>
      </c>
      <c r="BD109" s="101">
        <f>VLOOKUP($C109,'Cost RMs'!$B$5:$Q$22,+BD$4-$AW$4+2,0)</f>
        <v>70920</v>
      </c>
      <c r="BE109" s="101">
        <f>VLOOKUP($C109,'Cost RMs'!$B$5:$Q$22,+BE$4-$AW$4+2,0)</f>
        <v>79501</v>
      </c>
      <c r="BF109" s="101">
        <f>VLOOKUP($C109,'Cost RMs'!$B$5:$Q$22,+BF$4-$AW$4+2,0)</f>
        <v>89121</v>
      </c>
      <c r="BG109" s="101">
        <f>VLOOKUP($C109,'Cost RMs'!$B$5:$Q$22,+BG$4-$AW$4+2,0)</f>
        <v>99905</v>
      </c>
      <c r="BH109" s="101">
        <f>VLOOKUP($C109,'Cost RMs'!$B$5:$Q$22,+BH$4-$AW$4+2,0)</f>
        <v>111994</v>
      </c>
      <c r="BI109" s="101">
        <f>VLOOKUP($C109,'Cost RMs'!$B$5:$Q$22,+BI$4-$AW$4+2,0)</f>
        <v>125545</v>
      </c>
      <c r="BJ109" s="101">
        <f>VLOOKUP($C109,'Cost RMs'!$B$5:$Q$22,+BJ$4-$AW$4+2,0)</f>
        <v>140736</v>
      </c>
      <c r="BK109" s="101">
        <f>VLOOKUP($C109,'Cost RMs'!$B$5:$Q$22,+BK$4-$AW$4+2,0)</f>
        <v>157765</v>
      </c>
      <c r="BL109" s="102">
        <f t="shared" si="112"/>
        <v>0</v>
      </c>
      <c r="BM109" s="102">
        <f t="shared" si="113"/>
        <v>0</v>
      </c>
      <c r="BN109" s="102">
        <f t="shared" si="114"/>
        <v>0</v>
      </c>
      <c r="BO109" s="102">
        <f t="shared" si="115"/>
        <v>0</v>
      </c>
      <c r="BP109" s="102">
        <f t="shared" si="116"/>
        <v>0</v>
      </c>
      <c r="BQ109" s="102">
        <f t="shared" si="117"/>
        <v>0</v>
      </c>
      <c r="BR109" s="102">
        <f t="shared" si="118"/>
        <v>0</v>
      </c>
      <c r="BS109" s="102">
        <f t="shared" si="119"/>
        <v>0</v>
      </c>
      <c r="BT109" s="102">
        <f t="shared" si="120"/>
        <v>0</v>
      </c>
      <c r="BU109" s="102">
        <f t="shared" si="121"/>
        <v>0</v>
      </c>
      <c r="BV109" s="102">
        <f t="shared" si="122"/>
        <v>0</v>
      </c>
      <c r="BW109" s="102">
        <f t="shared" si="123"/>
        <v>0</v>
      </c>
      <c r="BX109" s="102">
        <f t="shared" si="124"/>
        <v>0</v>
      </c>
      <c r="BY109" s="102">
        <f t="shared" si="125"/>
        <v>0</v>
      </c>
      <c r="BZ109" s="102">
        <f t="shared" si="126"/>
        <v>0</v>
      </c>
    </row>
    <row r="110" spans="1:78" x14ac:dyDescent="0.25">
      <c r="A110" s="26" t="str">
        <f>+Assumptions!$A$38</f>
        <v>NPK 10-26-26</v>
      </c>
      <c r="B110" s="73">
        <f>+Assumptions!$R$54</f>
        <v>0.26</v>
      </c>
      <c r="C110" s="166" t="s">
        <v>537</v>
      </c>
      <c r="F110">
        <v>7.6999999999999999E-2</v>
      </c>
      <c r="G110" s="61">
        <f t="shared" si="95"/>
        <v>7.6999999999999999E-2</v>
      </c>
      <c r="H110" s="61">
        <f t="shared" si="127"/>
        <v>7.6999999999999999E-2</v>
      </c>
      <c r="I110" s="61">
        <f t="shared" si="127"/>
        <v>7.6999999999999999E-2</v>
      </c>
      <c r="J110" s="61">
        <f t="shared" si="127"/>
        <v>7.6999999999999999E-2</v>
      </c>
      <c r="K110" s="61">
        <f t="shared" si="127"/>
        <v>7.6999999999999999E-2</v>
      </c>
      <c r="L110" s="61">
        <f t="shared" si="127"/>
        <v>7.6999999999999999E-2</v>
      </c>
      <c r="M110" s="61">
        <f t="shared" si="127"/>
        <v>7.6999999999999999E-2</v>
      </c>
      <c r="N110" s="61">
        <f t="shared" si="127"/>
        <v>7.6999999999999999E-2</v>
      </c>
      <c r="O110" s="61">
        <f t="shared" si="127"/>
        <v>7.6999999999999999E-2</v>
      </c>
      <c r="P110" s="61">
        <f t="shared" si="127"/>
        <v>7.6999999999999999E-2</v>
      </c>
      <c r="Q110" s="61">
        <f t="shared" si="127"/>
        <v>7.6999999999999999E-2</v>
      </c>
      <c r="R110" s="61">
        <f t="shared" si="127"/>
        <v>7.6999999999999999E-2</v>
      </c>
      <c r="S110" s="74">
        <f>VLOOKUP($A110,turnover!$A$184:$Q$192,+S$4-$S$4+3,0)</f>
        <v>0</v>
      </c>
      <c r="T110" s="74">
        <f>VLOOKUP($A110,turnover!$A$184:$Q$192,+T$4-$S$4+3,0)</f>
        <v>0</v>
      </c>
      <c r="U110" s="74">
        <f>VLOOKUP($A110,turnover!$A$184:$Q$192,+U$4-$S$4+3,0)</f>
        <v>0</v>
      </c>
      <c r="V110" s="74">
        <f>VLOOKUP($A110,turnover!$A$184:$Q$192,+V$4-$S$4+3,0)</f>
        <v>0</v>
      </c>
      <c r="W110" s="74">
        <f>VLOOKUP($A110,turnover!$A$184:$Q$192,+W$4-$S$4+3,0)</f>
        <v>0</v>
      </c>
      <c r="X110" s="74">
        <f>VLOOKUP($A110,turnover!$A$184:$Q$192,+X$4-$S$4+3,0)</f>
        <v>0</v>
      </c>
      <c r="Y110" s="74">
        <f>VLOOKUP($A110,turnover!$A$184:$Q$192,+Y$4-$S$4+3,0)</f>
        <v>2.21</v>
      </c>
      <c r="Z110" s="74">
        <f>VLOOKUP($A110,turnover!$A$184:$Q$192,+Z$4-$S$4+3,0)</f>
        <v>4.42</v>
      </c>
      <c r="AA110" s="74">
        <f>VLOOKUP($A110,turnover!$A$184:$Q$192,+AA$4-$S$4+3,0)</f>
        <v>4.42</v>
      </c>
      <c r="AB110" s="74">
        <f>VLOOKUP($A110,turnover!$A$184:$Q$192,+AB$4-$S$4+3,0)</f>
        <v>4.42</v>
      </c>
      <c r="AC110" s="74">
        <f>VLOOKUP($A110,turnover!$A$184:$Q$192,+AC$4-$S$4+3,0)</f>
        <v>4.42</v>
      </c>
      <c r="AD110" s="74">
        <f>VLOOKUP($A110,turnover!$A$184:$Q$192,+AD$4-$S$4+3,0)</f>
        <v>4.42</v>
      </c>
      <c r="AE110" s="74">
        <f>VLOOKUP($A110,turnover!$A$184:$Q$192,+AE$4-$S$4+3,0)</f>
        <v>4.42</v>
      </c>
      <c r="AF110" s="74">
        <f>VLOOKUP($A110,turnover!$A$184:$Q$192,+AF$4-$S$4+3,0)</f>
        <v>4.42</v>
      </c>
      <c r="AG110" s="74">
        <f>VLOOKUP($A110,turnover!$A$184:$Q$192,+AG$4-$S$4+3,0)</f>
        <v>4.42</v>
      </c>
      <c r="AH110" s="61">
        <f t="shared" si="97"/>
        <v>0</v>
      </c>
      <c r="AI110" s="61">
        <f t="shared" si="98"/>
        <v>0</v>
      </c>
      <c r="AJ110" s="61">
        <f t="shared" si="99"/>
        <v>0</v>
      </c>
      <c r="AK110" s="61">
        <f t="shared" si="100"/>
        <v>0</v>
      </c>
      <c r="AL110" s="61">
        <f t="shared" si="101"/>
        <v>0</v>
      </c>
      <c r="AM110" s="61">
        <f t="shared" si="102"/>
        <v>0</v>
      </c>
      <c r="AN110" s="61">
        <f t="shared" si="103"/>
        <v>0.17016999999999999</v>
      </c>
      <c r="AO110" s="61">
        <f t="shared" si="104"/>
        <v>0.34033999999999998</v>
      </c>
      <c r="AP110" s="61">
        <f t="shared" si="105"/>
        <v>0.34033999999999998</v>
      </c>
      <c r="AQ110" s="61">
        <f t="shared" si="106"/>
        <v>0.34033999999999998</v>
      </c>
      <c r="AR110" s="61">
        <f t="shared" si="107"/>
        <v>0.34033999999999998</v>
      </c>
      <c r="AS110" s="61">
        <f t="shared" si="108"/>
        <v>0.34033999999999998</v>
      </c>
      <c r="AT110" s="61">
        <f t="shared" si="109"/>
        <v>0.34033999999999998</v>
      </c>
      <c r="AU110" s="61">
        <f t="shared" si="110"/>
        <v>0.34033999999999998</v>
      </c>
      <c r="AV110" s="61">
        <f t="shared" si="111"/>
        <v>0.34033999999999998</v>
      </c>
      <c r="AW110" s="101">
        <f>VLOOKUP($C110,'Cost RMs'!$B$5:$Q$22,+AW$4-$AW$4+2,0)</f>
        <v>0</v>
      </c>
      <c r="AX110" s="101">
        <f>VLOOKUP($C110,'Cost RMs'!$B$5:$Q$22,+AX$4-$AW$4+2,0)</f>
        <v>0</v>
      </c>
      <c r="AY110" s="101">
        <f>VLOOKUP($C110,'Cost RMs'!$B$5:$Q$22,+AY$4-$AW$4+2,0)</f>
        <v>0</v>
      </c>
      <c r="AZ110" s="101">
        <f>VLOOKUP($C110,'Cost RMs'!$B$5:$Q$22,+AZ$4-$AW$4+2,0)</f>
        <v>0</v>
      </c>
      <c r="BA110" s="101">
        <f>VLOOKUP($C110,'Cost RMs'!$B$5:$Q$22,+BA$4-$AW$4+2,0)</f>
        <v>317520</v>
      </c>
      <c r="BB110" s="101">
        <f>VLOOKUP($C110,'Cost RMs'!$B$5:$Q$22,+BB$4-$AW$4+2,0)</f>
        <v>355591</v>
      </c>
      <c r="BC110" s="101">
        <f>VLOOKUP($C110,'Cost RMs'!$B$5:$Q$22,+BC$4-$AW$4+2,0)</f>
        <v>398618</v>
      </c>
      <c r="BD110" s="101">
        <f>VLOOKUP($C110,'Cost RMs'!$B$5:$Q$22,+BD$4-$AW$4+2,0)</f>
        <v>446851</v>
      </c>
      <c r="BE110" s="101">
        <f>VLOOKUP($C110,'Cost RMs'!$B$5:$Q$22,+BE$4-$AW$4+2,0)</f>
        <v>500920</v>
      </c>
      <c r="BF110" s="101">
        <f>VLOOKUP($C110,'Cost RMs'!$B$5:$Q$22,+BF$4-$AW$4+2,0)</f>
        <v>561531</v>
      </c>
      <c r="BG110" s="101">
        <f>VLOOKUP($C110,'Cost RMs'!$B$5:$Q$22,+BG$4-$AW$4+2,0)</f>
        <v>629476</v>
      </c>
      <c r="BH110" s="101">
        <f>VLOOKUP($C110,'Cost RMs'!$B$5:$Q$22,+BH$4-$AW$4+2,0)</f>
        <v>705643</v>
      </c>
      <c r="BI110" s="101">
        <f>VLOOKUP($C110,'Cost RMs'!$B$5:$Q$22,+BI$4-$AW$4+2,0)</f>
        <v>791026</v>
      </c>
      <c r="BJ110" s="101">
        <f>VLOOKUP($C110,'Cost RMs'!$B$5:$Q$22,+BJ$4-$AW$4+2,0)</f>
        <v>886740</v>
      </c>
      <c r="BK110" s="101">
        <f>VLOOKUP($C110,'Cost RMs'!$B$5:$Q$22,+BK$4-$AW$4+2,0)</f>
        <v>994036</v>
      </c>
      <c r="BL110" s="102">
        <f t="shared" si="112"/>
        <v>0</v>
      </c>
      <c r="BM110" s="102">
        <f t="shared" si="113"/>
        <v>0</v>
      </c>
      <c r="BN110" s="102">
        <f t="shared" si="114"/>
        <v>0</v>
      </c>
      <c r="BO110" s="102">
        <f t="shared" si="115"/>
        <v>0</v>
      </c>
      <c r="BP110" s="102">
        <f t="shared" si="116"/>
        <v>0</v>
      </c>
      <c r="BQ110" s="102">
        <f t="shared" si="117"/>
        <v>0</v>
      </c>
      <c r="BR110" s="102">
        <f t="shared" si="118"/>
        <v>67832.825059999988</v>
      </c>
      <c r="BS110" s="102">
        <f t="shared" si="119"/>
        <v>152081.26934</v>
      </c>
      <c r="BT110" s="102">
        <f t="shared" si="120"/>
        <v>170483.11279999997</v>
      </c>
      <c r="BU110" s="102">
        <f t="shared" si="121"/>
        <v>191111.46054</v>
      </c>
      <c r="BV110" s="102">
        <f t="shared" si="122"/>
        <v>214235.86184</v>
      </c>
      <c r="BW110" s="102">
        <f t="shared" si="123"/>
        <v>240158.53861999998</v>
      </c>
      <c r="BX110" s="102">
        <f t="shared" si="124"/>
        <v>269217.78883999999</v>
      </c>
      <c r="BY110" s="102">
        <f t="shared" si="125"/>
        <v>301793.09159999999</v>
      </c>
      <c r="BZ110" s="102">
        <f t="shared" si="126"/>
        <v>338310.21223999996</v>
      </c>
    </row>
    <row r="111" spans="1:78" x14ac:dyDescent="0.25">
      <c r="A111" s="26" t="str">
        <f>+Assumptions!$A$38</f>
        <v>NPK 10-26-26</v>
      </c>
      <c r="B111" s="73">
        <f>+Assumptions!$R$54</f>
        <v>0.26</v>
      </c>
      <c r="C111" t="s">
        <v>129</v>
      </c>
      <c r="F111">
        <v>0.435</v>
      </c>
      <c r="G111" s="61">
        <f t="shared" si="95"/>
        <v>0.435</v>
      </c>
      <c r="H111" s="61">
        <f t="shared" si="127"/>
        <v>0.435</v>
      </c>
      <c r="I111" s="61">
        <f t="shared" si="127"/>
        <v>0.435</v>
      </c>
      <c r="J111" s="61">
        <f t="shared" si="127"/>
        <v>0.435</v>
      </c>
      <c r="K111" s="61">
        <f t="shared" si="127"/>
        <v>0.435</v>
      </c>
      <c r="L111" s="61">
        <f t="shared" si="127"/>
        <v>0.435</v>
      </c>
      <c r="M111" s="61">
        <f t="shared" si="127"/>
        <v>0.435</v>
      </c>
      <c r="N111" s="61">
        <f t="shared" si="127"/>
        <v>0.435</v>
      </c>
      <c r="O111" s="61">
        <f t="shared" si="127"/>
        <v>0.435</v>
      </c>
      <c r="P111" s="61">
        <f t="shared" si="127"/>
        <v>0.435</v>
      </c>
      <c r="Q111" s="61">
        <f t="shared" si="127"/>
        <v>0.435</v>
      </c>
      <c r="R111" s="61">
        <f t="shared" si="127"/>
        <v>0.435</v>
      </c>
      <c r="S111" s="74">
        <f>VLOOKUP($A111,turnover!$A$184:$Q$192,+S$4-$S$4+3,0)</f>
        <v>0</v>
      </c>
      <c r="T111" s="74">
        <f>VLOOKUP($A111,turnover!$A$184:$Q$192,+T$4-$S$4+3,0)</f>
        <v>0</v>
      </c>
      <c r="U111" s="74">
        <f>VLOOKUP($A111,turnover!$A$184:$Q$192,+U$4-$S$4+3,0)</f>
        <v>0</v>
      </c>
      <c r="V111" s="74">
        <f>VLOOKUP($A111,turnover!$A$184:$Q$192,+V$4-$S$4+3,0)</f>
        <v>0</v>
      </c>
      <c r="W111" s="74">
        <f>VLOOKUP($A111,turnover!$A$184:$Q$192,+W$4-$S$4+3,0)</f>
        <v>0</v>
      </c>
      <c r="X111" s="74">
        <f>VLOOKUP($A111,turnover!$A$184:$Q$192,+X$4-$S$4+3,0)</f>
        <v>0</v>
      </c>
      <c r="Y111" s="74">
        <f>VLOOKUP($A111,turnover!$A$184:$Q$192,+Y$4-$S$4+3,0)</f>
        <v>2.21</v>
      </c>
      <c r="Z111" s="74">
        <f>VLOOKUP($A111,turnover!$A$184:$Q$192,+Z$4-$S$4+3,0)</f>
        <v>4.42</v>
      </c>
      <c r="AA111" s="74">
        <f>VLOOKUP($A111,turnover!$A$184:$Q$192,+AA$4-$S$4+3,0)</f>
        <v>4.42</v>
      </c>
      <c r="AB111" s="74">
        <f>VLOOKUP($A111,turnover!$A$184:$Q$192,+AB$4-$S$4+3,0)</f>
        <v>4.42</v>
      </c>
      <c r="AC111" s="74">
        <f>VLOOKUP($A111,turnover!$A$184:$Q$192,+AC$4-$S$4+3,0)</f>
        <v>4.42</v>
      </c>
      <c r="AD111" s="74">
        <f>VLOOKUP($A111,turnover!$A$184:$Q$192,+AD$4-$S$4+3,0)</f>
        <v>4.42</v>
      </c>
      <c r="AE111" s="74">
        <f>VLOOKUP($A111,turnover!$A$184:$Q$192,+AE$4-$S$4+3,0)</f>
        <v>4.42</v>
      </c>
      <c r="AF111" s="74">
        <f>VLOOKUP($A111,turnover!$A$184:$Q$192,+AF$4-$S$4+3,0)</f>
        <v>4.42</v>
      </c>
      <c r="AG111" s="74">
        <f>VLOOKUP($A111,turnover!$A$184:$Q$192,+AG$4-$S$4+3,0)</f>
        <v>4.42</v>
      </c>
      <c r="AH111" s="61">
        <f t="shared" si="97"/>
        <v>0</v>
      </c>
      <c r="AI111" s="61">
        <f t="shared" si="98"/>
        <v>0</v>
      </c>
      <c r="AJ111" s="61">
        <f t="shared" si="99"/>
        <v>0</v>
      </c>
      <c r="AK111" s="61">
        <f t="shared" si="100"/>
        <v>0</v>
      </c>
      <c r="AL111" s="61">
        <f t="shared" si="101"/>
        <v>0</v>
      </c>
      <c r="AM111" s="61">
        <f t="shared" si="102"/>
        <v>0</v>
      </c>
      <c r="AN111" s="61">
        <f t="shared" si="103"/>
        <v>0.96134999999999993</v>
      </c>
      <c r="AO111" s="61">
        <f t="shared" si="104"/>
        <v>1.9226999999999999</v>
      </c>
      <c r="AP111" s="61">
        <f t="shared" si="105"/>
        <v>1.9226999999999999</v>
      </c>
      <c r="AQ111" s="61">
        <f t="shared" si="106"/>
        <v>1.9226999999999999</v>
      </c>
      <c r="AR111" s="61">
        <f t="shared" si="107"/>
        <v>1.9226999999999999</v>
      </c>
      <c r="AS111" s="61">
        <f t="shared" si="108"/>
        <v>1.9226999999999999</v>
      </c>
      <c r="AT111" s="61">
        <f t="shared" si="109"/>
        <v>1.9226999999999999</v>
      </c>
      <c r="AU111" s="61">
        <f t="shared" si="110"/>
        <v>1.9226999999999999</v>
      </c>
      <c r="AV111" s="61">
        <f t="shared" si="111"/>
        <v>1.9226999999999999</v>
      </c>
      <c r="AW111" s="101">
        <f>VLOOKUP($C111,'Cost RMs'!$B$5:$Q$22,+AW$4-$AW$4+2,0)</f>
        <v>40086</v>
      </c>
      <c r="AX111" s="101">
        <f>VLOOKUP($C111,'Cost RMs'!$B$5:$Q$22,+AX$4-$AW$4+2,0)</f>
        <v>56197</v>
      </c>
      <c r="AY111" s="101">
        <f>VLOOKUP($C111,'Cost RMs'!$B$5:$Q$22,+AY$4-$AW$4+2,0)</f>
        <v>64582</v>
      </c>
      <c r="AZ111" s="101">
        <f>VLOOKUP($C111,'Cost RMs'!$B$5:$Q$22,+AZ$4-$AW$4+2,0)</f>
        <v>76567</v>
      </c>
      <c r="BA111" s="101">
        <f ca="1">VLOOKUP($C111,'Cost RMs'!$B$5:$Q$22,+BA$4-$AW$4+2,0)</f>
        <v>86638</v>
      </c>
      <c r="BB111" s="101">
        <f ca="1">VLOOKUP($C111,'Cost RMs'!$B$5:$Q$22,+BB$4-$AW$4+2,0)</f>
        <v>97026</v>
      </c>
      <c r="BC111" s="101">
        <f ca="1">VLOOKUP($C111,'Cost RMs'!$B$5:$Q$22,+BC$4-$AW$4+2,0)</f>
        <v>108766</v>
      </c>
      <c r="BD111" s="101">
        <f ca="1">VLOOKUP($C111,'Cost RMs'!$B$5:$Q$22,+BD$4-$AW$4+2,0)</f>
        <v>121927</v>
      </c>
      <c r="BE111" s="101">
        <f ca="1">VLOOKUP($C111,'Cost RMs'!$B$5:$Q$22,+BE$4-$AW$4+2,0)</f>
        <v>136680</v>
      </c>
      <c r="BF111" s="101">
        <f ca="1">VLOOKUP($C111,'Cost RMs'!$B$5:$Q$22,+BF$4-$AW$4+2,0)</f>
        <v>153218</v>
      </c>
      <c r="BG111" s="101">
        <f ca="1">VLOOKUP($C111,'Cost RMs'!$B$5:$Q$22,+BG$4-$AW$4+2,0)</f>
        <v>171757</v>
      </c>
      <c r="BH111" s="101">
        <f ca="1">VLOOKUP($C111,'Cost RMs'!$B$5:$Q$22,+BH$4-$AW$4+2,0)</f>
        <v>192540</v>
      </c>
      <c r="BI111" s="101">
        <f ca="1">VLOOKUP($C111,'Cost RMs'!$B$5:$Q$22,+BI$4-$AW$4+2,0)</f>
        <v>215837</v>
      </c>
      <c r="BJ111" s="101">
        <f ca="1">VLOOKUP($C111,'Cost RMs'!$B$5:$Q$22,+BJ$4-$AW$4+2,0)</f>
        <v>241953</v>
      </c>
      <c r="BK111" s="101">
        <f ca="1">VLOOKUP($C111,'Cost RMs'!$B$5:$Q$22,+BK$4-$AW$4+2,0)</f>
        <v>271229</v>
      </c>
      <c r="BL111" s="102">
        <f t="shared" si="112"/>
        <v>0</v>
      </c>
      <c r="BM111" s="102">
        <f t="shared" si="113"/>
        <v>0</v>
      </c>
      <c r="BN111" s="102">
        <f t="shared" si="114"/>
        <v>0</v>
      </c>
      <c r="BO111" s="102">
        <f t="shared" si="115"/>
        <v>0</v>
      </c>
      <c r="BP111" s="102">
        <f t="shared" ca="1" si="116"/>
        <v>0</v>
      </c>
      <c r="BQ111" s="102">
        <f t="shared" ca="1" si="117"/>
        <v>0</v>
      </c>
      <c r="BR111" s="102">
        <f t="shared" ca="1" si="118"/>
        <v>104562.19409999999</v>
      </c>
      <c r="BS111" s="102">
        <f t="shared" ca="1" si="119"/>
        <v>234429.04289999997</v>
      </c>
      <c r="BT111" s="102">
        <f t="shared" ca="1" si="120"/>
        <v>262794.636</v>
      </c>
      <c r="BU111" s="102">
        <f t="shared" ca="1" si="121"/>
        <v>294592.24859999999</v>
      </c>
      <c r="BV111" s="102">
        <f t="shared" ca="1" si="122"/>
        <v>330237.1839</v>
      </c>
      <c r="BW111" s="102">
        <f t="shared" ca="1" si="123"/>
        <v>370196.658</v>
      </c>
      <c r="BX111" s="102">
        <f t="shared" ca="1" si="124"/>
        <v>414989.79989999998</v>
      </c>
      <c r="BY111" s="102">
        <f t="shared" ca="1" si="125"/>
        <v>465203.03309999994</v>
      </c>
      <c r="BZ111" s="102">
        <f t="shared" ca="1" si="126"/>
        <v>521491.99829999998</v>
      </c>
    </row>
    <row r="112" spans="1:78" x14ac:dyDescent="0.25">
      <c r="A112" s="26" t="str">
        <f>+Assumptions!$A$38</f>
        <v>NPK 10-26-26</v>
      </c>
      <c r="B112" s="73">
        <f>+Assumptions!$R$54</f>
        <v>0.26</v>
      </c>
      <c r="C112" t="s">
        <v>130</v>
      </c>
      <c r="F112">
        <v>0.34730769230769226</v>
      </c>
      <c r="G112" s="61">
        <f t="shared" si="95"/>
        <v>0.34730769230769226</v>
      </c>
      <c r="H112" s="61">
        <f t="shared" si="127"/>
        <v>0.34730769230769226</v>
      </c>
      <c r="I112" s="61">
        <f t="shared" si="127"/>
        <v>0.34730769230769226</v>
      </c>
      <c r="J112" s="61">
        <f t="shared" si="127"/>
        <v>0.34730769230769226</v>
      </c>
      <c r="K112" s="61">
        <f t="shared" si="127"/>
        <v>0.34730769230769226</v>
      </c>
      <c r="L112" s="61">
        <f t="shared" si="127"/>
        <v>0.34730769230769226</v>
      </c>
      <c r="M112" s="61">
        <f t="shared" si="127"/>
        <v>0.34730769230769226</v>
      </c>
      <c r="N112" s="61">
        <f t="shared" si="127"/>
        <v>0.34730769230769226</v>
      </c>
      <c r="O112" s="61">
        <f t="shared" si="127"/>
        <v>0.34730769230769226</v>
      </c>
      <c r="P112" s="61">
        <f t="shared" si="127"/>
        <v>0.34730769230769226</v>
      </c>
      <c r="Q112" s="61">
        <f t="shared" si="127"/>
        <v>0.34730769230769226</v>
      </c>
      <c r="R112" s="61">
        <f t="shared" si="127"/>
        <v>0.34730769230769226</v>
      </c>
      <c r="S112" s="74">
        <f>VLOOKUP($A112,turnover!$A$184:$Q$192,+S$4-$S$4+3,0)</f>
        <v>0</v>
      </c>
      <c r="T112" s="74">
        <f>VLOOKUP($A112,turnover!$A$184:$Q$192,+T$4-$S$4+3,0)</f>
        <v>0</v>
      </c>
      <c r="U112" s="74">
        <f>VLOOKUP($A112,turnover!$A$184:$Q$192,+U$4-$S$4+3,0)</f>
        <v>0</v>
      </c>
      <c r="V112" s="74">
        <f>VLOOKUP($A112,turnover!$A$184:$Q$192,+V$4-$S$4+3,0)</f>
        <v>0</v>
      </c>
      <c r="W112" s="74">
        <f>VLOOKUP($A112,turnover!$A$184:$Q$192,+W$4-$S$4+3,0)</f>
        <v>0</v>
      </c>
      <c r="X112" s="74">
        <f>VLOOKUP($A112,turnover!$A$184:$Q$192,+X$4-$S$4+3,0)</f>
        <v>0</v>
      </c>
      <c r="Y112" s="74">
        <f>VLOOKUP($A112,turnover!$A$184:$Q$192,+Y$4-$S$4+3,0)</f>
        <v>2.21</v>
      </c>
      <c r="Z112" s="74">
        <f>VLOOKUP($A112,turnover!$A$184:$Q$192,+Z$4-$S$4+3,0)</f>
        <v>4.42</v>
      </c>
      <c r="AA112" s="74">
        <f>VLOOKUP($A112,turnover!$A$184:$Q$192,+AA$4-$S$4+3,0)</f>
        <v>4.42</v>
      </c>
      <c r="AB112" s="74">
        <f>VLOOKUP($A112,turnover!$A$184:$Q$192,+AB$4-$S$4+3,0)</f>
        <v>4.42</v>
      </c>
      <c r="AC112" s="74">
        <f>VLOOKUP($A112,turnover!$A$184:$Q$192,+AC$4-$S$4+3,0)</f>
        <v>4.42</v>
      </c>
      <c r="AD112" s="74">
        <f>VLOOKUP($A112,turnover!$A$184:$Q$192,+AD$4-$S$4+3,0)</f>
        <v>4.42</v>
      </c>
      <c r="AE112" s="74">
        <f>VLOOKUP($A112,turnover!$A$184:$Q$192,+AE$4-$S$4+3,0)</f>
        <v>4.42</v>
      </c>
      <c r="AF112" s="74">
        <f>VLOOKUP($A112,turnover!$A$184:$Q$192,+AF$4-$S$4+3,0)</f>
        <v>4.42</v>
      </c>
      <c r="AG112" s="74">
        <f>VLOOKUP($A112,turnover!$A$184:$Q$192,+AG$4-$S$4+3,0)</f>
        <v>4.42</v>
      </c>
      <c r="AH112" s="61">
        <f t="shared" si="97"/>
        <v>0</v>
      </c>
      <c r="AI112" s="61">
        <f t="shared" si="98"/>
        <v>0</v>
      </c>
      <c r="AJ112" s="61">
        <f t="shared" si="99"/>
        <v>0</v>
      </c>
      <c r="AK112" s="61">
        <f t="shared" si="100"/>
        <v>0</v>
      </c>
      <c r="AL112" s="61">
        <f t="shared" si="101"/>
        <v>0</v>
      </c>
      <c r="AM112" s="61">
        <f t="shared" si="102"/>
        <v>0</v>
      </c>
      <c r="AN112" s="61">
        <f t="shared" si="103"/>
        <v>0.76754999999999984</v>
      </c>
      <c r="AO112" s="61">
        <f t="shared" si="104"/>
        <v>1.5350999999999997</v>
      </c>
      <c r="AP112" s="61">
        <f t="shared" si="105"/>
        <v>1.5350999999999997</v>
      </c>
      <c r="AQ112" s="61">
        <f t="shared" si="106"/>
        <v>1.5350999999999997</v>
      </c>
      <c r="AR112" s="61">
        <f t="shared" si="107"/>
        <v>1.5350999999999997</v>
      </c>
      <c r="AS112" s="61">
        <f t="shared" si="108"/>
        <v>1.5350999999999997</v>
      </c>
      <c r="AT112" s="61">
        <f t="shared" si="109"/>
        <v>1.5350999999999997</v>
      </c>
      <c r="AU112" s="61">
        <f t="shared" si="110"/>
        <v>1.5350999999999997</v>
      </c>
      <c r="AV112" s="61">
        <f t="shared" si="111"/>
        <v>1.5350999999999997</v>
      </c>
      <c r="AW112" s="101">
        <f>VLOOKUP($C112,'Cost RMs'!$B$5:$Q$22,+AW$4-$AW$4+2,0)</f>
        <v>42500</v>
      </c>
      <c r="AX112" s="101">
        <f>VLOOKUP($C112,'Cost RMs'!$B$5:$Q$22,+AX$4-$AW$4+2,0)</f>
        <v>63692</v>
      </c>
      <c r="AY112" s="101">
        <f>VLOOKUP($C112,'Cost RMs'!$B$5:$Q$22,+AY$4-$AW$4+2,0)</f>
        <v>71301</v>
      </c>
      <c r="AZ112" s="101">
        <f>VLOOKUP($C112,'Cost RMs'!$B$5:$Q$22,+AZ$4-$AW$4+2,0)</f>
        <v>82665</v>
      </c>
      <c r="BA112" s="101">
        <f ca="1">VLOOKUP($C112,'Cost RMs'!$B$5:$Q$22,+BA$4-$AW$4+2,0)</f>
        <v>96790</v>
      </c>
      <c r="BB112" s="101">
        <f ca="1">VLOOKUP($C112,'Cost RMs'!$B$5:$Q$22,+BB$4-$AW$4+2,0)</f>
        <v>108395</v>
      </c>
      <c r="BC112" s="101">
        <f ca="1">VLOOKUP($C112,'Cost RMs'!$B$5:$Q$22,+BC$4-$AW$4+2,0)</f>
        <v>121511</v>
      </c>
      <c r="BD112" s="101">
        <f ca="1">VLOOKUP($C112,'Cost RMs'!$B$5:$Q$22,+BD$4-$AW$4+2,0)</f>
        <v>136214</v>
      </c>
      <c r="BE112" s="101">
        <f ca="1">VLOOKUP($C112,'Cost RMs'!$B$5:$Q$22,+BE$4-$AW$4+2,0)</f>
        <v>152696</v>
      </c>
      <c r="BF112" s="101">
        <f ca="1">VLOOKUP($C112,'Cost RMs'!$B$5:$Q$22,+BF$4-$AW$4+2,0)</f>
        <v>171172</v>
      </c>
      <c r="BG112" s="101">
        <f ca="1">VLOOKUP($C112,'Cost RMs'!$B$5:$Q$22,+BG$4-$AW$4+2,0)</f>
        <v>191884</v>
      </c>
      <c r="BH112" s="101">
        <f ca="1">VLOOKUP($C112,'Cost RMs'!$B$5:$Q$22,+BH$4-$AW$4+2,0)</f>
        <v>215102</v>
      </c>
      <c r="BI112" s="101">
        <f ca="1">VLOOKUP($C112,'Cost RMs'!$B$5:$Q$22,+BI$4-$AW$4+2,0)</f>
        <v>241129</v>
      </c>
      <c r="BJ112" s="101">
        <f ca="1">VLOOKUP($C112,'Cost RMs'!$B$5:$Q$22,+BJ$4-$AW$4+2,0)</f>
        <v>270306</v>
      </c>
      <c r="BK112" s="101">
        <f ca="1">VLOOKUP($C112,'Cost RMs'!$B$5:$Q$22,+BK$4-$AW$4+2,0)</f>
        <v>303013</v>
      </c>
      <c r="BL112" s="102">
        <f t="shared" si="112"/>
        <v>0</v>
      </c>
      <c r="BM112" s="102">
        <f t="shared" si="113"/>
        <v>0</v>
      </c>
      <c r="BN112" s="102">
        <f t="shared" si="114"/>
        <v>0</v>
      </c>
      <c r="BO112" s="102">
        <f t="shared" si="115"/>
        <v>0</v>
      </c>
      <c r="BP112" s="102">
        <f t="shared" ca="1" si="116"/>
        <v>0</v>
      </c>
      <c r="BQ112" s="102">
        <f t="shared" ca="1" si="117"/>
        <v>0</v>
      </c>
      <c r="BR112" s="102">
        <f t="shared" ca="1" si="118"/>
        <v>93265.768049999984</v>
      </c>
      <c r="BS112" s="102">
        <f t="shared" ca="1" si="119"/>
        <v>209102.11139999997</v>
      </c>
      <c r="BT112" s="102">
        <f t="shared" ca="1" si="120"/>
        <v>234403.62959999996</v>
      </c>
      <c r="BU112" s="102">
        <f t="shared" ca="1" si="121"/>
        <v>262766.13719999994</v>
      </c>
      <c r="BV112" s="102">
        <f t="shared" ca="1" si="122"/>
        <v>294561.12839999993</v>
      </c>
      <c r="BW112" s="102">
        <f t="shared" ca="1" si="123"/>
        <v>330203.08019999991</v>
      </c>
      <c r="BX112" s="102">
        <f t="shared" ca="1" si="124"/>
        <v>370157.1278999999</v>
      </c>
      <c r="BY112" s="102">
        <f t="shared" ca="1" si="125"/>
        <v>414946.7405999999</v>
      </c>
      <c r="BZ112" s="102">
        <f t="shared" ca="1" si="126"/>
        <v>465155.25629999989</v>
      </c>
    </row>
    <row r="113" spans="1:78" x14ac:dyDescent="0.25">
      <c r="A113" s="26" t="str">
        <f>+Assumptions!$A$38</f>
        <v>NPK 10-26-26</v>
      </c>
      <c r="B113" s="73">
        <f>+Assumptions!$R$54</f>
        <v>0.26</v>
      </c>
      <c r="C113" s="59" t="s">
        <v>146</v>
      </c>
      <c r="F113">
        <v>1.3015384615384613</v>
      </c>
      <c r="G113" s="61">
        <f t="shared" si="95"/>
        <v>1.3015384615384613</v>
      </c>
      <c r="H113" s="61">
        <f t="shared" si="127"/>
        <v>1.3015384615384613</v>
      </c>
      <c r="I113" s="61">
        <f t="shared" si="127"/>
        <v>1.3015384615384613</v>
      </c>
      <c r="J113" s="61">
        <f t="shared" si="127"/>
        <v>1.3015384615384613</v>
      </c>
      <c r="K113" s="61">
        <f t="shared" si="127"/>
        <v>1.3015384615384613</v>
      </c>
      <c r="L113" s="61">
        <f t="shared" si="127"/>
        <v>1.3015384615384613</v>
      </c>
      <c r="M113" s="61">
        <f t="shared" si="127"/>
        <v>1.3015384615384613</v>
      </c>
      <c r="N113" s="61">
        <f t="shared" si="127"/>
        <v>1.3015384615384613</v>
      </c>
      <c r="O113" s="61">
        <f t="shared" si="127"/>
        <v>1.3015384615384613</v>
      </c>
      <c r="P113" s="61">
        <f t="shared" si="127"/>
        <v>1.3015384615384613</v>
      </c>
      <c r="Q113" s="61">
        <f t="shared" si="127"/>
        <v>1.3015384615384613</v>
      </c>
      <c r="R113" s="61">
        <f t="shared" si="127"/>
        <v>1.3015384615384613</v>
      </c>
      <c r="S113" s="74">
        <f>VLOOKUP($A113,turnover!$A$184:$Q$192,+S$4-$S$4+3,0)</f>
        <v>0</v>
      </c>
      <c r="T113" s="74">
        <f>VLOOKUP($A113,turnover!$A$184:$Q$192,+T$4-$S$4+3,0)</f>
        <v>0</v>
      </c>
      <c r="U113" s="74">
        <f>VLOOKUP($A113,turnover!$A$184:$Q$192,+U$4-$S$4+3,0)</f>
        <v>0</v>
      </c>
      <c r="V113" s="74">
        <f>VLOOKUP($A113,turnover!$A$184:$Q$192,+V$4-$S$4+3,0)</f>
        <v>0</v>
      </c>
      <c r="W113" s="74">
        <f>VLOOKUP($A113,turnover!$A$184:$Q$192,+W$4-$S$4+3,0)</f>
        <v>0</v>
      </c>
      <c r="X113" s="74">
        <f>VLOOKUP($A113,turnover!$A$184:$Q$192,+X$4-$S$4+3,0)</f>
        <v>0</v>
      </c>
      <c r="Y113" s="74">
        <f>VLOOKUP($A113,turnover!$A$184:$Q$192,+Y$4-$S$4+3,0)</f>
        <v>2.21</v>
      </c>
      <c r="Z113" s="74">
        <f>VLOOKUP($A113,turnover!$A$184:$Q$192,+Z$4-$S$4+3,0)</f>
        <v>4.42</v>
      </c>
      <c r="AA113" s="74">
        <f>VLOOKUP($A113,turnover!$A$184:$Q$192,+AA$4-$S$4+3,0)</f>
        <v>4.42</v>
      </c>
      <c r="AB113" s="74">
        <f>VLOOKUP($A113,turnover!$A$184:$Q$192,+AB$4-$S$4+3,0)</f>
        <v>4.42</v>
      </c>
      <c r="AC113" s="74">
        <f>VLOOKUP($A113,turnover!$A$184:$Q$192,+AC$4-$S$4+3,0)</f>
        <v>4.42</v>
      </c>
      <c r="AD113" s="74">
        <f>VLOOKUP($A113,turnover!$A$184:$Q$192,+AD$4-$S$4+3,0)</f>
        <v>4.42</v>
      </c>
      <c r="AE113" s="74">
        <f>VLOOKUP($A113,turnover!$A$184:$Q$192,+AE$4-$S$4+3,0)</f>
        <v>4.42</v>
      </c>
      <c r="AF113" s="74">
        <f>VLOOKUP($A113,turnover!$A$184:$Q$192,+AF$4-$S$4+3,0)</f>
        <v>4.42</v>
      </c>
      <c r="AG113" s="74">
        <f>VLOOKUP($A113,turnover!$A$184:$Q$192,+AG$4-$S$4+3,0)</f>
        <v>4.42</v>
      </c>
      <c r="AH113" s="61">
        <f t="shared" si="97"/>
        <v>0</v>
      </c>
      <c r="AI113" s="61">
        <f t="shared" si="98"/>
        <v>0</v>
      </c>
      <c r="AJ113" s="61">
        <f t="shared" si="99"/>
        <v>0</v>
      </c>
      <c r="AK113" s="61">
        <f t="shared" si="100"/>
        <v>0</v>
      </c>
      <c r="AL113" s="61">
        <f t="shared" si="101"/>
        <v>0</v>
      </c>
      <c r="AM113" s="61">
        <f t="shared" si="102"/>
        <v>0</v>
      </c>
      <c r="AN113" s="61">
        <f t="shared" si="103"/>
        <v>2.8763999999999994</v>
      </c>
      <c r="AO113" s="61">
        <f t="shared" si="104"/>
        <v>5.7527999999999988</v>
      </c>
      <c r="AP113" s="61">
        <f t="shared" si="105"/>
        <v>5.7527999999999988</v>
      </c>
      <c r="AQ113" s="61">
        <f t="shared" si="106"/>
        <v>5.7527999999999988</v>
      </c>
      <c r="AR113" s="61">
        <f t="shared" si="107"/>
        <v>5.7527999999999988</v>
      </c>
      <c r="AS113" s="61">
        <f t="shared" si="108"/>
        <v>5.7527999999999988</v>
      </c>
      <c r="AT113" s="61">
        <f t="shared" si="109"/>
        <v>5.7527999999999988</v>
      </c>
      <c r="AU113" s="61">
        <f t="shared" si="110"/>
        <v>5.7527999999999988</v>
      </c>
      <c r="AV113" s="61">
        <f t="shared" si="111"/>
        <v>5.7527999999999988</v>
      </c>
      <c r="AW113" s="101">
        <f>VLOOKUP($C113,'Cost RMs'!$B$5:$Q$22,+AW$4-$AW$4+2,0)</f>
        <v>7020</v>
      </c>
      <c r="AX113" s="101">
        <f>VLOOKUP($C113,'Cost RMs'!$B$5:$Q$22,+AX$4-$AW$4+2,0)</f>
        <v>8883</v>
      </c>
      <c r="AY113" s="101">
        <f>VLOOKUP($C113,'Cost RMs'!$B$5:$Q$22,+AY$4-$AW$4+2,0)</f>
        <v>11764</v>
      </c>
      <c r="AZ113" s="101">
        <f>VLOOKUP($C113,'Cost RMs'!$B$5:$Q$22,+AZ$4-$AW$4+2,0)</f>
        <v>15733</v>
      </c>
      <c r="BA113" s="101">
        <f ca="1">VLOOKUP($C113,'Cost RMs'!$B$5:$Q$22,+BA$4-$AW$4+2,0)</f>
        <v>19200</v>
      </c>
      <c r="BB113" s="101">
        <f ca="1">VLOOKUP($C113,'Cost RMs'!$B$5:$Q$22,+BB$4-$AW$4+2,0)</f>
        <v>21502</v>
      </c>
      <c r="BC113" s="101">
        <f ca="1">VLOOKUP($C113,'Cost RMs'!$B$5:$Q$22,+BC$4-$AW$4+2,0)</f>
        <v>24104</v>
      </c>
      <c r="BD113" s="101">
        <f ca="1">VLOOKUP($C113,'Cost RMs'!$B$5:$Q$22,+BD$4-$AW$4+2,0)</f>
        <v>27021</v>
      </c>
      <c r="BE113" s="101">
        <f ca="1">VLOOKUP($C113,'Cost RMs'!$B$5:$Q$22,+BE$4-$AW$4+2,0)</f>
        <v>30291</v>
      </c>
      <c r="BF113" s="101">
        <f ca="1">VLOOKUP($C113,'Cost RMs'!$B$5:$Q$22,+BF$4-$AW$4+2,0)</f>
        <v>33956</v>
      </c>
      <c r="BG113" s="101">
        <f ca="1">VLOOKUP($C113,'Cost RMs'!$B$5:$Q$22,+BG$4-$AW$4+2,0)</f>
        <v>38065</v>
      </c>
      <c r="BH113" s="101">
        <f ca="1">VLOOKUP($C113,'Cost RMs'!$B$5:$Q$22,+BH$4-$AW$4+2,0)</f>
        <v>42671</v>
      </c>
      <c r="BI113" s="101">
        <f ca="1">VLOOKUP($C113,'Cost RMs'!$B$5:$Q$22,+BI$4-$AW$4+2,0)</f>
        <v>47834</v>
      </c>
      <c r="BJ113" s="101">
        <f ca="1">VLOOKUP($C113,'Cost RMs'!$B$5:$Q$22,+BJ$4-$AW$4+2,0)</f>
        <v>53622</v>
      </c>
      <c r="BK113" s="101">
        <f ca="1">VLOOKUP($C113,'Cost RMs'!$B$5:$Q$22,+BK$4-$AW$4+2,0)</f>
        <v>60110</v>
      </c>
      <c r="BL113" s="102">
        <f t="shared" si="112"/>
        <v>0</v>
      </c>
      <c r="BM113" s="102">
        <f t="shared" si="113"/>
        <v>0</v>
      </c>
      <c r="BN113" s="102">
        <f t="shared" si="114"/>
        <v>0</v>
      </c>
      <c r="BO113" s="102">
        <f t="shared" si="115"/>
        <v>0</v>
      </c>
      <c r="BP113" s="102">
        <f t="shared" ca="1" si="116"/>
        <v>0</v>
      </c>
      <c r="BQ113" s="102">
        <f t="shared" ca="1" si="117"/>
        <v>0</v>
      </c>
      <c r="BR113" s="102">
        <f t="shared" ca="1" si="118"/>
        <v>69332.74559999998</v>
      </c>
      <c r="BS113" s="102">
        <f t="shared" ca="1" si="119"/>
        <v>155446.40879999998</v>
      </c>
      <c r="BT113" s="102">
        <f t="shared" ca="1" si="120"/>
        <v>174258.06479999996</v>
      </c>
      <c r="BU113" s="102">
        <f t="shared" ca="1" si="121"/>
        <v>195342.07679999995</v>
      </c>
      <c r="BV113" s="102">
        <f t="shared" ca="1" si="122"/>
        <v>218980.33199999997</v>
      </c>
      <c r="BW113" s="102">
        <f t="shared" ca="1" si="123"/>
        <v>245477.72879999995</v>
      </c>
      <c r="BX113" s="102">
        <f t="shared" ca="1" si="124"/>
        <v>275179.43519999995</v>
      </c>
      <c r="BY113" s="102">
        <f t="shared" ca="1" si="125"/>
        <v>308476.64159999992</v>
      </c>
      <c r="BZ113" s="102">
        <f t="shared" ca="1" si="126"/>
        <v>345800.8079999999</v>
      </c>
    </row>
    <row r="114" spans="1:78" x14ac:dyDescent="0.25">
      <c r="A114" s="26" t="str">
        <f>+Assumptions!$A$38</f>
        <v>NPK 10-26-26</v>
      </c>
      <c r="B114" s="73">
        <f>+Assumptions!$R$54</f>
        <v>0.26</v>
      </c>
      <c r="C114" s="59" t="s">
        <v>147</v>
      </c>
      <c r="F114">
        <v>0.16846153846153847</v>
      </c>
      <c r="G114" s="61">
        <f t="shared" si="95"/>
        <v>0.16846153846153847</v>
      </c>
      <c r="H114" s="61">
        <f t="shared" si="127"/>
        <v>0.16846153846153847</v>
      </c>
      <c r="I114" s="61">
        <f t="shared" si="127"/>
        <v>0.16846153846153847</v>
      </c>
      <c r="J114" s="61">
        <f t="shared" si="127"/>
        <v>0.16846153846153847</v>
      </c>
      <c r="K114" s="61">
        <f t="shared" si="127"/>
        <v>0.16846153846153847</v>
      </c>
      <c r="L114" s="61">
        <f t="shared" si="127"/>
        <v>0.16846153846153847</v>
      </c>
      <c r="M114" s="61">
        <f t="shared" si="127"/>
        <v>0.16846153846153847</v>
      </c>
      <c r="N114" s="61">
        <f t="shared" si="127"/>
        <v>0.16846153846153847</v>
      </c>
      <c r="O114" s="61">
        <f t="shared" si="127"/>
        <v>0.16846153846153847</v>
      </c>
      <c r="P114" s="61">
        <f t="shared" si="127"/>
        <v>0.16846153846153847</v>
      </c>
      <c r="Q114" s="61">
        <f t="shared" si="127"/>
        <v>0.16846153846153847</v>
      </c>
      <c r="R114" s="61">
        <f t="shared" si="127"/>
        <v>0.16846153846153847</v>
      </c>
      <c r="S114" s="74">
        <f>VLOOKUP($A114,turnover!$A$184:$Q$192,+S$4-$S$4+3,0)</f>
        <v>0</v>
      </c>
      <c r="T114" s="74">
        <f>VLOOKUP($A114,turnover!$A$184:$Q$192,+T$4-$S$4+3,0)</f>
        <v>0</v>
      </c>
      <c r="U114" s="74">
        <f>VLOOKUP($A114,turnover!$A$184:$Q$192,+U$4-$S$4+3,0)</f>
        <v>0</v>
      </c>
      <c r="V114" s="74">
        <f>VLOOKUP($A114,turnover!$A$184:$Q$192,+V$4-$S$4+3,0)</f>
        <v>0</v>
      </c>
      <c r="W114" s="74">
        <f>VLOOKUP($A114,turnover!$A$184:$Q$192,+W$4-$S$4+3,0)</f>
        <v>0</v>
      </c>
      <c r="X114" s="74">
        <f>VLOOKUP($A114,turnover!$A$184:$Q$192,+X$4-$S$4+3,0)</f>
        <v>0</v>
      </c>
      <c r="Y114" s="74">
        <f>VLOOKUP($A114,turnover!$A$184:$Q$192,+Y$4-$S$4+3,0)</f>
        <v>2.21</v>
      </c>
      <c r="Z114" s="74">
        <f>VLOOKUP($A114,turnover!$A$184:$Q$192,+Z$4-$S$4+3,0)</f>
        <v>4.42</v>
      </c>
      <c r="AA114" s="74">
        <f>VLOOKUP($A114,turnover!$A$184:$Q$192,+AA$4-$S$4+3,0)</f>
        <v>4.42</v>
      </c>
      <c r="AB114" s="74">
        <f>VLOOKUP($A114,turnover!$A$184:$Q$192,+AB$4-$S$4+3,0)</f>
        <v>4.42</v>
      </c>
      <c r="AC114" s="74">
        <f>VLOOKUP($A114,turnover!$A$184:$Q$192,+AC$4-$S$4+3,0)</f>
        <v>4.42</v>
      </c>
      <c r="AD114" s="74">
        <f>VLOOKUP($A114,turnover!$A$184:$Q$192,+AD$4-$S$4+3,0)</f>
        <v>4.42</v>
      </c>
      <c r="AE114" s="74">
        <f>VLOOKUP($A114,turnover!$A$184:$Q$192,+AE$4-$S$4+3,0)</f>
        <v>4.42</v>
      </c>
      <c r="AF114" s="74">
        <f>VLOOKUP($A114,turnover!$A$184:$Q$192,+AF$4-$S$4+3,0)</f>
        <v>4.42</v>
      </c>
      <c r="AG114" s="74">
        <f>VLOOKUP($A114,turnover!$A$184:$Q$192,+AG$4-$S$4+3,0)</f>
        <v>4.42</v>
      </c>
      <c r="AH114" s="61">
        <f t="shared" si="97"/>
        <v>0</v>
      </c>
      <c r="AI114" s="61">
        <f t="shared" si="98"/>
        <v>0</v>
      </c>
      <c r="AJ114" s="61">
        <f t="shared" si="99"/>
        <v>0</v>
      </c>
      <c r="AK114" s="61">
        <f t="shared" si="100"/>
        <v>0</v>
      </c>
      <c r="AL114" s="61">
        <f t="shared" si="101"/>
        <v>0</v>
      </c>
      <c r="AM114" s="61">
        <f t="shared" si="102"/>
        <v>0</v>
      </c>
      <c r="AN114" s="61">
        <f t="shared" si="103"/>
        <v>0.37230000000000002</v>
      </c>
      <c r="AO114" s="61">
        <f t="shared" si="104"/>
        <v>0.74460000000000004</v>
      </c>
      <c r="AP114" s="61">
        <f t="shared" si="105"/>
        <v>0.74460000000000004</v>
      </c>
      <c r="AQ114" s="61">
        <f t="shared" si="106"/>
        <v>0.74460000000000004</v>
      </c>
      <c r="AR114" s="61">
        <f t="shared" si="107"/>
        <v>0.74460000000000004</v>
      </c>
      <c r="AS114" s="61">
        <f t="shared" si="108"/>
        <v>0.74460000000000004</v>
      </c>
      <c r="AT114" s="61">
        <f t="shared" si="109"/>
        <v>0.74460000000000004</v>
      </c>
      <c r="AU114" s="61">
        <f t="shared" si="110"/>
        <v>0.74460000000000004</v>
      </c>
      <c r="AV114" s="61">
        <f t="shared" si="111"/>
        <v>0.74460000000000004</v>
      </c>
      <c r="AW114" s="101">
        <f>VLOOKUP($C114,'Cost RMs'!$B$5:$Q$22,+AW$4-$AW$4+2,0)</f>
        <v>25380</v>
      </c>
      <c r="AX114" s="101">
        <f>VLOOKUP($C114,'Cost RMs'!$B$5:$Q$22,+AX$4-$AW$4+2,0)</f>
        <v>33957</v>
      </c>
      <c r="AY114" s="101">
        <f>VLOOKUP($C114,'Cost RMs'!$B$5:$Q$22,+AY$4-$AW$4+2,0)</f>
        <v>50212</v>
      </c>
      <c r="AZ114" s="101">
        <f>VLOOKUP($C114,'Cost RMs'!$B$5:$Q$22,+AZ$4-$AW$4+2,0)</f>
        <v>63581</v>
      </c>
      <c r="BA114" s="101">
        <f ca="1">VLOOKUP($C114,'Cost RMs'!$B$5:$Q$22,+BA$4-$AW$4+2,0)</f>
        <v>82384</v>
      </c>
      <c r="BB114" s="101">
        <f ca="1">VLOOKUP($C114,'Cost RMs'!$B$5:$Q$22,+BB$4-$AW$4+2,0)</f>
        <v>92262</v>
      </c>
      <c r="BC114" s="101">
        <f ca="1">VLOOKUP($C114,'Cost RMs'!$B$5:$Q$22,+BC$4-$AW$4+2,0)</f>
        <v>103426</v>
      </c>
      <c r="BD114" s="101">
        <f ca="1">VLOOKUP($C114,'Cost RMs'!$B$5:$Q$22,+BD$4-$AW$4+2,0)</f>
        <v>115941</v>
      </c>
      <c r="BE114" s="101">
        <f ca="1">VLOOKUP($C114,'Cost RMs'!$B$5:$Q$22,+BE$4-$AW$4+2,0)</f>
        <v>129970</v>
      </c>
      <c r="BF114" s="101">
        <f ca="1">VLOOKUP($C114,'Cost RMs'!$B$5:$Q$22,+BF$4-$AW$4+2,0)</f>
        <v>145696</v>
      </c>
      <c r="BG114" s="101">
        <f ca="1">VLOOKUP($C114,'Cost RMs'!$B$5:$Q$22,+BG$4-$AW$4+2,0)</f>
        <v>163325</v>
      </c>
      <c r="BH114" s="101">
        <f ca="1">VLOOKUP($C114,'Cost RMs'!$B$5:$Q$22,+BH$4-$AW$4+2,0)</f>
        <v>183087</v>
      </c>
      <c r="BI114" s="101">
        <f ca="1">VLOOKUP($C114,'Cost RMs'!$B$5:$Q$22,+BI$4-$AW$4+2,0)</f>
        <v>205241</v>
      </c>
      <c r="BJ114" s="101">
        <f ca="1">VLOOKUP($C114,'Cost RMs'!$B$5:$Q$22,+BJ$4-$AW$4+2,0)</f>
        <v>230075</v>
      </c>
      <c r="BK114" s="101">
        <f ca="1">VLOOKUP($C114,'Cost RMs'!$B$5:$Q$22,+BK$4-$AW$4+2,0)</f>
        <v>257914</v>
      </c>
      <c r="BL114" s="102">
        <f t="shared" si="112"/>
        <v>0</v>
      </c>
      <c r="BM114" s="102">
        <f t="shared" si="113"/>
        <v>0</v>
      </c>
      <c r="BN114" s="102">
        <f t="shared" si="114"/>
        <v>0</v>
      </c>
      <c r="BO114" s="102">
        <f t="shared" si="115"/>
        <v>0</v>
      </c>
      <c r="BP114" s="102">
        <f t="shared" ca="1" si="116"/>
        <v>0</v>
      </c>
      <c r="BQ114" s="102">
        <f t="shared" ca="1" si="117"/>
        <v>0</v>
      </c>
      <c r="BR114" s="102">
        <f t="shared" ca="1" si="118"/>
        <v>38505.499800000005</v>
      </c>
      <c r="BS114" s="102">
        <f t="shared" ca="1" si="119"/>
        <v>86329.668600000005</v>
      </c>
      <c r="BT114" s="102">
        <f t="shared" ca="1" si="120"/>
        <v>96775.662000000011</v>
      </c>
      <c r="BU114" s="102">
        <f t="shared" ca="1" si="121"/>
        <v>108485.24160000001</v>
      </c>
      <c r="BV114" s="102">
        <f t="shared" ca="1" si="122"/>
        <v>121611.79500000001</v>
      </c>
      <c r="BW114" s="102">
        <f t="shared" ca="1" si="123"/>
        <v>136326.5802</v>
      </c>
      <c r="BX114" s="102">
        <f t="shared" ca="1" si="124"/>
        <v>152822.4486</v>
      </c>
      <c r="BY114" s="102">
        <f t="shared" ca="1" si="125"/>
        <v>171313.845</v>
      </c>
      <c r="BZ114" s="102">
        <f t="shared" ca="1" si="126"/>
        <v>192042.76440000001</v>
      </c>
    </row>
    <row r="115" spans="1:78" x14ac:dyDescent="0.25">
      <c r="A115" s="26" t="str">
        <f>+Assumptions!$A$38</f>
        <v>NPK 10-26-26</v>
      </c>
      <c r="B115" s="73">
        <f>+Assumptions!$R$54</f>
        <v>0.26</v>
      </c>
      <c r="C115" s="59" t="s">
        <v>148</v>
      </c>
      <c r="F115">
        <v>2.538461538461538E-2</v>
      </c>
      <c r="G115" s="61">
        <f t="shared" si="95"/>
        <v>2.538461538461538E-2</v>
      </c>
      <c r="H115" s="61">
        <f t="shared" si="127"/>
        <v>2.538461538461538E-2</v>
      </c>
      <c r="I115" s="61">
        <f t="shared" si="127"/>
        <v>2.538461538461538E-2</v>
      </c>
      <c r="J115" s="61">
        <f t="shared" si="127"/>
        <v>2.538461538461538E-2</v>
      </c>
      <c r="K115" s="61">
        <f t="shared" si="127"/>
        <v>2.538461538461538E-2</v>
      </c>
      <c r="L115" s="61">
        <f t="shared" si="127"/>
        <v>2.538461538461538E-2</v>
      </c>
      <c r="M115" s="61">
        <f t="shared" si="127"/>
        <v>2.538461538461538E-2</v>
      </c>
      <c r="N115" s="61">
        <f t="shared" si="127"/>
        <v>2.538461538461538E-2</v>
      </c>
      <c r="O115" s="61">
        <f t="shared" si="127"/>
        <v>2.538461538461538E-2</v>
      </c>
      <c r="P115" s="61">
        <f t="shared" si="127"/>
        <v>2.538461538461538E-2</v>
      </c>
      <c r="Q115" s="61">
        <f t="shared" si="127"/>
        <v>2.538461538461538E-2</v>
      </c>
      <c r="R115" s="61">
        <f t="shared" si="127"/>
        <v>2.538461538461538E-2</v>
      </c>
      <c r="S115" s="74">
        <f>VLOOKUP($A115,turnover!$A$184:$Q$192,+S$4-$S$4+3,0)</f>
        <v>0</v>
      </c>
      <c r="T115" s="74">
        <f>VLOOKUP($A115,turnover!$A$184:$Q$192,+T$4-$S$4+3,0)</f>
        <v>0</v>
      </c>
      <c r="U115" s="74">
        <f>VLOOKUP($A115,turnover!$A$184:$Q$192,+U$4-$S$4+3,0)</f>
        <v>0</v>
      </c>
      <c r="V115" s="74">
        <f>VLOOKUP($A115,turnover!$A$184:$Q$192,+V$4-$S$4+3,0)</f>
        <v>0</v>
      </c>
      <c r="W115" s="74">
        <f>VLOOKUP($A115,turnover!$A$184:$Q$192,+W$4-$S$4+3,0)</f>
        <v>0</v>
      </c>
      <c r="X115" s="74">
        <f>VLOOKUP($A115,turnover!$A$184:$Q$192,+X$4-$S$4+3,0)</f>
        <v>0</v>
      </c>
      <c r="Y115" s="74">
        <f>VLOOKUP($A115,turnover!$A$184:$Q$192,+Y$4-$S$4+3,0)</f>
        <v>2.21</v>
      </c>
      <c r="Z115" s="74">
        <f>VLOOKUP($A115,turnover!$A$184:$Q$192,+Z$4-$S$4+3,0)</f>
        <v>4.42</v>
      </c>
      <c r="AA115" s="74">
        <f>VLOOKUP($A115,turnover!$A$184:$Q$192,+AA$4-$S$4+3,0)</f>
        <v>4.42</v>
      </c>
      <c r="AB115" s="74">
        <f>VLOOKUP($A115,turnover!$A$184:$Q$192,+AB$4-$S$4+3,0)</f>
        <v>4.42</v>
      </c>
      <c r="AC115" s="74">
        <f>VLOOKUP($A115,turnover!$A$184:$Q$192,+AC$4-$S$4+3,0)</f>
        <v>4.42</v>
      </c>
      <c r="AD115" s="74">
        <f>VLOOKUP($A115,turnover!$A$184:$Q$192,+AD$4-$S$4+3,0)</f>
        <v>4.42</v>
      </c>
      <c r="AE115" s="74">
        <f>VLOOKUP($A115,turnover!$A$184:$Q$192,+AE$4-$S$4+3,0)</f>
        <v>4.42</v>
      </c>
      <c r="AF115" s="74">
        <f>VLOOKUP($A115,turnover!$A$184:$Q$192,+AF$4-$S$4+3,0)</f>
        <v>4.42</v>
      </c>
      <c r="AG115" s="74">
        <f>VLOOKUP($A115,turnover!$A$184:$Q$192,+AG$4-$S$4+3,0)</f>
        <v>4.42</v>
      </c>
      <c r="AH115" s="61">
        <f t="shared" si="97"/>
        <v>0</v>
      </c>
      <c r="AI115" s="61">
        <f t="shared" si="98"/>
        <v>0</v>
      </c>
      <c r="AJ115" s="61">
        <f t="shared" si="99"/>
        <v>0</v>
      </c>
      <c r="AK115" s="61">
        <f t="shared" si="100"/>
        <v>0</v>
      </c>
      <c r="AL115" s="61">
        <f t="shared" si="101"/>
        <v>0</v>
      </c>
      <c r="AM115" s="61">
        <f t="shared" si="102"/>
        <v>0</v>
      </c>
      <c r="AN115" s="61">
        <f t="shared" si="103"/>
        <v>5.609999999999999E-2</v>
      </c>
      <c r="AO115" s="61">
        <f t="shared" si="104"/>
        <v>0.11219999999999998</v>
      </c>
      <c r="AP115" s="61">
        <f t="shared" si="105"/>
        <v>0.11219999999999998</v>
      </c>
      <c r="AQ115" s="61">
        <f t="shared" si="106"/>
        <v>0.11219999999999998</v>
      </c>
      <c r="AR115" s="61">
        <f t="shared" si="107"/>
        <v>0.11219999999999998</v>
      </c>
      <c r="AS115" s="61">
        <f t="shared" si="108"/>
        <v>0.11219999999999998</v>
      </c>
      <c r="AT115" s="61">
        <f t="shared" si="109"/>
        <v>0.11219999999999998</v>
      </c>
      <c r="AU115" s="61">
        <f t="shared" si="110"/>
        <v>0.11219999999999998</v>
      </c>
      <c r="AV115" s="61">
        <f t="shared" si="111"/>
        <v>0.11219999999999998</v>
      </c>
      <c r="AW115" s="101">
        <f>VLOOKUP($C115,'Cost RMs'!$B$5:$Q$22,+AW$4-$AW$4+2,0)</f>
        <v>27439</v>
      </c>
      <c r="AX115" s="101">
        <f>VLOOKUP($C115,'Cost RMs'!$B$5:$Q$22,+AX$4-$AW$4+2,0)</f>
        <v>32275</v>
      </c>
      <c r="AY115" s="101">
        <f>VLOOKUP($C115,'Cost RMs'!$B$5:$Q$22,+AY$4-$AW$4+2,0)</f>
        <v>45664</v>
      </c>
      <c r="AZ115" s="101">
        <f>VLOOKUP($C115,'Cost RMs'!$B$5:$Q$22,+AZ$4-$AW$4+2,0)</f>
        <v>50129</v>
      </c>
      <c r="BA115" s="101">
        <f ca="1">VLOOKUP($C115,'Cost RMs'!$B$5:$Q$22,+BA$4-$AW$4+2,0)</f>
        <v>75490</v>
      </c>
      <c r="BB115" s="101">
        <f ca="1">VLOOKUP($C115,'Cost RMs'!$B$5:$Q$22,+BB$4-$AW$4+2,0)</f>
        <v>84541</v>
      </c>
      <c r="BC115" s="101">
        <f ca="1">VLOOKUP($C115,'Cost RMs'!$B$5:$Q$22,+BC$4-$AW$4+2,0)</f>
        <v>94770</v>
      </c>
      <c r="BD115" s="101">
        <f ca="1">VLOOKUP($C115,'Cost RMs'!$B$5:$Q$22,+BD$4-$AW$4+2,0)</f>
        <v>106237</v>
      </c>
      <c r="BE115" s="101">
        <f ca="1">VLOOKUP($C115,'Cost RMs'!$B$5:$Q$22,+BE$4-$AW$4+2,0)</f>
        <v>119092</v>
      </c>
      <c r="BF115" s="101">
        <f ca="1">VLOOKUP($C115,'Cost RMs'!$B$5:$Q$22,+BF$4-$AW$4+2,0)</f>
        <v>133502</v>
      </c>
      <c r="BG115" s="101">
        <f ca="1">VLOOKUP($C115,'Cost RMs'!$B$5:$Q$22,+BG$4-$AW$4+2,0)</f>
        <v>149656</v>
      </c>
      <c r="BH115" s="101">
        <f ca="1">VLOOKUP($C115,'Cost RMs'!$B$5:$Q$22,+BH$4-$AW$4+2,0)</f>
        <v>167764</v>
      </c>
      <c r="BI115" s="101">
        <f ca="1">VLOOKUP($C115,'Cost RMs'!$B$5:$Q$22,+BI$4-$AW$4+2,0)</f>
        <v>188063</v>
      </c>
      <c r="BJ115" s="101">
        <f ca="1">VLOOKUP($C115,'Cost RMs'!$B$5:$Q$22,+BJ$4-$AW$4+2,0)</f>
        <v>210819</v>
      </c>
      <c r="BK115" s="101">
        <f ca="1">VLOOKUP($C115,'Cost RMs'!$B$5:$Q$22,+BK$4-$AW$4+2,0)</f>
        <v>236328</v>
      </c>
      <c r="BL115" s="102">
        <f t="shared" si="112"/>
        <v>0</v>
      </c>
      <c r="BM115" s="102">
        <f t="shared" si="113"/>
        <v>0</v>
      </c>
      <c r="BN115" s="102">
        <f t="shared" si="114"/>
        <v>0</v>
      </c>
      <c r="BO115" s="102">
        <f t="shared" si="115"/>
        <v>0</v>
      </c>
      <c r="BP115" s="102">
        <f t="shared" ca="1" si="116"/>
        <v>0</v>
      </c>
      <c r="BQ115" s="102">
        <f t="shared" ca="1" si="117"/>
        <v>0</v>
      </c>
      <c r="BR115" s="102">
        <f t="shared" ca="1" si="118"/>
        <v>5316.5969999999988</v>
      </c>
      <c r="BS115" s="102">
        <f t="shared" ca="1" si="119"/>
        <v>11919.791399999998</v>
      </c>
      <c r="BT115" s="102">
        <f t="shared" ca="1" si="120"/>
        <v>13362.122399999998</v>
      </c>
      <c r="BU115" s="102">
        <f t="shared" ca="1" si="121"/>
        <v>14978.924399999998</v>
      </c>
      <c r="BV115" s="102">
        <f t="shared" ca="1" si="122"/>
        <v>16791.403199999997</v>
      </c>
      <c r="BW115" s="102">
        <f t="shared" ca="1" si="123"/>
        <v>18823.120799999997</v>
      </c>
      <c r="BX115" s="102">
        <f t="shared" ca="1" si="124"/>
        <v>21100.668599999997</v>
      </c>
      <c r="BY115" s="102">
        <f t="shared" ca="1" si="125"/>
        <v>23653.891799999998</v>
      </c>
      <c r="BZ115" s="102">
        <f t="shared" ca="1" si="126"/>
        <v>26516.001599999996</v>
      </c>
    </row>
    <row r="116" spans="1:78" x14ac:dyDescent="0.25">
      <c r="A116" s="26" t="str">
        <f>+Assumptions!$A$38</f>
        <v>NPK 10-26-26</v>
      </c>
      <c r="B116" s="73">
        <f>+Assumptions!$R$54</f>
        <v>0.26</v>
      </c>
      <c r="C116" s="59" t="s">
        <v>149</v>
      </c>
      <c r="F116">
        <v>1.2559615384615386</v>
      </c>
      <c r="G116" s="61">
        <f t="shared" si="95"/>
        <v>1.2559615384615386</v>
      </c>
      <c r="H116" s="61">
        <f t="shared" si="127"/>
        <v>1.2559615384615386</v>
      </c>
      <c r="I116" s="61">
        <f t="shared" si="127"/>
        <v>1.2559615384615386</v>
      </c>
      <c r="J116" s="61">
        <f t="shared" si="127"/>
        <v>1.2559615384615386</v>
      </c>
      <c r="K116" s="61">
        <f t="shared" si="127"/>
        <v>1.2559615384615386</v>
      </c>
      <c r="L116" s="61">
        <f t="shared" si="127"/>
        <v>1.2559615384615386</v>
      </c>
      <c r="M116" s="61">
        <f t="shared" si="127"/>
        <v>1.2559615384615386</v>
      </c>
      <c r="N116" s="61">
        <f t="shared" si="127"/>
        <v>1.2559615384615386</v>
      </c>
      <c r="O116" s="61">
        <f t="shared" si="127"/>
        <v>1.2559615384615386</v>
      </c>
      <c r="P116" s="61">
        <f t="shared" si="127"/>
        <v>1.2559615384615386</v>
      </c>
      <c r="Q116" s="61">
        <f t="shared" si="127"/>
        <v>1.2559615384615386</v>
      </c>
      <c r="R116" s="61">
        <f t="shared" si="127"/>
        <v>1.2559615384615386</v>
      </c>
      <c r="S116" s="74">
        <f>VLOOKUP($A116,turnover!$A$184:$Q$192,+S$4-$S$4+3,0)</f>
        <v>0</v>
      </c>
      <c r="T116" s="74">
        <f>VLOOKUP($A116,turnover!$A$184:$Q$192,+T$4-$S$4+3,0)</f>
        <v>0</v>
      </c>
      <c r="U116" s="74">
        <f>VLOOKUP($A116,turnover!$A$184:$Q$192,+U$4-$S$4+3,0)</f>
        <v>0</v>
      </c>
      <c r="V116" s="74">
        <f>VLOOKUP($A116,turnover!$A$184:$Q$192,+V$4-$S$4+3,0)</f>
        <v>0</v>
      </c>
      <c r="W116" s="74">
        <f>VLOOKUP($A116,turnover!$A$184:$Q$192,+W$4-$S$4+3,0)</f>
        <v>0</v>
      </c>
      <c r="X116" s="74">
        <f>VLOOKUP($A116,turnover!$A$184:$Q$192,+X$4-$S$4+3,0)</f>
        <v>0</v>
      </c>
      <c r="Y116" s="74">
        <f>VLOOKUP($A116,turnover!$A$184:$Q$192,+Y$4-$S$4+3,0)</f>
        <v>2.21</v>
      </c>
      <c r="Z116" s="74">
        <f>VLOOKUP($A116,turnover!$A$184:$Q$192,+Z$4-$S$4+3,0)</f>
        <v>4.42</v>
      </c>
      <c r="AA116" s="74">
        <f>VLOOKUP($A116,turnover!$A$184:$Q$192,+AA$4-$S$4+3,0)</f>
        <v>4.42</v>
      </c>
      <c r="AB116" s="74">
        <f>VLOOKUP($A116,turnover!$A$184:$Q$192,+AB$4-$S$4+3,0)</f>
        <v>4.42</v>
      </c>
      <c r="AC116" s="74">
        <f>VLOOKUP($A116,turnover!$A$184:$Q$192,+AC$4-$S$4+3,0)</f>
        <v>4.42</v>
      </c>
      <c r="AD116" s="74">
        <f>VLOOKUP($A116,turnover!$A$184:$Q$192,+AD$4-$S$4+3,0)</f>
        <v>4.42</v>
      </c>
      <c r="AE116" s="74">
        <f>VLOOKUP($A116,turnover!$A$184:$Q$192,+AE$4-$S$4+3,0)</f>
        <v>4.42</v>
      </c>
      <c r="AF116" s="74">
        <f>VLOOKUP($A116,turnover!$A$184:$Q$192,+AF$4-$S$4+3,0)</f>
        <v>4.42</v>
      </c>
      <c r="AG116" s="74">
        <f>VLOOKUP($A116,turnover!$A$184:$Q$192,+AG$4-$S$4+3,0)</f>
        <v>4.42</v>
      </c>
      <c r="AH116" s="61">
        <f t="shared" si="97"/>
        <v>0</v>
      </c>
      <c r="AI116" s="61">
        <f t="shared" si="98"/>
        <v>0</v>
      </c>
      <c r="AJ116" s="61">
        <f t="shared" si="99"/>
        <v>0</v>
      </c>
      <c r="AK116" s="61">
        <f t="shared" si="100"/>
        <v>0</v>
      </c>
      <c r="AL116" s="61">
        <f t="shared" si="101"/>
        <v>0</v>
      </c>
      <c r="AM116" s="61">
        <f t="shared" si="102"/>
        <v>0</v>
      </c>
      <c r="AN116" s="61">
        <f t="shared" si="103"/>
        <v>2.7756750000000001</v>
      </c>
      <c r="AO116" s="61">
        <f t="shared" si="104"/>
        <v>5.5513500000000002</v>
      </c>
      <c r="AP116" s="61">
        <f t="shared" si="105"/>
        <v>5.5513500000000002</v>
      </c>
      <c r="AQ116" s="61">
        <f t="shared" si="106"/>
        <v>5.5513500000000002</v>
      </c>
      <c r="AR116" s="61">
        <f t="shared" si="107"/>
        <v>5.5513500000000002</v>
      </c>
      <c r="AS116" s="61">
        <f t="shared" si="108"/>
        <v>5.5513500000000002</v>
      </c>
      <c r="AT116" s="61">
        <f t="shared" si="109"/>
        <v>5.5513500000000002</v>
      </c>
      <c r="AU116" s="61">
        <f t="shared" si="110"/>
        <v>5.5513500000000002</v>
      </c>
      <c r="AV116" s="61">
        <f t="shared" si="111"/>
        <v>5.5513500000000002</v>
      </c>
      <c r="AW116" s="101">
        <f>VLOOKUP($C116,'Cost RMs'!$B$5:$Q$22,+AW$4-$AW$4+2,0)</f>
        <v>9377</v>
      </c>
      <c r="AX116" s="101">
        <f>VLOOKUP($C116,'Cost RMs'!$B$5:$Q$22,+AX$4-$AW$4+2,0)</f>
        <v>9969</v>
      </c>
      <c r="AY116" s="101">
        <f>VLOOKUP($C116,'Cost RMs'!$B$5:$Q$22,+AY$4-$AW$4+2,0)</f>
        <v>14915</v>
      </c>
      <c r="AZ116" s="101">
        <f>VLOOKUP($C116,'Cost RMs'!$B$5:$Q$22,+AZ$4-$AW$4+2,0)</f>
        <v>16547</v>
      </c>
      <c r="BA116" s="101">
        <f ca="1">VLOOKUP($C116,'Cost RMs'!$B$5:$Q$22,+BA$4-$AW$4+2,0)</f>
        <v>17617</v>
      </c>
      <c r="BB116" s="101">
        <f ca="1">VLOOKUP($C116,'Cost RMs'!$B$5:$Q$22,+BB$4-$AW$4+2,0)</f>
        <v>19729</v>
      </c>
      <c r="BC116" s="101">
        <f ca="1">VLOOKUP($C116,'Cost RMs'!$B$5:$Q$22,+BC$4-$AW$4+2,0)</f>
        <v>22116</v>
      </c>
      <c r="BD116" s="101">
        <f ca="1">VLOOKUP($C116,'Cost RMs'!$B$5:$Q$22,+BD$4-$AW$4+2,0)</f>
        <v>24792</v>
      </c>
      <c r="BE116" s="101">
        <f ca="1">VLOOKUP($C116,'Cost RMs'!$B$5:$Q$22,+BE$4-$AW$4+2,0)</f>
        <v>27792</v>
      </c>
      <c r="BF116" s="101">
        <f ca="1">VLOOKUP($C116,'Cost RMs'!$B$5:$Q$22,+BF$4-$AW$4+2,0)</f>
        <v>31155</v>
      </c>
      <c r="BG116" s="101">
        <f ca="1">VLOOKUP($C116,'Cost RMs'!$B$5:$Q$22,+BG$4-$AW$4+2,0)</f>
        <v>34925</v>
      </c>
      <c r="BH116" s="101">
        <f ca="1">VLOOKUP($C116,'Cost RMs'!$B$5:$Q$22,+BH$4-$AW$4+2,0)</f>
        <v>39151</v>
      </c>
      <c r="BI116" s="101">
        <f ca="1">VLOOKUP($C116,'Cost RMs'!$B$5:$Q$22,+BI$4-$AW$4+2,0)</f>
        <v>43888</v>
      </c>
      <c r="BJ116" s="101">
        <f ca="1">VLOOKUP($C116,'Cost RMs'!$B$5:$Q$22,+BJ$4-$AW$4+2,0)</f>
        <v>49198</v>
      </c>
      <c r="BK116" s="101">
        <f ca="1">VLOOKUP($C116,'Cost RMs'!$B$5:$Q$22,+BK$4-$AW$4+2,0)</f>
        <v>55151</v>
      </c>
      <c r="BL116" s="102">
        <f t="shared" si="112"/>
        <v>0</v>
      </c>
      <c r="BM116" s="102">
        <f t="shared" si="113"/>
        <v>0</v>
      </c>
      <c r="BN116" s="102">
        <f t="shared" si="114"/>
        <v>0</v>
      </c>
      <c r="BO116" s="102">
        <f t="shared" si="115"/>
        <v>0</v>
      </c>
      <c r="BP116" s="102">
        <f t="shared" ca="1" si="116"/>
        <v>0</v>
      </c>
      <c r="BQ116" s="102">
        <f t="shared" ca="1" si="117"/>
        <v>0</v>
      </c>
      <c r="BR116" s="102">
        <f t="shared" ca="1" si="118"/>
        <v>61386.828300000001</v>
      </c>
      <c r="BS116" s="102">
        <f t="shared" ca="1" si="119"/>
        <v>137629.0692</v>
      </c>
      <c r="BT116" s="102">
        <f t="shared" ca="1" si="120"/>
        <v>154283.11920000002</v>
      </c>
      <c r="BU116" s="102">
        <f t="shared" ca="1" si="121"/>
        <v>172952.30925000002</v>
      </c>
      <c r="BV116" s="102">
        <f t="shared" ca="1" si="122"/>
        <v>193880.89875000002</v>
      </c>
      <c r="BW116" s="102">
        <f t="shared" ca="1" si="123"/>
        <v>217340.90385</v>
      </c>
      <c r="BX116" s="102">
        <f t="shared" ca="1" si="124"/>
        <v>243637.64880000002</v>
      </c>
      <c r="BY116" s="102">
        <f t="shared" ca="1" si="125"/>
        <v>273115.3173</v>
      </c>
      <c r="BZ116" s="102">
        <f t="shared" ca="1" si="126"/>
        <v>306162.50385000004</v>
      </c>
    </row>
    <row r="117" spans="1:78" x14ac:dyDescent="0.25">
      <c r="A117" s="26" t="str">
        <f>+Assumptions!$A$38</f>
        <v>NPK 10-26-26</v>
      </c>
      <c r="B117" s="73">
        <f>+Assumptions!$R$54</f>
        <v>0.26</v>
      </c>
      <c r="C117" s="59" t="s">
        <v>546</v>
      </c>
      <c r="F117">
        <v>16.667000000000002</v>
      </c>
      <c r="G117" s="61">
        <f t="shared" si="95"/>
        <v>16.667000000000002</v>
      </c>
      <c r="H117" s="61">
        <f t="shared" si="127"/>
        <v>16.667000000000002</v>
      </c>
      <c r="I117" s="61">
        <f t="shared" si="127"/>
        <v>16.667000000000002</v>
      </c>
      <c r="J117" s="61">
        <f t="shared" si="127"/>
        <v>16.667000000000002</v>
      </c>
      <c r="K117" s="61">
        <f t="shared" si="127"/>
        <v>16.667000000000002</v>
      </c>
      <c r="L117" s="61">
        <f t="shared" si="127"/>
        <v>16.667000000000002</v>
      </c>
      <c r="M117" s="61">
        <f t="shared" si="127"/>
        <v>16.667000000000002</v>
      </c>
      <c r="N117" s="61">
        <f t="shared" si="127"/>
        <v>16.667000000000002</v>
      </c>
      <c r="O117" s="61">
        <f t="shared" si="127"/>
        <v>16.667000000000002</v>
      </c>
      <c r="P117" s="61">
        <f t="shared" si="127"/>
        <v>16.667000000000002</v>
      </c>
      <c r="Q117" s="61">
        <f t="shared" si="127"/>
        <v>16.667000000000002</v>
      </c>
      <c r="R117" s="61">
        <f t="shared" si="127"/>
        <v>16.667000000000002</v>
      </c>
      <c r="S117" s="74">
        <f>VLOOKUP($A117,turnover!$A$184:$Q$192,+S$4-$S$4+3,0)</f>
        <v>0</v>
      </c>
      <c r="T117" s="74">
        <f>VLOOKUP($A117,turnover!$A$184:$Q$192,+T$4-$S$4+3,0)</f>
        <v>0</v>
      </c>
      <c r="U117" s="74">
        <f>VLOOKUP($A117,turnover!$A$184:$Q$192,+U$4-$S$4+3,0)</f>
        <v>0</v>
      </c>
      <c r="V117" s="74">
        <f>VLOOKUP($A117,turnover!$A$184:$Q$192,+V$4-$S$4+3,0)</f>
        <v>0</v>
      </c>
      <c r="W117" s="74">
        <f>VLOOKUP($A117,turnover!$A$184:$Q$192,+W$4-$S$4+3,0)</f>
        <v>0</v>
      </c>
      <c r="X117" s="74">
        <f>VLOOKUP($A117,turnover!$A$184:$Q$192,+X$4-$S$4+3,0)</f>
        <v>0</v>
      </c>
      <c r="Y117" s="74">
        <f>VLOOKUP($A117,turnover!$A$184:$Q$192,+Y$4-$S$4+3,0)</f>
        <v>2.21</v>
      </c>
      <c r="Z117" s="74">
        <f>VLOOKUP($A117,turnover!$A$184:$Q$192,+Z$4-$S$4+3,0)</f>
        <v>4.42</v>
      </c>
      <c r="AA117" s="74">
        <f>VLOOKUP($A117,turnover!$A$184:$Q$192,+AA$4-$S$4+3,0)</f>
        <v>4.42</v>
      </c>
      <c r="AB117" s="74">
        <f>VLOOKUP($A117,turnover!$A$184:$Q$192,+AB$4-$S$4+3,0)</f>
        <v>4.42</v>
      </c>
      <c r="AC117" s="74">
        <f>VLOOKUP($A117,turnover!$A$184:$Q$192,+AC$4-$S$4+3,0)</f>
        <v>4.42</v>
      </c>
      <c r="AD117" s="74">
        <f>VLOOKUP($A117,turnover!$A$184:$Q$192,+AD$4-$S$4+3,0)</f>
        <v>4.42</v>
      </c>
      <c r="AE117" s="74">
        <f>VLOOKUP($A117,turnover!$A$184:$Q$192,+AE$4-$S$4+3,0)</f>
        <v>4.42</v>
      </c>
      <c r="AF117" s="74">
        <f>VLOOKUP($A117,turnover!$A$184:$Q$192,+AF$4-$S$4+3,0)</f>
        <v>4.42</v>
      </c>
      <c r="AG117" s="74">
        <f>VLOOKUP($A117,turnover!$A$184:$Q$192,+AG$4-$S$4+3,0)</f>
        <v>4.42</v>
      </c>
      <c r="AH117" s="61">
        <f t="shared" si="97"/>
        <v>0</v>
      </c>
      <c r="AI117" s="61">
        <f t="shared" si="98"/>
        <v>0</v>
      </c>
      <c r="AJ117" s="61">
        <f t="shared" si="99"/>
        <v>0</v>
      </c>
      <c r="AK117" s="61">
        <f t="shared" si="100"/>
        <v>0</v>
      </c>
      <c r="AL117" s="61">
        <f t="shared" si="101"/>
        <v>0</v>
      </c>
      <c r="AM117" s="61">
        <f t="shared" si="102"/>
        <v>0</v>
      </c>
      <c r="AN117" s="61">
        <f t="shared" si="103"/>
        <v>36.834070000000004</v>
      </c>
      <c r="AO117" s="61">
        <f t="shared" si="104"/>
        <v>73.668140000000008</v>
      </c>
      <c r="AP117" s="61">
        <f t="shared" si="105"/>
        <v>73.668140000000008</v>
      </c>
      <c r="AQ117" s="61">
        <f t="shared" si="106"/>
        <v>73.668140000000008</v>
      </c>
      <c r="AR117" s="61">
        <f t="shared" si="107"/>
        <v>73.668140000000008</v>
      </c>
      <c r="AS117" s="61">
        <f t="shared" si="108"/>
        <v>73.668140000000008</v>
      </c>
      <c r="AT117" s="61">
        <f t="shared" si="109"/>
        <v>73.668140000000008</v>
      </c>
      <c r="AU117" s="61">
        <f t="shared" si="110"/>
        <v>73.668140000000008</v>
      </c>
      <c r="AV117" s="61">
        <f t="shared" si="111"/>
        <v>73.668140000000008</v>
      </c>
      <c r="AW117" s="101">
        <f>VLOOKUP($C117,'Cost RMs'!$B$5:$Q$22,+AW$4-$AW$4+2,0)</f>
        <v>0</v>
      </c>
      <c r="AX117" s="101">
        <f>VLOOKUP($C117,'Cost RMs'!$B$5:$Q$22,+AX$4-$AW$4+2,0)</f>
        <v>0</v>
      </c>
      <c r="AY117" s="101">
        <f>VLOOKUP($C117,'Cost RMs'!$B$5:$Q$22,+AY$4-$AW$4+2,0)</f>
        <v>0</v>
      </c>
      <c r="AZ117" s="101">
        <f>VLOOKUP($C117,'Cost RMs'!$B$5:$Q$22,+AZ$4-$AW$4+2,0)</f>
        <v>0</v>
      </c>
      <c r="BA117" s="101">
        <f>VLOOKUP($C117,'Cost RMs'!$B$5:$Q$22,+BA$4-$AW$4+2,0)</f>
        <v>2835</v>
      </c>
      <c r="BB117" s="101">
        <f>VLOOKUP($C117,'Cost RMs'!$B$5:$Q$22,+BB$4-$AW$4+2,0)</f>
        <v>3175</v>
      </c>
      <c r="BC117" s="101">
        <f>VLOOKUP($C117,'Cost RMs'!$B$5:$Q$22,+BC$4-$AW$4+2,0)</f>
        <v>3559</v>
      </c>
      <c r="BD117" s="101">
        <f>VLOOKUP($C117,'Cost RMs'!$B$5:$Q$22,+BD$4-$AW$4+2,0)</f>
        <v>3990</v>
      </c>
      <c r="BE117" s="101">
        <f>VLOOKUP($C117,'Cost RMs'!$B$5:$Q$22,+BE$4-$AW$4+2,0)</f>
        <v>4473</v>
      </c>
      <c r="BF117" s="101">
        <f>VLOOKUP($C117,'Cost RMs'!$B$5:$Q$22,+BF$4-$AW$4+2,0)</f>
        <v>5014</v>
      </c>
      <c r="BG117" s="101">
        <f>VLOOKUP($C117,'Cost RMs'!$B$5:$Q$22,+BG$4-$AW$4+2,0)</f>
        <v>5621</v>
      </c>
      <c r="BH117" s="101">
        <f>VLOOKUP($C117,'Cost RMs'!$B$5:$Q$22,+BH$4-$AW$4+2,0)</f>
        <v>6301</v>
      </c>
      <c r="BI117" s="101">
        <f>VLOOKUP($C117,'Cost RMs'!$B$5:$Q$22,+BI$4-$AW$4+2,0)</f>
        <v>7063</v>
      </c>
      <c r="BJ117" s="101">
        <f>VLOOKUP($C117,'Cost RMs'!$B$5:$Q$22,+BJ$4-$AW$4+2,0)</f>
        <v>7918</v>
      </c>
      <c r="BK117" s="101">
        <f>VLOOKUP($C117,'Cost RMs'!$B$5:$Q$22,+BK$4-$AW$4+2,0)</f>
        <v>8876</v>
      </c>
      <c r="BL117" s="102">
        <f t="shared" si="112"/>
        <v>0</v>
      </c>
      <c r="BM117" s="102">
        <f t="shared" si="113"/>
        <v>0</v>
      </c>
      <c r="BN117" s="102">
        <f t="shared" si="114"/>
        <v>0</v>
      </c>
      <c r="BO117" s="102">
        <f t="shared" si="115"/>
        <v>0</v>
      </c>
      <c r="BP117" s="102">
        <f t="shared" si="116"/>
        <v>0</v>
      </c>
      <c r="BQ117" s="102">
        <f t="shared" si="117"/>
        <v>0</v>
      </c>
      <c r="BR117" s="102">
        <f t="shared" si="118"/>
        <v>131092.45513000002</v>
      </c>
      <c r="BS117" s="102">
        <f t="shared" si="119"/>
        <v>293935.87860000005</v>
      </c>
      <c r="BT117" s="102">
        <f t="shared" si="120"/>
        <v>329517.59022000001</v>
      </c>
      <c r="BU117" s="102">
        <f t="shared" si="121"/>
        <v>369372.05396000005</v>
      </c>
      <c r="BV117" s="102">
        <f t="shared" si="122"/>
        <v>414088.61494000006</v>
      </c>
      <c r="BW117" s="102">
        <f t="shared" si="123"/>
        <v>464182.95014000003</v>
      </c>
      <c r="BX117" s="102">
        <f t="shared" si="124"/>
        <v>520318.07282000006</v>
      </c>
      <c r="BY117" s="102">
        <f t="shared" si="125"/>
        <v>583304.33252000005</v>
      </c>
      <c r="BZ117" s="102">
        <f t="shared" si="126"/>
        <v>653878.41064000002</v>
      </c>
    </row>
    <row r="118" spans="1:78" x14ac:dyDescent="0.25">
      <c r="A118" s="26" t="str">
        <f>+Assumptions!$A$38</f>
        <v>NPK 10-26-26</v>
      </c>
      <c r="B118" s="73">
        <f>+Assumptions!$R$54</f>
        <v>0.26</v>
      </c>
      <c r="C118" s="59" t="s">
        <v>547</v>
      </c>
      <c r="F118">
        <v>1.9228846153846155</v>
      </c>
      <c r="G118" s="61">
        <f t="shared" si="95"/>
        <v>1.9228846153846155</v>
      </c>
      <c r="H118" s="61">
        <f t="shared" si="127"/>
        <v>1.9228846153846155</v>
      </c>
      <c r="I118" s="61">
        <f t="shared" si="127"/>
        <v>1.9228846153846155</v>
      </c>
      <c r="J118" s="61">
        <f t="shared" si="127"/>
        <v>1.9228846153846155</v>
      </c>
      <c r="K118" s="61">
        <f t="shared" si="127"/>
        <v>1.9228846153846155</v>
      </c>
      <c r="L118" s="61">
        <f t="shared" si="127"/>
        <v>1.9228846153846155</v>
      </c>
      <c r="M118" s="61">
        <f t="shared" si="127"/>
        <v>1.9228846153846155</v>
      </c>
      <c r="N118" s="61">
        <f t="shared" si="127"/>
        <v>1.9228846153846155</v>
      </c>
      <c r="O118" s="61">
        <f t="shared" si="127"/>
        <v>1.9228846153846155</v>
      </c>
      <c r="P118" s="61">
        <f t="shared" si="127"/>
        <v>1.9228846153846155</v>
      </c>
      <c r="Q118" s="61">
        <f t="shared" si="127"/>
        <v>1.9228846153846155</v>
      </c>
      <c r="R118" s="61">
        <f t="shared" si="127"/>
        <v>1.9228846153846155</v>
      </c>
      <c r="S118" s="74">
        <f>VLOOKUP($A118,turnover!$A$184:$Q$192,+S$4-$S$4+3,0)</f>
        <v>0</v>
      </c>
      <c r="T118" s="74">
        <f>VLOOKUP($A118,turnover!$A$184:$Q$192,+T$4-$S$4+3,0)</f>
        <v>0</v>
      </c>
      <c r="U118" s="74">
        <f>VLOOKUP($A118,turnover!$A$184:$Q$192,+U$4-$S$4+3,0)</f>
        <v>0</v>
      </c>
      <c r="V118" s="74">
        <f>VLOOKUP($A118,turnover!$A$184:$Q$192,+V$4-$S$4+3,0)</f>
        <v>0</v>
      </c>
      <c r="W118" s="74">
        <f>VLOOKUP($A118,turnover!$A$184:$Q$192,+W$4-$S$4+3,0)</f>
        <v>0</v>
      </c>
      <c r="X118" s="74">
        <f>VLOOKUP($A118,turnover!$A$184:$Q$192,+X$4-$S$4+3,0)</f>
        <v>0</v>
      </c>
      <c r="Y118" s="74">
        <f>VLOOKUP($A118,turnover!$A$184:$Q$192,+Y$4-$S$4+3,0)</f>
        <v>2.21</v>
      </c>
      <c r="Z118" s="74">
        <f>VLOOKUP($A118,turnover!$A$184:$Q$192,+Z$4-$S$4+3,0)</f>
        <v>4.42</v>
      </c>
      <c r="AA118" s="74">
        <f>VLOOKUP($A118,turnover!$A$184:$Q$192,+AA$4-$S$4+3,0)</f>
        <v>4.42</v>
      </c>
      <c r="AB118" s="74">
        <f>VLOOKUP($A118,turnover!$A$184:$Q$192,+AB$4-$S$4+3,0)</f>
        <v>4.42</v>
      </c>
      <c r="AC118" s="74">
        <f>VLOOKUP($A118,turnover!$A$184:$Q$192,+AC$4-$S$4+3,0)</f>
        <v>4.42</v>
      </c>
      <c r="AD118" s="74">
        <f>VLOOKUP($A118,turnover!$A$184:$Q$192,+AD$4-$S$4+3,0)</f>
        <v>4.42</v>
      </c>
      <c r="AE118" s="74">
        <f>VLOOKUP($A118,turnover!$A$184:$Q$192,+AE$4-$S$4+3,0)</f>
        <v>4.42</v>
      </c>
      <c r="AF118" s="74">
        <f>VLOOKUP($A118,turnover!$A$184:$Q$192,+AF$4-$S$4+3,0)</f>
        <v>4.42</v>
      </c>
      <c r="AG118" s="74">
        <f>VLOOKUP($A118,turnover!$A$184:$Q$192,+AG$4-$S$4+3,0)</f>
        <v>4.42</v>
      </c>
      <c r="AH118" s="61">
        <f t="shared" si="97"/>
        <v>0</v>
      </c>
      <c r="AI118" s="61">
        <f t="shared" si="98"/>
        <v>0</v>
      </c>
      <c r="AJ118" s="61">
        <f t="shared" si="99"/>
        <v>0</v>
      </c>
      <c r="AK118" s="61">
        <f t="shared" si="100"/>
        <v>0</v>
      </c>
      <c r="AL118" s="61">
        <f t="shared" si="101"/>
        <v>0</v>
      </c>
      <c r="AM118" s="61">
        <f t="shared" si="102"/>
        <v>0</v>
      </c>
      <c r="AN118" s="61">
        <f t="shared" si="103"/>
        <v>4.2495750000000001</v>
      </c>
      <c r="AO118" s="61">
        <f t="shared" si="104"/>
        <v>8.4991500000000002</v>
      </c>
      <c r="AP118" s="61">
        <f t="shared" si="105"/>
        <v>8.4991500000000002</v>
      </c>
      <c r="AQ118" s="61">
        <f t="shared" si="106"/>
        <v>8.4991500000000002</v>
      </c>
      <c r="AR118" s="61">
        <f t="shared" si="107"/>
        <v>8.4991500000000002</v>
      </c>
      <c r="AS118" s="61">
        <f t="shared" si="108"/>
        <v>8.4991500000000002</v>
      </c>
      <c r="AT118" s="61">
        <f t="shared" si="109"/>
        <v>8.4991500000000002</v>
      </c>
      <c r="AU118" s="61">
        <f t="shared" si="110"/>
        <v>8.4991500000000002</v>
      </c>
      <c r="AV118" s="61">
        <f t="shared" si="111"/>
        <v>8.4991500000000002</v>
      </c>
      <c r="AW118" s="101">
        <f>VLOOKUP($C118,'Cost RMs'!$B$5:$Q$22,+AW$4-$AW$4+2,0)</f>
        <v>0</v>
      </c>
      <c r="AX118" s="101">
        <f>VLOOKUP($C118,'Cost RMs'!$B$5:$Q$22,+AX$4-$AW$4+2,0)</f>
        <v>0</v>
      </c>
      <c r="AY118" s="101">
        <f>VLOOKUP($C118,'Cost RMs'!$B$5:$Q$22,+AY$4-$AW$4+2,0)</f>
        <v>0</v>
      </c>
      <c r="AZ118" s="101">
        <f>VLOOKUP($C118,'Cost RMs'!$B$5:$Q$22,+AZ$4-$AW$4+2,0)</f>
        <v>0</v>
      </c>
      <c r="BA118" s="101">
        <f>VLOOKUP($C118,'Cost RMs'!$B$5:$Q$22,+BA$4-$AW$4+2,0)</f>
        <v>3780</v>
      </c>
      <c r="BB118" s="101">
        <f>VLOOKUP($C118,'Cost RMs'!$B$5:$Q$22,+BB$4-$AW$4+2,0)</f>
        <v>4233</v>
      </c>
      <c r="BC118" s="101">
        <f>VLOOKUP($C118,'Cost RMs'!$B$5:$Q$22,+BC$4-$AW$4+2,0)</f>
        <v>4745</v>
      </c>
      <c r="BD118" s="101">
        <f>VLOOKUP($C118,'Cost RMs'!$B$5:$Q$22,+BD$4-$AW$4+2,0)</f>
        <v>5319</v>
      </c>
      <c r="BE118" s="101">
        <f>VLOOKUP($C118,'Cost RMs'!$B$5:$Q$22,+BE$4-$AW$4+2,0)</f>
        <v>5963</v>
      </c>
      <c r="BF118" s="101">
        <f>VLOOKUP($C118,'Cost RMs'!$B$5:$Q$22,+BF$4-$AW$4+2,0)</f>
        <v>6685</v>
      </c>
      <c r="BG118" s="101">
        <f>VLOOKUP($C118,'Cost RMs'!$B$5:$Q$22,+BG$4-$AW$4+2,0)</f>
        <v>7494</v>
      </c>
      <c r="BH118" s="101">
        <f>VLOOKUP($C118,'Cost RMs'!$B$5:$Q$22,+BH$4-$AW$4+2,0)</f>
        <v>8401</v>
      </c>
      <c r="BI118" s="101">
        <f>VLOOKUP($C118,'Cost RMs'!$B$5:$Q$22,+BI$4-$AW$4+2,0)</f>
        <v>9418</v>
      </c>
      <c r="BJ118" s="101">
        <f>VLOOKUP($C118,'Cost RMs'!$B$5:$Q$22,+BJ$4-$AW$4+2,0)</f>
        <v>10558</v>
      </c>
      <c r="BK118" s="101">
        <f>VLOOKUP($C118,'Cost RMs'!$B$5:$Q$22,+BK$4-$AW$4+2,0)</f>
        <v>11836</v>
      </c>
      <c r="BL118" s="102">
        <f t="shared" si="112"/>
        <v>0</v>
      </c>
      <c r="BM118" s="102">
        <f t="shared" si="113"/>
        <v>0</v>
      </c>
      <c r="BN118" s="102">
        <f t="shared" si="114"/>
        <v>0</v>
      </c>
      <c r="BO118" s="102">
        <f t="shared" si="115"/>
        <v>0</v>
      </c>
      <c r="BP118" s="102">
        <f t="shared" si="116"/>
        <v>0</v>
      </c>
      <c r="BQ118" s="102">
        <f t="shared" si="117"/>
        <v>0</v>
      </c>
      <c r="BR118" s="102">
        <f t="shared" si="118"/>
        <v>20164.233375</v>
      </c>
      <c r="BS118" s="102">
        <f t="shared" si="119"/>
        <v>45206.97885</v>
      </c>
      <c r="BT118" s="102">
        <f t="shared" si="120"/>
        <v>50680.431450000004</v>
      </c>
      <c r="BU118" s="102">
        <f t="shared" si="121"/>
        <v>56816.817750000002</v>
      </c>
      <c r="BV118" s="102">
        <f t="shared" si="122"/>
        <v>63692.630100000002</v>
      </c>
      <c r="BW118" s="102">
        <f t="shared" si="123"/>
        <v>71401.359150000004</v>
      </c>
      <c r="BX118" s="102">
        <f t="shared" si="124"/>
        <v>80044.994699999996</v>
      </c>
      <c r="BY118" s="102">
        <f t="shared" si="125"/>
        <v>89734.025699999998</v>
      </c>
      <c r="BZ118" s="102">
        <f t="shared" si="126"/>
        <v>100595.9394</v>
      </c>
    </row>
    <row r="119" spans="1:78" x14ac:dyDescent="0.25">
      <c r="A119" s="26" t="str">
        <f>+Assumptions!$A$39</f>
        <v>NPK 10-20-20</v>
      </c>
      <c r="B119" s="73">
        <f>+Assumptions!$R$55</f>
        <v>0.2</v>
      </c>
      <c r="C119" t="s">
        <v>123</v>
      </c>
      <c r="F119">
        <v>0.62</v>
      </c>
      <c r="G119" s="61">
        <f t="shared" si="95"/>
        <v>0.62</v>
      </c>
      <c r="H119" s="61">
        <f t="shared" ref="H119:R134" si="128">G119</f>
        <v>0.62</v>
      </c>
      <c r="I119" s="61">
        <f t="shared" si="128"/>
        <v>0.62</v>
      </c>
      <c r="J119" s="61">
        <f t="shared" si="128"/>
        <v>0.62</v>
      </c>
      <c r="K119" s="61">
        <f t="shared" si="128"/>
        <v>0.62</v>
      </c>
      <c r="L119" s="61">
        <f t="shared" si="128"/>
        <v>0.62</v>
      </c>
      <c r="M119" s="61">
        <f t="shared" si="128"/>
        <v>0.62</v>
      </c>
      <c r="N119" s="61">
        <f t="shared" si="128"/>
        <v>0.62</v>
      </c>
      <c r="O119" s="61">
        <f t="shared" si="128"/>
        <v>0.62</v>
      </c>
      <c r="P119" s="61">
        <f t="shared" si="128"/>
        <v>0.62</v>
      </c>
      <c r="Q119" s="61">
        <f t="shared" si="128"/>
        <v>0.62</v>
      </c>
      <c r="R119" s="61">
        <f t="shared" si="128"/>
        <v>0.62</v>
      </c>
      <c r="S119" s="74">
        <f>VLOOKUP($A119,turnover!$A$184:$Q$192,+S$4-$S$4+3,0)</f>
        <v>0</v>
      </c>
      <c r="T119" s="74">
        <f>VLOOKUP($A119,turnover!$A$184:$Q$192,+T$4-$S$4+3,0)</f>
        <v>0</v>
      </c>
      <c r="U119" s="74">
        <f>VLOOKUP($A119,turnover!$A$184:$Q$192,+U$4-$S$4+3,0)</f>
        <v>0</v>
      </c>
      <c r="V119" s="74">
        <f>VLOOKUP($A119,turnover!$A$184:$Q$192,+V$4-$S$4+3,0)</f>
        <v>0</v>
      </c>
      <c r="W119" s="74">
        <f>VLOOKUP($A119,turnover!$A$184:$Q$192,+W$4-$S$4+3,0)</f>
        <v>0</v>
      </c>
      <c r="X119" s="74">
        <f>VLOOKUP($A119,turnover!$A$184:$Q$192,+X$4-$S$4+3,0)</f>
        <v>0</v>
      </c>
      <c r="Y119" s="74">
        <f>VLOOKUP($A119,turnover!$A$184:$Q$192,+Y$4-$S$4+3,0)</f>
        <v>0.90000000000000024</v>
      </c>
      <c r="Z119" s="74">
        <f>VLOOKUP($A119,turnover!$A$184:$Q$192,+Z$4-$S$4+3,0)</f>
        <v>1.8000000000000005</v>
      </c>
      <c r="AA119" s="74">
        <f>VLOOKUP($A119,turnover!$A$184:$Q$192,+AA$4-$S$4+3,0)</f>
        <v>1.8000000000000005</v>
      </c>
      <c r="AB119" s="74">
        <f>VLOOKUP($A119,turnover!$A$184:$Q$192,+AB$4-$S$4+3,0)</f>
        <v>1.8000000000000005</v>
      </c>
      <c r="AC119" s="74">
        <f>VLOOKUP($A119,turnover!$A$184:$Q$192,+AC$4-$S$4+3,0)</f>
        <v>1.8000000000000005</v>
      </c>
      <c r="AD119" s="74">
        <f>VLOOKUP($A119,turnover!$A$184:$Q$192,+AD$4-$S$4+3,0)</f>
        <v>1.8000000000000005</v>
      </c>
      <c r="AE119" s="74">
        <f>VLOOKUP($A119,turnover!$A$184:$Q$192,+AE$4-$S$4+3,0)</f>
        <v>1.8000000000000005</v>
      </c>
      <c r="AF119" s="74">
        <f>VLOOKUP($A119,turnover!$A$184:$Q$192,+AF$4-$S$4+3,0)</f>
        <v>1.8000000000000005</v>
      </c>
      <c r="AG119" s="74">
        <f>VLOOKUP($A119,turnover!$A$184:$Q$192,+AG$4-$S$4+3,0)</f>
        <v>1.8000000000000005</v>
      </c>
      <c r="AH119" s="61">
        <f t="shared" si="97"/>
        <v>0</v>
      </c>
      <c r="AI119" s="61">
        <f t="shared" si="98"/>
        <v>0</v>
      </c>
      <c r="AJ119" s="61">
        <f t="shared" si="99"/>
        <v>0</v>
      </c>
      <c r="AK119" s="61">
        <f t="shared" si="100"/>
        <v>0</v>
      </c>
      <c r="AL119" s="61">
        <f t="shared" si="101"/>
        <v>0</v>
      </c>
      <c r="AM119" s="61">
        <f t="shared" si="102"/>
        <v>0</v>
      </c>
      <c r="AN119" s="61">
        <f t="shared" si="103"/>
        <v>0.55800000000000016</v>
      </c>
      <c r="AO119" s="61">
        <f t="shared" si="104"/>
        <v>1.1160000000000003</v>
      </c>
      <c r="AP119" s="61">
        <f t="shared" si="105"/>
        <v>1.1160000000000003</v>
      </c>
      <c r="AQ119" s="61">
        <f t="shared" si="106"/>
        <v>1.1160000000000003</v>
      </c>
      <c r="AR119" s="61">
        <f t="shared" si="107"/>
        <v>1.1160000000000003</v>
      </c>
      <c r="AS119" s="61">
        <f t="shared" si="108"/>
        <v>1.1160000000000003</v>
      </c>
      <c r="AT119" s="61">
        <f t="shared" si="109"/>
        <v>1.1160000000000003</v>
      </c>
      <c r="AU119" s="61">
        <f t="shared" si="110"/>
        <v>1.1160000000000003</v>
      </c>
      <c r="AV119" s="61">
        <f t="shared" si="111"/>
        <v>1.1160000000000003</v>
      </c>
      <c r="AW119" s="101">
        <f>VLOOKUP($C119,'Cost RMs'!$B$5:$Q$22,+AW$4-$AW$4+2,0)</f>
        <v>191127</v>
      </c>
      <c r="AX119" s="101">
        <f>VLOOKUP($C119,'Cost RMs'!$B$5:$Q$22,+AX$4-$AW$4+2,0)</f>
        <v>196602</v>
      </c>
      <c r="AY119" s="101">
        <f>VLOOKUP($C119,'Cost RMs'!$B$5:$Q$22,+AY$4-$AW$4+2,0)</f>
        <v>209999</v>
      </c>
      <c r="AZ119" s="101">
        <f>VLOOKUP($C119,'Cost RMs'!$B$5:$Q$22,+AZ$4-$AW$4+2,0)</f>
        <v>266286</v>
      </c>
      <c r="BA119" s="101">
        <f>VLOOKUP($C119,'Cost RMs'!$B$5:$Q$22,+BA$4-$AW$4+2,0)</f>
        <v>275187</v>
      </c>
      <c r="BB119" s="101">
        <f>VLOOKUP($C119,'Cost RMs'!$B$5:$Q$22,+BB$4-$AW$4+2,0)</f>
        <v>308182</v>
      </c>
      <c r="BC119" s="101">
        <f>VLOOKUP($C119,'Cost RMs'!$B$5:$Q$22,+BC$4-$AW$4+2,0)</f>
        <v>345472</v>
      </c>
      <c r="BD119" s="101">
        <f>VLOOKUP($C119,'Cost RMs'!$B$5:$Q$22,+BD$4-$AW$4+2,0)</f>
        <v>387274</v>
      </c>
      <c r="BE119" s="101">
        <f>VLOOKUP($C119,'Cost RMs'!$B$5:$Q$22,+BE$4-$AW$4+2,0)</f>
        <v>434134</v>
      </c>
      <c r="BF119" s="101">
        <f>VLOOKUP($C119,'Cost RMs'!$B$5:$Q$22,+BF$4-$AW$4+2,0)</f>
        <v>486664</v>
      </c>
      <c r="BG119" s="101">
        <f>VLOOKUP($C119,'Cost RMs'!$B$5:$Q$22,+BG$4-$AW$4+2,0)</f>
        <v>545550</v>
      </c>
      <c r="BH119" s="101">
        <f>VLOOKUP($C119,'Cost RMs'!$B$5:$Q$22,+BH$4-$AW$4+2,0)</f>
        <v>611562</v>
      </c>
      <c r="BI119" s="101">
        <f>VLOOKUP($C119,'Cost RMs'!$B$5:$Q$22,+BI$4-$AW$4+2,0)</f>
        <v>685561</v>
      </c>
      <c r="BJ119" s="101">
        <f>VLOOKUP($C119,'Cost RMs'!$B$5:$Q$22,+BJ$4-$AW$4+2,0)</f>
        <v>768514</v>
      </c>
      <c r="BK119" s="101">
        <f>VLOOKUP($C119,'Cost RMs'!$B$5:$Q$22,+BK$4-$AW$4+2,0)</f>
        <v>861504</v>
      </c>
      <c r="BL119" s="102">
        <f t="shared" si="112"/>
        <v>0</v>
      </c>
      <c r="BM119" s="102">
        <f t="shared" si="113"/>
        <v>0</v>
      </c>
      <c r="BN119" s="102">
        <f t="shared" si="114"/>
        <v>0</v>
      </c>
      <c r="BO119" s="102">
        <f t="shared" si="115"/>
        <v>0</v>
      </c>
      <c r="BP119" s="102">
        <f t="shared" si="116"/>
        <v>0</v>
      </c>
      <c r="BQ119" s="102">
        <f t="shared" si="117"/>
        <v>0</v>
      </c>
      <c r="BR119" s="102">
        <f t="shared" si="118"/>
        <v>192773.37600000005</v>
      </c>
      <c r="BS119" s="102">
        <f t="shared" si="119"/>
        <v>432197.7840000001</v>
      </c>
      <c r="BT119" s="102">
        <f t="shared" si="120"/>
        <v>484493.54400000017</v>
      </c>
      <c r="BU119" s="102">
        <f t="shared" si="121"/>
        <v>543117.02400000021</v>
      </c>
      <c r="BV119" s="102">
        <f t="shared" si="122"/>
        <v>608833.80000000016</v>
      </c>
      <c r="BW119" s="102">
        <f t="shared" si="123"/>
        <v>682503.19200000016</v>
      </c>
      <c r="BX119" s="102">
        <f t="shared" si="124"/>
        <v>765086.07600000023</v>
      </c>
      <c r="BY119" s="102">
        <f t="shared" si="125"/>
        <v>857661.6240000003</v>
      </c>
      <c r="BZ119" s="102">
        <f t="shared" si="126"/>
        <v>961438.46400000027</v>
      </c>
    </row>
    <row r="120" spans="1:78" x14ac:dyDescent="0.25">
      <c r="A120" s="26" t="str">
        <f>+Assumptions!$A$39</f>
        <v>NPK 10-20-20</v>
      </c>
      <c r="B120" s="73">
        <f>+Assumptions!$R$55</f>
        <v>0.2</v>
      </c>
      <c r="C120" t="s">
        <v>124</v>
      </c>
      <c r="F120">
        <v>1.21</v>
      </c>
      <c r="G120" s="61">
        <f t="shared" si="95"/>
        <v>1.21</v>
      </c>
      <c r="H120" s="61">
        <f t="shared" si="128"/>
        <v>1.21</v>
      </c>
      <c r="I120" s="61">
        <f t="shared" si="128"/>
        <v>1.21</v>
      </c>
      <c r="J120" s="61">
        <f t="shared" si="128"/>
        <v>1.21</v>
      </c>
      <c r="K120" s="61">
        <f t="shared" si="128"/>
        <v>1.21</v>
      </c>
      <c r="L120" s="61">
        <f t="shared" si="128"/>
        <v>1.21</v>
      </c>
      <c r="M120" s="61">
        <f t="shared" si="128"/>
        <v>1.21</v>
      </c>
      <c r="N120" s="61">
        <f t="shared" si="128"/>
        <v>1.21</v>
      </c>
      <c r="O120" s="61">
        <f t="shared" si="128"/>
        <v>1.21</v>
      </c>
      <c r="P120" s="61">
        <f t="shared" si="128"/>
        <v>1.21</v>
      </c>
      <c r="Q120" s="61">
        <f t="shared" si="128"/>
        <v>1.21</v>
      </c>
      <c r="R120" s="61">
        <f t="shared" si="128"/>
        <v>1.21</v>
      </c>
      <c r="S120" s="74">
        <f>VLOOKUP($A120,turnover!$A$184:$Q$192,+S$4-$S$4+3,0)</f>
        <v>0</v>
      </c>
      <c r="T120" s="74">
        <f>VLOOKUP($A120,turnover!$A$184:$Q$192,+T$4-$S$4+3,0)</f>
        <v>0</v>
      </c>
      <c r="U120" s="74">
        <f>VLOOKUP($A120,turnover!$A$184:$Q$192,+U$4-$S$4+3,0)</f>
        <v>0</v>
      </c>
      <c r="V120" s="74">
        <f>VLOOKUP($A120,turnover!$A$184:$Q$192,+V$4-$S$4+3,0)</f>
        <v>0</v>
      </c>
      <c r="W120" s="74">
        <f>VLOOKUP($A120,turnover!$A$184:$Q$192,+W$4-$S$4+3,0)</f>
        <v>0</v>
      </c>
      <c r="X120" s="74">
        <f>VLOOKUP($A120,turnover!$A$184:$Q$192,+X$4-$S$4+3,0)</f>
        <v>0</v>
      </c>
      <c r="Y120" s="74">
        <f>VLOOKUP($A120,turnover!$A$184:$Q$192,+Y$4-$S$4+3,0)</f>
        <v>0.90000000000000024</v>
      </c>
      <c r="Z120" s="74">
        <f>VLOOKUP($A120,turnover!$A$184:$Q$192,+Z$4-$S$4+3,0)</f>
        <v>1.8000000000000005</v>
      </c>
      <c r="AA120" s="74">
        <f>VLOOKUP($A120,turnover!$A$184:$Q$192,+AA$4-$S$4+3,0)</f>
        <v>1.8000000000000005</v>
      </c>
      <c r="AB120" s="74">
        <f>VLOOKUP($A120,turnover!$A$184:$Q$192,+AB$4-$S$4+3,0)</f>
        <v>1.8000000000000005</v>
      </c>
      <c r="AC120" s="74">
        <f>VLOOKUP($A120,turnover!$A$184:$Q$192,+AC$4-$S$4+3,0)</f>
        <v>1.8000000000000005</v>
      </c>
      <c r="AD120" s="74">
        <f>VLOOKUP($A120,turnover!$A$184:$Q$192,+AD$4-$S$4+3,0)</f>
        <v>1.8000000000000005</v>
      </c>
      <c r="AE120" s="74">
        <f>VLOOKUP($A120,turnover!$A$184:$Q$192,+AE$4-$S$4+3,0)</f>
        <v>1.8000000000000005</v>
      </c>
      <c r="AF120" s="74">
        <f>VLOOKUP($A120,turnover!$A$184:$Q$192,+AF$4-$S$4+3,0)</f>
        <v>1.8000000000000005</v>
      </c>
      <c r="AG120" s="74">
        <f>VLOOKUP($A120,turnover!$A$184:$Q$192,+AG$4-$S$4+3,0)</f>
        <v>1.8000000000000005</v>
      </c>
      <c r="AH120" s="61">
        <f t="shared" si="97"/>
        <v>0</v>
      </c>
      <c r="AI120" s="61">
        <f t="shared" si="98"/>
        <v>0</v>
      </c>
      <c r="AJ120" s="61">
        <f t="shared" si="99"/>
        <v>0</v>
      </c>
      <c r="AK120" s="61">
        <f t="shared" si="100"/>
        <v>0</v>
      </c>
      <c r="AL120" s="61">
        <f t="shared" si="101"/>
        <v>0</v>
      </c>
      <c r="AM120" s="61">
        <f t="shared" si="102"/>
        <v>0</v>
      </c>
      <c r="AN120" s="61">
        <f t="shared" si="103"/>
        <v>1.0890000000000002</v>
      </c>
      <c r="AO120" s="61">
        <f t="shared" si="104"/>
        <v>2.1780000000000004</v>
      </c>
      <c r="AP120" s="61">
        <f t="shared" si="105"/>
        <v>2.1780000000000004</v>
      </c>
      <c r="AQ120" s="61">
        <f t="shared" si="106"/>
        <v>2.1780000000000004</v>
      </c>
      <c r="AR120" s="61">
        <f t="shared" si="107"/>
        <v>2.1780000000000004</v>
      </c>
      <c r="AS120" s="61">
        <f t="shared" si="108"/>
        <v>2.1780000000000004</v>
      </c>
      <c r="AT120" s="61">
        <f t="shared" si="109"/>
        <v>2.1780000000000004</v>
      </c>
      <c r="AU120" s="61">
        <f t="shared" si="110"/>
        <v>2.1780000000000004</v>
      </c>
      <c r="AV120" s="61">
        <f t="shared" si="111"/>
        <v>2.1780000000000004</v>
      </c>
      <c r="AW120" s="101">
        <f>VLOOKUP($C120,'Cost RMs'!$B$5:$Q$22,+AW$4-$AW$4+2,0)</f>
        <v>235089</v>
      </c>
      <c r="AX120" s="101">
        <f>VLOOKUP($C120,'Cost RMs'!$B$5:$Q$22,+AX$4-$AW$4+2,0)</f>
        <v>283888</v>
      </c>
      <c r="AY120" s="101">
        <f>VLOOKUP($C120,'Cost RMs'!$B$5:$Q$22,+AY$4-$AW$4+2,0)</f>
        <v>306490</v>
      </c>
      <c r="AZ120" s="101">
        <f>VLOOKUP($C120,'Cost RMs'!$B$5:$Q$22,+AZ$4-$AW$4+2,0)</f>
        <v>318975</v>
      </c>
      <c r="BA120" s="101">
        <f>VLOOKUP($C120,'Cost RMs'!$B$5:$Q$22,+BA$4-$AW$4+2,0)</f>
        <v>365112</v>
      </c>
      <c r="BB120" s="101">
        <f>VLOOKUP($C120,'Cost RMs'!$B$5:$Q$22,+BB$4-$AW$4+2,0)</f>
        <v>408889</v>
      </c>
      <c r="BC120" s="101">
        <f>VLOOKUP($C120,'Cost RMs'!$B$5:$Q$22,+BC$4-$AW$4+2,0)</f>
        <v>458365</v>
      </c>
      <c r="BD120" s="101">
        <f>VLOOKUP($C120,'Cost RMs'!$B$5:$Q$22,+BD$4-$AW$4+2,0)</f>
        <v>513827</v>
      </c>
      <c r="BE120" s="101">
        <f>VLOOKUP($C120,'Cost RMs'!$B$5:$Q$22,+BE$4-$AW$4+2,0)</f>
        <v>576000</v>
      </c>
      <c r="BF120" s="101">
        <f>VLOOKUP($C120,'Cost RMs'!$B$5:$Q$22,+BF$4-$AW$4+2,0)</f>
        <v>645696</v>
      </c>
      <c r="BG120" s="101">
        <f>VLOOKUP($C120,'Cost RMs'!$B$5:$Q$22,+BG$4-$AW$4+2,0)</f>
        <v>723825</v>
      </c>
      <c r="BH120" s="101">
        <f>VLOOKUP($C120,'Cost RMs'!$B$5:$Q$22,+BH$4-$AW$4+2,0)</f>
        <v>811408</v>
      </c>
      <c r="BI120" s="101">
        <f>VLOOKUP($C120,'Cost RMs'!$B$5:$Q$22,+BI$4-$AW$4+2,0)</f>
        <v>909588</v>
      </c>
      <c r="BJ120" s="101">
        <f>VLOOKUP($C120,'Cost RMs'!$B$5:$Q$22,+BJ$4-$AW$4+2,0)</f>
        <v>1019648</v>
      </c>
      <c r="BK120" s="101">
        <f>VLOOKUP($C120,'Cost RMs'!$B$5:$Q$22,+BK$4-$AW$4+2,0)</f>
        <v>1143025</v>
      </c>
      <c r="BL120" s="102">
        <f t="shared" si="112"/>
        <v>0</v>
      </c>
      <c r="BM120" s="102">
        <f t="shared" si="113"/>
        <v>0</v>
      </c>
      <c r="BN120" s="102">
        <f t="shared" si="114"/>
        <v>0</v>
      </c>
      <c r="BO120" s="102">
        <f t="shared" si="115"/>
        <v>0</v>
      </c>
      <c r="BP120" s="102">
        <f t="shared" si="116"/>
        <v>0</v>
      </c>
      <c r="BQ120" s="102">
        <f t="shared" si="117"/>
        <v>0</v>
      </c>
      <c r="BR120" s="102">
        <f t="shared" si="118"/>
        <v>499159.4850000001</v>
      </c>
      <c r="BS120" s="102">
        <f t="shared" si="119"/>
        <v>1119115.2060000002</v>
      </c>
      <c r="BT120" s="102">
        <f t="shared" si="120"/>
        <v>1254528.0000000002</v>
      </c>
      <c r="BU120" s="102">
        <f t="shared" si="121"/>
        <v>1406325.8880000003</v>
      </c>
      <c r="BV120" s="102">
        <f t="shared" si="122"/>
        <v>1576490.8500000003</v>
      </c>
      <c r="BW120" s="102">
        <f t="shared" si="123"/>
        <v>1767246.6240000003</v>
      </c>
      <c r="BX120" s="102">
        <f t="shared" si="124"/>
        <v>1981082.6640000003</v>
      </c>
      <c r="BY120" s="102">
        <f t="shared" si="125"/>
        <v>2220793.3440000005</v>
      </c>
      <c r="BZ120" s="102">
        <f t="shared" si="126"/>
        <v>2489508.4500000007</v>
      </c>
    </row>
    <row r="121" spans="1:78" x14ac:dyDescent="0.25">
      <c r="A121" s="26" t="str">
        <f>+Assumptions!$A$39</f>
        <v>NPK 10-20-20</v>
      </c>
      <c r="B121" s="73">
        <f>+Assumptions!$R$55</f>
        <v>0.2</v>
      </c>
      <c r="C121" t="s">
        <v>125</v>
      </c>
      <c r="G121" s="61">
        <f t="shared" si="95"/>
        <v>0</v>
      </c>
      <c r="H121" s="61">
        <f t="shared" si="128"/>
        <v>0</v>
      </c>
      <c r="I121" s="61">
        <f t="shared" si="128"/>
        <v>0</v>
      </c>
      <c r="J121" s="61">
        <f t="shared" si="128"/>
        <v>0</v>
      </c>
      <c r="K121" s="61">
        <f t="shared" si="128"/>
        <v>0</v>
      </c>
      <c r="L121" s="61">
        <f t="shared" si="128"/>
        <v>0</v>
      </c>
      <c r="M121" s="61">
        <f t="shared" si="128"/>
        <v>0</v>
      </c>
      <c r="N121" s="61">
        <f t="shared" si="128"/>
        <v>0</v>
      </c>
      <c r="O121" s="61">
        <f t="shared" si="128"/>
        <v>0</v>
      </c>
      <c r="P121" s="61">
        <f t="shared" si="128"/>
        <v>0</v>
      </c>
      <c r="Q121" s="61">
        <f t="shared" si="128"/>
        <v>0</v>
      </c>
      <c r="R121" s="61">
        <f t="shared" si="128"/>
        <v>0</v>
      </c>
      <c r="S121" s="74">
        <f>VLOOKUP($A121,turnover!$A$184:$Q$192,+S$4-$S$4+3,0)</f>
        <v>0</v>
      </c>
      <c r="T121" s="74">
        <f>VLOOKUP($A121,turnover!$A$184:$Q$192,+T$4-$S$4+3,0)</f>
        <v>0</v>
      </c>
      <c r="U121" s="74">
        <f>VLOOKUP($A121,turnover!$A$184:$Q$192,+U$4-$S$4+3,0)</f>
        <v>0</v>
      </c>
      <c r="V121" s="74">
        <f>VLOOKUP($A121,turnover!$A$184:$Q$192,+V$4-$S$4+3,0)</f>
        <v>0</v>
      </c>
      <c r="W121" s="74">
        <f>VLOOKUP($A121,turnover!$A$184:$Q$192,+W$4-$S$4+3,0)</f>
        <v>0</v>
      </c>
      <c r="X121" s="74">
        <f>VLOOKUP($A121,turnover!$A$184:$Q$192,+X$4-$S$4+3,0)</f>
        <v>0</v>
      </c>
      <c r="Y121" s="74">
        <f>VLOOKUP($A121,turnover!$A$184:$Q$192,+Y$4-$S$4+3,0)</f>
        <v>0.90000000000000024</v>
      </c>
      <c r="Z121" s="74">
        <f>VLOOKUP($A121,turnover!$A$184:$Q$192,+Z$4-$S$4+3,0)</f>
        <v>1.8000000000000005</v>
      </c>
      <c r="AA121" s="74">
        <f>VLOOKUP($A121,turnover!$A$184:$Q$192,+AA$4-$S$4+3,0)</f>
        <v>1.8000000000000005</v>
      </c>
      <c r="AB121" s="74">
        <f>VLOOKUP($A121,turnover!$A$184:$Q$192,+AB$4-$S$4+3,0)</f>
        <v>1.8000000000000005</v>
      </c>
      <c r="AC121" s="74">
        <f>VLOOKUP($A121,turnover!$A$184:$Q$192,+AC$4-$S$4+3,0)</f>
        <v>1.8000000000000005</v>
      </c>
      <c r="AD121" s="74">
        <f>VLOOKUP($A121,turnover!$A$184:$Q$192,+AD$4-$S$4+3,0)</f>
        <v>1.8000000000000005</v>
      </c>
      <c r="AE121" s="74">
        <f>VLOOKUP($A121,turnover!$A$184:$Q$192,+AE$4-$S$4+3,0)</f>
        <v>1.8000000000000005</v>
      </c>
      <c r="AF121" s="74">
        <f>VLOOKUP($A121,turnover!$A$184:$Q$192,+AF$4-$S$4+3,0)</f>
        <v>1.8000000000000005</v>
      </c>
      <c r="AG121" s="74">
        <f>VLOOKUP($A121,turnover!$A$184:$Q$192,+AG$4-$S$4+3,0)</f>
        <v>1.8000000000000005</v>
      </c>
      <c r="AH121" s="61">
        <f t="shared" si="97"/>
        <v>0</v>
      </c>
      <c r="AI121" s="61">
        <f t="shared" si="98"/>
        <v>0</v>
      </c>
      <c r="AJ121" s="61">
        <f t="shared" si="99"/>
        <v>0</v>
      </c>
      <c r="AK121" s="61">
        <f t="shared" si="100"/>
        <v>0</v>
      </c>
      <c r="AL121" s="61">
        <f t="shared" si="101"/>
        <v>0</v>
      </c>
      <c r="AM121" s="61">
        <f t="shared" si="102"/>
        <v>0</v>
      </c>
      <c r="AN121" s="61">
        <f t="shared" si="103"/>
        <v>0</v>
      </c>
      <c r="AO121" s="61">
        <f t="shared" si="104"/>
        <v>0</v>
      </c>
      <c r="AP121" s="61">
        <f t="shared" si="105"/>
        <v>0</v>
      </c>
      <c r="AQ121" s="61">
        <f t="shared" si="106"/>
        <v>0</v>
      </c>
      <c r="AR121" s="61">
        <f t="shared" si="107"/>
        <v>0</v>
      </c>
      <c r="AS121" s="61">
        <f t="shared" si="108"/>
        <v>0</v>
      </c>
      <c r="AT121" s="61">
        <f t="shared" si="109"/>
        <v>0</v>
      </c>
      <c r="AU121" s="61">
        <f t="shared" si="110"/>
        <v>0</v>
      </c>
      <c r="AV121" s="61">
        <f t="shared" si="111"/>
        <v>0</v>
      </c>
      <c r="AW121" s="101">
        <f>VLOOKUP($C121,'Cost RMs'!$B$5:$Q$22,+AW$4-$AW$4+2,0)</f>
        <v>266257</v>
      </c>
      <c r="AX121" s="101">
        <f>VLOOKUP($C121,'Cost RMs'!$B$5:$Q$22,+AX$4-$AW$4+2,0)</f>
        <v>266257</v>
      </c>
      <c r="AY121" s="101">
        <f>VLOOKUP($C121,'Cost RMs'!$B$5:$Q$22,+AY$4-$AW$4+2,0)</f>
        <v>266257</v>
      </c>
      <c r="AZ121" s="101">
        <f ca="1">VLOOKUP($C121,'Cost RMs'!$B$5:$Q$22,+AZ$4-$AW$4+2,0)</f>
        <v>266257</v>
      </c>
      <c r="BA121" s="101">
        <f ca="1">VLOOKUP($C121,'Cost RMs'!$B$5:$Q$22,+BA$4-$AW$4+2,0)</f>
        <v>266257</v>
      </c>
      <c r="BB121" s="101">
        <f ca="1">VLOOKUP($C121,'Cost RMs'!$B$5:$Q$22,+BB$4-$AW$4+2,0)</f>
        <v>298181</v>
      </c>
      <c r="BC121" s="101">
        <f ca="1">VLOOKUP($C121,'Cost RMs'!$B$5:$Q$22,+BC$4-$AW$4+2,0)</f>
        <v>334261</v>
      </c>
      <c r="BD121" s="101">
        <f ca="1">VLOOKUP($C121,'Cost RMs'!$B$5:$Q$22,+BD$4-$AW$4+2,0)</f>
        <v>374707</v>
      </c>
      <c r="BE121" s="101">
        <f ca="1">VLOOKUP($C121,'Cost RMs'!$B$5:$Q$22,+BE$4-$AW$4+2,0)</f>
        <v>420047</v>
      </c>
      <c r="BF121" s="101">
        <f ca="1">VLOOKUP($C121,'Cost RMs'!$B$5:$Q$22,+BF$4-$AW$4+2,0)</f>
        <v>470873</v>
      </c>
      <c r="BG121" s="101">
        <f ca="1">VLOOKUP($C121,'Cost RMs'!$B$5:$Q$22,+BG$4-$AW$4+2,0)</f>
        <v>527849</v>
      </c>
      <c r="BH121" s="101">
        <f ca="1">VLOOKUP($C121,'Cost RMs'!$B$5:$Q$22,+BH$4-$AW$4+2,0)</f>
        <v>591719</v>
      </c>
      <c r="BI121" s="101">
        <f ca="1">VLOOKUP($C121,'Cost RMs'!$B$5:$Q$22,+BI$4-$AW$4+2,0)</f>
        <v>663317</v>
      </c>
      <c r="BJ121" s="101">
        <f ca="1">VLOOKUP($C121,'Cost RMs'!$B$5:$Q$22,+BJ$4-$AW$4+2,0)</f>
        <v>743578</v>
      </c>
      <c r="BK121" s="101">
        <f ca="1">VLOOKUP($C121,'Cost RMs'!$B$5:$Q$22,+BK$4-$AW$4+2,0)</f>
        <v>833551</v>
      </c>
      <c r="BL121" s="102">
        <f t="shared" si="112"/>
        <v>0</v>
      </c>
      <c r="BM121" s="102">
        <f t="shared" si="113"/>
        <v>0</v>
      </c>
      <c r="BN121" s="102">
        <f t="shared" si="114"/>
        <v>0</v>
      </c>
      <c r="BO121" s="102">
        <f t="shared" ca="1" si="115"/>
        <v>0</v>
      </c>
      <c r="BP121" s="102">
        <f t="shared" ca="1" si="116"/>
        <v>0</v>
      </c>
      <c r="BQ121" s="102">
        <f t="shared" ca="1" si="117"/>
        <v>0</v>
      </c>
      <c r="BR121" s="102">
        <f t="shared" ca="1" si="118"/>
        <v>0</v>
      </c>
      <c r="BS121" s="102">
        <f t="shared" ca="1" si="119"/>
        <v>0</v>
      </c>
      <c r="BT121" s="102">
        <f t="shared" ca="1" si="120"/>
        <v>0</v>
      </c>
      <c r="BU121" s="102">
        <f t="shared" ca="1" si="121"/>
        <v>0</v>
      </c>
      <c r="BV121" s="102">
        <f t="shared" ca="1" si="122"/>
        <v>0</v>
      </c>
      <c r="BW121" s="102">
        <f t="shared" ca="1" si="123"/>
        <v>0</v>
      </c>
      <c r="BX121" s="102">
        <f t="shared" ca="1" si="124"/>
        <v>0</v>
      </c>
      <c r="BY121" s="102">
        <f t="shared" ca="1" si="125"/>
        <v>0</v>
      </c>
      <c r="BZ121" s="102">
        <f t="shared" ca="1" si="126"/>
        <v>0</v>
      </c>
    </row>
    <row r="122" spans="1:78" x14ac:dyDescent="0.25">
      <c r="A122" s="26" t="str">
        <f>+Assumptions!$A$39</f>
        <v>NPK 10-20-20</v>
      </c>
      <c r="B122" s="73">
        <f>+Assumptions!$R$55</f>
        <v>0.2</v>
      </c>
      <c r="C122" t="s">
        <v>126</v>
      </c>
      <c r="G122" s="61">
        <f t="shared" si="95"/>
        <v>0</v>
      </c>
      <c r="H122" s="61">
        <f t="shared" si="128"/>
        <v>0</v>
      </c>
      <c r="I122" s="61">
        <f t="shared" si="128"/>
        <v>0</v>
      </c>
      <c r="J122" s="61">
        <f t="shared" si="128"/>
        <v>0</v>
      </c>
      <c r="K122" s="61">
        <f t="shared" si="128"/>
        <v>0</v>
      </c>
      <c r="L122" s="61">
        <f t="shared" si="128"/>
        <v>0</v>
      </c>
      <c r="M122" s="61">
        <f t="shared" si="128"/>
        <v>0</v>
      </c>
      <c r="N122" s="61">
        <f t="shared" si="128"/>
        <v>0</v>
      </c>
      <c r="O122" s="61">
        <f t="shared" si="128"/>
        <v>0</v>
      </c>
      <c r="P122" s="61">
        <f t="shared" si="128"/>
        <v>0</v>
      </c>
      <c r="Q122" s="61">
        <f t="shared" si="128"/>
        <v>0</v>
      </c>
      <c r="R122" s="61">
        <f t="shared" si="128"/>
        <v>0</v>
      </c>
      <c r="S122" s="74">
        <f>VLOOKUP($A122,turnover!$A$184:$Q$192,+S$4-$S$4+3,0)</f>
        <v>0</v>
      </c>
      <c r="T122" s="74">
        <f>VLOOKUP($A122,turnover!$A$184:$Q$192,+T$4-$S$4+3,0)</f>
        <v>0</v>
      </c>
      <c r="U122" s="74">
        <f>VLOOKUP($A122,turnover!$A$184:$Q$192,+U$4-$S$4+3,0)</f>
        <v>0</v>
      </c>
      <c r="V122" s="74">
        <f>VLOOKUP($A122,turnover!$A$184:$Q$192,+V$4-$S$4+3,0)</f>
        <v>0</v>
      </c>
      <c r="W122" s="74">
        <f>VLOOKUP($A122,turnover!$A$184:$Q$192,+W$4-$S$4+3,0)</f>
        <v>0</v>
      </c>
      <c r="X122" s="74">
        <f>VLOOKUP($A122,turnover!$A$184:$Q$192,+X$4-$S$4+3,0)</f>
        <v>0</v>
      </c>
      <c r="Y122" s="74">
        <f>VLOOKUP($A122,turnover!$A$184:$Q$192,+Y$4-$S$4+3,0)</f>
        <v>0.90000000000000024</v>
      </c>
      <c r="Z122" s="74">
        <f>VLOOKUP($A122,turnover!$A$184:$Q$192,+Z$4-$S$4+3,0)</f>
        <v>1.8000000000000005</v>
      </c>
      <c r="AA122" s="74">
        <f>VLOOKUP($A122,turnover!$A$184:$Q$192,+AA$4-$S$4+3,0)</f>
        <v>1.8000000000000005</v>
      </c>
      <c r="AB122" s="74">
        <f>VLOOKUP($A122,turnover!$A$184:$Q$192,+AB$4-$S$4+3,0)</f>
        <v>1.8000000000000005</v>
      </c>
      <c r="AC122" s="74">
        <f>VLOOKUP($A122,turnover!$A$184:$Q$192,+AC$4-$S$4+3,0)</f>
        <v>1.8000000000000005</v>
      </c>
      <c r="AD122" s="74">
        <f>VLOOKUP($A122,turnover!$A$184:$Q$192,+AD$4-$S$4+3,0)</f>
        <v>1.8000000000000005</v>
      </c>
      <c r="AE122" s="74">
        <f>VLOOKUP($A122,turnover!$A$184:$Q$192,+AE$4-$S$4+3,0)</f>
        <v>1.8000000000000005</v>
      </c>
      <c r="AF122" s="74">
        <f>VLOOKUP($A122,turnover!$A$184:$Q$192,+AF$4-$S$4+3,0)</f>
        <v>1.8000000000000005</v>
      </c>
      <c r="AG122" s="74">
        <f>VLOOKUP($A122,turnover!$A$184:$Q$192,+AG$4-$S$4+3,0)</f>
        <v>1.8000000000000005</v>
      </c>
      <c r="AH122" s="61">
        <f t="shared" si="97"/>
        <v>0</v>
      </c>
      <c r="AI122" s="61">
        <f t="shared" si="98"/>
        <v>0</v>
      </c>
      <c r="AJ122" s="61">
        <f t="shared" si="99"/>
        <v>0</v>
      </c>
      <c r="AK122" s="61">
        <f t="shared" si="100"/>
        <v>0</v>
      </c>
      <c r="AL122" s="61">
        <f t="shared" si="101"/>
        <v>0</v>
      </c>
      <c r="AM122" s="61">
        <f t="shared" si="102"/>
        <v>0</v>
      </c>
      <c r="AN122" s="61">
        <f t="shared" si="103"/>
        <v>0</v>
      </c>
      <c r="AO122" s="61">
        <f t="shared" si="104"/>
        <v>0</v>
      </c>
      <c r="AP122" s="61">
        <f t="shared" si="105"/>
        <v>0</v>
      </c>
      <c r="AQ122" s="61">
        <f t="shared" si="106"/>
        <v>0</v>
      </c>
      <c r="AR122" s="61">
        <f t="shared" si="107"/>
        <v>0</v>
      </c>
      <c r="AS122" s="61">
        <f t="shared" si="108"/>
        <v>0</v>
      </c>
      <c r="AT122" s="61">
        <f t="shared" si="109"/>
        <v>0</v>
      </c>
      <c r="AU122" s="61">
        <f t="shared" si="110"/>
        <v>0</v>
      </c>
      <c r="AV122" s="61">
        <f t="shared" si="111"/>
        <v>0</v>
      </c>
      <c r="AW122" s="101">
        <f>VLOOKUP($C122,'Cost RMs'!$B$5:$Q$22,+AW$4-$AW$4+2,0)</f>
        <v>248821</v>
      </c>
      <c r="AX122" s="101">
        <f>VLOOKUP($C122,'Cost RMs'!$B$5:$Q$22,+AX$4-$AW$4+2,0)</f>
        <v>290296</v>
      </c>
      <c r="AY122" s="101">
        <f>VLOOKUP($C122,'Cost RMs'!$B$5:$Q$22,+AY$4-$AW$4+2,0)</f>
        <v>316267</v>
      </c>
      <c r="AZ122" s="101">
        <f>VLOOKUP($C122,'Cost RMs'!$B$5:$Q$22,+AZ$4-$AW$4+2,0)</f>
        <v>337089</v>
      </c>
      <c r="BA122" s="101">
        <f>VLOOKUP($C122,'Cost RMs'!$B$5:$Q$22,+BA$4-$AW$4+2,0)</f>
        <v>408568</v>
      </c>
      <c r="BB122" s="101">
        <f>VLOOKUP($C122,'Cost RMs'!$B$5:$Q$22,+BB$4-$AW$4+2,0)</f>
        <v>457555</v>
      </c>
      <c r="BC122" s="101">
        <f>VLOOKUP($C122,'Cost RMs'!$B$5:$Q$22,+BC$4-$AW$4+2,0)</f>
        <v>512919</v>
      </c>
      <c r="BD122" s="101">
        <f>VLOOKUP($C122,'Cost RMs'!$B$5:$Q$22,+BD$4-$AW$4+2,0)</f>
        <v>574982</v>
      </c>
      <c r="BE122" s="101">
        <f>VLOOKUP($C122,'Cost RMs'!$B$5:$Q$22,+BE$4-$AW$4+2,0)</f>
        <v>644555</v>
      </c>
      <c r="BF122" s="101">
        <f>VLOOKUP($C122,'Cost RMs'!$B$5:$Q$22,+BF$4-$AW$4+2,0)</f>
        <v>722546</v>
      </c>
      <c r="BG122" s="101">
        <f>VLOOKUP($C122,'Cost RMs'!$B$5:$Q$22,+BG$4-$AW$4+2,0)</f>
        <v>809974</v>
      </c>
      <c r="BH122" s="101">
        <f>VLOOKUP($C122,'Cost RMs'!$B$5:$Q$22,+BH$4-$AW$4+2,0)</f>
        <v>907981</v>
      </c>
      <c r="BI122" s="101">
        <f>VLOOKUP($C122,'Cost RMs'!$B$5:$Q$22,+BI$4-$AW$4+2,0)</f>
        <v>1017847</v>
      </c>
      <c r="BJ122" s="101">
        <f>VLOOKUP($C122,'Cost RMs'!$B$5:$Q$22,+BJ$4-$AW$4+2,0)</f>
        <v>1141006</v>
      </c>
      <c r="BK122" s="101">
        <f>VLOOKUP($C122,'Cost RMs'!$B$5:$Q$22,+BK$4-$AW$4+2,0)</f>
        <v>1279068</v>
      </c>
      <c r="BL122" s="102">
        <f t="shared" si="112"/>
        <v>0</v>
      </c>
      <c r="BM122" s="102">
        <f t="shared" si="113"/>
        <v>0</v>
      </c>
      <c r="BN122" s="102">
        <f t="shared" si="114"/>
        <v>0</v>
      </c>
      <c r="BO122" s="102">
        <f t="shared" si="115"/>
        <v>0</v>
      </c>
      <c r="BP122" s="102">
        <f t="shared" si="116"/>
        <v>0</v>
      </c>
      <c r="BQ122" s="102">
        <f t="shared" si="117"/>
        <v>0</v>
      </c>
      <c r="BR122" s="102">
        <f t="shared" si="118"/>
        <v>0</v>
      </c>
      <c r="BS122" s="102">
        <f t="shared" si="119"/>
        <v>0</v>
      </c>
      <c r="BT122" s="102">
        <f t="shared" si="120"/>
        <v>0</v>
      </c>
      <c r="BU122" s="102">
        <f t="shared" si="121"/>
        <v>0</v>
      </c>
      <c r="BV122" s="102">
        <f t="shared" si="122"/>
        <v>0</v>
      </c>
      <c r="BW122" s="102">
        <f t="shared" si="123"/>
        <v>0</v>
      </c>
      <c r="BX122" s="102">
        <f t="shared" si="124"/>
        <v>0</v>
      </c>
      <c r="BY122" s="102">
        <f t="shared" si="125"/>
        <v>0</v>
      </c>
      <c r="BZ122" s="102">
        <f t="shared" si="126"/>
        <v>0</v>
      </c>
    </row>
    <row r="123" spans="1:78" x14ac:dyDescent="0.25">
      <c r="A123" s="26" t="str">
        <f>+Assumptions!$A$39</f>
        <v>NPK 10-20-20</v>
      </c>
      <c r="B123" s="73">
        <f>+Assumptions!$R$55</f>
        <v>0.2</v>
      </c>
      <c r="C123" t="s">
        <v>538</v>
      </c>
      <c r="F123">
        <v>1.68</v>
      </c>
      <c r="G123" s="61">
        <f t="shared" si="95"/>
        <v>1.68</v>
      </c>
      <c r="H123" s="61">
        <f t="shared" si="128"/>
        <v>1.68</v>
      </c>
      <c r="I123" s="61">
        <f t="shared" si="128"/>
        <v>1.68</v>
      </c>
      <c r="J123" s="61">
        <f t="shared" si="128"/>
        <v>1.68</v>
      </c>
      <c r="K123" s="61">
        <f t="shared" si="128"/>
        <v>1.68</v>
      </c>
      <c r="L123" s="61">
        <f t="shared" si="128"/>
        <v>1.68</v>
      </c>
      <c r="M123" s="61">
        <f t="shared" si="128"/>
        <v>1.68</v>
      </c>
      <c r="N123" s="61">
        <f t="shared" si="128"/>
        <v>1.68</v>
      </c>
      <c r="O123" s="61">
        <f t="shared" si="128"/>
        <v>1.68</v>
      </c>
      <c r="P123" s="61">
        <f t="shared" si="128"/>
        <v>1.68</v>
      </c>
      <c r="Q123" s="61">
        <f t="shared" si="128"/>
        <v>1.68</v>
      </c>
      <c r="R123" s="61">
        <f t="shared" si="128"/>
        <v>1.68</v>
      </c>
      <c r="S123" s="74">
        <f>VLOOKUP($A123,turnover!$A$184:$Q$192,+S$4-$S$4+3,0)</f>
        <v>0</v>
      </c>
      <c r="T123" s="74">
        <f>VLOOKUP($A123,turnover!$A$184:$Q$192,+T$4-$S$4+3,0)</f>
        <v>0</v>
      </c>
      <c r="U123" s="74">
        <f>VLOOKUP($A123,turnover!$A$184:$Q$192,+U$4-$S$4+3,0)</f>
        <v>0</v>
      </c>
      <c r="V123" s="74">
        <f>VLOOKUP($A123,turnover!$A$184:$Q$192,+V$4-$S$4+3,0)</f>
        <v>0</v>
      </c>
      <c r="W123" s="74">
        <f>VLOOKUP($A123,turnover!$A$184:$Q$192,+W$4-$S$4+3,0)</f>
        <v>0</v>
      </c>
      <c r="X123" s="74">
        <f>VLOOKUP($A123,turnover!$A$184:$Q$192,+X$4-$S$4+3,0)</f>
        <v>0</v>
      </c>
      <c r="Y123" s="74">
        <f>VLOOKUP($A123,turnover!$A$184:$Q$192,+Y$4-$S$4+3,0)</f>
        <v>0.90000000000000024</v>
      </c>
      <c r="Z123" s="74">
        <f>VLOOKUP($A123,turnover!$A$184:$Q$192,+Z$4-$S$4+3,0)</f>
        <v>1.8000000000000005</v>
      </c>
      <c r="AA123" s="74">
        <f>VLOOKUP($A123,turnover!$A$184:$Q$192,+AA$4-$S$4+3,0)</f>
        <v>1.8000000000000005</v>
      </c>
      <c r="AB123" s="74">
        <f>VLOOKUP($A123,turnover!$A$184:$Q$192,+AB$4-$S$4+3,0)</f>
        <v>1.8000000000000005</v>
      </c>
      <c r="AC123" s="74">
        <f>VLOOKUP($A123,turnover!$A$184:$Q$192,+AC$4-$S$4+3,0)</f>
        <v>1.8000000000000005</v>
      </c>
      <c r="AD123" s="74">
        <f>VLOOKUP($A123,turnover!$A$184:$Q$192,+AD$4-$S$4+3,0)</f>
        <v>1.8000000000000005</v>
      </c>
      <c r="AE123" s="74">
        <f>VLOOKUP($A123,turnover!$A$184:$Q$192,+AE$4-$S$4+3,0)</f>
        <v>1.8000000000000005</v>
      </c>
      <c r="AF123" s="74">
        <f>VLOOKUP($A123,turnover!$A$184:$Q$192,+AF$4-$S$4+3,0)</f>
        <v>1.8000000000000005</v>
      </c>
      <c r="AG123" s="74">
        <f>VLOOKUP($A123,turnover!$A$184:$Q$192,+AG$4-$S$4+3,0)</f>
        <v>1.8000000000000005</v>
      </c>
      <c r="AH123" s="61">
        <f t="shared" si="97"/>
        <v>0</v>
      </c>
      <c r="AI123" s="61">
        <f t="shared" si="98"/>
        <v>0</v>
      </c>
      <c r="AJ123" s="61">
        <f t="shared" si="99"/>
        <v>0</v>
      </c>
      <c r="AK123" s="61">
        <f t="shared" si="100"/>
        <v>0</v>
      </c>
      <c r="AL123" s="61">
        <f t="shared" si="101"/>
        <v>0</v>
      </c>
      <c r="AM123" s="61">
        <f t="shared" si="102"/>
        <v>0</v>
      </c>
      <c r="AN123" s="61">
        <f t="shared" si="103"/>
        <v>1.5120000000000005</v>
      </c>
      <c r="AO123" s="61">
        <f t="shared" si="104"/>
        <v>3.0240000000000009</v>
      </c>
      <c r="AP123" s="61">
        <f t="shared" si="105"/>
        <v>3.0240000000000009</v>
      </c>
      <c r="AQ123" s="61">
        <f t="shared" si="106"/>
        <v>3.0240000000000009</v>
      </c>
      <c r="AR123" s="61">
        <f t="shared" si="107"/>
        <v>3.0240000000000009</v>
      </c>
      <c r="AS123" s="61">
        <f t="shared" si="108"/>
        <v>3.0240000000000009</v>
      </c>
      <c r="AT123" s="61">
        <f t="shared" si="109"/>
        <v>3.0240000000000009</v>
      </c>
      <c r="AU123" s="61">
        <f t="shared" si="110"/>
        <v>3.0240000000000009</v>
      </c>
      <c r="AV123" s="61">
        <f t="shared" si="111"/>
        <v>3.0240000000000009</v>
      </c>
      <c r="AW123" s="101">
        <f>VLOOKUP($C123,'Cost RMs'!$B$5:$Q$22,+AW$4-$AW$4+2,0)</f>
        <v>0</v>
      </c>
      <c r="AX123" s="101">
        <f>VLOOKUP($C123,'Cost RMs'!$B$5:$Q$22,+AX$4-$AW$4+2,0)</f>
        <v>0</v>
      </c>
      <c r="AY123" s="101">
        <f>VLOOKUP($C123,'Cost RMs'!$B$5:$Q$22,+AY$4-$AW$4+2,0)</f>
        <v>0</v>
      </c>
      <c r="AZ123" s="101">
        <f>VLOOKUP($C123,'Cost RMs'!$B$5:$Q$22,+AZ$4-$AW$4+2,0)</f>
        <v>0</v>
      </c>
      <c r="BA123" s="101">
        <f>VLOOKUP($C123,'Cost RMs'!$B$5:$Q$22,+BA$4-$AW$4+2,0)</f>
        <v>520000</v>
      </c>
      <c r="BB123" s="101">
        <f>VLOOKUP($C123,'Cost RMs'!$B$5:$Q$22,+BB$4-$AW$4+2,0)</f>
        <v>582348</v>
      </c>
      <c r="BC123" s="101">
        <f>VLOOKUP($C123,'Cost RMs'!$B$5:$Q$22,+BC$4-$AW$4+2,0)</f>
        <v>652812</v>
      </c>
      <c r="BD123" s="101">
        <f>VLOOKUP($C123,'Cost RMs'!$B$5:$Q$22,+BD$4-$AW$4+2,0)</f>
        <v>731802</v>
      </c>
      <c r="BE123" s="101">
        <f>VLOOKUP($C123,'Cost RMs'!$B$5:$Q$22,+BE$4-$AW$4+2,0)</f>
        <v>820350</v>
      </c>
      <c r="BF123" s="101">
        <f>VLOOKUP($C123,'Cost RMs'!$B$5:$Q$22,+BF$4-$AW$4+2,0)</f>
        <v>919612</v>
      </c>
      <c r="BG123" s="101">
        <f>VLOOKUP($C123,'Cost RMs'!$B$5:$Q$22,+BG$4-$AW$4+2,0)</f>
        <v>1030885</v>
      </c>
      <c r="BH123" s="101">
        <f>VLOOKUP($C123,'Cost RMs'!$B$5:$Q$22,+BH$4-$AW$4+2,0)</f>
        <v>1155622</v>
      </c>
      <c r="BI123" s="101">
        <f>VLOOKUP($C123,'Cost RMs'!$B$5:$Q$22,+BI$4-$AW$4+2,0)</f>
        <v>1295452</v>
      </c>
      <c r="BJ123" s="101">
        <f>VLOOKUP($C123,'Cost RMs'!$B$5:$Q$22,+BJ$4-$AW$4+2,0)</f>
        <v>1452202</v>
      </c>
      <c r="BK123" s="101">
        <f>VLOOKUP($C123,'Cost RMs'!$B$5:$Q$22,+BK$4-$AW$4+2,0)</f>
        <v>1627918</v>
      </c>
      <c r="BL123" s="102">
        <f t="shared" si="112"/>
        <v>0</v>
      </c>
      <c r="BM123" s="102">
        <f t="shared" si="113"/>
        <v>0</v>
      </c>
      <c r="BN123" s="102">
        <f t="shared" si="114"/>
        <v>0</v>
      </c>
      <c r="BO123" s="102">
        <f t="shared" si="115"/>
        <v>0</v>
      </c>
      <c r="BP123" s="102">
        <f t="shared" si="116"/>
        <v>0</v>
      </c>
      <c r="BQ123" s="102">
        <f t="shared" si="117"/>
        <v>0</v>
      </c>
      <c r="BR123" s="102">
        <f t="shared" si="118"/>
        <v>987051.7440000003</v>
      </c>
      <c r="BS123" s="102">
        <f t="shared" si="119"/>
        <v>2212969.2480000006</v>
      </c>
      <c r="BT123" s="102">
        <f t="shared" si="120"/>
        <v>2480738.4000000008</v>
      </c>
      <c r="BU123" s="102">
        <f t="shared" si="121"/>
        <v>2780906.688000001</v>
      </c>
      <c r="BV123" s="102">
        <f t="shared" si="122"/>
        <v>3117396.2400000012</v>
      </c>
      <c r="BW123" s="102">
        <f t="shared" si="123"/>
        <v>3494600.9280000012</v>
      </c>
      <c r="BX123" s="102">
        <f t="shared" si="124"/>
        <v>3917446.8480000012</v>
      </c>
      <c r="BY123" s="102">
        <f t="shared" si="125"/>
        <v>4391458.8480000012</v>
      </c>
      <c r="BZ123" s="102">
        <f t="shared" si="126"/>
        <v>4922824.0320000015</v>
      </c>
    </row>
    <row r="124" spans="1:78" x14ac:dyDescent="0.25">
      <c r="A124" s="26" t="str">
        <f>+Assumptions!$A$39</f>
        <v>NPK 10-20-20</v>
      </c>
      <c r="B124" s="73">
        <f>+Assumptions!$R$55</f>
        <v>0.2</v>
      </c>
      <c r="C124" t="s">
        <v>127</v>
      </c>
      <c r="F124">
        <v>5.4960000000000004</v>
      </c>
      <c r="G124" s="61">
        <f t="shared" si="95"/>
        <v>5.4960000000000004</v>
      </c>
      <c r="H124" s="61">
        <f t="shared" si="128"/>
        <v>5.4960000000000004</v>
      </c>
      <c r="I124" s="61">
        <f t="shared" si="128"/>
        <v>5.4960000000000004</v>
      </c>
      <c r="J124" s="61">
        <f t="shared" si="128"/>
        <v>5.4960000000000004</v>
      </c>
      <c r="K124" s="61">
        <f t="shared" si="128"/>
        <v>5.4960000000000004</v>
      </c>
      <c r="L124" s="61">
        <f t="shared" si="128"/>
        <v>5.4960000000000004</v>
      </c>
      <c r="M124" s="61">
        <f t="shared" si="128"/>
        <v>5.4960000000000004</v>
      </c>
      <c r="N124" s="61">
        <f t="shared" si="128"/>
        <v>5.4960000000000004</v>
      </c>
      <c r="O124" s="61">
        <f t="shared" si="128"/>
        <v>5.4960000000000004</v>
      </c>
      <c r="P124" s="61">
        <f t="shared" si="128"/>
        <v>5.4960000000000004</v>
      </c>
      <c r="Q124" s="61">
        <f t="shared" si="128"/>
        <v>5.4960000000000004</v>
      </c>
      <c r="R124" s="61">
        <f t="shared" si="128"/>
        <v>5.4960000000000004</v>
      </c>
      <c r="S124" s="74">
        <f>VLOOKUP($A124,turnover!$A$184:$Q$192,+S$4-$S$4+3,0)</f>
        <v>0</v>
      </c>
      <c r="T124" s="74">
        <f>VLOOKUP($A124,turnover!$A$184:$Q$192,+T$4-$S$4+3,0)</f>
        <v>0</v>
      </c>
      <c r="U124" s="74">
        <f>VLOOKUP($A124,turnover!$A$184:$Q$192,+U$4-$S$4+3,0)</f>
        <v>0</v>
      </c>
      <c r="V124" s="74">
        <f>VLOOKUP($A124,turnover!$A$184:$Q$192,+V$4-$S$4+3,0)</f>
        <v>0</v>
      </c>
      <c r="W124" s="74">
        <f>VLOOKUP($A124,turnover!$A$184:$Q$192,+W$4-$S$4+3,0)</f>
        <v>0</v>
      </c>
      <c r="X124" s="74">
        <f>VLOOKUP($A124,turnover!$A$184:$Q$192,+X$4-$S$4+3,0)</f>
        <v>0</v>
      </c>
      <c r="Y124" s="74">
        <f>VLOOKUP($A124,turnover!$A$184:$Q$192,+Y$4-$S$4+3,0)</f>
        <v>0.90000000000000024</v>
      </c>
      <c r="Z124" s="74">
        <f>VLOOKUP($A124,turnover!$A$184:$Q$192,+Z$4-$S$4+3,0)</f>
        <v>1.8000000000000005</v>
      </c>
      <c r="AA124" s="74">
        <f>VLOOKUP($A124,turnover!$A$184:$Q$192,+AA$4-$S$4+3,0)</f>
        <v>1.8000000000000005</v>
      </c>
      <c r="AB124" s="74">
        <f>VLOOKUP($A124,turnover!$A$184:$Q$192,+AB$4-$S$4+3,0)</f>
        <v>1.8000000000000005</v>
      </c>
      <c r="AC124" s="74">
        <f>VLOOKUP($A124,turnover!$A$184:$Q$192,+AC$4-$S$4+3,0)</f>
        <v>1.8000000000000005</v>
      </c>
      <c r="AD124" s="74">
        <f>VLOOKUP($A124,turnover!$A$184:$Q$192,+AD$4-$S$4+3,0)</f>
        <v>1.8000000000000005</v>
      </c>
      <c r="AE124" s="74">
        <f>VLOOKUP($A124,turnover!$A$184:$Q$192,+AE$4-$S$4+3,0)</f>
        <v>1.8000000000000005</v>
      </c>
      <c r="AF124" s="74">
        <f>VLOOKUP($A124,turnover!$A$184:$Q$192,+AF$4-$S$4+3,0)</f>
        <v>1.8000000000000005</v>
      </c>
      <c r="AG124" s="74">
        <f>VLOOKUP($A124,turnover!$A$184:$Q$192,+AG$4-$S$4+3,0)</f>
        <v>1.8000000000000005</v>
      </c>
      <c r="AH124" s="61">
        <f t="shared" si="97"/>
        <v>0</v>
      </c>
      <c r="AI124" s="61">
        <f t="shared" si="98"/>
        <v>0</v>
      </c>
      <c r="AJ124" s="61">
        <f t="shared" si="99"/>
        <v>0</v>
      </c>
      <c r="AK124" s="61">
        <f t="shared" si="100"/>
        <v>0</v>
      </c>
      <c r="AL124" s="61">
        <f t="shared" si="101"/>
        <v>0</v>
      </c>
      <c r="AM124" s="61">
        <f t="shared" si="102"/>
        <v>0</v>
      </c>
      <c r="AN124" s="61">
        <f t="shared" si="103"/>
        <v>4.9464000000000015</v>
      </c>
      <c r="AO124" s="61">
        <f t="shared" si="104"/>
        <v>9.8928000000000029</v>
      </c>
      <c r="AP124" s="61">
        <f t="shared" si="105"/>
        <v>9.8928000000000029</v>
      </c>
      <c r="AQ124" s="61">
        <f t="shared" si="106"/>
        <v>9.8928000000000029</v>
      </c>
      <c r="AR124" s="61">
        <f t="shared" si="107"/>
        <v>9.8928000000000029</v>
      </c>
      <c r="AS124" s="61">
        <f t="shared" si="108"/>
        <v>9.8928000000000029</v>
      </c>
      <c r="AT124" s="61">
        <f t="shared" si="109"/>
        <v>9.8928000000000029</v>
      </c>
      <c r="AU124" s="61">
        <f t="shared" si="110"/>
        <v>9.8928000000000029</v>
      </c>
      <c r="AV124" s="61">
        <f t="shared" si="111"/>
        <v>9.8928000000000029</v>
      </c>
      <c r="AW124" s="101">
        <f>VLOOKUP($C124,'Cost RMs'!$B$5:$Q$22,+AW$4-$AW$4+2,0)</f>
        <v>31510</v>
      </c>
      <c r="AX124" s="101">
        <f>VLOOKUP($C124,'Cost RMs'!$B$5:$Q$22,+AX$4-$AW$4+2,0)</f>
        <v>40370</v>
      </c>
      <c r="AY124" s="101">
        <f>VLOOKUP($C124,'Cost RMs'!$B$5:$Q$22,+AY$4-$AW$4+2,0)</f>
        <v>41166</v>
      </c>
      <c r="AZ124" s="101">
        <f>VLOOKUP($C124,'Cost RMs'!$B$5:$Q$22,+AZ$4-$AW$4+2,0)</f>
        <v>48881</v>
      </c>
      <c r="BA124" s="101">
        <f>VLOOKUP($C124,'Cost RMs'!$B$5:$Q$22,+BA$4-$AW$4+2,0)</f>
        <v>47121</v>
      </c>
      <c r="BB124" s="101">
        <f ca="1">VLOOKUP($C124,'Cost RMs'!$B$5:$Q$22,+BB$4-$AW$4+2,0)</f>
        <v>50566.413250959507</v>
      </c>
      <c r="BC124" s="101">
        <f ca="1">VLOOKUP($C124,'Cost RMs'!$B$5:$Q$22,+BC$4-$AW$4+2,0)</f>
        <v>56631.49986439231</v>
      </c>
      <c r="BD124" s="101">
        <f ca="1">VLOOKUP($C124,'Cost RMs'!$B$5:$Q$22,+BD$4-$AW$4+2,0)</f>
        <v>63938.797808160256</v>
      </c>
      <c r="BE124" s="101">
        <f ca="1">VLOOKUP($C124,'Cost RMs'!$B$5:$Q$22,+BE$4-$AW$4+2,0)</f>
        <v>72083.206654867696</v>
      </c>
      <c r="BF124" s="101">
        <f ca="1">VLOOKUP($C124,'Cost RMs'!$B$5:$Q$22,+BF$4-$AW$4+2,0)</f>
        <v>81313.760903297516</v>
      </c>
      <c r="BG124" s="101">
        <f ca="1">VLOOKUP($C124,'Cost RMs'!$B$5:$Q$22,+BG$4-$AW$4+2,0)</f>
        <v>91785.423765355576</v>
      </c>
      <c r="BH124" s="101">
        <f ca="1">VLOOKUP($C124,'Cost RMs'!$B$5:$Q$22,+BH$4-$AW$4+2,0)</f>
        <v>103677.12991004685</v>
      </c>
      <c r="BI124" s="101">
        <f ca="1">VLOOKUP($C124,'Cost RMs'!$B$5:$Q$22,+BI$4-$AW$4+2,0)</f>
        <v>117195.56148271105</v>
      </c>
      <c r="BJ124" s="101">
        <f ca="1">VLOOKUP($C124,'Cost RMs'!$B$5:$Q$22,+BJ$4-$AW$4+2,0)</f>
        <v>132580.59576203892</v>
      </c>
      <c r="BK124" s="101">
        <f ca="1">VLOOKUP($C124,'Cost RMs'!$B$5:$Q$22,+BK$4-$AW$4+2,0)</f>
        <v>150111.0973392961</v>
      </c>
      <c r="BL124" s="102">
        <f t="shared" si="112"/>
        <v>0</v>
      </c>
      <c r="BM124" s="102">
        <f t="shared" si="113"/>
        <v>0</v>
      </c>
      <c r="BN124" s="102">
        <f t="shared" si="114"/>
        <v>0</v>
      </c>
      <c r="BO124" s="102">
        <f t="shared" si="115"/>
        <v>0</v>
      </c>
      <c r="BP124" s="102">
        <f t="shared" si="116"/>
        <v>0</v>
      </c>
      <c r="BQ124" s="102">
        <f t="shared" ca="1" si="117"/>
        <v>0</v>
      </c>
      <c r="BR124" s="102">
        <f t="shared" ca="1" si="118"/>
        <v>280122.05092923023</v>
      </c>
      <c r="BS124" s="102">
        <f t="shared" ca="1" si="119"/>
        <v>632533.73895656795</v>
      </c>
      <c r="BT124" s="102">
        <f t="shared" ca="1" si="120"/>
        <v>713104.74679527537</v>
      </c>
      <c r="BU124" s="102">
        <f t="shared" ca="1" si="121"/>
        <v>804420.7738641419</v>
      </c>
      <c r="BV124" s="102">
        <f t="shared" ca="1" si="122"/>
        <v>908014.84022590995</v>
      </c>
      <c r="BW124" s="102">
        <f t="shared" ca="1" si="123"/>
        <v>1025657.1107741117</v>
      </c>
      <c r="BX124" s="102">
        <f t="shared" ca="1" si="124"/>
        <v>1159392.2506361643</v>
      </c>
      <c r="BY124" s="102">
        <f t="shared" ca="1" si="125"/>
        <v>1311593.3177546992</v>
      </c>
      <c r="BZ124" s="102">
        <f t="shared" ca="1" si="126"/>
        <v>1485019.0637581889</v>
      </c>
    </row>
    <row r="125" spans="1:78" x14ac:dyDescent="0.25">
      <c r="A125" s="26" t="str">
        <f>+Assumptions!$A$39</f>
        <v>NPK 10-20-20</v>
      </c>
      <c r="B125" s="73">
        <f>+Assumptions!$R$55</f>
        <v>0.2</v>
      </c>
      <c r="C125" s="26" t="s">
        <v>132</v>
      </c>
      <c r="G125" s="61">
        <f t="shared" si="95"/>
        <v>0</v>
      </c>
      <c r="H125" s="61">
        <f t="shared" si="128"/>
        <v>0</v>
      </c>
      <c r="I125" s="61">
        <f t="shared" si="128"/>
        <v>0</v>
      </c>
      <c r="J125" s="61">
        <f t="shared" si="128"/>
        <v>0</v>
      </c>
      <c r="K125" s="61">
        <f t="shared" si="128"/>
        <v>0</v>
      </c>
      <c r="L125" s="61">
        <f t="shared" si="128"/>
        <v>0</v>
      </c>
      <c r="M125" s="61">
        <f t="shared" si="128"/>
        <v>0</v>
      </c>
      <c r="N125" s="61">
        <f t="shared" si="128"/>
        <v>0</v>
      </c>
      <c r="O125" s="61">
        <f t="shared" si="128"/>
        <v>0</v>
      </c>
      <c r="P125" s="61">
        <f t="shared" si="128"/>
        <v>0</v>
      </c>
      <c r="Q125" s="61">
        <f t="shared" si="128"/>
        <v>0</v>
      </c>
      <c r="R125" s="61">
        <f t="shared" si="128"/>
        <v>0</v>
      </c>
      <c r="S125" s="74">
        <f>VLOOKUP($A125,turnover!$A$184:$Q$192,+S$4-$S$4+3,0)</f>
        <v>0</v>
      </c>
      <c r="T125" s="74">
        <f>VLOOKUP($A125,turnover!$A$184:$Q$192,+T$4-$S$4+3,0)</f>
        <v>0</v>
      </c>
      <c r="U125" s="74">
        <f>VLOOKUP($A125,turnover!$A$184:$Q$192,+U$4-$S$4+3,0)</f>
        <v>0</v>
      </c>
      <c r="V125" s="74">
        <f>VLOOKUP($A125,turnover!$A$184:$Q$192,+V$4-$S$4+3,0)</f>
        <v>0</v>
      </c>
      <c r="W125" s="74">
        <f>VLOOKUP($A125,turnover!$A$184:$Q$192,+W$4-$S$4+3,0)</f>
        <v>0</v>
      </c>
      <c r="X125" s="74">
        <f>VLOOKUP($A125,turnover!$A$184:$Q$192,+X$4-$S$4+3,0)</f>
        <v>0</v>
      </c>
      <c r="Y125" s="74">
        <f>VLOOKUP($A125,turnover!$A$184:$Q$192,+Y$4-$S$4+3,0)</f>
        <v>0.90000000000000024</v>
      </c>
      <c r="Z125" s="74">
        <f>VLOOKUP($A125,turnover!$A$184:$Q$192,+Z$4-$S$4+3,0)</f>
        <v>1.8000000000000005</v>
      </c>
      <c r="AA125" s="74">
        <f>VLOOKUP($A125,turnover!$A$184:$Q$192,+AA$4-$S$4+3,0)</f>
        <v>1.8000000000000005</v>
      </c>
      <c r="AB125" s="74">
        <f>VLOOKUP($A125,turnover!$A$184:$Q$192,+AB$4-$S$4+3,0)</f>
        <v>1.8000000000000005</v>
      </c>
      <c r="AC125" s="74">
        <f>VLOOKUP($A125,turnover!$A$184:$Q$192,+AC$4-$S$4+3,0)</f>
        <v>1.8000000000000005</v>
      </c>
      <c r="AD125" s="74">
        <f>VLOOKUP($A125,turnover!$A$184:$Q$192,+AD$4-$S$4+3,0)</f>
        <v>1.8000000000000005</v>
      </c>
      <c r="AE125" s="74">
        <f>VLOOKUP($A125,turnover!$A$184:$Q$192,+AE$4-$S$4+3,0)</f>
        <v>1.8000000000000005</v>
      </c>
      <c r="AF125" s="74">
        <f>VLOOKUP($A125,turnover!$A$184:$Q$192,+AF$4-$S$4+3,0)</f>
        <v>1.8000000000000005</v>
      </c>
      <c r="AG125" s="74">
        <f>VLOOKUP($A125,turnover!$A$184:$Q$192,+AG$4-$S$4+3,0)</f>
        <v>1.8000000000000005</v>
      </c>
      <c r="AH125" s="61">
        <f t="shared" si="97"/>
        <v>0</v>
      </c>
      <c r="AI125" s="61">
        <f t="shared" si="98"/>
        <v>0</v>
      </c>
      <c r="AJ125" s="61">
        <f t="shared" si="99"/>
        <v>0</v>
      </c>
      <c r="AK125" s="61">
        <f t="shared" si="100"/>
        <v>0</v>
      </c>
      <c r="AL125" s="61">
        <f t="shared" si="101"/>
        <v>0</v>
      </c>
      <c r="AM125" s="61">
        <f t="shared" si="102"/>
        <v>0</v>
      </c>
      <c r="AN125" s="61">
        <f t="shared" si="103"/>
        <v>0</v>
      </c>
      <c r="AO125" s="61">
        <f t="shared" si="104"/>
        <v>0</v>
      </c>
      <c r="AP125" s="61">
        <f t="shared" si="105"/>
        <v>0</v>
      </c>
      <c r="AQ125" s="61">
        <f t="shared" si="106"/>
        <v>0</v>
      </c>
      <c r="AR125" s="61">
        <f t="shared" si="107"/>
        <v>0</v>
      </c>
      <c r="AS125" s="61">
        <f t="shared" si="108"/>
        <v>0</v>
      </c>
      <c r="AT125" s="61">
        <f t="shared" si="109"/>
        <v>0</v>
      </c>
      <c r="AU125" s="61">
        <f t="shared" si="110"/>
        <v>0</v>
      </c>
      <c r="AV125" s="61">
        <f t="shared" si="111"/>
        <v>0</v>
      </c>
      <c r="AW125" s="101">
        <f>VLOOKUP($C125,'Cost RMs'!$B$5:$Q$22,+AW$4-$AW$4+2,0)</f>
        <v>37079</v>
      </c>
      <c r="AX125" s="101">
        <f>VLOOKUP($C125,'Cost RMs'!$B$5:$Q$22,+AX$4-$AW$4+2,0)</f>
        <v>52416</v>
      </c>
      <c r="AY125" s="101">
        <f>VLOOKUP($C125,'Cost RMs'!$B$5:$Q$22,+AY$4-$AW$4+2,0)</f>
        <v>45564</v>
      </c>
      <c r="AZ125" s="101">
        <f>VLOOKUP($C125,'Cost RMs'!$B$5:$Q$22,+AZ$4-$AW$4+2,0)</f>
        <v>49142</v>
      </c>
      <c r="BA125" s="101">
        <f>VLOOKUP($C125,'Cost RMs'!$B$5:$Q$22,+BA$4-$AW$4+2,0)</f>
        <v>50394</v>
      </c>
      <c r="BB125" s="101">
        <f>VLOOKUP($C125,'Cost RMs'!$B$5:$Q$22,+BB$4-$AW$4+2,0)</f>
        <v>56436</v>
      </c>
      <c r="BC125" s="101">
        <f>VLOOKUP($C125,'Cost RMs'!$B$5:$Q$22,+BC$4-$AW$4+2,0)</f>
        <v>63265</v>
      </c>
      <c r="BD125" s="101">
        <f>VLOOKUP($C125,'Cost RMs'!$B$5:$Q$22,+BD$4-$AW$4+2,0)</f>
        <v>70920</v>
      </c>
      <c r="BE125" s="101">
        <f>VLOOKUP($C125,'Cost RMs'!$B$5:$Q$22,+BE$4-$AW$4+2,0)</f>
        <v>79501</v>
      </c>
      <c r="BF125" s="101">
        <f>VLOOKUP($C125,'Cost RMs'!$B$5:$Q$22,+BF$4-$AW$4+2,0)</f>
        <v>89121</v>
      </c>
      <c r="BG125" s="101">
        <f>VLOOKUP($C125,'Cost RMs'!$B$5:$Q$22,+BG$4-$AW$4+2,0)</f>
        <v>99905</v>
      </c>
      <c r="BH125" s="101">
        <f>VLOOKUP($C125,'Cost RMs'!$B$5:$Q$22,+BH$4-$AW$4+2,0)</f>
        <v>111994</v>
      </c>
      <c r="BI125" s="101">
        <f>VLOOKUP($C125,'Cost RMs'!$B$5:$Q$22,+BI$4-$AW$4+2,0)</f>
        <v>125545</v>
      </c>
      <c r="BJ125" s="101">
        <f>VLOOKUP($C125,'Cost RMs'!$B$5:$Q$22,+BJ$4-$AW$4+2,0)</f>
        <v>140736</v>
      </c>
      <c r="BK125" s="101">
        <f>VLOOKUP($C125,'Cost RMs'!$B$5:$Q$22,+BK$4-$AW$4+2,0)</f>
        <v>157765</v>
      </c>
      <c r="BL125" s="102">
        <f t="shared" si="112"/>
        <v>0</v>
      </c>
      <c r="BM125" s="102">
        <f t="shared" si="113"/>
        <v>0</v>
      </c>
      <c r="BN125" s="102">
        <f t="shared" si="114"/>
        <v>0</v>
      </c>
      <c r="BO125" s="102">
        <f t="shared" si="115"/>
        <v>0</v>
      </c>
      <c r="BP125" s="102">
        <f t="shared" si="116"/>
        <v>0</v>
      </c>
      <c r="BQ125" s="102">
        <f t="shared" si="117"/>
        <v>0</v>
      </c>
      <c r="BR125" s="102">
        <f t="shared" si="118"/>
        <v>0</v>
      </c>
      <c r="BS125" s="102">
        <f t="shared" si="119"/>
        <v>0</v>
      </c>
      <c r="BT125" s="102">
        <f t="shared" si="120"/>
        <v>0</v>
      </c>
      <c r="BU125" s="102">
        <f t="shared" si="121"/>
        <v>0</v>
      </c>
      <c r="BV125" s="102">
        <f t="shared" si="122"/>
        <v>0</v>
      </c>
      <c r="BW125" s="102">
        <f t="shared" si="123"/>
        <v>0</v>
      </c>
      <c r="BX125" s="102">
        <f t="shared" si="124"/>
        <v>0</v>
      </c>
      <c r="BY125" s="102">
        <f t="shared" si="125"/>
        <v>0</v>
      </c>
      <c r="BZ125" s="102">
        <f t="shared" si="126"/>
        <v>0</v>
      </c>
    </row>
    <row r="126" spans="1:78" x14ac:dyDescent="0.25">
      <c r="A126" s="26" t="str">
        <f>+Assumptions!$A$39</f>
        <v>NPK 10-20-20</v>
      </c>
      <c r="B126" s="73">
        <f>+Assumptions!$R$55</f>
        <v>0.2</v>
      </c>
      <c r="C126" s="166" t="s">
        <v>536</v>
      </c>
      <c r="G126" s="61">
        <f t="shared" si="95"/>
        <v>0</v>
      </c>
      <c r="H126" s="61">
        <f t="shared" si="128"/>
        <v>0</v>
      </c>
      <c r="I126" s="61">
        <f t="shared" si="128"/>
        <v>0</v>
      </c>
      <c r="J126" s="61">
        <f t="shared" si="128"/>
        <v>0</v>
      </c>
      <c r="K126" s="61">
        <f t="shared" si="128"/>
        <v>0</v>
      </c>
      <c r="L126" s="61">
        <f t="shared" si="128"/>
        <v>0</v>
      </c>
      <c r="M126" s="61">
        <f t="shared" si="128"/>
        <v>0</v>
      </c>
      <c r="N126" s="61">
        <f t="shared" si="128"/>
        <v>0</v>
      </c>
      <c r="O126" s="61">
        <f t="shared" si="128"/>
        <v>0</v>
      </c>
      <c r="P126" s="61">
        <f t="shared" si="128"/>
        <v>0</v>
      </c>
      <c r="Q126" s="61">
        <f t="shared" si="128"/>
        <v>0</v>
      </c>
      <c r="R126" s="61">
        <f t="shared" si="128"/>
        <v>0</v>
      </c>
      <c r="S126" s="74">
        <f>VLOOKUP($A126,turnover!$A$184:$Q$192,+S$4-$S$4+3,0)</f>
        <v>0</v>
      </c>
      <c r="T126" s="74">
        <f>VLOOKUP($A126,turnover!$A$184:$Q$192,+T$4-$S$4+3,0)</f>
        <v>0</v>
      </c>
      <c r="U126" s="74">
        <f>VLOOKUP($A126,turnover!$A$184:$Q$192,+U$4-$S$4+3,0)</f>
        <v>0</v>
      </c>
      <c r="V126" s="74">
        <f>VLOOKUP($A126,turnover!$A$184:$Q$192,+V$4-$S$4+3,0)</f>
        <v>0</v>
      </c>
      <c r="W126" s="74">
        <f>VLOOKUP($A126,turnover!$A$184:$Q$192,+W$4-$S$4+3,0)</f>
        <v>0</v>
      </c>
      <c r="X126" s="74">
        <f>VLOOKUP($A126,turnover!$A$184:$Q$192,+X$4-$S$4+3,0)</f>
        <v>0</v>
      </c>
      <c r="Y126" s="74">
        <f>VLOOKUP($A126,turnover!$A$184:$Q$192,+Y$4-$S$4+3,0)</f>
        <v>0.90000000000000024</v>
      </c>
      <c r="Z126" s="74">
        <f>VLOOKUP($A126,turnover!$A$184:$Q$192,+Z$4-$S$4+3,0)</f>
        <v>1.8000000000000005</v>
      </c>
      <c r="AA126" s="74">
        <f>VLOOKUP($A126,turnover!$A$184:$Q$192,+AA$4-$S$4+3,0)</f>
        <v>1.8000000000000005</v>
      </c>
      <c r="AB126" s="74">
        <f>VLOOKUP($A126,turnover!$A$184:$Q$192,+AB$4-$S$4+3,0)</f>
        <v>1.8000000000000005</v>
      </c>
      <c r="AC126" s="74">
        <f>VLOOKUP($A126,turnover!$A$184:$Q$192,+AC$4-$S$4+3,0)</f>
        <v>1.8000000000000005</v>
      </c>
      <c r="AD126" s="74">
        <f>VLOOKUP($A126,turnover!$A$184:$Q$192,+AD$4-$S$4+3,0)</f>
        <v>1.8000000000000005</v>
      </c>
      <c r="AE126" s="74">
        <f>VLOOKUP($A126,turnover!$A$184:$Q$192,+AE$4-$S$4+3,0)</f>
        <v>1.8000000000000005</v>
      </c>
      <c r="AF126" s="74">
        <f>VLOOKUP($A126,turnover!$A$184:$Q$192,+AF$4-$S$4+3,0)</f>
        <v>1.8000000000000005</v>
      </c>
      <c r="AG126" s="74">
        <f>VLOOKUP($A126,turnover!$A$184:$Q$192,+AG$4-$S$4+3,0)</f>
        <v>1.8000000000000005</v>
      </c>
      <c r="AH126" s="61">
        <f t="shared" si="97"/>
        <v>0</v>
      </c>
      <c r="AI126" s="61">
        <f t="shared" si="98"/>
        <v>0</v>
      </c>
      <c r="AJ126" s="61">
        <f t="shared" si="99"/>
        <v>0</v>
      </c>
      <c r="AK126" s="61">
        <f t="shared" si="100"/>
        <v>0</v>
      </c>
      <c r="AL126" s="61">
        <f t="shared" si="101"/>
        <v>0</v>
      </c>
      <c r="AM126" s="61">
        <f t="shared" si="102"/>
        <v>0</v>
      </c>
      <c r="AN126" s="61">
        <f t="shared" si="103"/>
        <v>0</v>
      </c>
      <c r="AO126" s="61">
        <f t="shared" si="104"/>
        <v>0</v>
      </c>
      <c r="AP126" s="61">
        <f t="shared" si="105"/>
        <v>0</v>
      </c>
      <c r="AQ126" s="61">
        <f t="shared" si="106"/>
        <v>0</v>
      </c>
      <c r="AR126" s="61">
        <f t="shared" si="107"/>
        <v>0</v>
      </c>
      <c r="AS126" s="61">
        <f t="shared" si="108"/>
        <v>0</v>
      </c>
      <c r="AT126" s="61">
        <f t="shared" si="109"/>
        <v>0</v>
      </c>
      <c r="AU126" s="61">
        <f t="shared" si="110"/>
        <v>0</v>
      </c>
      <c r="AV126" s="61">
        <f t="shared" si="111"/>
        <v>0</v>
      </c>
      <c r="AW126" s="101">
        <f>VLOOKUP($C126,'Cost RMs'!$B$5:$Q$22,+AW$4-$AW$4+2,0)</f>
        <v>0</v>
      </c>
      <c r="AX126" s="101">
        <f>VLOOKUP($C126,'Cost RMs'!$B$5:$Q$22,+AX$4-$AW$4+2,0)</f>
        <v>0</v>
      </c>
      <c r="AY126" s="101">
        <f>VLOOKUP($C126,'Cost RMs'!$B$5:$Q$22,+AY$4-$AW$4+2,0)</f>
        <v>0</v>
      </c>
      <c r="AZ126" s="101">
        <f>VLOOKUP($C126,'Cost RMs'!$B$5:$Q$22,+AZ$4-$AW$4+2,0)</f>
        <v>0</v>
      </c>
      <c r="BA126" s="101">
        <f>VLOOKUP($C126,'Cost RMs'!$B$5:$Q$22,+BA$4-$AW$4+2,0)</f>
        <v>317520</v>
      </c>
      <c r="BB126" s="101">
        <f>VLOOKUP($C126,'Cost RMs'!$B$5:$Q$22,+BB$4-$AW$4+2,0)</f>
        <v>355591</v>
      </c>
      <c r="BC126" s="101">
        <f>VLOOKUP($C126,'Cost RMs'!$B$5:$Q$22,+BC$4-$AW$4+2,0)</f>
        <v>398618</v>
      </c>
      <c r="BD126" s="101">
        <f>VLOOKUP($C126,'Cost RMs'!$B$5:$Q$22,+BD$4-$AW$4+2,0)</f>
        <v>446851</v>
      </c>
      <c r="BE126" s="101">
        <f>VLOOKUP($C126,'Cost RMs'!$B$5:$Q$22,+BE$4-$AW$4+2,0)</f>
        <v>500920</v>
      </c>
      <c r="BF126" s="101">
        <f>VLOOKUP($C126,'Cost RMs'!$B$5:$Q$22,+BF$4-$AW$4+2,0)</f>
        <v>561531</v>
      </c>
      <c r="BG126" s="101">
        <f>VLOOKUP($C126,'Cost RMs'!$B$5:$Q$22,+BG$4-$AW$4+2,0)</f>
        <v>629476</v>
      </c>
      <c r="BH126" s="101">
        <f>VLOOKUP($C126,'Cost RMs'!$B$5:$Q$22,+BH$4-$AW$4+2,0)</f>
        <v>705643</v>
      </c>
      <c r="BI126" s="101">
        <f>VLOOKUP($C126,'Cost RMs'!$B$5:$Q$22,+BI$4-$AW$4+2,0)</f>
        <v>791026</v>
      </c>
      <c r="BJ126" s="101">
        <f>VLOOKUP($C126,'Cost RMs'!$B$5:$Q$22,+BJ$4-$AW$4+2,0)</f>
        <v>886740</v>
      </c>
      <c r="BK126" s="101">
        <f>VLOOKUP($C126,'Cost RMs'!$B$5:$Q$22,+BK$4-$AW$4+2,0)</f>
        <v>994036</v>
      </c>
      <c r="BL126" s="102">
        <f t="shared" si="112"/>
        <v>0</v>
      </c>
      <c r="BM126" s="102">
        <f t="shared" si="113"/>
        <v>0</v>
      </c>
      <c r="BN126" s="102">
        <f t="shared" si="114"/>
        <v>0</v>
      </c>
      <c r="BO126" s="102">
        <f t="shared" si="115"/>
        <v>0</v>
      </c>
      <c r="BP126" s="102">
        <f t="shared" si="116"/>
        <v>0</v>
      </c>
      <c r="BQ126" s="102">
        <f t="shared" si="117"/>
        <v>0</v>
      </c>
      <c r="BR126" s="102">
        <f t="shared" si="118"/>
        <v>0</v>
      </c>
      <c r="BS126" s="102">
        <f t="shared" si="119"/>
        <v>0</v>
      </c>
      <c r="BT126" s="102">
        <f t="shared" si="120"/>
        <v>0</v>
      </c>
      <c r="BU126" s="102">
        <f t="shared" si="121"/>
        <v>0</v>
      </c>
      <c r="BV126" s="102">
        <f t="shared" si="122"/>
        <v>0</v>
      </c>
      <c r="BW126" s="102">
        <f t="shared" si="123"/>
        <v>0</v>
      </c>
      <c r="BX126" s="102">
        <f t="shared" si="124"/>
        <v>0</v>
      </c>
      <c r="BY126" s="102">
        <f t="shared" si="125"/>
        <v>0</v>
      </c>
      <c r="BZ126" s="102">
        <f t="shared" si="126"/>
        <v>0</v>
      </c>
    </row>
    <row r="127" spans="1:78" x14ac:dyDescent="0.25">
      <c r="A127" s="26" t="str">
        <f>+Assumptions!$A$39</f>
        <v>NPK 10-20-20</v>
      </c>
      <c r="B127" s="73">
        <f>+Assumptions!$R$55</f>
        <v>0.2</v>
      </c>
      <c r="C127" t="s">
        <v>129</v>
      </c>
      <c r="F127">
        <v>0.5655</v>
      </c>
      <c r="G127" s="61">
        <f t="shared" si="95"/>
        <v>0.5655</v>
      </c>
      <c r="H127" s="61">
        <f t="shared" si="128"/>
        <v>0.5655</v>
      </c>
      <c r="I127" s="61">
        <f t="shared" si="128"/>
        <v>0.5655</v>
      </c>
      <c r="J127" s="61">
        <f t="shared" si="128"/>
        <v>0.5655</v>
      </c>
      <c r="K127" s="61">
        <f t="shared" si="128"/>
        <v>0.5655</v>
      </c>
      <c r="L127" s="61">
        <f t="shared" si="128"/>
        <v>0.5655</v>
      </c>
      <c r="M127" s="61">
        <f t="shared" si="128"/>
        <v>0.5655</v>
      </c>
      <c r="N127" s="61">
        <f t="shared" si="128"/>
        <v>0.5655</v>
      </c>
      <c r="O127" s="61">
        <f t="shared" si="128"/>
        <v>0.5655</v>
      </c>
      <c r="P127" s="61">
        <f t="shared" si="128"/>
        <v>0.5655</v>
      </c>
      <c r="Q127" s="61">
        <f t="shared" si="128"/>
        <v>0.5655</v>
      </c>
      <c r="R127" s="61">
        <f t="shared" si="128"/>
        <v>0.5655</v>
      </c>
      <c r="S127" s="74">
        <f>VLOOKUP($A127,turnover!$A$184:$Q$192,+S$4-$S$4+3,0)</f>
        <v>0</v>
      </c>
      <c r="T127" s="74">
        <f>VLOOKUP($A127,turnover!$A$184:$Q$192,+T$4-$S$4+3,0)</f>
        <v>0</v>
      </c>
      <c r="U127" s="74">
        <f>VLOOKUP($A127,turnover!$A$184:$Q$192,+U$4-$S$4+3,0)</f>
        <v>0</v>
      </c>
      <c r="V127" s="74">
        <f>VLOOKUP($A127,turnover!$A$184:$Q$192,+V$4-$S$4+3,0)</f>
        <v>0</v>
      </c>
      <c r="W127" s="74">
        <f>VLOOKUP($A127,turnover!$A$184:$Q$192,+W$4-$S$4+3,0)</f>
        <v>0</v>
      </c>
      <c r="X127" s="74">
        <f>VLOOKUP($A127,turnover!$A$184:$Q$192,+X$4-$S$4+3,0)</f>
        <v>0</v>
      </c>
      <c r="Y127" s="74">
        <f>VLOOKUP($A127,turnover!$A$184:$Q$192,+Y$4-$S$4+3,0)</f>
        <v>0.90000000000000024</v>
      </c>
      <c r="Z127" s="74">
        <f>VLOOKUP($A127,turnover!$A$184:$Q$192,+Z$4-$S$4+3,0)</f>
        <v>1.8000000000000005</v>
      </c>
      <c r="AA127" s="74">
        <f>VLOOKUP($A127,turnover!$A$184:$Q$192,+AA$4-$S$4+3,0)</f>
        <v>1.8000000000000005</v>
      </c>
      <c r="AB127" s="74">
        <f>VLOOKUP($A127,turnover!$A$184:$Q$192,+AB$4-$S$4+3,0)</f>
        <v>1.8000000000000005</v>
      </c>
      <c r="AC127" s="74">
        <f>VLOOKUP($A127,turnover!$A$184:$Q$192,+AC$4-$S$4+3,0)</f>
        <v>1.8000000000000005</v>
      </c>
      <c r="AD127" s="74">
        <f>VLOOKUP($A127,turnover!$A$184:$Q$192,+AD$4-$S$4+3,0)</f>
        <v>1.8000000000000005</v>
      </c>
      <c r="AE127" s="74">
        <f>VLOOKUP($A127,turnover!$A$184:$Q$192,+AE$4-$S$4+3,0)</f>
        <v>1.8000000000000005</v>
      </c>
      <c r="AF127" s="74">
        <f>VLOOKUP($A127,turnover!$A$184:$Q$192,+AF$4-$S$4+3,0)</f>
        <v>1.8000000000000005</v>
      </c>
      <c r="AG127" s="74">
        <f>VLOOKUP($A127,turnover!$A$184:$Q$192,+AG$4-$S$4+3,0)</f>
        <v>1.8000000000000005</v>
      </c>
      <c r="AH127" s="61">
        <f t="shared" si="97"/>
        <v>0</v>
      </c>
      <c r="AI127" s="61">
        <f t="shared" si="98"/>
        <v>0</v>
      </c>
      <c r="AJ127" s="61">
        <f t="shared" si="99"/>
        <v>0</v>
      </c>
      <c r="AK127" s="61">
        <f t="shared" si="100"/>
        <v>0</v>
      </c>
      <c r="AL127" s="61">
        <f t="shared" si="101"/>
        <v>0</v>
      </c>
      <c r="AM127" s="61">
        <f t="shared" si="102"/>
        <v>0</v>
      </c>
      <c r="AN127" s="61">
        <f t="shared" si="103"/>
        <v>0.50895000000000012</v>
      </c>
      <c r="AO127" s="61">
        <f t="shared" si="104"/>
        <v>1.0179000000000002</v>
      </c>
      <c r="AP127" s="61">
        <f t="shared" si="105"/>
        <v>1.0179000000000002</v>
      </c>
      <c r="AQ127" s="61">
        <f t="shared" si="106"/>
        <v>1.0179000000000002</v>
      </c>
      <c r="AR127" s="61">
        <f t="shared" si="107"/>
        <v>1.0179000000000002</v>
      </c>
      <c r="AS127" s="61">
        <f t="shared" si="108"/>
        <v>1.0179000000000002</v>
      </c>
      <c r="AT127" s="61">
        <f t="shared" si="109"/>
        <v>1.0179000000000002</v>
      </c>
      <c r="AU127" s="61">
        <f t="shared" si="110"/>
        <v>1.0179000000000002</v>
      </c>
      <c r="AV127" s="61">
        <f t="shared" si="111"/>
        <v>1.0179000000000002</v>
      </c>
      <c r="AW127" s="101">
        <f>VLOOKUP($C127,'Cost RMs'!$B$5:$Q$22,+AW$4-$AW$4+2,0)</f>
        <v>40086</v>
      </c>
      <c r="AX127" s="101">
        <f>VLOOKUP($C127,'Cost RMs'!$B$5:$Q$22,+AX$4-$AW$4+2,0)</f>
        <v>56197</v>
      </c>
      <c r="AY127" s="101">
        <f>VLOOKUP($C127,'Cost RMs'!$B$5:$Q$22,+AY$4-$AW$4+2,0)</f>
        <v>64582</v>
      </c>
      <c r="AZ127" s="101">
        <f>VLOOKUP($C127,'Cost RMs'!$B$5:$Q$22,+AZ$4-$AW$4+2,0)</f>
        <v>76567</v>
      </c>
      <c r="BA127" s="101">
        <f ca="1">VLOOKUP($C127,'Cost RMs'!$B$5:$Q$22,+BA$4-$AW$4+2,0)</f>
        <v>86638</v>
      </c>
      <c r="BB127" s="101">
        <f ca="1">VLOOKUP($C127,'Cost RMs'!$B$5:$Q$22,+BB$4-$AW$4+2,0)</f>
        <v>97026</v>
      </c>
      <c r="BC127" s="101">
        <f ca="1">VLOOKUP($C127,'Cost RMs'!$B$5:$Q$22,+BC$4-$AW$4+2,0)</f>
        <v>108766</v>
      </c>
      <c r="BD127" s="101">
        <f ca="1">VLOOKUP($C127,'Cost RMs'!$B$5:$Q$22,+BD$4-$AW$4+2,0)</f>
        <v>121927</v>
      </c>
      <c r="BE127" s="101">
        <f ca="1">VLOOKUP($C127,'Cost RMs'!$B$5:$Q$22,+BE$4-$AW$4+2,0)</f>
        <v>136680</v>
      </c>
      <c r="BF127" s="101">
        <f ca="1">VLOOKUP($C127,'Cost RMs'!$B$5:$Q$22,+BF$4-$AW$4+2,0)</f>
        <v>153218</v>
      </c>
      <c r="BG127" s="101">
        <f ca="1">VLOOKUP($C127,'Cost RMs'!$B$5:$Q$22,+BG$4-$AW$4+2,0)</f>
        <v>171757</v>
      </c>
      <c r="BH127" s="101">
        <f ca="1">VLOOKUP($C127,'Cost RMs'!$B$5:$Q$22,+BH$4-$AW$4+2,0)</f>
        <v>192540</v>
      </c>
      <c r="BI127" s="101">
        <f ca="1">VLOOKUP($C127,'Cost RMs'!$B$5:$Q$22,+BI$4-$AW$4+2,0)</f>
        <v>215837</v>
      </c>
      <c r="BJ127" s="101">
        <f ca="1">VLOOKUP($C127,'Cost RMs'!$B$5:$Q$22,+BJ$4-$AW$4+2,0)</f>
        <v>241953</v>
      </c>
      <c r="BK127" s="101">
        <f ca="1">VLOOKUP($C127,'Cost RMs'!$B$5:$Q$22,+BK$4-$AW$4+2,0)</f>
        <v>271229</v>
      </c>
      <c r="BL127" s="102">
        <f t="shared" si="112"/>
        <v>0</v>
      </c>
      <c r="BM127" s="102">
        <f t="shared" si="113"/>
        <v>0</v>
      </c>
      <c r="BN127" s="102">
        <f t="shared" si="114"/>
        <v>0</v>
      </c>
      <c r="BO127" s="102">
        <f t="shared" si="115"/>
        <v>0</v>
      </c>
      <c r="BP127" s="102">
        <f t="shared" ca="1" si="116"/>
        <v>0</v>
      </c>
      <c r="BQ127" s="102">
        <f t="shared" ca="1" si="117"/>
        <v>0</v>
      </c>
      <c r="BR127" s="102">
        <f t="shared" ca="1" si="118"/>
        <v>55356.455700000013</v>
      </c>
      <c r="BS127" s="102">
        <f t="shared" ca="1" si="119"/>
        <v>124109.49330000003</v>
      </c>
      <c r="BT127" s="102">
        <f t="shared" ca="1" si="120"/>
        <v>139126.57200000004</v>
      </c>
      <c r="BU127" s="102">
        <f t="shared" ca="1" si="121"/>
        <v>155960.60220000005</v>
      </c>
      <c r="BV127" s="102">
        <f t="shared" ca="1" si="122"/>
        <v>174831.45030000005</v>
      </c>
      <c r="BW127" s="102">
        <f t="shared" ca="1" si="123"/>
        <v>195986.46600000004</v>
      </c>
      <c r="BX127" s="102">
        <f t="shared" ca="1" si="124"/>
        <v>219700.48230000006</v>
      </c>
      <c r="BY127" s="102">
        <f t="shared" ca="1" si="125"/>
        <v>246283.95870000005</v>
      </c>
      <c r="BZ127" s="102">
        <f t="shared" ca="1" si="126"/>
        <v>276083.99910000007</v>
      </c>
    </row>
    <row r="128" spans="1:78" x14ac:dyDescent="0.25">
      <c r="A128" s="26" t="str">
        <f>+Assumptions!$A$39</f>
        <v>NPK 10-20-20</v>
      </c>
      <c r="B128" s="73">
        <f>+Assumptions!$R$55</f>
        <v>0.2</v>
      </c>
      <c r="C128" t="s">
        <v>130</v>
      </c>
      <c r="F128">
        <v>0.45149999999999996</v>
      </c>
      <c r="G128" s="61">
        <f t="shared" si="95"/>
        <v>0.45149999999999996</v>
      </c>
      <c r="H128" s="61">
        <f t="shared" si="128"/>
        <v>0.45149999999999996</v>
      </c>
      <c r="I128" s="61">
        <f t="shared" si="128"/>
        <v>0.45149999999999996</v>
      </c>
      <c r="J128" s="61">
        <f t="shared" si="128"/>
        <v>0.45149999999999996</v>
      </c>
      <c r="K128" s="61">
        <f t="shared" si="128"/>
        <v>0.45149999999999996</v>
      </c>
      <c r="L128" s="61">
        <f t="shared" si="128"/>
        <v>0.45149999999999996</v>
      </c>
      <c r="M128" s="61">
        <f t="shared" si="128"/>
        <v>0.45149999999999996</v>
      </c>
      <c r="N128" s="61">
        <f t="shared" si="128"/>
        <v>0.45149999999999996</v>
      </c>
      <c r="O128" s="61">
        <f t="shared" si="128"/>
        <v>0.45149999999999996</v>
      </c>
      <c r="P128" s="61">
        <f t="shared" si="128"/>
        <v>0.45149999999999996</v>
      </c>
      <c r="Q128" s="61">
        <f t="shared" si="128"/>
        <v>0.45149999999999996</v>
      </c>
      <c r="R128" s="61">
        <f t="shared" si="128"/>
        <v>0.45149999999999996</v>
      </c>
      <c r="S128" s="74">
        <f>VLOOKUP($A128,turnover!$A$184:$Q$192,+S$4-$S$4+3,0)</f>
        <v>0</v>
      </c>
      <c r="T128" s="74">
        <f>VLOOKUP($A128,turnover!$A$184:$Q$192,+T$4-$S$4+3,0)</f>
        <v>0</v>
      </c>
      <c r="U128" s="74">
        <f>VLOOKUP($A128,turnover!$A$184:$Q$192,+U$4-$S$4+3,0)</f>
        <v>0</v>
      </c>
      <c r="V128" s="74">
        <f>VLOOKUP($A128,turnover!$A$184:$Q$192,+V$4-$S$4+3,0)</f>
        <v>0</v>
      </c>
      <c r="W128" s="74">
        <f>VLOOKUP($A128,turnover!$A$184:$Q$192,+W$4-$S$4+3,0)</f>
        <v>0</v>
      </c>
      <c r="X128" s="74">
        <f>VLOOKUP($A128,turnover!$A$184:$Q$192,+X$4-$S$4+3,0)</f>
        <v>0</v>
      </c>
      <c r="Y128" s="74">
        <f>VLOOKUP($A128,turnover!$A$184:$Q$192,+Y$4-$S$4+3,0)</f>
        <v>0.90000000000000024</v>
      </c>
      <c r="Z128" s="74">
        <f>VLOOKUP($A128,turnover!$A$184:$Q$192,+Z$4-$S$4+3,0)</f>
        <v>1.8000000000000005</v>
      </c>
      <c r="AA128" s="74">
        <f>VLOOKUP($A128,turnover!$A$184:$Q$192,+AA$4-$S$4+3,0)</f>
        <v>1.8000000000000005</v>
      </c>
      <c r="AB128" s="74">
        <f>VLOOKUP($A128,turnover!$A$184:$Q$192,+AB$4-$S$4+3,0)</f>
        <v>1.8000000000000005</v>
      </c>
      <c r="AC128" s="74">
        <f>VLOOKUP($A128,turnover!$A$184:$Q$192,+AC$4-$S$4+3,0)</f>
        <v>1.8000000000000005</v>
      </c>
      <c r="AD128" s="74">
        <f>VLOOKUP($A128,turnover!$A$184:$Q$192,+AD$4-$S$4+3,0)</f>
        <v>1.8000000000000005</v>
      </c>
      <c r="AE128" s="74">
        <f>VLOOKUP($A128,turnover!$A$184:$Q$192,+AE$4-$S$4+3,0)</f>
        <v>1.8000000000000005</v>
      </c>
      <c r="AF128" s="74">
        <f>VLOOKUP($A128,turnover!$A$184:$Q$192,+AF$4-$S$4+3,0)</f>
        <v>1.8000000000000005</v>
      </c>
      <c r="AG128" s="74">
        <f>VLOOKUP($A128,turnover!$A$184:$Q$192,+AG$4-$S$4+3,0)</f>
        <v>1.8000000000000005</v>
      </c>
      <c r="AH128" s="61">
        <f t="shared" si="97"/>
        <v>0</v>
      </c>
      <c r="AI128" s="61">
        <f t="shared" si="98"/>
        <v>0</v>
      </c>
      <c r="AJ128" s="61">
        <f t="shared" si="99"/>
        <v>0</v>
      </c>
      <c r="AK128" s="61">
        <f t="shared" si="100"/>
        <v>0</v>
      </c>
      <c r="AL128" s="61">
        <f t="shared" si="101"/>
        <v>0</v>
      </c>
      <c r="AM128" s="61">
        <f t="shared" si="102"/>
        <v>0</v>
      </c>
      <c r="AN128" s="61">
        <f t="shared" si="103"/>
        <v>0.40635000000000004</v>
      </c>
      <c r="AO128" s="61">
        <f t="shared" si="104"/>
        <v>0.81270000000000009</v>
      </c>
      <c r="AP128" s="61">
        <f t="shared" si="105"/>
        <v>0.81270000000000009</v>
      </c>
      <c r="AQ128" s="61">
        <f t="shared" si="106"/>
        <v>0.81270000000000009</v>
      </c>
      <c r="AR128" s="61">
        <f t="shared" si="107"/>
        <v>0.81270000000000009</v>
      </c>
      <c r="AS128" s="61">
        <f t="shared" si="108"/>
        <v>0.81270000000000009</v>
      </c>
      <c r="AT128" s="61">
        <f t="shared" si="109"/>
        <v>0.81270000000000009</v>
      </c>
      <c r="AU128" s="61">
        <f t="shared" si="110"/>
        <v>0.81270000000000009</v>
      </c>
      <c r="AV128" s="61">
        <f t="shared" si="111"/>
        <v>0.81270000000000009</v>
      </c>
      <c r="AW128" s="101">
        <f>VLOOKUP($C128,'Cost RMs'!$B$5:$Q$22,+AW$4-$AW$4+2,0)</f>
        <v>42500</v>
      </c>
      <c r="AX128" s="101">
        <f>VLOOKUP($C128,'Cost RMs'!$B$5:$Q$22,+AX$4-$AW$4+2,0)</f>
        <v>63692</v>
      </c>
      <c r="AY128" s="101">
        <f>VLOOKUP($C128,'Cost RMs'!$B$5:$Q$22,+AY$4-$AW$4+2,0)</f>
        <v>71301</v>
      </c>
      <c r="AZ128" s="101">
        <f>VLOOKUP($C128,'Cost RMs'!$B$5:$Q$22,+AZ$4-$AW$4+2,0)</f>
        <v>82665</v>
      </c>
      <c r="BA128" s="101">
        <f ca="1">VLOOKUP($C128,'Cost RMs'!$B$5:$Q$22,+BA$4-$AW$4+2,0)</f>
        <v>96790</v>
      </c>
      <c r="BB128" s="101">
        <f ca="1">VLOOKUP($C128,'Cost RMs'!$B$5:$Q$22,+BB$4-$AW$4+2,0)</f>
        <v>108395</v>
      </c>
      <c r="BC128" s="101">
        <f ca="1">VLOOKUP($C128,'Cost RMs'!$B$5:$Q$22,+BC$4-$AW$4+2,0)</f>
        <v>121511</v>
      </c>
      <c r="BD128" s="101">
        <f ca="1">VLOOKUP($C128,'Cost RMs'!$B$5:$Q$22,+BD$4-$AW$4+2,0)</f>
        <v>136214</v>
      </c>
      <c r="BE128" s="101">
        <f ca="1">VLOOKUP($C128,'Cost RMs'!$B$5:$Q$22,+BE$4-$AW$4+2,0)</f>
        <v>152696</v>
      </c>
      <c r="BF128" s="101">
        <f ca="1">VLOOKUP($C128,'Cost RMs'!$B$5:$Q$22,+BF$4-$AW$4+2,0)</f>
        <v>171172</v>
      </c>
      <c r="BG128" s="101">
        <f ca="1">VLOOKUP($C128,'Cost RMs'!$B$5:$Q$22,+BG$4-$AW$4+2,0)</f>
        <v>191884</v>
      </c>
      <c r="BH128" s="101">
        <f ca="1">VLOOKUP($C128,'Cost RMs'!$B$5:$Q$22,+BH$4-$AW$4+2,0)</f>
        <v>215102</v>
      </c>
      <c r="BI128" s="101">
        <f ca="1">VLOOKUP($C128,'Cost RMs'!$B$5:$Q$22,+BI$4-$AW$4+2,0)</f>
        <v>241129</v>
      </c>
      <c r="BJ128" s="101">
        <f ca="1">VLOOKUP($C128,'Cost RMs'!$B$5:$Q$22,+BJ$4-$AW$4+2,0)</f>
        <v>270306</v>
      </c>
      <c r="BK128" s="101">
        <f ca="1">VLOOKUP($C128,'Cost RMs'!$B$5:$Q$22,+BK$4-$AW$4+2,0)</f>
        <v>303013</v>
      </c>
      <c r="BL128" s="102">
        <f t="shared" si="112"/>
        <v>0</v>
      </c>
      <c r="BM128" s="102">
        <f t="shared" si="113"/>
        <v>0</v>
      </c>
      <c r="BN128" s="102">
        <f t="shared" si="114"/>
        <v>0</v>
      </c>
      <c r="BO128" s="102">
        <f t="shared" si="115"/>
        <v>0</v>
      </c>
      <c r="BP128" s="102">
        <f t="shared" ca="1" si="116"/>
        <v>0</v>
      </c>
      <c r="BQ128" s="102">
        <f t="shared" ca="1" si="117"/>
        <v>0</v>
      </c>
      <c r="BR128" s="102">
        <f t="shared" ca="1" si="118"/>
        <v>49375.994850000003</v>
      </c>
      <c r="BS128" s="102">
        <f t="shared" ca="1" si="119"/>
        <v>110701.11780000001</v>
      </c>
      <c r="BT128" s="102">
        <f t="shared" ca="1" si="120"/>
        <v>124096.03920000001</v>
      </c>
      <c r="BU128" s="102">
        <f t="shared" ca="1" si="121"/>
        <v>139111.48440000002</v>
      </c>
      <c r="BV128" s="102">
        <f t="shared" ca="1" si="122"/>
        <v>155944.12680000003</v>
      </c>
      <c r="BW128" s="102">
        <f t="shared" ca="1" si="123"/>
        <v>174813.39540000001</v>
      </c>
      <c r="BX128" s="102">
        <f t="shared" ca="1" si="124"/>
        <v>195965.53830000001</v>
      </c>
      <c r="BY128" s="102">
        <f t="shared" ca="1" si="125"/>
        <v>219677.68620000003</v>
      </c>
      <c r="BZ128" s="102">
        <f t="shared" ca="1" si="126"/>
        <v>246258.66510000001</v>
      </c>
    </row>
    <row r="129" spans="1:78" x14ac:dyDescent="0.25">
      <c r="A129" s="26" t="str">
        <f>+Assumptions!$A$39</f>
        <v>NPK 10-20-20</v>
      </c>
      <c r="B129" s="73">
        <f>+Assumptions!$R$55</f>
        <v>0.2</v>
      </c>
      <c r="C129" s="59" t="s">
        <v>146</v>
      </c>
      <c r="F129">
        <v>1.6919999999999997</v>
      </c>
      <c r="G129" s="61">
        <f t="shared" si="95"/>
        <v>1.6919999999999997</v>
      </c>
      <c r="H129" s="61">
        <f t="shared" si="128"/>
        <v>1.6919999999999997</v>
      </c>
      <c r="I129" s="61">
        <f t="shared" si="128"/>
        <v>1.6919999999999997</v>
      </c>
      <c r="J129" s="61">
        <f t="shared" si="128"/>
        <v>1.6919999999999997</v>
      </c>
      <c r="K129" s="61">
        <f t="shared" si="128"/>
        <v>1.6919999999999997</v>
      </c>
      <c r="L129" s="61">
        <f t="shared" si="128"/>
        <v>1.6919999999999997</v>
      </c>
      <c r="M129" s="61">
        <f t="shared" si="128"/>
        <v>1.6919999999999997</v>
      </c>
      <c r="N129" s="61">
        <f t="shared" si="128"/>
        <v>1.6919999999999997</v>
      </c>
      <c r="O129" s="61">
        <f t="shared" si="128"/>
        <v>1.6919999999999997</v>
      </c>
      <c r="P129" s="61">
        <f t="shared" si="128"/>
        <v>1.6919999999999997</v>
      </c>
      <c r="Q129" s="61">
        <f t="shared" si="128"/>
        <v>1.6919999999999997</v>
      </c>
      <c r="R129" s="61">
        <f t="shared" si="128"/>
        <v>1.6919999999999997</v>
      </c>
      <c r="S129" s="74">
        <f>VLOOKUP($A129,turnover!$A$184:$Q$192,+S$4-$S$4+3,0)</f>
        <v>0</v>
      </c>
      <c r="T129" s="74">
        <f>VLOOKUP($A129,turnover!$A$184:$Q$192,+T$4-$S$4+3,0)</f>
        <v>0</v>
      </c>
      <c r="U129" s="74">
        <f>VLOOKUP($A129,turnover!$A$184:$Q$192,+U$4-$S$4+3,0)</f>
        <v>0</v>
      </c>
      <c r="V129" s="74">
        <f>VLOOKUP($A129,turnover!$A$184:$Q$192,+V$4-$S$4+3,0)</f>
        <v>0</v>
      </c>
      <c r="W129" s="74">
        <f>VLOOKUP($A129,turnover!$A$184:$Q$192,+W$4-$S$4+3,0)</f>
        <v>0</v>
      </c>
      <c r="X129" s="74">
        <f>VLOOKUP($A129,turnover!$A$184:$Q$192,+X$4-$S$4+3,0)</f>
        <v>0</v>
      </c>
      <c r="Y129" s="74">
        <f>VLOOKUP($A129,turnover!$A$184:$Q$192,+Y$4-$S$4+3,0)</f>
        <v>0.90000000000000024</v>
      </c>
      <c r="Z129" s="74">
        <f>VLOOKUP($A129,turnover!$A$184:$Q$192,+Z$4-$S$4+3,0)</f>
        <v>1.8000000000000005</v>
      </c>
      <c r="AA129" s="74">
        <f>VLOOKUP($A129,turnover!$A$184:$Q$192,+AA$4-$S$4+3,0)</f>
        <v>1.8000000000000005</v>
      </c>
      <c r="AB129" s="74">
        <f>VLOOKUP($A129,turnover!$A$184:$Q$192,+AB$4-$S$4+3,0)</f>
        <v>1.8000000000000005</v>
      </c>
      <c r="AC129" s="74">
        <f>VLOOKUP($A129,turnover!$A$184:$Q$192,+AC$4-$S$4+3,0)</f>
        <v>1.8000000000000005</v>
      </c>
      <c r="AD129" s="74">
        <f>VLOOKUP($A129,turnover!$A$184:$Q$192,+AD$4-$S$4+3,0)</f>
        <v>1.8000000000000005</v>
      </c>
      <c r="AE129" s="74">
        <f>VLOOKUP($A129,turnover!$A$184:$Q$192,+AE$4-$S$4+3,0)</f>
        <v>1.8000000000000005</v>
      </c>
      <c r="AF129" s="74">
        <f>VLOOKUP($A129,turnover!$A$184:$Q$192,+AF$4-$S$4+3,0)</f>
        <v>1.8000000000000005</v>
      </c>
      <c r="AG129" s="74">
        <f>VLOOKUP($A129,turnover!$A$184:$Q$192,+AG$4-$S$4+3,0)</f>
        <v>1.8000000000000005</v>
      </c>
      <c r="AH129" s="61">
        <f t="shared" si="97"/>
        <v>0</v>
      </c>
      <c r="AI129" s="61">
        <f t="shared" si="98"/>
        <v>0</v>
      </c>
      <c r="AJ129" s="61">
        <f t="shared" si="99"/>
        <v>0</v>
      </c>
      <c r="AK129" s="61">
        <f t="shared" si="100"/>
        <v>0</v>
      </c>
      <c r="AL129" s="61">
        <f t="shared" si="101"/>
        <v>0</v>
      </c>
      <c r="AM129" s="61">
        <f t="shared" si="102"/>
        <v>0</v>
      </c>
      <c r="AN129" s="61">
        <f t="shared" si="103"/>
        <v>1.5228000000000002</v>
      </c>
      <c r="AO129" s="61">
        <f t="shared" si="104"/>
        <v>3.0456000000000003</v>
      </c>
      <c r="AP129" s="61">
        <f t="shared" si="105"/>
        <v>3.0456000000000003</v>
      </c>
      <c r="AQ129" s="61">
        <f t="shared" si="106"/>
        <v>3.0456000000000003</v>
      </c>
      <c r="AR129" s="61">
        <f t="shared" si="107"/>
        <v>3.0456000000000003</v>
      </c>
      <c r="AS129" s="61">
        <f t="shared" si="108"/>
        <v>3.0456000000000003</v>
      </c>
      <c r="AT129" s="61">
        <f t="shared" si="109"/>
        <v>3.0456000000000003</v>
      </c>
      <c r="AU129" s="61">
        <f t="shared" si="110"/>
        <v>3.0456000000000003</v>
      </c>
      <c r="AV129" s="61">
        <f t="shared" si="111"/>
        <v>3.0456000000000003</v>
      </c>
      <c r="AW129" s="101">
        <f>VLOOKUP($C129,'Cost RMs'!$B$5:$Q$22,+AW$4-$AW$4+2,0)</f>
        <v>7020</v>
      </c>
      <c r="AX129" s="101">
        <f>VLOOKUP($C129,'Cost RMs'!$B$5:$Q$22,+AX$4-$AW$4+2,0)</f>
        <v>8883</v>
      </c>
      <c r="AY129" s="101">
        <f>VLOOKUP($C129,'Cost RMs'!$B$5:$Q$22,+AY$4-$AW$4+2,0)</f>
        <v>11764</v>
      </c>
      <c r="AZ129" s="101">
        <f>VLOOKUP($C129,'Cost RMs'!$B$5:$Q$22,+AZ$4-$AW$4+2,0)</f>
        <v>15733</v>
      </c>
      <c r="BA129" s="101">
        <f ca="1">VLOOKUP($C129,'Cost RMs'!$B$5:$Q$22,+BA$4-$AW$4+2,0)</f>
        <v>19200</v>
      </c>
      <c r="BB129" s="101">
        <f ca="1">VLOOKUP($C129,'Cost RMs'!$B$5:$Q$22,+BB$4-$AW$4+2,0)</f>
        <v>21502</v>
      </c>
      <c r="BC129" s="101">
        <f ca="1">VLOOKUP($C129,'Cost RMs'!$B$5:$Q$22,+BC$4-$AW$4+2,0)</f>
        <v>24104</v>
      </c>
      <c r="BD129" s="101">
        <f ca="1">VLOOKUP($C129,'Cost RMs'!$B$5:$Q$22,+BD$4-$AW$4+2,0)</f>
        <v>27021</v>
      </c>
      <c r="BE129" s="101">
        <f ca="1">VLOOKUP($C129,'Cost RMs'!$B$5:$Q$22,+BE$4-$AW$4+2,0)</f>
        <v>30291</v>
      </c>
      <c r="BF129" s="101">
        <f ca="1">VLOOKUP($C129,'Cost RMs'!$B$5:$Q$22,+BF$4-$AW$4+2,0)</f>
        <v>33956</v>
      </c>
      <c r="BG129" s="101">
        <f ca="1">VLOOKUP($C129,'Cost RMs'!$B$5:$Q$22,+BG$4-$AW$4+2,0)</f>
        <v>38065</v>
      </c>
      <c r="BH129" s="101">
        <f ca="1">VLOOKUP($C129,'Cost RMs'!$B$5:$Q$22,+BH$4-$AW$4+2,0)</f>
        <v>42671</v>
      </c>
      <c r="BI129" s="101">
        <f ca="1">VLOOKUP($C129,'Cost RMs'!$B$5:$Q$22,+BI$4-$AW$4+2,0)</f>
        <v>47834</v>
      </c>
      <c r="BJ129" s="101">
        <f ca="1">VLOOKUP($C129,'Cost RMs'!$B$5:$Q$22,+BJ$4-$AW$4+2,0)</f>
        <v>53622</v>
      </c>
      <c r="BK129" s="101">
        <f ca="1">VLOOKUP($C129,'Cost RMs'!$B$5:$Q$22,+BK$4-$AW$4+2,0)</f>
        <v>60110</v>
      </c>
      <c r="BL129" s="102">
        <f t="shared" si="112"/>
        <v>0</v>
      </c>
      <c r="BM129" s="102">
        <f t="shared" si="113"/>
        <v>0</v>
      </c>
      <c r="BN129" s="102">
        <f t="shared" si="114"/>
        <v>0</v>
      </c>
      <c r="BO129" s="102">
        <f t="shared" si="115"/>
        <v>0</v>
      </c>
      <c r="BP129" s="102">
        <f t="shared" ca="1" si="116"/>
        <v>0</v>
      </c>
      <c r="BQ129" s="102">
        <f t="shared" ca="1" si="117"/>
        <v>0</v>
      </c>
      <c r="BR129" s="102">
        <f t="shared" ca="1" si="118"/>
        <v>36705.571200000006</v>
      </c>
      <c r="BS129" s="102">
        <f t="shared" ca="1" si="119"/>
        <v>82295.157600000006</v>
      </c>
      <c r="BT129" s="102">
        <f t="shared" ca="1" si="120"/>
        <v>92254.269600000014</v>
      </c>
      <c r="BU129" s="102">
        <f t="shared" ca="1" si="121"/>
        <v>103416.39360000001</v>
      </c>
      <c r="BV129" s="102">
        <f t="shared" ca="1" si="122"/>
        <v>115930.76400000001</v>
      </c>
      <c r="BW129" s="102">
        <f t="shared" ca="1" si="123"/>
        <v>129958.79760000002</v>
      </c>
      <c r="BX129" s="102">
        <f t="shared" ca="1" si="124"/>
        <v>145683.2304</v>
      </c>
      <c r="BY129" s="102">
        <f t="shared" ca="1" si="125"/>
        <v>163311.16320000001</v>
      </c>
      <c r="BZ129" s="102">
        <f t="shared" ca="1" si="126"/>
        <v>183071.01600000003</v>
      </c>
    </row>
    <row r="130" spans="1:78" x14ac:dyDescent="0.25">
      <c r="A130" s="26" t="str">
        <f>+Assumptions!$A$39</f>
        <v>NPK 10-20-20</v>
      </c>
      <c r="B130" s="73">
        <f>+Assumptions!$R$55</f>
        <v>0.2</v>
      </c>
      <c r="C130" s="59" t="s">
        <v>147</v>
      </c>
      <c r="F130">
        <v>0.219</v>
      </c>
      <c r="G130" s="61">
        <f t="shared" si="95"/>
        <v>0.219</v>
      </c>
      <c r="H130" s="61">
        <f t="shared" si="128"/>
        <v>0.219</v>
      </c>
      <c r="I130" s="61">
        <f t="shared" si="128"/>
        <v>0.219</v>
      </c>
      <c r="J130" s="61">
        <f t="shared" si="128"/>
        <v>0.219</v>
      </c>
      <c r="K130" s="61">
        <f t="shared" si="128"/>
        <v>0.219</v>
      </c>
      <c r="L130" s="61">
        <f t="shared" si="128"/>
        <v>0.219</v>
      </c>
      <c r="M130" s="61">
        <f t="shared" si="128"/>
        <v>0.219</v>
      </c>
      <c r="N130" s="61">
        <f t="shared" si="128"/>
        <v>0.219</v>
      </c>
      <c r="O130" s="61">
        <f t="shared" si="128"/>
        <v>0.219</v>
      </c>
      <c r="P130" s="61">
        <f t="shared" si="128"/>
        <v>0.219</v>
      </c>
      <c r="Q130" s="61">
        <f t="shared" si="128"/>
        <v>0.219</v>
      </c>
      <c r="R130" s="61">
        <f t="shared" si="128"/>
        <v>0.219</v>
      </c>
      <c r="S130" s="74">
        <f>VLOOKUP($A130,turnover!$A$184:$Q$192,+S$4-$S$4+3,0)</f>
        <v>0</v>
      </c>
      <c r="T130" s="74">
        <f>VLOOKUP($A130,turnover!$A$184:$Q$192,+T$4-$S$4+3,0)</f>
        <v>0</v>
      </c>
      <c r="U130" s="74">
        <f>VLOOKUP($A130,turnover!$A$184:$Q$192,+U$4-$S$4+3,0)</f>
        <v>0</v>
      </c>
      <c r="V130" s="74">
        <f>VLOOKUP($A130,turnover!$A$184:$Q$192,+V$4-$S$4+3,0)</f>
        <v>0</v>
      </c>
      <c r="W130" s="74">
        <f>VLOOKUP($A130,turnover!$A$184:$Q$192,+W$4-$S$4+3,0)</f>
        <v>0</v>
      </c>
      <c r="X130" s="74">
        <f>VLOOKUP($A130,turnover!$A$184:$Q$192,+X$4-$S$4+3,0)</f>
        <v>0</v>
      </c>
      <c r="Y130" s="74">
        <f>VLOOKUP($A130,turnover!$A$184:$Q$192,+Y$4-$S$4+3,0)</f>
        <v>0.90000000000000024</v>
      </c>
      <c r="Z130" s="74">
        <f>VLOOKUP($A130,turnover!$A$184:$Q$192,+Z$4-$S$4+3,0)</f>
        <v>1.8000000000000005</v>
      </c>
      <c r="AA130" s="74">
        <f>VLOOKUP($A130,turnover!$A$184:$Q$192,+AA$4-$S$4+3,0)</f>
        <v>1.8000000000000005</v>
      </c>
      <c r="AB130" s="74">
        <f>VLOOKUP($A130,turnover!$A$184:$Q$192,+AB$4-$S$4+3,0)</f>
        <v>1.8000000000000005</v>
      </c>
      <c r="AC130" s="74">
        <f>VLOOKUP($A130,turnover!$A$184:$Q$192,+AC$4-$S$4+3,0)</f>
        <v>1.8000000000000005</v>
      </c>
      <c r="AD130" s="74">
        <f>VLOOKUP($A130,turnover!$A$184:$Q$192,+AD$4-$S$4+3,0)</f>
        <v>1.8000000000000005</v>
      </c>
      <c r="AE130" s="74">
        <f>VLOOKUP($A130,turnover!$A$184:$Q$192,+AE$4-$S$4+3,0)</f>
        <v>1.8000000000000005</v>
      </c>
      <c r="AF130" s="74">
        <f>VLOOKUP($A130,turnover!$A$184:$Q$192,+AF$4-$S$4+3,0)</f>
        <v>1.8000000000000005</v>
      </c>
      <c r="AG130" s="74">
        <f>VLOOKUP($A130,turnover!$A$184:$Q$192,+AG$4-$S$4+3,0)</f>
        <v>1.8000000000000005</v>
      </c>
      <c r="AH130" s="61">
        <f t="shared" si="97"/>
        <v>0</v>
      </c>
      <c r="AI130" s="61">
        <f t="shared" si="98"/>
        <v>0</v>
      </c>
      <c r="AJ130" s="61">
        <f t="shared" si="99"/>
        <v>0</v>
      </c>
      <c r="AK130" s="61">
        <f t="shared" si="100"/>
        <v>0</v>
      </c>
      <c r="AL130" s="61">
        <f t="shared" si="101"/>
        <v>0</v>
      </c>
      <c r="AM130" s="61">
        <f t="shared" si="102"/>
        <v>0</v>
      </c>
      <c r="AN130" s="61">
        <f t="shared" si="103"/>
        <v>0.19710000000000005</v>
      </c>
      <c r="AO130" s="61">
        <f t="shared" si="104"/>
        <v>0.39420000000000011</v>
      </c>
      <c r="AP130" s="61">
        <f t="shared" si="105"/>
        <v>0.39420000000000011</v>
      </c>
      <c r="AQ130" s="61">
        <f t="shared" si="106"/>
        <v>0.39420000000000011</v>
      </c>
      <c r="AR130" s="61">
        <f t="shared" si="107"/>
        <v>0.39420000000000011</v>
      </c>
      <c r="AS130" s="61">
        <f t="shared" si="108"/>
        <v>0.39420000000000011</v>
      </c>
      <c r="AT130" s="61">
        <f t="shared" si="109"/>
        <v>0.39420000000000011</v>
      </c>
      <c r="AU130" s="61">
        <f t="shared" si="110"/>
        <v>0.39420000000000011</v>
      </c>
      <c r="AV130" s="61">
        <f t="shared" si="111"/>
        <v>0.39420000000000011</v>
      </c>
      <c r="AW130" s="101">
        <f>VLOOKUP($C130,'Cost RMs'!$B$5:$Q$22,+AW$4-$AW$4+2,0)</f>
        <v>25380</v>
      </c>
      <c r="AX130" s="101">
        <f>VLOOKUP($C130,'Cost RMs'!$B$5:$Q$22,+AX$4-$AW$4+2,0)</f>
        <v>33957</v>
      </c>
      <c r="AY130" s="101">
        <f>VLOOKUP($C130,'Cost RMs'!$B$5:$Q$22,+AY$4-$AW$4+2,0)</f>
        <v>50212</v>
      </c>
      <c r="AZ130" s="101">
        <f>VLOOKUP($C130,'Cost RMs'!$B$5:$Q$22,+AZ$4-$AW$4+2,0)</f>
        <v>63581</v>
      </c>
      <c r="BA130" s="101">
        <f ca="1">VLOOKUP($C130,'Cost RMs'!$B$5:$Q$22,+BA$4-$AW$4+2,0)</f>
        <v>82384</v>
      </c>
      <c r="BB130" s="101">
        <f ca="1">VLOOKUP($C130,'Cost RMs'!$B$5:$Q$22,+BB$4-$AW$4+2,0)</f>
        <v>92262</v>
      </c>
      <c r="BC130" s="101">
        <f ca="1">VLOOKUP($C130,'Cost RMs'!$B$5:$Q$22,+BC$4-$AW$4+2,0)</f>
        <v>103426</v>
      </c>
      <c r="BD130" s="101">
        <f ca="1">VLOOKUP($C130,'Cost RMs'!$B$5:$Q$22,+BD$4-$AW$4+2,0)</f>
        <v>115941</v>
      </c>
      <c r="BE130" s="101">
        <f ca="1">VLOOKUP($C130,'Cost RMs'!$B$5:$Q$22,+BE$4-$AW$4+2,0)</f>
        <v>129970</v>
      </c>
      <c r="BF130" s="101">
        <f ca="1">VLOOKUP($C130,'Cost RMs'!$B$5:$Q$22,+BF$4-$AW$4+2,0)</f>
        <v>145696</v>
      </c>
      <c r="BG130" s="101">
        <f ca="1">VLOOKUP($C130,'Cost RMs'!$B$5:$Q$22,+BG$4-$AW$4+2,0)</f>
        <v>163325</v>
      </c>
      <c r="BH130" s="101">
        <f ca="1">VLOOKUP($C130,'Cost RMs'!$B$5:$Q$22,+BH$4-$AW$4+2,0)</f>
        <v>183087</v>
      </c>
      <c r="BI130" s="101">
        <f ca="1">VLOOKUP($C130,'Cost RMs'!$B$5:$Q$22,+BI$4-$AW$4+2,0)</f>
        <v>205241</v>
      </c>
      <c r="BJ130" s="101">
        <f ca="1">VLOOKUP($C130,'Cost RMs'!$B$5:$Q$22,+BJ$4-$AW$4+2,0)</f>
        <v>230075</v>
      </c>
      <c r="BK130" s="101">
        <f ca="1">VLOOKUP($C130,'Cost RMs'!$B$5:$Q$22,+BK$4-$AW$4+2,0)</f>
        <v>257914</v>
      </c>
      <c r="BL130" s="102">
        <f t="shared" si="112"/>
        <v>0</v>
      </c>
      <c r="BM130" s="102">
        <f t="shared" si="113"/>
        <v>0</v>
      </c>
      <c r="BN130" s="102">
        <f t="shared" si="114"/>
        <v>0</v>
      </c>
      <c r="BO130" s="102">
        <f t="shared" si="115"/>
        <v>0</v>
      </c>
      <c r="BP130" s="102">
        <f t="shared" ca="1" si="116"/>
        <v>0</v>
      </c>
      <c r="BQ130" s="102">
        <f t="shared" ca="1" si="117"/>
        <v>0</v>
      </c>
      <c r="BR130" s="102">
        <f t="shared" ca="1" si="118"/>
        <v>20385.264600000006</v>
      </c>
      <c r="BS130" s="102">
        <f t="shared" ca="1" si="119"/>
        <v>45703.942200000012</v>
      </c>
      <c r="BT130" s="102">
        <f t="shared" ca="1" si="120"/>
        <v>51234.174000000014</v>
      </c>
      <c r="BU130" s="102">
        <f t="shared" ca="1" si="121"/>
        <v>57433.363200000014</v>
      </c>
      <c r="BV130" s="102">
        <f t="shared" ca="1" si="122"/>
        <v>64382.715000000018</v>
      </c>
      <c r="BW130" s="102">
        <f t="shared" ca="1" si="123"/>
        <v>72172.895400000023</v>
      </c>
      <c r="BX130" s="102">
        <f t="shared" ca="1" si="124"/>
        <v>80906.002200000017</v>
      </c>
      <c r="BY130" s="102">
        <f t="shared" ca="1" si="125"/>
        <v>90695.565000000031</v>
      </c>
      <c r="BZ130" s="102">
        <f t="shared" ca="1" si="126"/>
        <v>101669.69880000003</v>
      </c>
    </row>
    <row r="131" spans="1:78" x14ac:dyDescent="0.25">
      <c r="A131" s="26" t="str">
        <f>+Assumptions!$A$39</f>
        <v>NPK 10-20-20</v>
      </c>
      <c r="B131" s="73">
        <f>+Assumptions!$R$55</f>
        <v>0.2</v>
      </c>
      <c r="C131" s="59" t="s">
        <v>148</v>
      </c>
      <c r="F131">
        <v>3.2999999999999995E-2</v>
      </c>
      <c r="G131" s="61">
        <f t="shared" si="95"/>
        <v>3.2999999999999995E-2</v>
      </c>
      <c r="H131" s="61">
        <f t="shared" si="128"/>
        <v>3.2999999999999995E-2</v>
      </c>
      <c r="I131" s="61">
        <f t="shared" si="128"/>
        <v>3.2999999999999995E-2</v>
      </c>
      <c r="J131" s="61">
        <f t="shared" si="128"/>
        <v>3.2999999999999995E-2</v>
      </c>
      <c r="K131" s="61">
        <f t="shared" si="128"/>
        <v>3.2999999999999995E-2</v>
      </c>
      <c r="L131" s="61">
        <f t="shared" si="128"/>
        <v>3.2999999999999995E-2</v>
      </c>
      <c r="M131" s="61">
        <f t="shared" si="128"/>
        <v>3.2999999999999995E-2</v>
      </c>
      <c r="N131" s="61">
        <f t="shared" si="128"/>
        <v>3.2999999999999995E-2</v>
      </c>
      <c r="O131" s="61">
        <f t="shared" si="128"/>
        <v>3.2999999999999995E-2</v>
      </c>
      <c r="P131" s="61">
        <f t="shared" si="128"/>
        <v>3.2999999999999995E-2</v>
      </c>
      <c r="Q131" s="61">
        <f t="shared" si="128"/>
        <v>3.2999999999999995E-2</v>
      </c>
      <c r="R131" s="61">
        <f t="shared" si="128"/>
        <v>3.2999999999999995E-2</v>
      </c>
      <c r="S131" s="74">
        <f>VLOOKUP($A131,turnover!$A$184:$Q$192,+S$4-$S$4+3,0)</f>
        <v>0</v>
      </c>
      <c r="T131" s="74">
        <f>VLOOKUP($A131,turnover!$A$184:$Q$192,+T$4-$S$4+3,0)</f>
        <v>0</v>
      </c>
      <c r="U131" s="74">
        <f>VLOOKUP($A131,turnover!$A$184:$Q$192,+U$4-$S$4+3,0)</f>
        <v>0</v>
      </c>
      <c r="V131" s="74">
        <f>VLOOKUP($A131,turnover!$A$184:$Q$192,+V$4-$S$4+3,0)</f>
        <v>0</v>
      </c>
      <c r="W131" s="74">
        <f>VLOOKUP($A131,turnover!$A$184:$Q$192,+W$4-$S$4+3,0)</f>
        <v>0</v>
      </c>
      <c r="X131" s="74">
        <f>VLOOKUP($A131,turnover!$A$184:$Q$192,+X$4-$S$4+3,0)</f>
        <v>0</v>
      </c>
      <c r="Y131" s="74">
        <f>VLOOKUP($A131,turnover!$A$184:$Q$192,+Y$4-$S$4+3,0)</f>
        <v>0.90000000000000024</v>
      </c>
      <c r="Z131" s="74">
        <f>VLOOKUP($A131,turnover!$A$184:$Q$192,+Z$4-$S$4+3,0)</f>
        <v>1.8000000000000005</v>
      </c>
      <c r="AA131" s="74">
        <f>VLOOKUP($A131,turnover!$A$184:$Q$192,+AA$4-$S$4+3,0)</f>
        <v>1.8000000000000005</v>
      </c>
      <c r="AB131" s="74">
        <f>VLOOKUP($A131,turnover!$A$184:$Q$192,+AB$4-$S$4+3,0)</f>
        <v>1.8000000000000005</v>
      </c>
      <c r="AC131" s="74">
        <f>VLOOKUP($A131,turnover!$A$184:$Q$192,+AC$4-$S$4+3,0)</f>
        <v>1.8000000000000005</v>
      </c>
      <c r="AD131" s="74">
        <f>VLOOKUP($A131,turnover!$A$184:$Q$192,+AD$4-$S$4+3,0)</f>
        <v>1.8000000000000005</v>
      </c>
      <c r="AE131" s="74">
        <f>VLOOKUP($A131,turnover!$A$184:$Q$192,+AE$4-$S$4+3,0)</f>
        <v>1.8000000000000005</v>
      </c>
      <c r="AF131" s="74">
        <f>VLOOKUP($A131,turnover!$A$184:$Q$192,+AF$4-$S$4+3,0)</f>
        <v>1.8000000000000005</v>
      </c>
      <c r="AG131" s="74">
        <f>VLOOKUP($A131,turnover!$A$184:$Q$192,+AG$4-$S$4+3,0)</f>
        <v>1.8000000000000005</v>
      </c>
      <c r="AH131" s="61">
        <f t="shared" si="97"/>
        <v>0</v>
      </c>
      <c r="AI131" s="61">
        <f t="shared" si="98"/>
        <v>0</v>
      </c>
      <c r="AJ131" s="61">
        <f t="shared" si="99"/>
        <v>0</v>
      </c>
      <c r="AK131" s="61">
        <f t="shared" si="100"/>
        <v>0</v>
      </c>
      <c r="AL131" s="61">
        <f t="shared" si="101"/>
        <v>0</v>
      </c>
      <c r="AM131" s="61">
        <f t="shared" si="102"/>
        <v>0</v>
      </c>
      <c r="AN131" s="61">
        <f t="shared" si="103"/>
        <v>2.9700000000000004E-2</v>
      </c>
      <c r="AO131" s="61">
        <f t="shared" si="104"/>
        <v>5.9400000000000008E-2</v>
      </c>
      <c r="AP131" s="61">
        <f t="shared" si="105"/>
        <v>5.9400000000000008E-2</v>
      </c>
      <c r="AQ131" s="61">
        <f t="shared" si="106"/>
        <v>5.9400000000000008E-2</v>
      </c>
      <c r="AR131" s="61">
        <f t="shared" si="107"/>
        <v>5.9400000000000008E-2</v>
      </c>
      <c r="AS131" s="61">
        <f t="shared" si="108"/>
        <v>5.9400000000000008E-2</v>
      </c>
      <c r="AT131" s="61">
        <f t="shared" si="109"/>
        <v>5.9400000000000008E-2</v>
      </c>
      <c r="AU131" s="61">
        <f t="shared" si="110"/>
        <v>5.9400000000000008E-2</v>
      </c>
      <c r="AV131" s="61">
        <f t="shared" si="111"/>
        <v>5.9400000000000008E-2</v>
      </c>
      <c r="AW131" s="101">
        <f>VLOOKUP($C131,'Cost RMs'!$B$5:$Q$22,+AW$4-$AW$4+2,0)</f>
        <v>27439</v>
      </c>
      <c r="AX131" s="101">
        <f>VLOOKUP($C131,'Cost RMs'!$B$5:$Q$22,+AX$4-$AW$4+2,0)</f>
        <v>32275</v>
      </c>
      <c r="AY131" s="101">
        <f>VLOOKUP($C131,'Cost RMs'!$B$5:$Q$22,+AY$4-$AW$4+2,0)</f>
        <v>45664</v>
      </c>
      <c r="AZ131" s="101">
        <f>VLOOKUP($C131,'Cost RMs'!$B$5:$Q$22,+AZ$4-$AW$4+2,0)</f>
        <v>50129</v>
      </c>
      <c r="BA131" s="101">
        <f ca="1">VLOOKUP($C131,'Cost RMs'!$B$5:$Q$22,+BA$4-$AW$4+2,0)</f>
        <v>75490</v>
      </c>
      <c r="BB131" s="101">
        <f ca="1">VLOOKUP($C131,'Cost RMs'!$B$5:$Q$22,+BB$4-$AW$4+2,0)</f>
        <v>84541</v>
      </c>
      <c r="BC131" s="101">
        <f ca="1">VLOOKUP($C131,'Cost RMs'!$B$5:$Q$22,+BC$4-$AW$4+2,0)</f>
        <v>94770</v>
      </c>
      <c r="BD131" s="101">
        <f ca="1">VLOOKUP($C131,'Cost RMs'!$B$5:$Q$22,+BD$4-$AW$4+2,0)</f>
        <v>106237</v>
      </c>
      <c r="BE131" s="101">
        <f ca="1">VLOOKUP($C131,'Cost RMs'!$B$5:$Q$22,+BE$4-$AW$4+2,0)</f>
        <v>119092</v>
      </c>
      <c r="BF131" s="101">
        <f ca="1">VLOOKUP($C131,'Cost RMs'!$B$5:$Q$22,+BF$4-$AW$4+2,0)</f>
        <v>133502</v>
      </c>
      <c r="BG131" s="101">
        <f ca="1">VLOOKUP($C131,'Cost RMs'!$B$5:$Q$22,+BG$4-$AW$4+2,0)</f>
        <v>149656</v>
      </c>
      <c r="BH131" s="101">
        <f ca="1">VLOOKUP($C131,'Cost RMs'!$B$5:$Q$22,+BH$4-$AW$4+2,0)</f>
        <v>167764</v>
      </c>
      <c r="BI131" s="101">
        <f ca="1">VLOOKUP($C131,'Cost RMs'!$B$5:$Q$22,+BI$4-$AW$4+2,0)</f>
        <v>188063</v>
      </c>
      <c r="BJ131" s="101">
        <f ca="1">VLOOKUP($C131,'Cost RMs'!$B$5:$Q$22,+BJ$4-$AW$4+2,0)</f>
        <v>210819</v>
      </c>
      <c r="BK131" s="101">
        <f ca="1">VLOOKUP($C131,'Cost RMs'!$B$5:$Q$22,+BK$4-$AW$4+2,0)</f>
        <v>236328</v>
      </c>
      <c r="BL131" s="102">
        <f t="shared" si="112"/>
        <v>0</v>
      </c>
      <c r="BM131" s="102">
        <f t="shared" si="113"/>
        <v>0</v>
      </c>
      <c r="BN131" s="102">
        <f t="shared" si="114"/>
        <v>0</v>
      </c>
      <c r="BO131" s="102">
        <f t="shared" si="115"/>
        <v>0</v>
      </c>
      <c r="BP131" s="102">
        <f t="shared" ca="1" si="116"/>
        <v>0</v>
      </c>
      <c r="BQ131" s="102">
        <f t="shared" ca="1" si="117"/>
        <v>0</v>
      </c>
      <c r="BR131" s="102">
        <f t="shared" ca="1" si="118"/>
        <v>2814.6690000000003</v>
      </c>
      <c r="BS131" s="102">
        <f t="shared" ca="1" si="119"/>
        <v>6310.4778000000006</v>
      </c>
      <c r="BT131" s="102">
        <f t="shared" ca="1" si="120"/>
        <v>7074.064800000001</v>
      </c>
      <c r="BU131" s="102">
        <f t="shared" ca="1" si="121"/>
        <v>7930.0188000000007</v>
      </c>
      <c r="BV131" s="102">
        <f t="shared" ca="1" si="122"/>
        <v>8889.5664000000015</v>
      </c>
      <c r="BW131" s="102">
        <f t="shared" ca="1" si="123"/>
        <v>9965.1816000000017</v>
      </c>
      <c r="BX131" s="102">
        <f t="shared" ca="1" si="124"/>
        <v>11170.942200000001</v>
      </c>
      <c r="BY131" s="102">
        <f t="shared" ca="1" si="125"/>
        <v>12522.648600000002</v>
      </c>
      <c r="BZ131" s="102">
        <f t="shared" ca="1" si="126"/>
        <v>14037.883200000002</v>
      </c>
    </row>
    <row r="132" spans="1:78" x14ac:dyDescent="0.25">
      <c r="A132" s="26" t="str">
        <f>+Assumptions!$A$39</f>
        <v>NPK 10-20-20</v>
      </c>
      <c r="B132" s="73">
        <f>+Assumptions!$R$55</f>
        <v>0.2</v>
      </c>
      <c r="C132" s="59" t="s">
        <v>149</v>
      </c>
      <c r="F132">
        <v>1.6327500000000001</v>
      </c>
      <c r="G132" s="61">
        <f t="shared" si="95"/>
        <v>1.6327500000000001</v>
      </c>
      <c r="H132" s="61">
        <f t="shared" si="128"/>
        <v>1.6327500000000001</v>
      </c>
      <c r="I132" s="61">
        <f t="shared" si="128"/>
        <v>1.6327500000000001</v>
      </c>
      <c r="J132" s="61">
        <f t="shared" si="128"/>
        <v>1.6327500000000001</v>
      </c>
      <c r="K132" s="61">
        <f t="shared" si="128"/>
        <v>1.6327500000000001</v>
      </c>
      <c r="L132" s="61">
        <f t="shared" si="128"/>
        <v>1.6327500000000001</v>
      </c>
      <c r="M132" s="61">
        <f t="shared" si="128"/>
        <v>1.6327500000000001</v>
      </c>
      <c r="N132" s="61">
        <f t="shared" si="128"/>
        <v>1.6327500000000001</v>
      </c>
      <c r="O132" s="61">
        <f t="shared" si="128"/>
        <v>1.6327500000000001</v>
      </c>
      <c r="P132" s="61">
        <f t="shared" si="128"/>
        <v>1.6327500000000001</v>
      </c>
      <c r="Q132" s="61">
        <f t="shared" si="128"/>
        <v>1.6327500000000001</v>
      </c>
      <c r="R132" s="61">
        <f t="shared" si="128"/>
        <v>1.6327500000000001</v>
      </c>
      <c r="S132" s="74">
        <f>VLOOKUP($A132,turnover!$A$184:$Q$192,+S$4-$S$4+3,0)</f>
        <v>0</v>
      </c>
      <c r="T132" s="74">
        <f>VLOOKUP($A132,turnover!$A$184:$Q$192,+T$4-$S$4+3,0)</f>
        <v>0</v>
      </c>
      <c r="U132" s="74">
        <f>VLOOKUP($A132,turnover!$A$184:$Q$192,+U$4-$S$4+3,0)</f>
        <v>0</v>
      </c>
      <c r="V132" s="74">
        <f>VLOOKUP($A132,turnover!$A$184:$Q$192,+V$4-$S$4+3,0)</f>
        <v>0</v>
      </c>
      <c r="W132" s="74">
        <f>VLOOKUP($A132,turnover!$A$184:$Q$192,+W$4-$S$4+3,0)</f>
        <v>0</v>
      </c>
      <c r="X132" s="74">
        <f>VLOOKUP($A132,turnover!$A$184:$Q$192,+X$4-$S$4+3,0)</f>
        <v>0</v>
      </c>
      <c r="Y132" s="74">
        <f>VLOOKUP($A132,turnover!$A$184:$Q$192,+Y$4-$S$4+3,0)</f>
        <v>0.90000000000000024</v>
      </c>
      <c r="Z132" s="74">
        <f>VLOOKUP($A132,turnover!$A$184:$Q$192,+Z$4-$S$4+3,0)</f>
        <v>1.8000000000000005</v>
      </c>
      <c r="AA132" s="74">
        <f>VLOOKUP($A132,turnover!$A$184:$Q$192,+AA$4-$S$4+3,0)</f>
        <v>1.8000000000000005</v>
      </c>
      <c r="AB132" s="74">
        <f>VLOOKUP($A132,turnover!$A$184:$Q$192,+AB$4-$S$4+3,0)</f>
        <v>1.8000000000000005</v>
      </c>
      <c r="AC132" s="74">
        <f>VLOOKUP($A132,turnover!$A$184:$Q$192,+AC$4-$S$4+3,0)</f>
        <v>1.8000000000000005</v>
      </c>
      <c r="AD132" s="74">
        <f>VLOOKUP($A132,turnover!$A$184:$Q$192,+AD$4-$S$4+3,0)</f>
        <v>1.8000000000000005</v>
      </c>
      <c r="AE132" s="74">
        <f>VLOOKUP($A132,turnover!$A$184:$Q$192,+AE$4-$S$4+3,0)</f>
        <v>1.8000000000000005</v>
      </c>
      <c r="AF132" s="74">
        <f>VLOOKUP($A132,turnover!$A$184:$Q$192,+AF$4-$S$4+3,0)</f>
        <v>1.8000000000000005</v>
      </c>
      <c r="AG132" s="74">
        <f>VLOOKUP($A132,turnover!$A$184:$Q$192,+AG$4-$S$4+3,0)</f>
        <v>1.8000000000000005</v>
      </c>
      <c r="AH132" s="61">
        <f t="shared" si="97"/>
        <v>0</v>
      </c>
      <c r="AI132" s="61">
        <f t="shared" si="98"/>
        <v>0</v>
      </c>
      <c r="AJ132" s="61">
        <f t="shared" si="99"/>
        <v>0</v>
      </c>
      <c r="AK132" s="61">
        <f t="shared" si="100"/>
        <v>0</v>
      </c>
      <c r="AL132" s="61">
        <f t="shared" si="101"/>
        <v>0</v>
      </c>
      <c r="AM132" s="61">
        <f t="shared" si="102"/>
        <v>0</v>
      </c>
      <c r="AN132" s="61">
        <f t="shared" si="103"/>
        <v>1.4694750000000005</v>
      </c>
      <c r="AO132" s="61">
        <f t="shared" si="104"/>
        <v>2.9389500000000011</v>
      </c>
      <c r="AP132" s="61">
        <f t="shared" si="105"/>
        <v>2.9389500000000011</v>
      </c>
      <c r="AQ132" s="61">
        <f t="shared" si="106"/>
        <v>2.9389500000000011</v>
      </c>
      <c r="AR132" s="61">
        <f t="shared" si="107"/>
        <v>2.9389500000000011</v>
      </c>
      <c r="AS132" s="61">
        <f t="shared" si="108"/>
        <v>2.9389500000000011</v>
      </c>
      <c r="AT132" s="61">
        <f t="shared" si="109"/>
        <v>2.9389500000000011</v>
      </c>
      <c r="AU132" s="61">
        <f t="shared" si="110"/>
        <v>2.9389500000000011</v>
      </c>
      <c r="AV132" s="61">
        <f t="shared" si="111"/>
        <v>2.9389500000000011</v>
      </c>
      <c r="AW132" s="101">
        <f>VLOOKUP($C132,'Cost RMs'!$B$5:$Q$22,+AW$4-$AW$4+2,0)</f>
        <v>9377</v>
      </c>
      <c r="AX132" s="101">
        <f>VLOOKUP($C132,'Cost RMs'!$B$5:$Q$22,+AX$4-$AW$4+2,0)</f>
        <v>9969</v>
      </c>
      <c r="AY132" s="101">
        <f>VLOOKUP($C132,'Cost RMs'!$B$5:$Q$22,+AY$4-$AW$4+2,0)</f>
        <v>14915</v>
      </c>
      <c r="AZ132" s="101">
        <f>VLOOKUP($C132,'Cost RMs'!$B$5:$Q$22,+AZ$4-$AW$4+2,0)</f>
        <v>16547</v>
      </c>
      <c r="BA132" s="101">
        <f ca="1">VLOOKUP($C132,'Cost RMs'!$B$5:$Q$22,+BA$4-$AW$4+2,0)</f>
        <v>17617</v>
      </c>
      <c r="BB132" s="101">
        <f ca="1">VLOOKUP($C132,'Cost RMs'!$B$5:$Q$22,+BB$4-$AW$4+2,0)</f>
        <v>19729</v>
      </c>
      <c r="BC132" s="101">
        <f ca="1">VLOOKUP($C132,'Cost RMs'!$B$5:$Q$22,+BC$4-$AW$4+2,0)</f>
        <v>22116</v>
      </c>
      <c r="BD132" s="101">
        <f ca="1">VLOOKUP($C132,'Cost RMs'!$B$5:$Q$22,+BD$4-$AW$4+2,0)</f>
        <v>24792</v>
      </c>
      <c r="BE132" s="101">
        <f ca="1">VLOOKUP($C132,'Cost RMs'!$B$5:$Q$22,+BE$4-$AW$4+2,0)</f>
        <v>27792</v>
      </c>
      <c r="BF132" s="101">
        <f ca="1">VLOOKUP($C132,'Cost RMs'!$B$5:$Q$22,+BF$4-$AW$4+2,0)</f>
        <v>31155</v>
      </c>
      <c r="BG132" s="101">
        <f ca="1">VLOOKUP($C132,'Cost RMs'!$B$5:$Q$22,+BG$4-$AW$4+2,0)</f>
        <v>34925</v>
      </c>
      <c r="BH132" s="101">
        <f ca="1">VLOOKUP($C132,'Cost RMs'!$B$5:$Q$22,+BH$4-$AW$4+2,0)</f>
        <v>39151</v>
      </c>
      <c r="BI132" s="101">
        <f ca="1">VLOOKUP($C132,'Cost RMs'!$B$5:$Q$22,+BI$4-$AW$4+2,0)</f>
        <v>43888</v>
      </c>
      <c r="BJ132" s="101">
        <f ca="1">VLOOKUP($C132,'Cost RMs'!$B$5:$Q$22,+BJ$4-$AW$4+2,0)</f>
        <v>49198</v>
      </c>
      <c r="BK132" s="101">
        <f ca="1">VLOOKUP($C132,'Cost RMs'!$B$5:$Q$22,+BK$4-$AW$4+2,0)</f>
        <v>55151</v>
      </c>
      <c r="BL132" s="102">
        <f t="shared" si="112"/>
        <v>0</v>
      </c>
      <c r="BM132" s="102">
        <f t="shared" si="113"/>
        <v>0</v>
      </c>
      <c r="BN132" s="102">
        <f t="shared" si="114"/>
        <v>0</v>
      </c>
      <c r="BO132" s="102">
        <f t="shared" si="115"/>
        <v>0</v>
      </c>
      <c r="BP132" s="102">
        <f t="shared" ca="1" si="116"/>
        <v>0</v>
      </c>
      <c r="BQ132" s="102">
        <f t="shared" ca="1" si="117"/>
        <v>0</v>
      </c>
      <c r="BR132" s="102">
        <f t="shared" ca="1" si="118"/>
        <v>32498.909100000012</v>
      </c>
      <c r="BS132" s="102">
        <f t="shared" ca="1" si="119"/>
        <v>72862.448400000023</v>
      </c>
      <c r="BT132" s="102">
        <f t="shared" ca="1" si="120"/>
        <v>81679.298400000029</v>
      </c>
      <c r="BU132" s="102">
        <f t="shared" ca="1" si="121"/>
        <v>91562.987250000035</v>
      </c>
      <c r="BV132" s="102">
        <f t="shared" ca="1" si="122"/>
        <v>102642.82875000004</v>
      </c>
      <c r="BW132" s="102">
        <f t="shared" ca="1" si="123"/>
        <v>115062.83145000004</v>
      </c>
      <c r="BX132" s="102">
        <f t="shared" ca="1" si="124"/>
        <v>128984.63760000005</v>
      </c>
      <c r="BY132" s="102">
        <f t="shared" ca="1" si="125"/>
        <v>144590.46210000006</v>
      </c>
      <c r="BZ132" s="102">
        <f t="shared" ca="1" si="126"/>
        <v>162086.03145000007</v>
      </c>
    </row>
    <row r="133" spans="1:78" x14ac:dyDescent="0.25">
      <c r="A133" s="26" t="str">
        <f>+Assumptions!$A$39</f>
        <v>NPK 10-20-20</v>
      </c>
      <c r="B133" s="73">
        <f>+Assumptions!$R$55</f>
        <v>0.2</v>
      </c>
      <c r="C133" s="59" t="s">
        <v>546</v>
      </c>
      <c r="F133">
        <v>16.667000000000002</v>
      </c>
      <c r="G133" s="61">
        <f t="shared" si="95"/>
        <v>16.667000000000002</v>
      </c>
      <c r="H133" s="61">
        <f t="shared" si="128"/>
        <v>16.667000000000002</v>
      </c>
      <c r="I133" s="61">
        <f t="shared" si="128"/>
        <v>16.667000000000002</v>
      </c>
      <c r="J133" s="61">
        <f t="shared" si="128"/>
        <v>16.667000000000002</v>
      </c>
      <c r="K133" s="61">
        <f t="shared" si="128"/>
        <v>16.667000000000002</v>
      </c>
      <c r="L133" s="61">
        <f t="shared" si="128"/>
        <v>16.667000000000002</v>
      </c>
      <c r="M133" s="61">
        <f t="shared" si="128"/>
        <v>16.667000000000002</v>
      </c>
      <c r="N133" s="61">
        <f t="shared" si="128"/>
        <v>16.667000000000002</v>
      </c>
      <c r="O133" s="61">
        <f t="shared" si="128"/>
        <v>16.667000000000002</v>
      </c>
      <c r="P133" s="61">
        <f t="shared" si="128"/>
        <v>16.667000000000002</v>
      </c>
      <c r="Q133" s="61">
        <f t="shared" si="128"/>
        <v>16.667000000000002</v>
      </c>
      <c r="R133" s="61">
        <f t="shared" si="128"/>
        <v>16.667000000000002</v>
      </c>
      <c r="S133" s="74">
        <f>VLOOKUP($A133,turnover!$A$184:$Q$192,+S$4-$S$4+3,0)</f>
        <v>0</v>
      </c>
      <c r="T133" s="74">
        <f>VLOOKUP($A133,turnover!$A$184:$Q$192,+T$4-$S$4+3,0)</f>
        <v>0</v>
      </c>
      <c r="U133" s="74">
        <f>VLOOKUP($A133,turnover!$A$184:$Q$192,+U$4-$S$4+3,0)</f>
        <v>0</v>
      </c>
      <c r="V133" s="74">
        <f>VLOOKUP($A133,turnover!$A$184:$Q$192,+V$4-$S$4+3,0)</f>
        <v>0</v>
      </c>
      <c r="W133" s="74">
        <f>VLOOKUP($A133,turnover!$A$184:$Q$192,+W$4-$S$4+3,0)</f>
        <v>0</v>
      </c>
      <c r="X133" s="74">
        <f>VLOOKUP($A133,turnover!$A$184:$Q$192,+X$4-$S$4+3,0)</f>
        <v>0</v>
      </c>
      <c r="Y133" s="74">
        <f>VLOOKUP($A133,turnover!$A$184:$Q$192,+Y$4-$S$4+3,0)</f>
        <v>0.90000000000000024</v>
      </c>
      <c r="Z133" s="74">
        <f>VLOOKUP($A133,turnover!$A$184:$Q$192,+Z$4-$S$4+3,0)</f>
        <v>1.8000000000000005</v>
      </c>
      <c r="AA133" s="74">
        <f>VLOOKUP($A133,turnover!$A$184:$Q$192,+AA$4-$S$4+3,0)</f>
        <v>1.8000000000000005</v>
      </c>
      <c r="AB133" s="74">
        <f>VLOOKUP($A133,turnover!$A$184:$Q$192,+AB$4-$S$4+3,0)</f>
        <v>1.8000000000000005</v>
      </c>
      <c r="AC133" s="74">
        <f>VLOOKUP($A133,turnover!$A$184:$Q$192,+AC$4-$S$4+3,0)</f>
        <v>1.8000000000000005</v>
      </c>
      <c r="AD133" s="74">
        <f>VLOOKUP($A133,turnover!$A$184:$Q$192,+AD$4-$S$4+3,0)</f>
        <v>1.8000000000000005</v>
      </c>
      <c r="AE133" s="74">
        <f>VLOOKUP($A133,turnover!$A$184:$Q$192,+AE$4-$S$4+3,0)</f>
        <v>1.8000000000000005</v>
      </c>
      <c r="AF133" s="74">
        <f>VLOOKUP($A133,turnover!$A$184:$Q$192,+AF$4-$S$4+3,0)</f>
        <v>1.8000000000000005</v>
      </c>
      <c r="AG133" s="74">
        <f>VLOOKUP($A133,turnover!$A$184:$Q$192,+AG$4-$S$4+3,0)</f>
        <v>1.8000000000000005</v>
      </c>
      <c r="AH133" s="61">
        <f t="shared" si="97"/>
        <v>0</v>
      </c>
      <c r="AI133" s="61">
        <f t="shared" si="98"/>
        <v>0</v>
      </c>
      <c r="AJ133" s="61">
        <f t="shared" si="99"/>
        <v>0</v>
      </c>
      <c r="AK133" s="61">
        <f t="shared" si="100"/>
        <v>0</v>
      </c>
      <c r="AL133" s="61">
        <f t="shared" si="101"/>
        <v>0</v>
      </c>
      <c r="AM133" s="61">
        <f t="shared" si="102"/>
        <v>0</v>
      </c>
      <c r="AN133" s="61">
        <f t="shared" si="103"/>
        <v>15.000300000000005</v>
      </c>
      <c r="AO133" s="61">
        <f t="shared" si="104"/>
        <v>30.000600000000009</v>
      </c>
      <c r="AP133" s="61">
        <f t="shared" si="105"/>
        <v>30.000600000000009</v>
      </c>
      <c r="AQ133" s="61">
        <f t="shared" si="106"/>
        <v>30.000600000000009</v>
      </c>
      <c r="AR133" s="61">
        <f t="shared" si="107"/>
        <v>30.000600000000009</v>
      </c>
      <c r="AS133" s="61">
        <f t="shared" si="108"/>
        <v>30.000600000000009</v>
      </c>
      <c r="AT133" s="61">
        <f t="shared" si="109"/>
        <v>30.000600000000009</v>
      </c>
      <c r="AU133" s="61">
        <f t="shared" si="110"/>
        <v>30.000600000000009</v>
      </c>
      <c r="AV133" s="61">
        <f t="shared" si="111"/>
        <v>30.000600000000009</v>
      </c>
      <c r="AW133" s="101">
        <f>VLOOKUP($C133,'Cost RMs'!$B$5:$Q$22,+AW$4-$AW$4+2,0)</f>
        <v>0</v>
      </c>
      <c r="AX133" s="101">
        <f>VLOOKUP($C133,'Cost RMs'!$B$5:$Q$22,+AX$4-$AW$4+2,0)</f>
        <v>0</v>
      </c>
      <c r="AY133" s="101">
        <f>VLOOKUP($C133,'Cost RMs'!$B$5:$Q$22,+AY$4-$AW$4+2,0)</f>
        <v>0</v>
      </c>
      <c r="AZ133" s="101">
        <f>VLOOKUP($C133,'Cost RMs'!$B$5:$Q$22,+AZ$4-$AW$4+2,0)</f>
        <v>0</v>
      </c>
      <c r="BA133" s="101">
        <f>VLOOKUP($C133,'Cost RMs'!$B$5:$Q$22,+BA$4-$AW$4+2,0)</f>
        <v>2835</v>
      </c>
      <c r="BB133" s="101">
        <f>VLOOKUP($C133,'Cost RMs'!$B$5:$Q$22,+BB$4-$AW$4+2,0)</f>
        <v>3175</v>
      </c>
      <c r="BC133" s="101">
        <f>VLOOKUP($C133,'Cost RMs'!$B$5:$Q$22,+BC$4-$AW$4+2,0)</f>
        <v>3559</v>
      </c>
      <c r="BD133" s="101">
        <f>VLOOKUP($C133,'Cost RMs'!$B$5:$Q$22,+BD$4-$AW$4+2,0)</f>
        <v>3990</v>
      </c>
      <c r="BE133" s="101">
        <f>VLOOKUP($C133,'Cost RMs'!$B$5:$Q$22,+BE$4-$AW$4+2,0)</f>
        <v>4473</v>
      </c>
      <c r="BF133" s="101">
        <f>VLOOKUP($C133,'Cost RMs'!$B$5:$Q$22,+BF$4-$AW$4+2,0)</f>
        <v>5014</v>
      </c>
      <c r="BG133" s="101">
        <f>VLOOKUP($C133,'Cost RMs'!$B$5:$Q$22,+BG$4-$AW$4+2,0)</f>
        <v>5621</v>
      </c>
      <c r="BH133" s="101">
        <f>VLOOKUP($C133,'Cost RMs'!$B$5:$Q$22,+BH$4-$AW$4+2,0)</f>
        <v>6301</v>
      </c>
      <c r="BI133" s="101">
        <f>VLOOKUP($C133,'Cost RMs'!$B$5:$Q$22,+BI$4-$AW$4+2,0)</f>
        <v>7063</v>
      </c>
      <c r="BJ133" s="101">
        <f>VLOOKUP($C133,'Cost RMs'!$B$5:$Q$22,+BJ$4-$AW$4+2,0)</f>
        <v>7918</v>
      </c>
      <c r="BK133" s="101">
        <f>VLOOKUP($C133,'Cost RMs'!$B$5:$Q$22,+BK$4-$AW$4+2,0)</f>
        <v>8876</v>
      </c>
      <c r="BL133" s="102">
        <f t="shared" si="112"/>
        <v>0</v>
      </c>
      <c r="BM133" s="102">
        <f t="shared" si="113"/>
        <v>0</v>
      </c>
      <c r="BN133" s="102">
        <f t="shared" si="114"/>
        <v>0</v>
      </c>
      <c r="BO133" s="102">
        <f t="shared" si="115"/>
        <v>0</v>
      </c>
      <c r="BP133" s="102">
        <f t="shared" si="116"/>
        <v>0</v>
      </c>
      <c r="BQ133" s="102">
        <f t="shared" si="117"/>
        <v>0</v>
      </c>
      <c r="BR133" s="102">
        <f t="shared" si="118"/>
        <v>53386.067700000014</v>
      </c>
      <c r="BS133" s="102">
        <f t="shared" si="119"/>
        <v>119702.39400000004</v>
      </c>
      <c r="BT133" s="102">
        <f t="shared" si="120"/>
        <v>134192.68380000003</v>
      </c>
      <c r="BU133" s="102">
        <f t="shared" si="121"/>
        <v>150423.00840000005</v>
      </c>
      <c r="BV133" s="102">
        <f t="shared" si="122"/>
        <v>168633.37260000006</v>
      </c>
      <c r="BW133" s="102">
        <f t="shared" si="123"/>
        <v>189033.78060000006</v>
      </c>
      <c r="BX133" s="102">
        <f t="shared" si="124"/>
        <v>211894.23780000006</v>
      </c>
      <c r="BY133" s="102">
        <f t="shared" si="125"/>
        <v>237544.75080000007</v>
      </c>
      <c r="BZ133" s="102">
        <f t="shared" si="126"/>
        <v>266285.3256000001</v>
      </c>
    </row>
    <row r="134" spans="1:78" x14ac:dyDescent="0.25">
      <c r="A134" s="26" t="str">
        <f>+Assumptions!$A$39</f>
        <v>NPK 10-20-20</v>
      </c>
      <c r="B134" s="73">
        <f>+Assumptions!$R$55</f>
        <v>0.2</v>
      </c>
      <c r="C134" s="59" t="s">
        <v>547</v>
      </c>
      <c r="F134">
        <v>2.4997500000000001</v>
      </c>
      <c r="G134" s="61">
        <f t="shared" si="95"/>
        <v>2.4997500000000001</v>
      </c>
      <c r="H134" s="61">
        <f t="shared" si="128"/>
        <v>2.4997500000000001</v>
      </c>
      <c r="I134" s="61">
        <f t="shared" si="128"/>
        <v>2.4997500000000001</v>
      </c>
      <c r="J134" s="61">
        <f t="shared" si="128"/>
        <v>2.4997500000000001</v>
      </c>
      <c r="K134" s="61">
        <f t="shared" si="128"/>
        <v>2.4997500000000001</v>
      </c>
      <c r="L134" s="61">
        <f t="shared" si="128"/>
        <v>2.4997500000000001</v>
      </c>
      <c r="M134" s="61">
        <f t="shared" si="128"/>
        <v>2.4997500000000001</v>
      </c>
      <c r="N134" s="61">
        <f t="shared" si="128"/>
        <v>2.4997500000000001</v>
      </c>
      <c r="O134" s="61">
        <f t="shared" si="128"/>
        <v>2.4997500000000001</v>
      </c>
      <c r="P134" s="61">
        <f t="shared" si="128"/>
        <v>2.4997500000000001</v>
      </c>
      <c r="Q134" s="61">
        <f t="shared" si="128"/>
        <v>2.4997500000000001</v>
      </c>
      <c r="R134" s="61">
        <f t="shared" si="128"/>
        <v>2.4997500000000001</v>
      </c>
      <c r="S134" s="74">
        <f>VLOOKUP($A134,turnover!$A$184:$Q$192,+S$4-$S$4+3,0)</f>
        <v>0</v>
      </c>
      <c r="T134" s="74">
        <f>VLOOKUP($A134,turnover!$A$184:$Q$192,+T$4-$S$4+3,0)</f>
        <v>0</v>
      </c>
      <c r="U134" s="74">
        <f>VLOOKUP($A134,turnover!$A$184:$Q$192,+U$4-$S$4+3,0)</f>
        <v>0</v>
      </c>
      <c r="V134" s="74">
        <f>VLOOKUP($A134,turnover!$A$184:$Q$192,+V$4-$S$4+3,0)</f>
        <v>0</v>
      </c>
      <c r="W134" s="74">
        <f>VLOOKUP($A134,turnover!$A$184:$Q$192,+W$4-$S$4+3,0)</f>
        <v>0</v>
      </c>
      <c r="X134" s="74">
        <f>VLOOKUP($A134,turnover!$A$184:$Q$192,+X$4-$S$4+3,0)</f>
        <v>0</v>
      </c>
      <c r="Y134" s="74">
        <f>VLOOKUP($A134,turnover!$A$184:$Q$192,+Y$4-$S$4+3,0)</f>
        <v>0.90000000000000024</v>
      </c>
      <c r="Z134" s="74">
        <f>VLOOKUP($A134,turnover!$A$184:$Q$192,+Z$4-$S$4+3,0)</f>
        <v>1.8000000000000005</v>
      </c>
      <c r="AA134" s="74">
        <f>VLOOKUP($A134,turnover!$A$184:$Q$192,+AA$4-$S$4+3,0)</f>
        <v>1.8000000000000005</v>
      </c>
      <c r="AB134" s="74">
        <f>VLOOKUP($A134,turnover!$A$184:$Q$192,+AB$4-$S$4+3,0)</f>
        <v>1.8000000000000005</v>
      </c>
      <c r="AC134" s="74">
        <f>VLOOKUP($A134,turnover!$A$184:$Q$192,+AC$4-$S$4+3,0)</f>
        <v>1.8000000000000005</v>
      </c>
      <c r="AD134" s="74">
        <f>VLOOKUP($A134,turnover!$A$184:$Q$192,+AD$4-$S$4+3,0)</f>
        <v>1.8000000000000005</v>
      </c>
      <c r="AE134" s="74">
        <f>VLOOKUP($A134,turnover!$A$184:$Q$192,+AE$4-$S$4+3,0)</f>
        <v>1.8000000000000005</v>
      </c>
      <c r="AF134" s="74">
        <f>VLOOKUP($A134,turnover!$A$184:$Q$192,+AF$4-$S$4+3,0)</f>
        <v>1.8000000000000005</v>
      </c>
      <c r="AG134" s="74">
        <f>VLOOKUP($A134,turnover!$A$184:$Q$192,+AG$4-$S$4+3,0)</f>
        <v>1.8000000000000005</v>
      </c>
      <c r="AH134" s="61">
        <f t="shared" ref="AH134:AH166" si="129">+D134*S134</f>
        <v>0</v>
      </c>
      <c r="AI134" s="61">
        <f t="shared" ref="AI134:AI166" si="130">+E134*T134</f>
        <v>0</v>
      </c>
      <c r="AJ134" s="61">
        <f t="shared" ref="AJ134:AJ166" si="131">+F134*U134</f>
        <v>0</v>
      </c>
      <c r="AK134" s="61">
        <f t="shared" ref="AK134:AK166" si="132">+G134*V134</f>
        <v>0</v>
      </c>
      <c r="AL134" s="61">
        <f t="shared" ref="AL134:AL166" si="133">+H134*W134</f>
        <v>0</v>
      </c>
      <c r="AM134" s="61">
        <f t="shared" ref="AM134:AM166" si="134">+I134*X134</f>
        <v>0</v>
      </c>
      <c r="AN134" s="61">
        <f t="shared" ref="AN134:AN166" si="135">+J134*Y134</f>
        <v>2.2497750000000005</v>
      </c>
      <c r="AO134" s="61">
        <f t="shared" ref="AO134:AO166" si="136">+K134*Z134</f>
        <v>4.499550000000001</v>
      </c>
      <c r="AP134" s="61">
        <f t="shared" ref="AP134:AP166" si="137">+L134*AA134</f>
        <v>4.499550000000001</v>
      </c>
      <c r="AQ134" s="61">
        <f t="shared" ref="AQ134:AQ166" si="138">+M134*AB134</f>
        <v>4.499550000000001</v>
      </c>
      <c r="AR134" s="61">
        <f t="shared" ref="AR134:AR166" si="139">+N134*AC134</f>
        <v>4.499550000000001</v>
      </c>
      <c r="AS134" s="61">
        <f t="shared" ref="AS134:AS166" si="140">+O134*AD134</f>
        <v>4.499550000000001</v>
      </c>
      <c r="AT134" s="61">
        <f t="shared" ref="AT134:AT166" si="141">+P134*AE134</f>
        <v>4.499550000000001</v>
      </c>
      <c r="AU134" s="61">
        <f t="shared" ref="AU134:AU166" si="142">+Q134*AF134</f>
        <v>4.499550000000001</v>
      </c>
      <c r="AV134" s="61">
        <f t="shared" ref="AV134:AV166" si="143">+R134*AG134</f>
        <v>4.499550000000001</v>
      </c>
      <c r="AW134" s="101">
        <f>VLOOKUP($C134,'Cost RMs'!$B$5:$Q$22,+AW$4-$AW$4+2,0)</f>
        <v>0</v>
      </c>
      <c r="AX134" s="101">
        <f>VLOOKUP($C134,'Cost RMs'!$B$5:$Q$22,+AX$4-$AW$4+2,0)</f>
        <v>0</v>
      </c>
      <c r="AY134" s="101">
        <f>VLOOKUP($C134,'Cost RMs'!$B$5:$Q$22,+AY$4-$AW$4+2,0)</f>
        <v>0</v>
      </c>
      <c r="AZ134" s="101">
        <f>VLOOKUP($C134,'Cost RMs'!$B$5:$Q$22,+AZ$4-$AW$4+2,0)</f>
        <v>0</v>
      </c>
      <c r="BA134" s="101">
        <f>VLOOKUP($C134,'Cost RMs'!$B$5:$Q$22,+BA$4-$AW$4+2,0)</f>
        <v>3780</v>
      </c>
      <c r="BB134" s="101">
        <f>VLOOKUP($C134,'Cost RMs'!$B$5:$Q$22,+BB$4-$AW$4+2,0)</f>
        <v>4233</v>
      </c>
      <c r="BC134" s="101">
        <f>VLOOKUP($C134,'Cost RMs'!$B$5:$Q$22,+BC$4-$AW$4+2,0)</f>
        <v>4745</v>
      </c>
      <c r="BD134" s="101">
        <f>VLOOKUP($C134,'Cost RMs'!$B$5:$Q$22,+BD$4-$AW$4+2,0)</f>
        <v>5319</v>
      </c>
      <c r="BE134" s="101">
        <f>VLOOKUP($C134,'Cost RMs'!$B$5:$Q$22,+BE$4-$AW$4+2,0)</f>
        <v>5963</v>
      </c>
      <c r="BF134" s="101">
        <f>VLOOKUP($C134,'Cost RMs'!$B$5:$Q$22,+BF$4-$AW$4+2,0)</f>
        <v>6685</v>
      </c>
      <c r="BG134" s="101">
        <f>VLOOKUP($C134,'Cost RMs'!$B$5:$Q$22,+BG$4-$AW$4+2,0)</f>
        <v>7494</v>
      </c>
      <c r="BH134" s="101">
        <f>VLOOKUP($C134,'Cost RMs'!$B$5:$Q$22,+BH$4-$AW$4+2,0)</f>
        <v>8401</v>
      </c>
      <c r="BI134" s="101">
        <f>VLOOKUP($C134,'Cost RMs'!$B$5:$Q$22,+BI$4-$AW$4+2,0)</f>
        <v>9418</v>
      </c>
      <c r="BJ134" s="101">
        <f>VLOOKUP($C134,'Cost RMs'!$B$5:$Q$22,+BJ$4-$AW$4+2,0)</f>
        <v>10558</v>
      </c>
      <c r="BK134" s="101">
        <f>VLOOKUP($C134,'Cost RMs'!$B$5:$Q$22,+BK$4-$AW$4+2,0)</f>
        <v>11836</v>
      </c>
      <c r="BL134" s="102">
        <f t="shared" ref="BL134:BL166" si="144">+AH134*AW134</f>
        <v>0</v>
      </c>
      <c r="BM134" s="102">
        <f t="shared" ref="BM134:BM166" si="145">+AI134*AX134</f>
        <v>0</v>
      </c>
      <c r="BN134" s="102">
        <f t="shared" ref="BN134:BN166" si="146">+AJ134*AY134</f>
        <v>0</v>
      </c>
      <c r="BO134" s="102">
        <f t="shared" ref="BO134:BO166" si="147">+AK134*AZ134</f>
        <v>0</v>
      </c>
      <c r="BP134" s="102">
        <f t="shared" ref="BP134:BP166" si="148">+AL134*BA134</f>
        <v>0</v>
      </c>
      <c r="BQ134" s="102">
        <f t="shared" ref="BQ134:BQ166" si="149">+AM134*BB134</f>
        <v>0</v>
      </c>
      <c r="BR134" s="102">
        <f t="shared" ref="BR134:BR166" si="150">+AN134*BC134</f>
        <v>10675.182375000002</v>
      </c>
      <c r="BS134" s="102">
        <f t="shared" ref="BS134:BS166" si="151">+AO134*BD134</f>
        <v>23933.106450000007</v>
      </c>
      <c r="BT134" s="102">
        <f t="shared" ref="BT134:BT166" si="152">+AP134*BE134</f>
        <v>26830.816650000008</v>
      </c>
      <c r="BU134" s="102">
        <f t="shared" ref="BU134:BU166" si="153">+AQ134*BF134</f>
        <v>30079.491750000008</v>
      </c>
      <c r="BV134" s="102">
        <f t="shared" ref="BV134:BV166" si="154">+AR134*BG134</f>
        <v>33719.627700000005</v>
      </c>
      <c r="BW134" s="102">
        <f t="shared" ref="BW134:BW166" si="155">+AS134*BH134</f>
        <v>37800.719550000009</v>
      </c>
      <c r="BX134" s="102">
        <f t="shared" ref="BX134:BX166" si="156">+AT134*BI134</f>
        <v>42376.761900000012</v>
      </c>
      <c r="BY134" s="102">
        <f t="shared" ref="BY134:BY166" si="157">+AU134*BJ134</f>
        <v>47506.248900000013</v>
      </c>
      <c r="BZ134" s="102">
        <f t="shared" ref="BZ134:BZ166" si="158">+AV134*BK134</f>
        <v>53256.673800000011</v>
      </c>
    </row>
    <row r="135" spans="1:78" x14ac:dyDescent="0.25">
      <c r="A135" s="26" t="str">
        <f>+Assumptions!$A$40</f>
        <v>NPK 13-13-21</v>
      </c>
      <c r="B135" s="73">
        <f>+Assumptions!$R$56</f>
        <v>0.13</v>
      </c>
      <c r="C135" t="s">
        <v>123</v>
      </c>
      <c r="F135">
        <v>1.0920000000000001</v>
      </c>
      <c r="G135" s="61">
        <f t="shared" si="95"/>
        <v>1.0920000000000001</v>
      </c>
      <c r="H135" s="61">
        <f t="shared" ref="H135:R135" si="159">G135</f>
        <v>1.0920000000000001</v>
      </c>
      <c r="I135" s="61">
        <f t="shared" si="159"/>
        <v>1.0920000000000001</v>
      </c>
      <c r="J135" s="61">
        <f t="shared" si="159"/>
        <v>1.0920000000000001</v>
      </c>
      <c r="K135" s="61">
        <f t="shared" si="159"/>
        <v>1.0920000000000001</v>
      </c>
      <c r="L135" s="61">
        <f t="shared" si="159"/>
        <v>1.0920000000000001</v>
      </c>
      <c r="M135" s="61">
        <f t="shared" si="159"/>
        <v>1.0920000000000001</v>
      </c>
      <c r="N135" s="61">
        <f t="shared" si="159"/>
        <v>1.0920000000000001</v>
      </c>
      <c r="O135" s="61">
        <f t="shared" si="159"/>
        <v>1.0920000000000001</v>
      </c>
      <c r="P135" s="61">
        <f t="shared" si="159"/>
        <v>1.0920000000000001</v>
      </c>
      <c r="Q135" s="61">
        <f t="shared" si="159"/>
        <v>1.0920000000000001</v>
      </c>
      <c r="R135" s="61">
        <f t="shared" si="159"/>
        <v>1.0920000000000001</v>
      </c>
      <c r="S135" s="74">
        <f>VLOOKUP($A135,turnover!$A$184:$Q$194,+S$4-$S$4+3,0)</f>
        <v>0</v>
      </c>
      <c r="T135" s="74">
        <f>VLOOKUP($A135,turnover!$A$184:$Q$194,+T$4-$S$4+3,0)</f>
        <v>0</v>
      </c>
      <c r="U135" s="74">
        <f>VLOOKUP($A135,turnover!$A$184:$Q$194,+U$4-$S$4+3,0)</f>
        <v>0</v>
      </c>
      <c r="V135" s="74">
        <f>VLOOKUP($A135,turnover!$A$184:$Q$194,+V$4-$S$4+3,0)</f>
        <v>0</v>
      </c>
      <c r="W135" s="74">
        <f>VLOOKUP($A135,turnover!$A$184:$Q$194,+W$4-$S$4+3,0)</f>
        <v>0</v>
      </c>
      <c r="X135" s="74">
        <f>VLOOKUP($A135,turnover!$A$184:$Q$194,+X$4-$S$4+3,0)</f>
        <v>0</v>
      </c>
      <c r="Y135" s="74">
        <f>VLOOKUP($A135,turnover!$A$184:$Q$194,+Y$4-$S$4+3,0)</f>
        <v>0.39</v>
      </c>
      <c r="Z135" s="74">
        <f>VLOOKUP($A135,turnover!$A$184:$Q$194,+Z$4-$S$4+3,0)</f>
        <v>0.78</v>
      </c>
      <c r="AA135" s="74">
        <f>VLOOKUP($A135,turnover!$A$184:$Q$194,+AA$4-$S$4+3,0)</f>
        <v>0.78</v>
      </c>
      <c r="AB135" s="74">
        <f>VLOOKUP($A135,turnover!$A$184:$Q$194,+AB$4-$S$4+3,0)</f>
        <v>0.78</v>
      </c>
      <c r="AC135" s="74">
        <f>VLOOKUP($A135,turnover!$A$184:$Q$194,+AC$4-$S$4+3,0)</f>
        <v>0.78</v>
      </c>
      <c r="AD135" s="74">
        <f>VLOOKUP($A135,turnover!$A$184:$Q$194,+AD$4-$S$4+3,0)</f>
        <v>0.78</v>
      </c>
      <c r="AE135" s="74">
        <f>VLOOKUP($A135,turnover!$A$184:$Q$194,+AE$4-$S$4+3,0)</f>
        <v>0.78</v>
      </c>
      <c r="AF135" s="74">
        <f>VLOOKUP($A135,turnover!$A$184:$Q$194,+AF$4-$S$4+3,0)</f>
        <v>0.78</v>
      </c>
      <c r="AG135" s="74">
        <f>VLOOKUP($A135,turnover!$A$184:$Q$194,+AG$4-$S$4+3,0)</f>
        <v>0.78</v>
      </c>
      <c r="AH135" s="61">
        <f t="shared" si="129"/>
        <v>0</v>
      </c>
      <c r="AI135" s="61">
        <f t="shared" si="130"/>
        <v>0</v>
      </c>
      <c r="AJ135" s="61">
        <f t="shared" si="131"/>
        <v>0</v>
      </c>
      <c r="AK135" s="61">
        <f t="shared" si="132"/>
        <v>0</v>
      </c>
      <c r="AL135" s="61">
        <f t="shared" si="133"/>
        <v>0</v>
      </c>
      <c r="AM135" s="61">
        <f t="shared" si="134"/>
        <v>0</v>
      </c>
      <c r="AN135" s="61">
        <f t="shared" si="135"/>
        <v>0.42588000000000004</v>
      </c>
      <c r="AO135" s="61">
        <f t="shared" si="136"/>
        <v>0.85176000000000007</v>
      </c>
      <c r="AP135" s="61">
        <f t="shared" si="137"/>
        <v>0.85176000000000007</v>
      </c>
      <c r="AQ135" s="61">
        <f t="shared" si="138"/>
        <v>0.85176000000000007</v>
      </c>
      <c r="AR135" s="61">
        <f t="shared" si="139"/>
        <v>0.85176000000000007</v>
      </c>
      <c r="AS135" s="61">
        <f t="shared" si="140"/>
        <v>0.85176000000000007</v>
      </c>
      <c r="AT135" s="61">
        <f t="shared" si="141"/>
        <v>0.85176000000000007</v>
      </c>
      <c r="AU135" s="61">
        <f t="shared" si="142"/>
        <v>0.85176000000000007</v>
      </c>
      <c r="AV135" s="61">
        <f t="shared" si="143"/>
        <v>0.85176000000000007</v>
      </c>
      <c r="AW135" s="101">
        <f>VLOOKUP($C135,'Cost RMs'!$B$5:$Q$22,+AW$4-$AW$4+2,0)</f>
        <v>191127</v>
      </c>
      <c r="AX135" s="101">
        <f>VLOOKUP($C135,'Cost RMs'!$B$5:$Q$22,+AX$4-$AW$4+2,0)</f>
        <v>196602</v>
      </c>
      <c r="AY135" s="101">
        <f>VLOOKUP($C135,'Cost RMs'!$B$5:$Q$22,+AY$4-$AW$4+2,0)</f>
        <v>209999</v>
      </c>
      <c r="AZ135" s="101">
        <f>VLOOKUP($C135,'Cost RMs'!$B$5:$Q$22,+AZ$4-$AW$4+2,0)</f>
        <v>266286</v>
      </c>
      <c r="BA135" s="101">
        <f>VLOOKUP($C135,'Cost RMs'!$B$5:$Q$22,+BA$4-$AW$4+2,0)</f>
        <v>275187</v>
      </c>
      <c r="BB135" s="101">
        <f>VLOOKUP($C135,'Cost RMs'!$B$5:$Q$22,+BB$4-$AW$4+2,0)</f>
        <v>308182</v>
      </c>
      <c r="BC135" s="101">
        <f>VLOOKUP($C135,'Cost RMs'!$B$5:$Q$22,+BC$4-$AW$4+2,0)</f>
        <v>345472</v>
      </c>
      <c r="BD135" s="101">
        <f>VLOOKUP($C135,'Cost RMs'!$B$5:$Q$22,+BD$4-$AW$4+2,0)</f>
        <v>387274</v>
      </c>
      <c r="BE135" s="101">
        <f>VLOOKUP($C135,'Cost RMs'!$B$5:$Q$22,+BE$4-$AW$4+2,0)</f>
        <v>434134</v>
      </c>
      <c r="BF135" s="101">
        <f>VLOOKUP($C135,'Cost RMs'!$B$5:$Q$22,+BF$4-$AW$4+2,0)</f>
        <v>486664</v>
      </c>
      <c r="BG135" s="101">
        <f>VLOOKUP($C135,'Cost RMs'!$B$5:$Q$22,+BG$4-$AW$4+2,0)</f>
        <v>545550</v>
      </c>
      <c r="BH135" s="101">
        <f>VLOOKUP($C135,'Cost RMs'!$B$5:$Q$22,+BH$4-$AW$4+2,0)</f>
        <v>611562</v>
      </c>
      <c r="BI135" s="101">
        <f>VLOOKUP($C135,'Cost RMs'!$B$5:$Q$22,+BI$4-$AW$4+2,0)</f>
        <v>685561</v>
      </c>
      <c r="BJ135" s="101">
        <f>VLOOKUP($C135,'Cost RMs'!$B$5:$Q$22,+BJ$4-$AW$4+2,0)</f>
        <v>768514</v>
      </c>
      <c r="BK135" s="101">
        <f>VLOOKUP($C135,'Cost RMs'!$B$5:$Q$22,+BK$4-$AW$4+2,0)</f>
        <v>861504</v>
      </c>
      <c r="BL135" s="102">
        <f t="shared" si="144"/>
        <v>0</v>
      </c>
      <c r="BM135" s="102">
        <f t="shared" si="145"/>
        <v>0</v>
      </c>
      <c r="BN135" s="102">
        <f t="shared" si="146"/>
        <v>0</v>
      </c>
      <c r="BO135" s="102">
        <f t="shared" si="147"/>
        <v>0</v>
      </c>
      <c r="BP135" s="102">
        <f t="shared" si="148"/>
        <v>0</v>
      </c>
      <c r="BQ135" s="102">
        <f t="shared" si="149"/>
        <v>0</v>
      </c>
      <c r="BR135" s="102">
        <f t="shared" si="150"/>
        <v>147129.61536000003</v>
      </c>
      <c r="BS135" s="102">
        <f t="shared" si="151"/>
        <v>329864.50224</v>
      </c>
      <c r="BT135" s="102">
        <f t="shared" si="152"/>
        <v>369777.97584000003</v>
      </c>
      <c r="BU135" s="102">
        <f t="shared" si="153"/>
        <v>414520.92864000006</v>
      </c>
      <c r="BV135" s="102">
        <f t="shared" si="154"/>
        <v>464677.66800000006</v>
      </c>
      <c r="BW135" s="102">
        <f t="shared" si="155"/>
        <v>520904.04912000004</v>
      </c>
      <c r="BX135" s="102">
        <f t="shared" si="156"/>
        <v>583933.4373600001</v>
      </c>
      <c r="BY135" s="102">
        <f t="shared" si="157"/>
        <v>654589.48464000004</v>
      </c>
      <c r="BZ135" s="102">
        <f t="shared" si="158"/>
        <v>733794.64704000007</v>
      </c>
    </row>
    <row r="136" spans="1:78" x14ac:dyDescent="0.25">
      <c r="A136" s="26" t="str">
        <f>+Assumptions!$A$40</f>
        <v>NPK 13-13-21</v>
      </c>
      <c r="B136" s="73">
        <f>+Assumptions!$R$56</f>
        <v>0.13</v>
      </c>
      <c r="C136" t="s">
        <v>124</v>
      </c>
      <c r="F136">
        <v>1.198</v>
      </c>
      <c r="G136" s="61">
        <f t="shared" ref="G136:R150" si="160">F136</f>
        <v>1.198</v>
      </c>
      <c r="H136" s="61">
        <f t="shared" si="160"/>
        <v>1.198</v>
      </c>
      <c r="I136" s="61">
        <f t="shared" si="160"/>
        <v>1.198</v>
      </c>
      <c r="J136" s="61">
        <f t="shared" si="160"/>
        <v>1.198</v>
      </c>
      <c r="K136" s="61">
        <f t="shared" si="160"/>
        <v>1.198</v>
      </c>
      <c r="L136" s="61">
        <f t="shared" si="160"/>
        <v>1.198</v>
      </c>
      <c r="M136" s="61">
        <f t="shared" si="160"/>
        <v>1.198</v>
      </c>
      <c r="N136" s="61">
        <f t="shared" si="160"/>
        <v>1.198</v>
      </c>
      <c r="O136" s="61">
        <f t="shared" si="160"/>
        <v>1.198</v>
      </c>
      <c r="P136" s="61">
        <f t="shared" si="160"/>
        <v>1.198</v>
      </c>
      <c r="Q136" s="61">
        <f t="shared" si="160"/>
        <v>1.198</v>
      </c>
      <c r="R136" s="61">
        <f t="shared" si="160"/>
        <v>1.198</v>
      </c>
      <c r="S136" s="74">
        <f>VLOOKUP($A136,turnover!$A$184:$Q$194,+S$4-$S$4+3,0)</f>
        <v>0</v>
      </c>
      <c r="T136" s="74">
        <f>VLOOKUP($A136,turnover!$A$184:$Q$194,+T$4-$S$4+3,0)</f>
        <v>0</v>
      </c>
      <c r="U136" s="74">
        <f>VLOOKUP($A136,turnover!$A$184:$Q$194,+U$4-$S$4+3,0)</f>
        <v>0</v>
      </c>
      <c r="V136" s="74">
        <f>VLOOKUP($A136,turnover!$A$184:$Q$194,+V$4-$S$4+3,0)</f>
        <v>0</v>
      </c>
      <c r="W136" s="74">
        <f>VLOOKUP($A136,turnover!$A$184:$Q$194,+W$4-$S$4+3,0)</f>
        <v>0</v>
      </c>
      <c r="X136" s="74">
        <f>VLOOKUP($A136,turnover!$A$184:$Q$194,+X$4-$S$4+3,0)</f>
        <v>0</v>
      </c>
      <c r="Y136" s="74">
        <f>VLOOKUP($A136,turnover!$A$184:$Q$194,+Y$4-$S$4+3,0)</f>
        <v>0.39</v>
      </c>
      <c r="Z136" s="74">
        <f>VLOOKUP($A136,turnover!$A$184:$Q$194,+Z$4-$S$4+3,0)</f>
        <v>0.78</v>
      </c>
      <c r="AA136" s="74">
        <f>VLOOKUP($A136,turnover!$A$184:$Q$194,+AA$4-$S$4+3,0)</f>
        <v>0.78</v>
      </c>
      <c r="AB136" s="74">
        <f>VLOOKUP($A136,turnover!$A$184:$Q$194,+AB$4-$S$4+3,0)</f>
        <v>0.78</v>
      </c>
      <c r="AC136" s="74">
        <f>VLOOKUP($A136,turnover!$A$184:$Q$194,+AC$4-$S$4+3,0)</f>
        <v>0.78</v>
      </c>
      <c r="AD136" s="74">
        <f>VLOOKUP($A136,turnover!$A$184:$Q$194,+AD$4-$S$4+3,0)</f>
        <v>0.78</v>
      </c>
      <c r="AE136" s="74">
        <f>VLOOKUP($A136,turnover!$A$184:$Q$194,+AE$4-$S$4+3,0)</f>
        <v>0.78</v>
      </c>
      <c r="AF136" s="74">
        <f>VLOOKUP($A136,turnover!$A$184:$Q$194,+AF$4-$S$4+3,0)</f>
        <v>0.78</v>
      </c>
      <c r="AG136" s="74">
        <f>VLOOKUP($A136,turnover!$A$184:$Q$194,+AG$4-$S$4+3,0)</f>
        <v>0.78</v>
      </c>
      <c r="AH136" s="61">
        <f t="shared" si="129"/>
        <v>0</v>
      </c>
      <c r="AI136" s="61">
        <f t="shared" si="130"/>
        <v>0</v>
      </c>
      <c r="AJ136" s="61">
        <f t="shared" si="131"/>
        <v>0</v>
      </c>
      <c r="AK136" s="61">
        <f t="shared" si="132"/>
        <v>0</v>
      </c>
      <c r="AL136" s="61">
        <f t="shared" si="133"/>
        <v>0</v>
      </c>
      <c r="AM136" s="61">
        <f t="shared" si="134"/>
        <v>0</v>
      </c>
      <c r="AN136" s="61">
        <f t="shared" si="135"/>
        <v>0.46722000000000002</v>
      </c>
      <c r="AO136" s="61">
        <f t="shared" si="136"/>
        <v>0.93444000000000005</v>
      </c>
      <c r="AP136" s="61">
        <f t="shared" si="137"/>
        <v>0.93444000000000005</v>
      </c>
      <c r="AQ136" s="61">
        <f t="shared" si="138"/>
        <v>0.93444000000000005</v>
      </c>
      <c r="AR136" s="61">
        <f t="shared" si="139"/>
        <v>0.93444000000000005</v>
      </c>
      <c r="AS136" s="61">
        <f t="shared" si="140"/>
        <v>0.93444000000000005</v>
      </c>
      <c r="AT136" s="61">
        <f t="shared" si="141"/>
        <v>0.93444000000000005</v>
      </c>
      <c r="AU136" s="61">
        <f t="shared" si="142"/>
        <v>0.93444000000000005</v>
      </c>
      <c r="AV136" s="61">
        <f t="shared" si="143"/>
        <v>0.93444000000000005</v>
      </c>
      <c r="AW136" s="101">
        <f>VLOOKUP($C136,'Cost RMs'!$B$5:$Q$22,+AW$4-$AW$4+2,0)</f>
        <v>235089</v>
      </c>
      <c r="AX136" s="101">
        <f>VLOOKUP($C136,'Cost RMs'!$B$5:$Q$22,+AX$4-$AW$4+2,0)</f>
        <v>283888</v>
      </c>
      <c r="AY136" s="101">
        <f>VLOOKUP($C136,'Cost RMs'!$B$5:$Q$22,+AY$4-$AW$4+2,0)</f>
        <v>306490</v>
      </c>
      <c r="AZ136" s="101">
        <f>VLOOKUP($C136,'Cost RMs'!$B$5:$Q$22,+AZ$4-$AW$4+2,0)</f>
        <v>318975</v>
      </c>
      <c r="BA136" s="101">
        <f>VLOOKUP($C136,'Cost RMs'!$B$5:$Q$22,+BA$4-$AW$4+2,0)</f>
        <v>365112</v>
      </c>
      <c r="BB136" s="101">
        <f>VLOOKUP($C136,'Cost RMs'!$B$5:$Q$22,+BB$4-$AW$4+2,0)</f>
        <v>408889</v>
      </c>
      <c r="BC136" s="101">
        <f>VLOOKUP($C136,'Cost RMs'!$B$5:$Q$22,+BC$4-$AW$4+2,0)</f>
        <v>458365</v>
      </c>
      <c r="BD136" s="101">
        <f>VLOOKUP($C136,'Cost RMs'!$B$5:$Q$22,+BD$4-$AW$4+2,0)</f>
        <v>513827</v>
      </c>
      <c r="BE136" s="101">
        <f>VLOOKUP($C136,'Cost RMs'!$B$5:$Q$22,+BE$4-$AW$4+2,0)</f>
        <v>576000</v>
      </c>
      <c r="BF136" s="101">
        <f>VLOOKUP($C136,'Cost RMs'!$B$5:$Q$22,+BF$4-$AW$4+2,0)</f>
        <v>645696</v>
      </c>
      <c r="BG136" s="101">
        <f>VLOOKUP($C136,'Cost RMs'!$B$5:$Q$22,+BG$4-$AW$4+2,0)</f>
        <v>723825</v>
      </c>
      <c r="BH136" s="101">
        <f>VLOOKUP($C136,'Cost RMs'!$B$5:$Q$22,+BH$4-$AW$4+2,0)</f>
        <v>811408</v>
      </c>
      <c r="BI136" s="101">
        <f>VLOOKUP($C136,'Cost RMs'!$B$5:$Q$22,+BI$4-$AW$4+2,0)</f>
        <v>909588</v>
      </c>
      <c r="BJ136" s="101">
        <f>VLOOKUP($C136,'Cost RMs'!$B$5:$Q$22,+BJ$4-$AW$4+2,0)</f>
        <v>1019648</v>
      </c>
      <c r="BK136" s="101">
        <f>VLOOKUP($C136,'Cost RMs'!$B$5:$Q$22,+BK$4-$AW$4+2,0)</f>
        <v>1143025</v>
      </c>
      <c r="BL136" s="102">
        <f t="shared" si="144"/>
        <v>0</v>
      </c>
      <c r="BM136" s="102">
        <f t="shared" si="145"/>
        <v>0</v>
      </c>
      <c r="BN136" s="102">
        <f t="shared" si="146"/>
        <v>0</v>
      </c>
      <c r="BO136" s="102">
        <f t="shared" si="147"/>
        <v>0</v>
      </c>
      <c r="BP136" s="102">
        <f t="shared" si="148"/>
        <v>0</v>
      </c>
      <c r="BQ136" s="102">
        <f t="shared" si="149"/>
        <v>0</v>
      </c>
      <c r="BR136" s="102">
        <f t="shared" si="150"/>
        <v>214157.2953</v>
      </c>
      <c r="BS136" s="102">
        <f t="shared" si="151"/>
        <v>480140.50188</v>
      </c>
      <c r="BT136" s="102">
        <f t="shared" si="152"/>
        <v>538237.44000000006</v>
      </c>
      <c r="BU136" s="102">
        <f t="shared" si="153"/>
        <v>603364.17024000001</v>
      </c>
      <c r="BV136" s="102">
        <f t="shared" si="154"/>
        <v>676371.03300000005</v>
      </c>
      <c r="BW136" s="102">
        <f t="shared" si="155"/>
        <v>758212.09152000002</v>
      </c>
      <c r="BX136" s="102">
        <f t="shared" si="156"/>
        <v>849955.41072000004</v>
      </c>
      <c r="BY136" s="102">
        <f t="shared" si="157"/>
        <v>952799.87712000008</v>
      </c>
      <c r="BZ136" s="102">
        <f t="shared" si="158"/>
        <v>1068088.281</v>
      </c>
    </row>
    <row r="137" spans="1:78" x14ac:dyDescent="0.25">
      <c r="A137" s="26" t="str">
        <f>+Assumptions!$A$40</f>
        <v>NPK 13-13-21</v>
      </c>
      <c r="B137" s="73">
        <f>+Assumptions!$R$56</f>
        <v>0.13</v>
      </c>
      <c r="C137" t="s">
        <v>125</v>
      </c>
      <c r="G137" s="61">
        <f t="shared" si="160"/>
        <v>0</v>
      </c>
      <c r="H137" s="61">
        <f t="shared" si="160"/>
        <v>0</v>
      </c>
      <c r="I137" s="61">
        <f t="shared" si="160"/>
        <v>0</v>
      </c>
      <c r="J137" s="61">
        <f t="shared" si="160"/>
        <v>0</v>
      </c>
      <c r="K137" s="61">
        <f t="shared" si="160"/>
        <v>0</v>
      </c>
      <c r="L137" s="61">
        <f t="shared" si="160"/>
        <v>0</v>
      </c>
      <c r="M137" s="61">
        <f t="shared" si="160"/>
        <v>0</v>
      </c>
      <c r="N137" s="61">
        <f t="shared" si="160"/>
        <v>0</v>
      </c>
      <c r="O137" s="61">
        <f t="shared" si="160"/>
        <v>0</v>
      </c>
      <c r="P137" s="61">
        <f t="shared" si="160"/>
        <v>0</v>
      </c>
      <c r="Q137" s="61">
        <f t="shared" si="160"/>
        <v>0</v>
      </c>
      <c r="R137" s="61">
        <f t="shared" si="160"/>
        <v>0</v>
      </c>
      <c r="S137" s="74">
        <f>VLOOKUP($A137,turnover!$A$184:$Q$194,+S$4-$S$4+3,0)</f>
        <v>0</v>
      </c>
      <c r="T137" s="74">
        <f>VLOOKUP($A137,turnover!$A$184:$Q$194,+T$4-$S$4+3,0)</f>
        <v>0</v>
      </c>
      <c r="U137" s="74">
        <f>VLOOKUP($A137,turnover!$A$184:$Q$194,+U$4-$S$4+3,0)</f>
        <v>0</v>
      </c>
      <c r="V137" s="74">
        <f>VLOOKUP($A137,turnover!$A$184:$Q$194,+V$4-$S$4+3,0)</f>
        <v>0</v>
      </c>
      <c r="W137" s="74">
        <f>VLOOKUP($A137,turnover!$A$184:$Q$194,+W$4-$S$4+3,0)</f>
        <v>0</v>
      </c>
      <c r="X137" s="74">
        <f>VLOOKUP($A137,turnover!$A$184:$Q$194,+X$4-$S$4+3,0)</f>
        <v>0</v>
      </c>
      <c r="Y137" s="74">
        <f>VLOOKUP($A137,turnover!$A$184:$Q$194,+Y$4-$S$4+3,0)</f>
        <v>0.39</v>
      </c>
      <c r="Z137" s="74">
        <f>VLOOKUP($A137,turnover!$A$184:$Q$194,+Z$4-$S$4+3,0)</f>
        <v>0.78</v>
      </c>
      <c r="AA137" s="74">
        <f>VLOOKUP($A137,turnover!$A$184:$Q$194,+AA$4-$S$4+3,0)</f>
        <v>0.78</v>
      </c>
      <c r="AB137" s="74">
        <f>VLOOKUP($A137,turnover!$A$184:$Q$194,+AB$4-$S$4+3,0)</f>
        <v>0.78</v>
      </c>
      <c r="AC137" s="74">
        <f>VLOOKUP($A137,turnover!$A$184:$Q$194,+AC$4-$S$4+3,0)</f>
        <v>0.78</v>
      </c>
      <c r="AD137" s="74">
        <f>VLOOKUP($A137,turnover!$A$184:$Q$194,+AD$4-$S$4+3,0)</f>
        <v>0.78</v>
      </c>
      <c r="AE137" s="74">
        <f>VLOOKUP($A137,turnover!$A$184:$Q$194,+AE$4-$S$4+3,0)</f>
        <v>0.78</v>
      </c>
      <c r="AF137" s="74">
        <f>VLOOKUP($A137,turnover!$A$184:$Q$194,+AF$4-$S$4+3,0)</f>
        <v>0.78</v>
      </c>
      <c r="AG137" s="74">
        <f>VLOOKUP($A137,turnover!$A$184:$Q$194,+AG$4-$S$4+3,0)</f>
        <v>0.78</v>
      </c>
      <c r="AH137" s="61">
        <f t="shared" si="129"/>
        <v>0</v>
      </c>
      <c r="AI137" s="61">
        <f t="shared" si="130"/>
        <v>0</v>
      </c>
      <c r="AJ137" s="61">
        <f t="shared" si="131"/>
        <v>0</v>
      </c>
      <c r="AK137" s="61">
        <f t="shared" si="132"/>
        <v>0</v>
      </c>
      <c r="AL137" s="61">
        <f t="shared" si="133"/>
        <v>0</v>
      </c>
      <c r="AM137" s="61">
        <f t="shared" si="134"/>
        <v>0</v>
      </c>
      <c r="AN137" s="61">
        <f t="shared" si="135"/>
        <v>0</v>
      </c>
      <c r="AO137" s="61">
        <f t="shared" si="136"/>
        <v>0</v>
      </c>
      <c r="AP137" s="61">
        <f t="shared" si="137"/>
        <v>0</v>
      </c>
      <c r="AQ137" s="61">
        <f t="shared" si="138"/>
        <v>0</v>
      </c>
      <c r="AR137" s="61">
        <f t="shared" si="139"/>
        <v>0</v>
      </c>
      <c r="AS137" s="61">
        <f t="shared" si="140"/>
        <v>0</v>
      </c>
      <c r="AT137" s="61">
        <f t="shared" si="141"/>
        <v>0</v>
      </c>
      <c r="AU137" s="61">
        <f t="shared" si="142"/>
        <v>0</v>
      </c>
      <c r="AV137" s="61">
        <f t="shared" si="143"/>
        <v>0</v>
      </c>
      <c r="AW137" s="101">
        <f>VLOOKUP($C137,'Cost RMs'!$B$5:$Q$22,+AW$4-$AW$4+2,0)</f>
        <v>266257</v>
      </c>
      <c r="AX137" s="101">
        <f>VLOOKUP($C137,'Cost RMs'!$B$5:$Q$22,+AX$4-$AW$4+2,0)</f>
        <v>266257</v>
      </c>
      <c r="AY137" s="101">
        <f>VLOOKUP($C137,'Cost RMs'!$B$5:$Q$22,+AY$4-$AW$4+2,0)</f>
        <v>266257</v>
      </c>
      <c r="AZ137" s="101">
        <f ca="1">VLOOKUP($C137,'Cost RMs'!$B$5:$Q$22,+AZ$4-$AW$4+2,0)</f>
        <v>266257</v>
      </c>
      <c r="BA137" s="101">
        <f ca="1">VLOOKUP($C137,'Cost RMs'!$B$5:$Q$22,+BA$4-$AW$4+2,0)</f>
        <v>266257</v>
      </c>
      <c r="BB137" s="101">
        <f ca="1">VLOOKUP($C137,'Cost RMs'!$B$5:$Q$22,+BB$4-$AW$4+2,0)</f>
        <v>298181</v>
      </c>
      <c r="BC137" s="101">
        <f ca="1">VLOOKUP($C137,'Cost RMs'!$B$5:$Q$22,+BC$4-$AW$4+2,0)</f>
        <v>334261</v>
      </c>
      <c r="BD137" s="101">
        <f ca="1">VLOOKUP($C137,'Cost RMs'!$B$5:$Q$22,+BD$4-$AW$4+2,0)</f>
        <v>374707</v>
      </c>
      <c r="BE137" s="101">
        <f ca="1">VLOOKUP($C137,'Cost RMs'!$B$5:$Q$22,+BE$4-$AW$4+2,0)</f>
        <v>420047</v>
      </c>
      <c r="BF137" s="101">
        <f ca="1">VLOOKUP($C137,'Cost RMs'!$B$5:$Q$22,+BF$4-$AW$4+2,0)</f>
        <v>470873</v>
      </c>
      <c r="BG137" s="101">
        <f ca="1">VLOOKUP($C137,'Cost RMs'!$B$5:$Q$22,+BG$4-$AW$4+2,0)</f>
        <v>527849</v>
      </c>
      <c r="BH137" s="101">
        <f ca="1">VLOOKUP($C137,'Cost RMs'!$B$5:$Q$22,+BH$4-$AW$4+2,0)</f>
        <v>591719</v>
      </c>
      <c r="BI137" s="101">
        <f ca="1">VLOOKUP($C137,'Cost RMs'!$B$5:$Q$22,+BI$4-$AW$4+2,0)</f>
        <v>663317</v>
      </c>
      <c r="BJ137" s="101">
        <f ca="1">VLOOKUP($C137,'Cost RMs'!$B$5:$Q$22,+BJ$4-$AW$4+2,0)</f>
        <v>743578</v>
      </c>
      <c r="BK137" s="101">
        <f ca="1">VLOOKUP($C137,'Cost RMs'!$B$5:$Q$22,+BK$4-$AW$4+2,0)</f>
        <v>833551</v>
      </c>
      <c r="BL137" s="102">
        <f t="shared" si="144"/>
        <v>0</v>
      </c>
      <c r="BM137" s="102">
        <f t="shared" si="145"/>
        <v>0</v>
      </c>
      <c r="BN137" s="102">
        <f t="shared" si="146"/>
        <v>0</v>
      </c>
      <c r="BO137" s="102">
        <f t="shared" ca="1" si="147"/>
        <v>0</v>
      </c>
      <c r="BP137" s="102">
        <f t="shared" ca="1" si="148"/>
        <v>0</v>
      </c>
      <c r="BQ137" s="102">
        <f t="shared" ca="1" si="149"/>
        <v>0</v>
      </c>
      <c r="BR137" s="102">
        <f t="shared" ca="1" si="150"/>
        <v>0</v>
      </c>
      <c r="BS137" s="102">
        <f t="shared" ca="1" si="151"/>
        <v>0</v>
      </c>
      <c r="BT137" s="102">
        <f t="shared" ca="1" si="152"/>
        <v>0</v>
      </c>
      <c r="BU137" s="102">
        <f t="shared" ca="1" si="153"/>
        <v>0</v>
      </c>
      <c r="BV137" s="102">
        <f t="shared" ca="1" si="154"/>
        <v>0</v>
      </c>
      <c r="BW137" s="102">
        <f t="shared" ca="1" si="155"/>
        <v>0</v>
      </c>
      <c r="BX137" s="102">
        <f t="shared" ca="1" si="156"/>
        <v>0</v>
      </c>
      <c r="BY137" s="102">
        <f t="shared" ca="1" si="157"/>
        <v>0</v>
      </c>
      <c r="BZ137" s="102">
        <f t="shared" ca="1" si="158"/>
        <v>0</v>
      </c>
    </row>
    <row r="138" spans="1:78" x14ac:dyDescent="0.25">
      <c r="A138" s="26" t="str">
        <f>+Assumptions!$A$40</f>
        <v>NPK 13-13-21</v>
      </c>
      <c r="B138" s="73">
        <f>+Assumptions!$R$56</f>
        <v>0.13</v>
      </c>
      <c r="C138" t="s">
        <v>126</v>
      </c>
      <c r="G138" s="61">
        <f t="shared" si="160"/>
        <v>0</v>
      </c>
      <c r="H138" s="61">
        <f t="shared" si="160"/>
        <v>0</v>
      </c>
      <c r="I138" s="61">
        <f t="shared" si="160"/>
        <v>0</v>
      </c>
      <c r="J138" s="61">
        <f t="shared" si="160"/>
        <v>0</v>
      </c>
      <c r="K138" s="61">
        <f t="shared" si="160"/>
        <v>0</v>
      </c>
      <c r="L138" s="61">
        <f t="shared" si="160"/>
        <v>0</v>
      </c>
      <c r="M138" s="61">
        <f t="shared" si="160"/>
        <v>0</v>
      </c>
      <c r="N138" s="61">
        <f t="shared" si="160"/>
        <v>0</v>
      </c>
      <c r="O138" s="61">
        <f t="shared" si="160"/>
        <v>0</v>
      </c>
      <c r="P138" s="61">
        <f t="shared" si="160"/>
        <v>0</v>
      </c>
      <c r="Q138" s="61">
        <f t="shared" si="160"/>
        <v>0</v>
      </c>
      <c r="R138" s="61">
        <f t="shared" si="160"/>
        <v>0</v>
      </c>
      <c r="S138" s="74">
        <f>VLOOKUP($A138,turnover!$A$184:$Q$194,+S$4-$S$4+3,0)</f>
        <v>0</v>
      </c>
      <c r="T138" s="74">
        <f>VLOOKUP($A138,turnover!$A$184:$Q$194,+T$4-$S$4+3,0)</f>
        <v>0</v>
      </c>
      <c r="U138" s="74">
        <f>VLOOKUP($A138,turnover!$A$184:$Q$194,+U$4-$S$4+3,0)</f>
        <v>0</v>
      </c>
      <c r="V138" s="74">
        <f>VLOOKUP($A138,turnover!$A$184:$Q$194,+V$4-$S$4+3,0)</f>
        <v>0</v>
      </c>
      <c r="W138" s="74">
        <f>VLOOKUP($A138,turnover!$A$184:$Q$194,+W$4-$S$4+3,0)</f>
        <v>0</v>
      </c>
      <c r="X138" s="74">
        <f>VLOOKUP($A138,turnover!$A$184:$Q$194,+X$4-$S$4+3,0)</f>
        <v>0</v>
      </c>
      <c r="Y138" s="74">
        <f>VLOOKUP($A138,turnover!$A$184:$Q$194,+Y$4-$S$4+3,0)</f>
        <v>0.39</v>
      </c>
      <c r="Z138" s="74">
        <f>VLOOKUP($A138,turnover!$A$184:$Q$194,+Z$4-$S$4+3,0)</f>
        <v>0.78</v>
      </c>
      <c r="AA138" s="74">
        <f>VLOOKUP($A138,turnover!$A$184:$Q$194,+AA$4-$S$4+3,0)</f>
        <v>0.78</v>
      </c>
      <c r="AB138" s="74">
        <f>VLOOKUP($A138,turnover!$A$184:$Q$194,+AB$4-$S$4+3,0)</f>
        <v>0.78</v>
      </c>
      <c r="AC138" s="74">
        <f>VLOOKUP($A138,turnover!$A$184:$Q$194,+AC$4-$S$4+3,0)</f>
        <v>0.78</v>
      </c>
      <c r="AD138" s="74">
        <f>VLOOKUP($A138,turnover!$A$184:$Q$194,+AD$4-$S$4+3,0)</f>
        <v>0.78</v>
      </c>
      <c r="AE138" s="74">
        <f>VLOOKUP($A138,turnover!$A$184:$Q$194,+AE$4-$S$4+3,0)</f>
        <v>0.78</v>
      </c>
      <c r="AF138" s="74">
        <f>VLOOKUP($A138,turnover!$A$184:$Q$194,+AF$4-$S$4+3,0)</f>
        <v>0.78</v>
      </c>
      <c r="AG138" s="74">
        <f>VLOOKUP($A138,turnover!$A$184:$Q$194,+AG$4-$S$4+3,0)</f>
        <v>0.78</v>
      </c>
      <c r="AH138" s="61">
        <f t="shared" si="129"/>
        <v>0</v>
      </c>
      <c r="AI138" s="61">
        <f t="shared" si="130"/>
        <v>0</v>
      </c>
      <c r="AJ138" s="61">
        <f t="shared" si="131"/>
        <v>0</v>
      </c>
      <c r="AK138" s="61">
        <f t="shared" si="132"/>
        <v>0</v>
      </c>
      <c r="AL138" s="61">
        <f t="shared" si="133"/>
        <v>0</v>
      </c>
      <c r="AM138" s="61">
        <f t="shared" si="134"/>
        <v>0</v>
      </c>
      <c r="AN138" s="61">
        <f t="shared" si="135"/>
        <v>0</v>
      </c>
      <c r="AO138" s="61">
        <f t="shared" si="136"/>
        <v>0</v>
      </c>
      <c r="AP138" s="61">
        <f t="shared" si="137"/>
        <v>0</v>
      </c>
      <c r="AQ138" s="61">
        <f t="shared" si="138"/>
        <v>0</v>
      </c>
      <c r="AR138" s="61">
        <f t="shared" si="139"/>
        <v>0</v>
      </c>
      <c r="AS138" s="61">
        <f t="shared" si="140"/>
        <v>0</v>
      </c>
      <c r="AT138" s="61">
        <f t="shared" si="141"/>
        <v>0</v>
      </c>
      <c r="AU138" s="61">
        <f t="shared" si="142"/>
        <v>0</v>
      </c>
      <c r="AV138" s="61">
        <f t="shared" si="143"/>
        <v>0</v>
      </c>
      <c r="AW138" s="101">
        <f>VLOOKUP($C138,'Cost RMs'!$B$5:$Q$22,+AW$4-$AW$4+2,0)</f>
        <v>248821</v>
      </c>
      <c r="AX138" s="101">
        <f>VLOOKUP($C138,'Cost RMs'!$B$5:$Q$22,+AX$4-$AW$4+2,0)</f>
        <v>290296</v>
      </c>
      <c r="AY138" s="101">
        <f>VLOOKUP($C138,'Cost RMs'!$B$5:$Q$22,+AY$4-$AW$4+2,0)</f>
        <v>316267</v>
      </c>
      <c r="AZ138" s="101">
        <f>VLOOKUP($C138,'Cost RMs'!$B$5:$Q$22,+AZ$4-$AW$4+2,0)</f>
        <v>337089</v>
      </c>
      <c r="BA138" s="101">
        <f>VLOOKUP($C138,'Cost RMs'!$B$5:$Q$22,+BA$4-$AW$4+2,0)</f>
        <v>408568</v>
      </c>
      <c r="BB138" s="101">
        <f>VLOOKUP($C138,'Cost RMs'!$B$5:$Q$22,+BB$4-$AW$4+2,0)</f>
        <v>457555</v>
      </c>
      <c r="BC138" s="101">
        <f>VLOOKUP($C138,'Cost RMs'!$B$5:$Q$22,+BC$4-$AW$4+2,0)</f>
        <v>512919</v>
      </c>
      <c r="BD138" s="101">
        <f>VLOOKUP($C138,'Cost RMs'!$B$5:$Q$22,+BD$4-$AW$4+2,0)</f>
        <v>574982</v>
      </c>
      <c r="BE138" s="101">
        <f>VLOOKUP($C138,'Cost RMs'!$B$5:$Q$22,+BE$4-$AW$4+2,0)</f>
        <v>644555</v>
      </c>
      <c r="BF138" s="101">
        <f>VLOOKUP($C138,'Cost RMs'!$B$5:$Q$22,+BF$4-$AW$4+2,0)</f>
        <v>722546</v>
      </c>
      <c r="BG138" s="101">
        <f>VLOOKUP($C138,'Cost RMs'!$B$5:$Q$22,+BG$4-$AW$4+2,0)</f>
        <v>809974</v>
      </c>
      <c r="BH138" s="101">
        <f>VLOOKUP($C138,'Cost RMs'!$B$5:$Q$22,+BH$4-$AW$4+2,0)</f>
        <v>907981</v>
      </c>
      <c r="BI138" s="101">
        <f>VLOOKUP($C138,'Cost RMs'!$B$5:$Q$22,+BI$4-$AW$4+2,0)</f>
        <v>1017847</v>
      </c>
      <c r="BJ138" s="101">
        <f>VLOOKUP($C138,'Cost RMs'!$B$5:$Q$22,+BJ$4-$AW$4+2,0)</f>
        <v>1141006</v>
      </c>
      <c r="BK138" s="101">
        <f>VLOOKUP($C138,'Cost RMs'!$B$5:$Q$22,+BK$4-$AW$4+2,0)</f>
        <v>1279068</v>
      </c>
      <c r="BL138" s="102">
        <f t="shared" si="144"/>
        <v>0</v>
      </c>
      <c r="BM138" s="102">
        <f t="shared" si="145"/>
        <v>0</v>
      </c>
      <c r="BN138" s="102">
        <f t="shared" si="146"/>
        <v>0</v>
      </c>
      <c r="BO138" s="102">
        <f t="shared" si="147"/>
        <v>0</v>
      </c>
      <c r="BP138" s="102">
        <f t="shared" si="148"/>
        <v>0</v>
      </c>
      <c r="BQ138" s="102">
        <f t="shared" si="149"/>
        <v>0</v>
      </c>
      <c r="BR138" s="102">
        <f t="shared" si="150"/>
        <v>0</v>
      </c>
      <c r="BS138" s="102">
        <f t="shared" si="151"/>
        <v>0</v>
      </c>
      <c r="BT138" s="102">
        <f t="shared" si="152"/>
        <v>0</v>
      </c>
      <c r="BU138" s="102">
        <f t="shared" si="153"/>
        <v>0</v>
      </c>
      <c r="BV138" s="102">
        <f t="shared" si="154"/>
        <v>0</v>
      </c>
      <c r="BW138" s="102">
        <f t="shared" si="155"/>
        <v>0</v>
      </c>
      <c r="BX138" s="102">
        <f t="shared" si="156"/>
        <v>0</v>
      </c>
      <c r="BY138" s="102">
        <f t="shared" si="157"/>
        <v>0</v>
      </c>
      <c r="BZ138" s="102">
        <f t="shared" si="158"/>
        <v>0</v>
      </c>
    </row>
    <row r="139" spans="1:78" x14ac:dyDescent="0.25">
      <c r="A139" s="26" t="str">
        <f>+Assumptions!$A$40</f>
        <v>NPK 13-13-21</v>
      </c>
      <c r="B139" s="73">
        <f>+Assumptions!$R$56</f>
        <v>0.13</v>
      </c>
      <c r="C139" t="s">
        <v>538</v>
      </c>
      <c r="F139">
        <v>2.6920000000000002</v>
      </c>
      <c r="G139" s="61">
        <f t="shared" si="160"/>
        <v>2.6920000000000002</v>
      </c>
      <c r="H139" s="61">
        <f t="shared" si="160"/>
        <v>2.6920000000000002</v>
      </c>
      <c r="I139" s="61">
        <f t="shared" si="160"/>
        <v>2.6920000000000002</v>
      </c>
      <c r="J139" s="61">
        <f t="shared" si="160"/>
        <v>2.6920000000000002</v>
      </c>
      <c r="K139" s="61">
        <f t="shared" si="160"/>
        <v>2.6920000000000002</v>
      </c>
      <c r="L139" s="61">
        <f t="shared" si="160"/>
        <v>2.6920000000000002</v>
      </c>
      <c r="M139" s="61">
        <f t="shared" si="160"/>
        <v>2.6920000000000002</v>
      </c>
      <c r="N139" s="61">
        <f t="shared" si="160"/>
        <v>2.6920000000000002</v>
      </c>
      <c r="O139" s="61">
        <f t="shared" si="160"/>
        <v>2.6920000000000002</v>
      </c>
      <c r="P139" s="61">
        <f t="shared" si="160"/>
        <v>2.6920000000000002</v>
      </c>
      <c r="Q139" s="61">
        <f t="shared" si="160"/>
        <v>2.6920000000000002</v>
      </c>
      <c r="R139" s="61">
        <f t="shared" si="160"/>
        <v>2.6920000000000002</v>
      </c>
      <c r="S139" s="74">
        <f>VLOOKUP($A139,turnover!$A$184:$Q$194,+S$4-$S$4+3,0)</f>
        <v>0</v>
      </c>
      <c r="T139" s="74">
        <f>VLOOKUP($A139,turnover!$A$184:$Q$194,+T$4-$S$4+3,0)</f>
        <v>0</v>
      </c>
      <c r="U139" s="74">
        <f>VLOOKUP($A139,turnover!$A$184:$Q$194,+U$4-$S$4+3,0)</f>
        <v>0</v>
      </c>
      <c r="V139" s="74">
        <f>VLOOKUP($A139,turnover!$A$184:$Q$194,+V$4-$S$4+3,0)</f>
        <v>0</v>
      </c>
      <c r="W139" s="74">
        <f>VLOOKUP($A139,turnover!$A$184:$Q$194,+W$4-$S$4+3,0)</f>
        <v>0</v>
      </c>
      <c r="X139" s="74">
        <f>VLOOKUP($A139,turnover!$A$184:$Q$194,+X$4-$S$4+3,0)</f>
        <v>0</v>
      </c>
      <c r="Y139" s="74">
        <f>VLOOKUP($A139,turnover!$A$184:$Q$194,+Y$4-$S$4+3,0)</f>
        <v>0.39</v>
      </c>
      <c r="Z139" s="74">
        <f>VLOOKUP($A139,turnover!$A$184:$Q$194,+Z$4-$S$4+3,0)</f>
        <v>0.78</v>
      </c>
      <c r="AA139" s="74">
        <f>VLOOKUP($A139,turnover!$A$184:$Q$194,+AA$4-$S$4+3,0)</f>
        <v>0.78</v>
      </c>
      <c r="AB139" s="74">
        <f>VLOOKUP($A139,turnover!$A$184:$Q$194,+AB$4-$S$4+3,0)</f>
        <v>0.78</v>
      </c>
      <c r="AC139" s="74">
        <f>VLOOKUP($A139,turnover!$A$184:$Q$194,+AC$4-$S$4+3,0)</f>
        <v>0.78</v>
      </c>
      <c r="AD139" s="74">
        <f>VLOOKUP($A139,turnover!$A$184:$Q$194,+AD$4-$S$4+3,0)</f>
        <v>0.78</v>
      </c>
      <c r="AE139" s="74">
        <f>VLOOKUP($A139,turnover!$A$184:$Q$194,+AE$4-$S$4+3,0)</f>
        <v>0.78</v>
      </c>
      <c r="AF139" s="74">
        <f>VLOOKUP($A139,turnover!$A$184:$Q$194,+AF$4-$S$4+3,0)</f>
        <v>0.78</v>
      </c>
      <c r="AG139" s="74">
        <f>VLOOKUP($A139,turnover!$A$184:$Q$194,+AG$4-$S$4+3,0)</f>
        <v>0.78</v>
      </c>
      <c r="AH139" s="61">
        <f t="shared" si="129"/>
        <v>0</v>
      </c>
      <c r="AI139" s="61">
        <f t="shared" si="130"/>
        <v>0</v>
      </c>
      <c r="AJ139" s="61">
        <f t="shared" si="131"/>
        <v>0</v>
      </c>
      <c r="AK139" s="61">
        <f t="shared" si="132"/>
        <v>0</v>
      </c>
      <c r="AL139" s="61">
        <f t="shared" si="133"/>
        <v>0</v>
      </c>
      <c r="AM139" s="61">
        <f t="shared" si="134"/>
        <v>0</v>
      </c>
      <c r="AN139" s="61">
        <f t="shared" si="135"/>
        <v>1.0498800000000001</v>
      </c>
      <c r="AO139" s="61">
        <f t="shared" si="136"/>
        <v>2.0997600000000003</v>
      </c>
      <c r="AP139" s="61">
        <f t="shared" si="137"/>
        <v>2.0997600000000003</v>
      </c>
      <c r="AQ139" s="61">
        <f t="shared" si="138"/>
        <v>2.0997600000000003</v>
      </c>
      <c r="AR139" s="61">
        <f t="shared" si="139"/>
        <v>2.0997600000000003</v>
      </c>
      <c r="AS139" s="61">
        <f t="shared" si="140"/>
        <v>2.0997600000000003</v>
      </c>
      <c r="AT139" s="61">
        <f t="shared" si="141"/>
        <v>2.0997600000000003</v>
      </c>
      <c r="AU139" s="61">
        <f t="shared" si="142"/>
        <v>2.0997600000000003</v>
      </c>
      <c r="AV139" s="61">
        <f t="shared" si="143"/>
        <v>2.0997600000000003</v>
      </c>
      <c r="AW139" s="101">
        <f>VLOOKUP($C139,'Cost RMs'!$B$5:$Q$22,+AW$4-$AW$4+2,0)</f>
        <v>0</v>
      </c>
      <c r="AX139" s="101">
        <f>VLOOKUP($C139,'Cost RMs'!$B$5:$Q$22,+AX$4-$AW$4+2,0)</f>
        <v>0</v>
      </c>
      <c r="AY139" s="101">
        <f>VLOOKUP($C139,'Cost RMs'!$B$5:$Q$22,+AY$4-$AW$4+2,0)</f>
        <v>0</v>
      </c>
      <c r="AZ139" s="101">
        <f>VLOOKUP($C139,'Cost RMs'!$B$5:$Q$22,+AZ$4-$AW$4+2,0)</f>
        <v>0</v>
      </c>
      <c r="BA139" s="101">
        <f>VLOOKUP($C139,'Cost RMs'!$B$5:$Q$22,+BA$4-$AW$4+2,0)</f>
        <v>520000</v>
      </c>
      <c r="BB139" s="101">
        <f>VLOOKUP($C139,'Cost RMs'!$B$5:$Q$22,+BB$4-$AW$4+2,0)</f>
        <v>582348</v>
      </c>
      <c r="BC139" s="101">
        <f>VLOOKUP($C139,'Cost RMs'!$B$5:$Q$22,+BC$4-$AW$4+2,0)</f>
        <v>652812</v>
      </c>
      <c r="BD139" s="101">
        <f>VLOOKUP($C139,'Cost RMs'!$B$5:$Q$22,+BD$4-$AW$4+2,0)</f>
        <v>731802</v>
      </c>
      <c r="BE139" s="101">
        <f>VLOOKUP($C139,'Cost RMs'!$B$5:$Q$22,+BE$4-$AW$4+2,0)</f>
        <v>820350</v>
      </c>
      <c r="BF139" s="101">
        <f>VLOOKUP($C139,'Cost RMs'!$B$5:$Q$22,+BF$4-$AW$4+2,0)</f>
        <v>919612</v>
      </c>
      <c r="BG139" s="101">
        <f>VLOOKUP($C139,'Cost RMs'!$B$5:$Q$22,+BG$4-$AW$4+2,0)</f>
        <v>1030885</v>
      </c>
      <c r="BH139" s="101">
        <f>VLOOKUP($C139,'Cost RMs'!$B$5:$Q$22,+BH$4-$AW$4+2,0)</f>
        <v>1155622</v>
      </c>
      <c r="BI139" s="101">
        <f>VLOOKUP($C139,'Cost RMs'!$B$5:$Q$22,+BI$4-$AW$4+2,0)</f>
        <v>1295452</v>
      </c>
      <c r="BJ139" s="101">
        <f>VLOOKUP($C139,'Cost RMs'!$B$5:$Q$22,+BJ$4-$AW$4+2,0)</f>
        <v>1452202</v>
      </c>
      <c r="BK139" s="101">
        <f>VLOOKUP($C139,'Cost RMs'!$B$5:$Q$22,+BK$4-$AW$4+2,0)</f>
        <v>1627918</v>
      </c>
      <c r="BL139" s="102">
        <f t="shared" si="144"/>
        <v>0</v>
      </c>
      <c r="BM139" s="102">
        <f t="shared" si="145"/>
        <v>0</v>
      </c>
      <c r="BN139" s="102">
        <f t="shared" si="146"/>
        <v>0</v>
      </c>
      <c r="BO139" s="102">
        <f t="shared" si="147"/>
        <v>0</v>
      </c>
      <c r="BP139" s="102">
        <f t="shared" si="148"/>
        <v>0</v>
      </c>
      <c r="BQ139" s="102">
        <f t="shared" si="149"/>
        <v>0</v>
      </c>
      <c r="BR139" s="102">
        <f t="shared" si="150"/>
        <v>685374.26256000006</v>
      </c>
      <c r="BS139" s="102">
        <f t="shared" si="151"/>
        <v>1536608.5675200003</v>
      </c>
      <c r="BT139" s="102">
        <f t="shared" si="152"/>
        <v>1722538.1160000002</v>
      </c>
      <c r="BU139" s="102">
        <f t="shared" si="153"/>
        <v>1930964.4931200002</v>
      </c>
      <c r="BV139" s="102">
        <f t="shared" si="154"/>
        <v>2164611.0876000002</v>
      </c>
      <c r="BW139" s="102">
        <f t="shared" si="155"/>
        <v>2426528.8507200005</v>
      </c>
      <c r="BX139" s="102">
        <f t="shared" si="156"/>
        <v>2720138.2915200004</v>
      </c>
      <c r="BY139" s="102">
        <f t="shared" si="157"/>
        <v>3049275.6715200003</v>
      </c>
      <c r="BZ139" s="102">
        <f t="shared" si="158"/>
        <v>3418237.0996800005</v>
      </c>
    </row>
    <row r="140" spans="1:78" x14ac:dyDescent="0.25">
      <c r="A140" s="26" t="str">
        <f>+Assumptions!$A$40</f>
        <v>NPK 13-13-21</v>
      </c>
      <c r="B140" s="73">
        <f>+Assumptions!$R$56</f>
        <v>0.13</v>
      </c>
      <c r="C140" t="s">
        <v>127</v>
      </c>
      <c r="F140">
        <v>6.3410000000000002</v>
      </c>
      <c r="G140" s="61">
        <f t="shared" si="160"/>
        <v>6.3410000000000002</v>
      </c>
      <c r="H140" s="61">
        <f t="shared" si="160"/>
        <v>6.3410000000000002</v>
      </c>
      <c r="I140" s="61">
        <f t="shared" si="160"/>
        <v>6.3410000000000002</v>
      </c>
      <c r="J140" s="61">
        <f t="shared" si="160"/>
        <v>6.3410000000000002</v>
      </c>
      <c r="K140" s="61">
        <f t="shared" si="160"/>
        <v>6.3410000000000002</v>
      </c>
      <c r="L140" s="61">
        <f t="shared" si="160"/>
        <v>6.3410000000000002</v>
      </c>
      <c r="M140" s="61">
        <f t="shared" si="160"/>
        <v>6.3410000000000002</v>
      </c>
      <c r="N140" s="61">
        <f t="shared" si="160"/>
        <v>6.3410000000000002</v>
      </c>
      <c r="O140" s="61">
        <f t="shared" si="160"/>
        <v>6.3410000000000002</v>
      </c>
      <c r="P140" s="61">
        <f t="shared" si="160"/>
        <v>6.3410000000000002</v>
      </c>
      <c r="Q140" s="61">
        <f t="shared" si="160"/>
        <v>6.3410000000000002</v>
      </c>
      <c r="R140" s="61">
        <f t="shared" si="160"/>
        <v>6.3410000000000002</v>
      </c>
      <c r="S140" s="74">
        <f>VLOOKUP($A140,turnover!$A$184:$Q$194,+S$4-$S$4+3,0)</f>
        <v>0</v>
      </c>
      <c r="T140" s="74">
        <f>VLOOKUP($A140,turnover!$A$184:$Q$194,+T$4-$S$4+3,0)</f>
        <v>0</v>
      </c>
      <c r="U140" s="74">
        <f>VLOOKUP($A140,turnover!$A$184:$Q$194,+U$4-$S$4+3,0)</f>
        <v>0</v>
      </c>
      <c r="V140" s="74">
        <f>VLOOKUP($A140,turnover!$A$184:$Q$194,+V$4-$S$4+3,0)</f>
        <v>0</v>
      </c>
      <c r="W140" s="74">
        <f>VLOOKUP($A140,turnover!$A$184:$Q$194,+W$4-$S$4+3,0)</f>
        <v>0</v>
      </c>
      <c r="X140" s="74">
        <f>VLOOKUP($A140,turnover!$A$184:$Q$194,+X$4-$S$4+3,0)</f>
        <v>0</v>
      </c>
      <c r="Y140" s="74">
        <f>VLOOKUP($A140,turnover!$A$184:$Q$194,+Y$4-$S$4+3,0)</f>
        <v>0.39</v>
      </c>
      <c r="Z140" s="74">
        <f>VLOOKUP($A140,turnover!$A$184:$Q$194,+Z$4-$S$4+3,0)</f>
        <v>0.78</v>
      </c>
      <c r="AA140" s="74">
        <f>VLOOKUP($A140,turnover!$A$184:$Q$194,+AA$4-$S$4+3,0)</f>
        <v>0.78</v>
      </c>
      <c r="AB140" s="74">
        <f>VLOOKUP($A140,turnover!$A$184:$Q$194,+AB$4-$S$4+3,0)</f>
        <v>0.78</v>
      </c>
      <c r="AC140" s="74">
        <f>VLOOKUP($A140,turnover!$A$184:$Q$194,+AC$4-$S$4+3,0)</f>
        <v>0.78</v>
      </c>
      <c r="AD140" s="74">
        <f>VLOOKUP($A140,turnover!$A$184:$Q$194,+AD$4-$S$4+3,0)</f>
        <v>0.78</v>
      </c>
      <c r="AE140" s="74">
        <f>VLOOKUP($A140,turnover!$A$184:$Q$194,+AE$4-$S$4+3,0)</f>
        <v>0.78</v>
      </c>
      <c r="AF140" s="74">
        <f>VLOOKUP($A140,turnover!$A$184:$Q$194,+AF$4-$S$4+3,0)</f>
        <v>0.78</v>
      </c>
      <c r="AG140" s="74">
        <f>VLOOKUP($A140,turnover!$A$184:$Q$194,+AG$4-$S$4+3,0)</f>
        <v>0.78</v>
      </c>
      <c r="AH140" s="61">
        <f t="shared" si="129"/>
        <v>0</v>
      </c>
      <c r="AI140" s="61">
        <f t="shared" si="130"/>
        <v>0</v>
      </c>
      <c r="AJ140" s="61">
        <f t="shared" si="131"/>
        <v>0</v>
      </c>
      <c r="AK140" s="61">
        <f t="shared" si="132"/>
        <v>0</v>
      </c>
      <c r="AL140" s="61">
        <f t="shared" si="133"/>
        <v>0</v>
      </c>
      <c r="AM140" s="61">
        <f t="shared" si="134"/>
        <v>0</v>
      </c>
      <c r="AN140" s="61">
        <f t="shared" si="135"/>
        <v>2.4729900000000002</v>
      </c>
      <c r="AO140" s="61">
        <f t="shared" si="136"/>
        <v>4.9459800000000005</v>
      </c>
      <c r="AP140" s="61">
        <f t="shared" si="137"/>
        <v>4.9459800000000005</v>
      </c>
      <c r="AQ140" s="61">
        <f t="shared" si="138"/>
        <v>4.9459800000000005</v>
      </c>
      <c r="AR140" s="61">
        <f t="shared" si="139"/>
        <v>4.9459800000000005</v>
      </c>
      <c r="AS140" s="61">
        <f t="shared" si="140"/>
        <v>4.9459800000000005</v>
      </c>
      <c r="AT140" s="61">
        <f t="shared" si="141"/>
        <v>4.9459800000000005</v>
      </c>
      <c r="AU140" s="61">
        <f t="shared" si="142"/>
        <v>4.9459800000000005</v>
      </c>
      <c r="AV140" s="61">
        <f t="shared" si="143"/>
        <v>4.9459800000000005</v>
      </c>
      <c r="AW140" s="101">
        <f>VLOOKUP($C140,'Cost RMs'!$B$5:$Q$22,+AW$4-$AW$4+2,0)</f>
        <v>31510</v>
      </c>
      <c r="AX140" s="101">
        <f>VLOOKUP($C140,'Cost RMs'!$B$5:$Q$22,+AX$4-$AW$4+2,0)</f>
        <v>40370</v>
      </c>
      <c r="AY140" s="101">
        <f>VLOOKUP($C140,'Cost RMs'!$B$5:$Q$22,+AY$4-$AW$4+2,0)</f>
        <v>41166</v>
      </c>
      <c r="AZ140" s="101">
        <f>VLOOKUP($C140,'Cost RMs'!$B$5:$Q$22,+AZ$4-$AW$4+2,0)</f>
        <v>48881</v>
      </c>
      <c r="BA140" s="101">
        <f>VLOOKUP($C140,'Cost RMs'!$B$5:$Q$22,+BA$4-$AW$4+2,0)</f>
        <v>47121</v>
      </c>
      <c r="BB140" s="101">
        <f ca="1">VLOOKUP($C140,'Cost RMs'!$B$5:$Q$22,+BB$4-$AW$4+2,0)</f>
        <v>50566.413250959507</v>
      </c>
      <c r="BC140" s="101">
        <f ca="1">VLOOKUP($C140,'Cost RMs'!$B$5:$Q$22,+BC$4-$AW$4+2,0)</f>
        <v>56631.49986439231</v>
      </c>
      <c r="BD140" s="101">
        <f ca="1">VLOOKUP($C140,'Cost RMs'!$B$5:$Q$22,+BD$4-$AW$4+2,0)</f>
        <v>63938.797808160256</v>
      </c>
      <c r="BE140" s="101">
        <f ca="1">VLOOKUP($C140,'Cost RMs'!$B$5:$Q$22,+BE$4-$AW$4+2,0)</f>
        <v>72083.206654867696</v>
      </c>
      <c r="BF140" s="101">
        <f ca="1">VLOOKUP($C140,'Cost RMs'!$B$5:$Q$22,+BF$4-$AW$4+2,0)</f>
        <v>81313.760903297516</v>
      </c>
      <c r="BG140" s="101">
        <f ca="1">VLOOKUP($C140,'Cost RMs'!$B$5:$Q$22,+BG$4-$AW$4+2,0)</f>
        <v>91785.423765355576</v>
      </c>
      <c r="BH140" s="101">
        <f ca="1">VLOOKUP($C140,'Cost RMs'!$B$5:$Q$22,+BH$4-$AW$4+2,0)</f>
        <v>103677.12991004685</v>
      </c>
      <c r="BI140" s="101">
        <f ca="1">VLOOKUP($C140,'Cost RMs'!$B$5:$Q$22,+BI$4-$AW$4+2,0)</f>
        <v>117195.56148271105</v>
      </c>
      <c r="BJ140" s="101">
        <f ca="1">VLOOKUP($C140,'Cost RMs'!$B$5:$Q$22,+BJ$4-$AW$4+2,0)</f>
        <v>132580.59576203892</v>
      </c>
      <c r="BK140" s="101">
        <f ca="1">VLOOKUP($C140,'Cost RMs'!$B$5:$Q$22,+BK$4-$AW$4+2,0)</f>
        <v>150111.0973392961</v>
      </c>
      <c r="BL140" s="102">
        <f t="shared" si="144"/>
        <v>0</v>
      </c>
      <c r="BM140" s="102">
        <f t="shared" si="145"/>
        <v>0</v>
      </c>
      <c r="BN140" s="102">
        <f t="shared" si="146"/>
        <v>0</v>
      </c>
      <c r="BO140" s="102">
        <f t="shared" si="147"/>
        <v>0</v>
      </c>
      <c r="BP140" s="102">
        <f t="shared" si="148"/>
        <v>0</v>
      </c>
      <c r="BQ140" s="102">
        <f t="shared" ca="1" si="149"/>
        <v>0</v>
      </c>
      <c r="BR140" s="102">
        <f t="shared" ca="1" si="150"/>
        <v>140049.13284964356</v>
      </c>
      <c r="BS140" s="102">
        <f t="shared" ca="1" si="151"/>
        <v>316240.01518320449</v>
      </c>
      <c r="BT140" s="102">
        <f t="shared" ca="1" si="152"/>
        <v>356522.09845084255</v>
      </c>
      <c r="BU140" s="102">
        <f t="shared" ca="1" si="153"/>
        <v>402176.23515249148</v>
      </c>
      <c r="BV140" s="102">
        <f t="shared" ca="1" si="154"/>
        <v>453968.87023497344</v>
      </c>
      <c r="BW140" s="102">
        <f t="shared" ca="1" si="155"/>
        <v>512785.01099249354</v>
      </c>
      <c r="BX140" s="102">
        <f t="shared" ca="1" si="156"/>
        <v>579646.9031822593</v>
      </c>
      <c r="BY140" s="102">
        <f t="shared" ca="1" si="157"/>
        <v>655740.97502712929</v>
      </c>
      <c r="BZ140" s="102">
        <f t="shared" ca="1" si="158"/>
        <v>742446.48521821178</v>
      </c>
    </row>
    <row r="141" spans="1:78" x14ac:dyDescent="0.25">
      <c r="A141" s="26" t="str">
        <f>+Assumptions!$A$40</f>
        <v>NPK 13-13-21</v>
      </c>
      <c r="B141" s="73">
        <f>+Assumptions!$R$56</f>
        <v>0.13</v>
      </c>
      <c r="C141" s="26" t="s">
        <v>132</v>
      </c>
      <c r="G141" s="61">
        <f t="shared" si="160"/>
        <v>0</v>
      </c>
      <c r="H141" s="61">
        <f t="shared" si="160"/>
        <v>0</v>
      </c>
      <c r="I141" s="61">
        <f t="shared" si="160"/>
        <v>0</v>
      </c>
      <c r="J141" s="61">
        <f t="shared" si="160"/>
        <v>0</v>
      </c>
      <c r="K141" s="61">
        <f t="shared" si="160"/>
        <v>0</v>
      </c>
      <c r="L141" s="61">
        <f t="shared" si="160"/>
        <v>0</v>
      </c>
      <c r="M141" s="61">
        <f t="shared" si="160"/>
        <v>0</v>
      </c>
      <c r="N141" s="61">
        <f t="shared" si="160"/>
        <v>0</v>
      </c>
      <c r="O141" s="61">
        <f t="shared" si="160"/>
        <v>0</v>
      </c>
      <c r="P141" s="61">
        <f t="shared" si="160"/>
        <v>0</v>
      </c>
      <c r="Q141" s="61">
        <f t="shared" si="160"/>
        <v>0</v>
      </c>
      <c r="R141" s="61">
        <f t="shared" si="160"/>
        <v>0</v>
      </c>
      <c r="S141" s="74">
        <f>VLOOKUP($A141,turnover!$A$184:$Q$194,+S$4-$S$4+3,0)</f>
        <v>0</v>
      </c>
      <c r="T141" s="74">
        <f>VLOOKUP($A141,turnover!$A$184:$Q$194,+T$4-$S$4+3,0)</f>
        <v>0</v>
      </c>
      <c r="U141" s="74">
        <f>VLOOKUP($A141,turnover!$A$184:$Q$194,+U$4-$S$4+3,0)</f>
        <v>0</v>
      </c>
      <c r="V141" s="74">
        <f>VLOOKUP($A141,turnover!$A$184:$Q$194,+V$4-$S$4+3,0)</f>
        <v>0</v>
      </c>
      <c r="W141" s="74">
        <f>VLOOKUP($A141,turnover!$A$184:$Q$194,+W$4-$S$4+3,0)</f>
        <v>0</v>
      </c>
      <c r="X141" s="74">
        <f>VLOOKUP($A141,turnover!$A$184:$Q$194,+X$4-$S$4+3,0)</f>
        <v>0</v>
      </c>
      <c r="Y141" s="74">
        <f>VLOOKUP($A141,turnover!$A$184:$Q$194,+Y$4-$S$4+3,0)</f>
        <v>0.39</v>
      </c>
      <c r="Z141" s="74">
        <f>VLOOKUP($A141,turnover!$A$184:$Q$194,+Z$4-$S$4+3,0)</f>
        <v>0.78</v>
      </c>
      <c r="AA141" s="74">
        <f>VLOOKUP($A141,turnover!$A$184:$Q$194,+AA$4-$S$4+3,0)</f>
        <v>0.78</v>
      </c>
      <c r="AB141" s="74">
        <f>VLOOKUP($A141,turnover!$A$184:$Q$194,+AB$4-$S$4+3,0)</f>
        <v>0.78</v>
      </c>
      <c r="AC141" s="74">
        <f>VLOOKUP($A141,turnover!$A$184:$Q$194,+AC$4-$S$4+3,0)</f>
        <v>0.78</v>
      </c>
      <c r="AD141" s="74">
        <f>VLOOKUP($A141,turnover!$A$184:$Q$194,+AD$4-$S$4+3,0)</f>
        <v>0.78</v>
      </c>
      <c r="AE141" s="74">
        <f>VLOOKUP($A141,turnover!$A$184:$Q$194,+AE$4-$S$4+3,0)</f>
        <v>0.78</v>
      </c>
      <c r="AF141" s="74">
        <f>VLOOKUP($A141,turnover!$A$184:$Q$194,+AF$4-$S$4+3,0)</f>
        <v>0.78</v>
      </c>
      <c r="AG141" s="74">
        <f>VLOOKUP($A141,turnover!$A$184:$Q$194,+AG$4-$S$4+3,0)</f>
        <v>0.78</v>
      </c>
      <c r="AH141" s="61">
        <f t="shared" si="129"/>
        <v>0</v>
      </c>
      <c r="AI141" s="61">
        <f t="shared" si="130"/>
        <v>0</v>
      </c>
      <c r="AJ141" s="61">
        <f t="shared" si="131"/>
        <v>0</v>
      </c>
      <c r="AK141" s="61">
        <f t="shared" si="132"/>
        <v>0</v>
      </c>
      <c r="AL141" s="61">
        <f t="shared" si="133"/>
        <v>0</v>
      </c>
      <c r="AM141" s="61">
        <f t="shared" si="134"/>
        <v>0</v>
      </c>
      <c r="AN141" s="61">
        <f t="shared" si="135"/>
        <v>0</v>
      </c>
      <c r="AO141" s="61">
        <f t="shared" si="136"/>
        <v>0</v>
      </c>
      <c r="AP141" s="61">
        <f t="shared" si="137"/>
        <v>0</v>
      </c>
      <c r="AQ141" s="61">
        <f t="shared" si="138"/>
        <v>0</v>
      </c>
      <c r="AR141" s="61">
        <f t="shared" si="139"/>
        <v>0</v>
      </c>
      <c r="AS141" s="61">
        <f t="shared" si="140"/>
        <v>0</v>
      </c>
      <c r="AT141" s="61">
        <f t="shared" si="141"/>
        <v>0</v>
      </c>
      <c r="AU141" s="61">
        <f t="shared" si="142"/>
        <v>0</v>
      </c>
      <c r="AV141" s="61">
        <f t="shared" si="143"/>
        <v>0</v>
      </c>
      <c r="AW141" s="101">
        <f>VLOOKUP($C141,'Cost RMs'!$B$5:$Q$22,+AW$4-$AW$4+2,0)</f>
        <v>37079</v>
      </c>
      <c r="AX141" s="101">
        <f>VLOOKUP($C141,'Cost RMs'!$B$5:$Q$22,+AX$4-$AW$4+2,0)</f>
        <v>52416</v>
      </c>
      <c r="AY141" s="101">
        <f>VLOOKUP($C141,'Cost RMs'!$B$5:$Q$22,+AY$4-$AW$4+2,0)</f>
        <v>45564</v>
      </c>
      <c r="AZ141" s="101">
        <f>VLOOKUP($C141,'Cost RMs'!$B$5:$Q$22,+AZ$4-$AW$4+2,0)</f>
        <v>49142</v>
      </c>
      <c r="BA141" s="101">
        <f>VLOOKUP($C141,'Cost RMs'!$B$5:$Q$22,+BA$4-$AW$4+2,0)</f>
        <v>50394</v>
      </c>
      <c r="BB141" s="101">
        <f>VLOOKUP($C141,'Cost RMs'!$B$5:$Q$22,+BB$4-$AW$4+2,0)</f>
        <v>56436</v>
      </c>
      <c r="BC141" s="101">
        <f>VLOOKUP($C141,'Cost RMs'!$B$5:$Q$22,+BC$4-$AW$4+2,0)</f>
        <v>63265</v>
      </c>
      <c r="BD141" s="101">
        <f>VLOOKUP($C141,'Cost RMs'!$B$5:$Q$22,+BD$4-$AW$4+2,0)</f>
        <v>70920</v>
      </c>
      <c r="BE141" s="101">
        <f>VLOOKUP($C141,'Cost RMs'!$B$5:$Q$22,+BE$4-$AW$4+2,0)</f>
        <v>79501</v>
      </c>
      <c r="BF141" s="101">
        <f>VLOOKUP($C141,'Cost RMs'!$B$5:$Q$22,+BF$4-$AW$4+2,0)</f>
        <v>89121</v>
      </c>
      <c r="BG141" s="101">
        <f>VLOOKUP($C141,'Cost RMs'!$B$5:$Q$22,+BG$4-$AW$4+2,0)</f>
        <v>99905</v>
      </c>
      <c r="BH141" s="101">
        <f>VLOOKUP($C141,'Cost RMs'!$B$5:$Q$22,+BH$4-$AW$4+2,0)</f>
        <v>111994</v>
      </c>
      <c r="BI141" s="101">
        <f>VLOOKUP($C141,'Cost RMs'!$B$5:$Q$22,+BI$4-$AW$4+2,0)</f>
        <v>125545</v>
      </c>
      <c r="BJ141" s="101">
        <f>VLOOKUP($C141,'Cost RMs'!$B$5:$Q$22,+BJ$4-$AW$4+2,0)</f>
        <v>140736</v>
      </c>
      <c r="BK141" s="101">
        <f>VLOOKUP($C141,'Cost RMs'!$B$5:$Q$22,+BK$4-$AW$4+2,0)</f>
        <v>157765</v>
      </c>
      <c r="BL141" s="102">
        <f t="shared" si="144"/>
        <v>0</v>
      </c>
      <c r="BM141" s="102">
        <f t="shared" si="145"/>
        <v>0</v>
      </c>
      <c r="BN141" s="102">
        <f t="shared" si="146"/>
        <v>0</v>
      </c>
      <c r="BO141" s="102">
        <f t="shared" si="147"/>
        <v>0</v>
      </c>
      <c r="BP141" s="102">
        <f t="shared" si="148"/>
        <v>0</v>
      </c>
      <c r="BQ141" s="102">
        <f t="shared" si="149"/>
        <v>0</v>
      </c>
      <c r="BR141" s="102">
        <f t="shared" si="150"/>
        <v>0</v>
      </c>
      <c r="BS141" s="102">
        <f t="shared" si="151"/>
        <v>0</v>
      </c>
      <c r="BT141" s="102">
        <f t="shared" si="152"/>
        <v>0</v>
      </c>
      <c r="BU141" s="102">
        <f t="shared" si="153"/>
        <v>0</v>
      </c>
      <c r="BV141" s="102">
        <f t="shared" si="154"/>
        <v>0</v>
      </c>
      <c r="BW141" s="102">
        <f t="shared" si="155"/>
        <v>0</v>
      </c>
      <c r="BX141" s="102">
        <f t="shared" si="156"/>
        <v>0</v>
      </c>
      <c r="BY141" s="102">
        <f t="shared" si="157"/>
        <v>0</v>
      </c>
      <c r="BZ141" s="102">
        <f t="shared" si="158"/>
        <v>0</v>
      </c>
    </row>
    <row r="142" spans="1:78" x14ac:dyDescent="0.25">
      <c r="A142" s="26" t="str">
        <f>+Assumptions!$A$40</f>
        <v>NPK 13-13-21</v>
      </c>
      <c r="B142" s="73">
        <f>+Assumptions!$R$56</f>
        <v>0.13</v>
      </c>
      <c r="C142" s="166" t="s">
        <v>536</v>
      </c>
      <c r="F142">
        <v>0.27300000000000002</v>
      </c>
      <c r="G142" s="61">
        <f t="shared" si="160"/>
        <v>0.27300000000000002</v>
      </c>
      <c r="H142" s="61">
        <f t="shared" si="160"/>
        <v>0.27300000000000002</v>
      </c>
      <c r="I142" s="61">
        <f t="shared" si="160"/>
        <v>0.27300000000000002</v>
      </c>
      <c r="J142" s="61">
        <f t="shared" si="160"/>
        <v>0.27300000000000002</v>
      </c>
      <c r="K142" s="61">
        <f t="shared" si="160"/>
        <v>0.27300000000000002</v>
      </c>
      <c r="L142" s="61">
        <f t="shared" si="160"/>
        <v>0.27300000000000002</v>
      </c>
      <c r="M142" s="61">
        <f t="shared" si="160"/>
        <v>0.27300000000000002</v>
      </c>
      <c r="N142" s="61">
        <f t="shared" si="160"/>
        <v>0.27300000000000002</v>
      </c>
      <c r="O142" s="61">
        <f t="shared" si="160"/>
        <v>0.27300000000000002</v>
      </c>
      <c r="P142" s="61">
        <f t="shared" si="160"/>
        <v>0.27300000000000002</v>
      </c>
      <c r="Q142" s="61">
        <f t="shared" si="160"/>
        <v>0.27300000000000002</v>
      </c>
      <c r="R142" s="61">
        <f t="shared" si="160"/>
        <v>0.27300000000000002</v>
      </c>
      <c r="S142" s="74">
        <f>VLOOKUP($A142,turnover!$A$184:$Q$194,+S$4-$S$4+3,0)</f>
        <v>0</v>
      </c>
      <c r="T142" s="74">
        <f>VLOOKUP($A142,turnover!$A$184:$Q$194,+T$4-$S$4+3,0)</f>
        <v>0</v>
      </c>
      <c r="U142" s="74">
        <f>VLOOKUP($A142,turnover!$A$184:$Q$194,+U$4-$S$4+3,0)</f>
        <v>0</v>
      </c>
      <c r="V142" s="74">
        <f>VLOOKUP($A142,turnover!$A$184:$Q$194,+V$4-$S$4+3,0)</f>
        <v>0</v>
      </c>
      <c r="W142" s="74">
        <f>VLOOKUP($A142,turnover!$A$184:$Q$194,+W$4-$S$4+3,0)</f>
        <v>0</v>
      </c>
      <c r="X142" s="74">
        <f>VLOOKUP($A142,turnover!$A$184:$Q$194,+X$4-$S$4+3,0)</f>
        <v>0</v>
      </c>
      <c r="Y142" s="74">
        <f>VLOOKUP($A142,turnover!$A$184:$Q$194,+Y$4-$S$4+3,0)</f>
        <v>0.39</v>
      </c>
      <c r="Z142" s="74">
        <f>VLOOKUP($A142,turnover!$A$184:$Q$194,+Z$4-$S$4+3,0)</f>
        <v>0.78</v>
      </c>
      <c r="AA142" s="74">
        <f>VLOOKUP($A142,turnover!$A$184:$Q$194,+AA$4-$S$4+3,0)</f>
        <v>0.78</v>
      </c>
      <c r="AB142" s="74">
        <f>VLOOKUP($A142,turnover!$A$184:$Q$194,+AB$4-$S$4+3,0)</f>
        <v>0.78</v>
      </c>
      <c r="AC142" s="74">
        <f>VLOOKUP($A142,turnover!$A$184:$Q$194,+AC$4-$S$4+3,0)</f>
        <v>0.78</v>
      </c>
      <c r="AD142" s="74">
        <f>VLOOKUP($A142,turnover!$A$184:$Q$194,+AD$4-$S$4+3,0)</f>
        <v>0.78</v>
      </c>
      <c r="AE142" s="74">
        <f>VLOOKUP($A142,turnover!$A$184:$Q$194,+AE$4-$S$4+3,0)</f>
        <v>0.78</v>
      </c>
      <c r="AF142" s="74">
        <f>VLOOKUP($A142,turnover!$A$184:$Q$194,+AF$4-$S$4+3,0)</f>
        <v>0.78</v>
      </c>
      <c r="AG142" s="74">
        <f>VLOOKUP($A142,turnover!$A$184:$Q$194,+AG$4-$S$4+3,0)</f>
        <v>0.78</v>
      </c>
      <c r="AH142" s="61">
        <f t="shared" si="129"/>
        <v>0</v>
      </c>
      <c r="AI142" s="61">
        <f t="shared" si="130"/>
        <v>0</v>
      </c>
      <c r="AJ142" s="61">
        <f t="shared" si="131"/>
        <v>0</v>
      </c>
      <c r="AK142" s="61">
        <f t="shared" si="132"/>
        <v>0</v>
      </c>
      <c r="AL142" s="61">
        <f t="shared" si="133"/>
        <v>0</v>
      </c>
      <c r="AM142" s="61">
        <f t="shared" si="134"/>
        <v>0</v>
      </c>
      <c r="AN142" s="61">
        <f t="shared" si="135"/>
        <v>0.10647000000000001</v>
      </c>
      <c r="AO142" s="61">
        <f t="shared" si="136"/>
        <v>0.21294000000000002</v>
      </c>
      <c r="AP142" s="61">
        <f t="shared" si="137"/>
        <v>0.21294000000000002</v>
      </c>
      <c r="AQ142" s="61">
        <f t="shared" si="138"/>
        <v>0.21294000000000002</v>
      </c>
      <c r="AR142" s="61">
        <f t="shared" si="139"/>
        <v>0.21294000000000002</v>
      </c>
      <c r="AS142" s="61">
        <f t="shared" si="140"/>
        <v>0.21294000000000002</v>
      </c>
      <c r="AT142" s="61">
        <f t="shared" si="141"/>
        <v>0.21294000000000002</v>
      </c>
      <c r="AU142" s="61">
        <f t="shared" si="142"/>
        <v>0.21294000000000002</v>
      </c>
      <c r="AV142" s="61">
        <f t="shared" si="143"/>
        <v>0.21294000000000002</v>
      </c>
      <c r="AW142" s="101">
        <f>VLOOKUP($C142,'Cost RMs'!$B$5:$Q$22,+AW$4-$AW$4+2,0)</f>
        <v>0</v>
      </c>
      <c r="AX142" s="101">
        <f>VLOOKUP($C142,'Cost RMs'!$B$5:$Q$22,+AX$4-$AW$4+2,0)</f>
        <v>0</v>
      </c>
      <c r="AY142" s="101">
        <f>VLOOKUP($C142,'Cost RMs'!$B$5:$Q$22,+AY$4-$AW$4+2,0)</f>
        <v>0</v>
      </c>
      <c r="AZ142" s="101">
        <f>VLOOKUP($C142,'Cost RMs'!$B$5:$Q$22,+AZ$4-$AW$4+2,0)</f>
        <v>0</v>
      </c>
      <c r="BA142" s="101">
        <f>VLOOKUP($C142,'Cost RMs'!$B$5:$Q$22,+BA$4-$AW$4+2,0)</f>
        <v>317520</v>
      </c>
      <c r="BB142" s="101">
        <f>VLOOKUP($C142,'Cost RMs'!$B$5:$Q$22,+BB$4-$AW$4+2,0)</f>
        <v>355591</v>
      </c>
      <c r="BC142" s="101">
        <f>VLOOKUP($C142,'Cost RMs'!$B$5:$Q$22,+BC$4-$AW$4+2,0)</f>
        <v>398618</v>
      </c>
      <c r="BD142" s="101">
        <f>VLOOKUP($C142,'Cost RMs'!$B$5:$Q$22,+BD$4-$AW$4+2,0)</f>
        <v>446851</v>
      </c>
      <c r="BE142" s="101">
        <f>VLOOKUP($C142,'Cost RMs'!$B$5:$Q$22,+BE$4-$AW$4+2,0)</f>
        <v>500920</v>
      </c>
      <c r="BF142" s="101">
        <f>VLOOKUP($C142,'Cost RMs'!$B$5:$Q$22,+BF$4-$AW$4+2,0)</f>
        <v>561531</v>
      </c>
      <c r="BG142" s="101">
        <f>VLOOKUP($C142,'Cost RMs'!$B$5:$Q$22,+BG$4-$AW$4+2,0)</f>
        <v>629476</v>
      </c>
      <c r="BH142" s="101">
        <f>VLOOKUP($C142,'Cost RMs'!$B$5:$Q$22,+BH$4-$AW$4+2,0)</f>
        <v>705643</v>
      </c>
      <c r="BI142" s="101">
        <f>VLOOKUP($C142,'Cost RMs'!$B$5:$Q$22,+BI$4-$AW$4+2,0)</f>
        <v>791026</v>
      </c>
      <c r="BJ142" s="101">
        <f>VLOOKUP($C142,'Cost RMs'!$B$5:$Q$22,+BJ$4-$AW$4+2,0)</f>
        <v>886740</v>
      </c>
      <c r="BK142" s="101">
        <f>VLOOKUP($C142,'Cost RMs'!$B$5:$Q$22,+BK$4-$AW$4+2,0)</f>
        <v>994036</v>
      </c>
      <c r="BL142" s="102">
        <f t="shared" si="144"/>
        <v>0</v>
      </c>
      <c r="BM142" s="102">
        <f t="shared" si="145"/>
        <v>0</v>
      </c>
      <c r="BN142" s="102">
        <f t="shared" si="146"/>
        <v>0</v>
      </c>
      <c r="BO142" s="102">
        <f t="shared" si="147"/>
        <v>0</v>
      </c>
      <c r="BP142" s="102">
        <f t="shared" si="148"/>
        <v>0</v>
      </c>
      <c r="BQ142" s="102">
        <f t="shared" si="149"/>
        <v>0</v>
      </c>
      <c r="BR142" s="102">
        <f t="shared" si="150"/>
        <v>42440.858460000003</v>
      </c>
      <c r="BS142" s="102">
        <f t="shared" si="151"/>
        <v>95152.451940000014</v>
      </c>
      <c r="BT142" s="102">
        <f t="shared" si="152"/>
        <v>106665.9048</v>
      </c>
      <c r="BU142" s="102">
        <f t="shared" si="153"/>
        <v>119572.41114000001</v>
      </c>
      <c r="BV142" s="102">
        <f t="shared" si="154"/>
        <v>134040.61944000001</v>
      </c>
      <c r="BW142" s="102">
        <f t="shared" si="155"/>
        <v>150259.62042000002</v>
      </c>
      <c r="BX142" s="102">
        <f t="shared" si="156"/>
        <v>168441.07644</v>
      </c>
      <c r="BY142" s="102">
        <f t="shared" si="157"/>
        <v>188822.41560000001</v>
      </c>
      <c r="BZ142" s="102">
        <f t="shared" si="158"/>
        <v>211670.02584000002</v>
      </c>
    </row>
    <row r="143" spans="1:78" x14ac:dyDescent="0.25">
      <c r="A143" s="26" t="str">
        <f>+Assumptions!$A$40</f>
        <v>NPK 13-13-21</v>
      </c>
      <c r="B143" s="73">
        <f>+Assumptions!$R$56</f>
        <v>0.13</v>
      </c>
      <c r="C143" t="s">
        <v>129</v>
      </c>
      <c r="F143">
        <v>0.87</v>
      </c>
      <c r="G143" s="61">
        <f t="shared" si="160"/>
        <v>0.87</v>
      </c>
      <c r="H143" s="61">
        <f t="shared" si="160"/>
        <v>0.87</v>
      </c>
      <c r="I143" s="61">
        <f t="shared" si="160"/>
        <v>0.87</v>
      </c>
      <c r="J143" s="61">
        <f t="shared" si="160"/>
        <v>0.87</v>
      </c>
      <c r="K143" s="61">
        <f t="shared" si="160"/>
        <v>0.87</v>
      </c>
      <c r="L143" s="61">
        <f t="shared" si="160"/>
        <v>0.87</v>
      </c>
      <c r="M143" s="61">
        <f t="shared" si="160"/>
        <v>0.87</v>
      </c>
      <c r="N143" s="61">
        <f t="shared" si="160"/>
        <v>0.87</v>
      </c>
      <c r="O143" s="61">
        <f t="shared" si="160"/>
        <v>0.87</v>
      </c>
      <c r="P143" s="61">
        <f t="shared" si="160"/>
        <v>0.87</v>
      </c>
      <c r="Q143" s="61">
        <f t="shared" si="160"/>
        <v>0.87</v>
      </c>
      <c r="R143" s="61">
        <f t="shared" si="160"/>
        <v>0.87</v>
      </c>
      <c r="S143" s="74">
        <f>VLOOKUP($A143,turnover!$A$184:$Q$194,+S$4-$S$4+3,0)</f>
        <v>0</v>
      </c>
      <c r="T143" s="74">
        <f>VLOOKUP($A143,turnover!$A$184:$Q$194,+T$4-$S$4+3,0)</f>
        <v>0</v>
      </c>
      <c r="U143" s="74">
        <f>VLOOKUP($A143,turnover!$A$184:$Q$194,+U$4-$S$4+3,0)</f>
        <v>0</v>
      </c>
      <c r="V143" s="74">
        <f>VLOOKUP($A143,turnover!$A$184:$Q$194,+V$4-$S$4+3,0)</f>
        <v>0</v>
      </c>
      <c r="W143" s="74">
        <f>VLOOKUP($A143,turnover!$A$184:$Q$194,+W$4-$S$4+3,0)</f>
        <v>0</v>
      </c>
      <c r="X143" s="74">
        <f>VLOOKUP($A143,turnover!$A$184:$Q$194,+X$4-$S$4+3,0)</f>
        <v>0</v>
      </c>
      <c r="Y143" s="74">
        <f>VLOOKUP($A143,turnover!$A$184:$Q$194,+Y$4-$S$4+3,0)</f>
        <v>0.39</v>
      </c>
      <c r="Z143" s="74">
        <f>VLOOKUP($A143,turnover!$A$184:$Q$194,+Z$4-$S$4+3,0)</f>
        <v>0.78</v>
      </c>
      <c r="AA143" s="74">
        <f>VLOOKUP($A143,turnover!$A$184:$Q$194,+AA$4-$S$4+3,0)</f>
        <v>0.78</v>
      </c>
      <c r="AB143" s="74">
        <f>VLOOKUP($A143,turnover!$A$184:$Q$194,+AB$4-$S$4+3,0)</f>
        <v>0.78</v>
      </c>
      <c r="AC143" s="74">
        <f>VLOOKUP($A143,turnover!$A$184:$Q$194,+AC$4-$S$4+3,0)</f>
        <v>0.78</v>
      </c>
      <c r="AD143" s="74">
        <f>VLOOKUP($A143,turnover!$A$184:$Q$194,+AD$4-$S$4+3,0)</f>
        <v>0.78</v>
      </c>
      <c r="AE143" s="74">
        <f>VLOOKUP($A143,turnover!$A$184:$Q$194,+AE$4-$S$4+3,0)</f>
        <v>0.78</v>
      </c>
      <c r="AF143" s="74">
        <f>VLOOKUP($A143,turnover!$A$184:$Q$194,+AF$4-$S$4+3,0)</f>
        <v>0.78</v>
      </c>
      <c r="AG143" s="74">
        <f>VLOOKUP($A143,turnover!$A$184:$Q$194,+AG$4-$S$4+3,0)</f>
        <v>0.78</v>
      </c>
      <c r="AH143" s="61">
        <f t="shared" si="129"/>
        <v>0</v>
      </c>
      <c r="AI143" s="61">
        <f t="shared" si="130"/>
        <v>0</v>
      </c>
      <c r="AJ143" s="61">
        <f t="shared" si="131"/>
        <v>0</v>
      </c>
      <c r="AK143" s="61">
        <f t="shared" si="132"/>
        <v>0</v>
      </c>
      <c r="AL143" s="61">
        <f t="shared" si="133"/>
        <v>0</v>
      </c>
      <c r="AM143" s="61">
        <f t="shared" si="134"/>
        <v>0</v>
      </c>
      <c r="AN143" s="61">
        <f t="shared" si="135"/>
        <v>0.33929999999999999</v>
      </c>
      <c r="AO143" s="61">
        <f t="shared" si="136"/>
        <v>0.67859999999999998</v>
      </c>
      <c r="AP143" s="61">
        <f t="shared" si="137"/>
        <v>0.67859999999999998</v>
      </c>
      <c r="AQ143" s="61">
        <f t="shared" si="138"/>
        <v>0.67859999999999998</v>
      </c>
      <c r="AR143" s="61">
        <f t="shared" si="139"/>
        <v>0.67859999999999998</v>
      </c>
      <c r="AS143" s="61">
        <f t="shared" si="140"/>
        <v>0.67859999999999998</v>
      </c>
      <c r="AT143" s="61">
        <f t="shared" si="141"/>
        <v>0.67859999999999998</v>
      </c>
      <c r="AU143" s="61">
        <f t="shared" si="142"/>
        <v>0.67859999999999998</v>
      </c>
      <c r="AV143" s="61">
        <f t="shared" si="143"/>
        <v>0.67859999999999998</v>
      </c>
      <c r="AW143" s="101">
        <f>VLOOKUP($C143,'Cost RMs'!$B$5:$Q$22,+AW$4-$AW$4+2,0)</f>
        <v>40086</v>
      </c>
      <c r="AX143" s="101">
        <f>VLOOKUP($C143,'Cost RMs'!$B$5:$Q$22,+AX$4-$AW$4+2,0)</f>
        <v>56197</v>
      </c>
      <c r="AY143" s="101">
        <f>VLOOKUP($C143,'Cost RMs'!$B$5:$Q$22,+AY$4-$AW$4+2,0)</f>
        <v>64582</v>
      </c>
      <c r="AZ143" s="101">
        <f>VLOOKUP($C143,'Cost RMs'!$B$5:$Q$22,+AZ$4-$AW$4+2,0)</f>
        <v>76567</v>
      </c>
      <c r="BA143" s="101">
        <f ca="1">VLOOKUP($C143,'Cost RMs'!$B$5:$Q$22,+BA$4-$AW$4+2,0)</f>
        <v>86638</v>
      </c>
      <c r="BB143" s="101">
        <f ca="1">VLOOKUP($C143,'Cost RMs'!$B$5:$Q$22,+BB$4-$AW$4+2,0)</f>
        <v>97026</v>
      </c>
      <c r="BC143" s="101">
        <f ca="1">VLOOKUP($C143,'Cost RMs'!$B$5:$Q$22,+BC$4-$AW$4+2,0)</f>
        <v>108766</v>
      </c>
      <c r="BD143" s="101">
        <f ca="1">VLOOKUP($C143,'Cost RMs'!$B$5:$Q$22,+BD$4-$AW$4+2,0)</f>
        <v>121927</v>
      </c>
      <c r="BE143" s="101">
        <f ca="1">VLOOKUP($C143,'Cost RMs'!$B$5:$Q$22,+BE$4-$AW$4+2,0)</f>
        <v>136680</v>
      </c>
      <c r="BF143" s="101">
        <f ca="1">VLOOKUP($C143,'Cost RMs'!$B$5:$Q$22,+BF$4-$AW$4+2,0)</f>
        <v>153218</v>
      </c>
      <c r="BG143" s="101">
        <f ca="1">VLOOKUP($C143,'Cost RMs'!$B$5:$Q$22,+BG$4-$AW$4+2,0)</f>
        <v>171757</v>
      </c>
      <c r="BH143" s="101">
        <f ca="1">VLOOKUP($C143,'Cost RMs'!$B$5:$Q$22,+BH$4-$AW$4+2,0)</f>
        <v>192540</v>
      </c>
      <c r="BI143" s="101">
        <f ca="1">VLOOKUP($C143,'Cost RMs'!$B$5:$Q$22,+BI$4-$AW$4+2,0)</f>
        <v>215837</v>
      </c>
      <c r="BJ143" s="101">
        <f ca="1">VLOOKUP($C143,'Cost RMs'!$B$5:$Q$22,+BJ$4-$AW$4+2,0)</f>
        <v>241953</v>
      </c>
      <c r="BK143" s="101">
        <f ca="1">VLOOKUP($C143,'Cost RMs'!$B$5:$Q$22,+BK$4-$AW$4+2,0)</f>
        <v>271229</v>
      </c>
      <c r="BL143" s="102">
        <f t="shared" si="144"/>
        <v>0</v>
      </c>
      <c r="BM143" s="102">
        <f t="shared" si="145"/>
        <v>0</v>
      </c>
      <c r="BN143" s="102">
        <f t="shared" si="146"/>
        <v>0</v>
      </c>
      <c r="BO143" s="102">
        <f t="shared" si="147"/>
        <v>0</v>
      </c>
      <c r="BP143" s="102">
        <f t="shared" ca="1" si="148"/>
        <v>0</v>
      </c>
      <c r="BQ143" s="102">
        <f t="shared" ca="1" si="149"/>
        <v>0</v>
      </c>
      <c r="BR143" s="102">
        <f t="shared" ca="1" si="150"/>
        <v>36904.303800000002</v>
      </c>
      <c r="BS143" s="102">
        <f t="shared" ca="1" si="151"/>
        <v>82739.662199999992</v>
      </c>
      <c r="BT143" s="102">
        <f t="shared" ca="1" si="152"/>
        <v>92751.047999999995</v>
      </c>
      <c r="BU143" s="102">
        <f t="shared" ca="1" si="153"/>
        <v>103973.73479999999</v>
      </c>
      <c r="BV143" s="102">
        <f t="shared" ca="1" si="154"/>
        <v>116554.3002</v>
      </c>
      <c r="BW143" s="102">
        <f t="shared" ca="1" si="155"/>
        <v>130657.644</v>
      </c>
      <c r="BX143" s="102">
        <f t="shared" ca="1" si="156"/>
        <v>146466.98819999999</v>
      </c>
      <c r="BY143" s="102">
        <f t="shared" ca="1" si="157"/>
        <v>164189.3058</v>
      </c>
      <c r="BZ143" s="102">
        <f t="shared" ca="1" si="158"/>
        <v>184055.9994</v>
      </c>
    </row>
    <row r="144" spans="1:78" x14ac:dyDescent="0.25">
      <c r="A144" s="26" t="str">
        <f>+Assumptions!$A$40</f>
        <v>NPK 13-13-21</v>
      </c>
      <c r="B144" s="73">
        <f>+Assumptions!$R$56</f>
        <v>0.13</v>
      </c>
      <c r="C144" t="s">
        <v>130</v>
      </c>
      <c r="F144">
        <v>0.69461538461538452</v>
      </c>
      <c r="G144" s="61">
        <f t="shared" si="160"/>
        <v>0.69461538461538452</v>
      </c>
      <c r="H144" s="61">
        <f t="shared" si="160"/>
        <v>0.69461538461538452</v>
      </c>
      <c r="I144" s="61">
        <f t="shared" si="160"/>
        <v>0.69461538461538452</v>
      </c>
      <c r="J144" s="61">
        <f t="shared" si="160"/>
        <v>0.69461538461538452</v>
      </c>
      <c r="K144" s="61">
        <f t="shared" si="160"/>
        <v>0.69461538461538452</v>
      </c>
      <c r="L144" s="61">
        <f t="shared" si="160"/>
        <v>0.69461538461538452</v>
      </c>
      <c r="M144" s="61">
        <f t="shared" si="160"/>
        <v>0.69461538461538452</v>
      </c>
      <c r="N144" s="61">
        <f t="shared" si="160"/>
        <v>0.69461538461538452</v>
      </c>
      <c r="O144" s="61">
        <f t="shared" si="160"/>
        <v>0.69461538461538452</v>
      </c>
      <c r="P144" s="61">
        <f t="shared" si="160"/>
        <v>0.69461538461538452</v>
      </c>
      <c r="Q144" s="61">
        <f t="shared" si="160"/>
        <v>0.69461538461538452</v>
      </c>
      <c r="R144" s="61">
        <f t="shared" si="160"/>
        <v>0.69461538461538452</v>
      </c>
      <c r="S144" s="74">
        <f>VLOOKUP($A144,turnover!$A$184:$Q$194,+S$4-$S$4+3,0)</f>
        <v>0</v>
      </c>
      <c r="T144" s="74">
        <f>VLOOKUP($A144,turnover!$A$184:$Q$194,+T$4-$S$4+3,0)</f>
        <v>0</v>
      </c>
      <c r="U144" s="74">
        <f>VLOOKUP($A144,turnover!$A$184:$Q$194,+U$4-$S$4+3,0)</f>
        <v>0</v>
      </c>
      <c r="V144" s="74">
        <f>VLOOKUP($A144,turnover!$A$184:$Q$194,+V$4-$S$4+3,0)</f>
        <v>0</v>
      </c>
      <c r="W144" s="74">
        <f>VLOOKUP($A144,turnover!$A$184:$Q$194,+W$4-$S$4+3,0)</f>
        <v>0</v>
      </c>
      <c r="X144" s="74">
        <f>VLOOKUP($A144,turnover!$A$184:$Q$194,+X$4-$S$4+3,0)</f>
        <v>0</v>
      </c>
      <c r="Y144" s="74">
        <f>VLOOKUP($A144,turnover!$A$184:$Q$194,+Y$4-$S$4+3,0)</f>
        <v>0.39</v>
      </c>
      <c r="Z144" s="74">
        <f>VLOOKUP($A144,turnover!$A$184:$Q$194,+Z$4-$S$4+3,0)</f>
        <v>0.78</v>
      </c>
      <c r="AA144" s="74">
        <f>VLOOKUP($A144,turnover!$A$184:$Q$194,+AA$4-$S$4+3,0)</f>
        <v>0.78</v>
      </c>
      <c r="AB144" s="74">
        <f>VLOOKUP($A144,turnover!$A$184:$Q$194,+AB$4-$S$4+3,0)</f>
        <v>0.78</v>
      </c>
      <c r="AC144" s="74">
        <f>VLOOKUP($A144,turnover!$A$184:$Q$194,+AC$4-$S$4+3,0)</f>
        <v>0.78</v>
      </c>
      <c r="AD144" s="74">
        <f>VLOOKUP($A144,turnover!$A$184:$Q$194,+AD$4-$S$4+3,0)</f>
        <v>0.78</v>
      </c>
      <c r="AE144" s="74">
        <f>VLOOKUP($A144,turnover!$A$184:$Q$194,+AE$4-$S$4+3,0)</f>
        <v>0.78</v>
      </c>
      <c r="AF144" s="74">
        <f>VLOOKUP($A144,turnover!$A$184:$Q$194,+AF$4-$S$4+3,0)</f>
        <v>0.78</v>
      </c>
      <c r="AG144" s="74">
        <f>VLOOKUP($A144,turnover!$A$184:$Q$194,+AG$4-$S$4+3,0)</f>
        <v>0.78</v>
      </c>
      <c r="AH144" s="61">
        <f t="shared" si="129"/>
        <v>0</v>
      </c>
      <c r="AI144" s="61">
        <f t="shared" si="130"/>
        <v>0</v>
      </c>
      <c r="AJ144" s="61">
        <f t="shared" si="131"/>
        <v>0</v>
      </c>
      <c r="AK144" s="61">
        <f t="shared" si="132"/>
        <v>0</v>
      </c>
      <c r="AL144" s="61">
        <f t="shared" si="133"/>
        <v>0</v>
      </c>
      <c r="AM144" s="61">
        <f t="shared" si="134"/>
        <v>0</v>
      </c>
      <c r="AN144" s="61">
        <f t="shared" si="135"/>
        <v>0.27089999999999997</v>
      </c>
      <c r="AO144" s="61">
        <f t="shared" si="136"/>
        <v>0.54179999999999995</v>
      </c>
      <c r="AP144" s="61">
        <f t="shared" si="137"/>
        <v>0.54179999999999995</v>
      </c>
      <c r="AQ144" s="61">
        <f t="shared" si="138"/>
        <v>0.54179999999999995</v>
      </c>
      <c r="AR144" s="61">
        <f t="shared" si="139"/>
        <v>0.54179999999999995</v>
      </c>
      <c r="AS144" s="61">
        <f t="shared" si="140"/>
        <v>0.54179999999999995</v>
      </c>
      <c r="AT144" s="61">
        <f t="shared" si="141"/>
        <v>0.54179999999999995</v>
      </c>
      <c r="AU144" s="61">
        <f t="shared" si="142"/>
        <v>0.54179999999999995</v>
      </c>
      <c r="AV144" s="61">
        <f t="shared" si="143"/>
        <v>0.54179999999999995</v>
      </c>
      <c r="AW144" s="101">
        <f>VLOOKUP($C144,'Cost RMs'!$B$5:$Q$22,+AW$4-$AW$4+2,0)</f>
        <v>42500</v>
      </c>
      <c r="AX144" s="101">
        <f>VLOOKUP($C144,'Cost RMs'!$B$5:$Q$22,+AX$4-$AW$4+2,0)</f>
        <v>63692</v>
      </c>
      <c r="AY144" s="101">
        <f>VLOOKUP($C144,'Cost RMs'!$B$5:$Q$22,+AY$4-$AW$4+2,0)</f>
        <v>71301</v>
      </c>
      <c r="AZ144" s="101">
        <f>VLOOKUP($C144,'Cost RMs'!$B$5:$Q$22,+AZ$4-$AW$4+2,0)</f>
        <v>82665</v>
      </c>
      <c r="BA144" s="101">
        <f ca="1">VLOOKUP($C144,'Cost RMs'!$B$5:$Q$22,+BA$4-$AW$4+2,0)</f>
        <v>96790</v>
      </c>
      <c r="BB144" s="101">
        <f ca="1">VLOOKUP($C144,'Cost RMs'!$B$5:$Q$22,+BB$4-$AW$4+2,0)</f>
        <v>108395</v>
      </c>
      <c r="BC144" s="101">
        <f ca="1">VLOOKUP($C144,'Cost RMs'!$B$5:$Q$22,+BC$4-$AW$4+2,0)</f>
        <v>121511</v>
      </c>
      <c r="BD144" s="101">
        <f ca="1">VLOOKUP($C144,'Cost RMs'!$B$5:$Q$22,+BD$4-$AW$4+2,0)</f>
        <v>136214</v>
      </c>
      <c r="BE144" s="101">
        <f ca="1">VLOOKUP($C144,'Cost RMs'!$B$5:$Q$22,+BE$4-$AW$4+2,0)</f>
        <v>152696</v>
      </c>
      <c r="BF144" s="101">
        <f ca="1">VLOOKUP($C144,'Cost RMs'!$B$5:$Q$22,+BF$4-$AW$4+2,0)</f>
        <v>171172</v>
      </c>
      <c r="BG144" s="101">
        <f ca="1">VLOOKUP($C144,'Cost RMs'!$B$5:$Q$22,+BG$4-$AW$4+2,0)</f>
        <v>191884</v>
      </c>
      <c r="BH144" s="101">
        <f ca="1">VLOOKUP($C144,'Cost RMs'!$B$5:$Q$22,+BH$4-$AW$4+2,0)</f>
        <v>215102</v>
      </c>
      <c r="BI144" s="101">
        <f ca="1">VLOOKUP($C144,'Cost RMs'!$B$5:$Q$22,+BI$4-$AW$4+2,0)</f>
        <v>241129</v>
      </c>
      <c r="BJ144" s="101">
        <f ca="1">VLOOKUP($C144,'Cost RMs'!$B$5:$Q$22,+BJ$4-$AW$4+2,0)</f>
        <v>270306</v>
      </c>
      <c r="BK144" s="101">
        <f ca="1">VLOOKUP($C144,'Cost RMs'!$B$5:$Q$22,+BK$4-$AW$4+2,0)</f>
        <v>303013</v>
      </c>
      <c r="BL144" s="102">
        <f t="shared" si="144"/>
        <v>0</v>
      </c>
      <c r="BM144" s="102">
        <f t="shared" si="145"/>
        <v>0</v>
      </c>
      <c r="BN144" s="102">
        <f t="shared" si="146"/>
        <v>0</v>
      </c>
      <c r="BO144" s="102">
        <f t="shared" si="147"/>
        <v>0</v>
      </c>
      <c r="BP144" s="102">
        <f t="shared" ca="1" si="148"/>
        <v>0</v>
      </c>
      <c r="BQ144" s="102">
        <f t="shared" ca="1" si="149"/>
        <v>0</v>
      </c>
      <c r="BR144" s="102">
        <f t="shared" ca="1" si="150"/>
        <v>32917.329899999997</v>
      </c>
      <c r="BS144" s="102">
        <f t="shared" ca="1" si="151"/>
        <v>73800.74519999999</v>
      </c>
      <c r="BT144" s="102">
        <f t="shared" ca="1" si="152"/>
        <v>82730.69279999999</v>
      </c>
      <c r="BU144" s="102">
        <f t="shared" ca="1" si="153"/>
        <v>92740.989599999986</v>
      </c>
      <c r="BV144" s="102">
        <f t="shared" ca="1" si="154"/>
        <v>103962.75119999998</v>
      </c>
      <c r="BW144" s="102">
        <f t="shared" ca="1" si="155"/>
        <v>116542.26359999999</v>
      </c>
      <c r="BX144" s="102">
        <f t="shared" ca="1" si="156"/>
        <v>130643.69219999999</v>
      </c>
      <c r="BY144" s="102">
        <f t="shared" ca="1" si="157"/>
        <v>146451.79079999999</v>
      </c>
      <c r="BZ144" s="102">
        <f t="shared" ca="1" si="158"/>
        <v>164172.44339999999</v>
      </c>
    </row>
    <row r="145" spans="1:78" x14ac:dyDescent="0.25">
      <c r="A145" s="26" t="str">
        <f>+Assumptions!$A$40</f>
        <v>NPK 13-13-21</v>
      </c>
      <c r="B145" s="73">
        <f>+Assumptions!$R$56</f>
        <v>0.13</v>
      </c>
      <c r="C145" s="59" t="s">
        <v>146</v>
      </c>
      <c r="F145">
        <v>2.6030769230769226</v>
      </c>
      <c r="G145" s="61">
        <f t="shared" si="160"/>
        <v>2.6030769230769226</v>
      </c>
      <c r="H145" s="61">
        <f t="shared" si="160"/>
        <v>2.6030769230769226</v>
      </c>
      <c r="I145" s="61">
        <f t="shared" si="160"/>
        <v>2.6030769230769226</v>
      </c>
      <c r="J145" s="61">
        <f t="shared" si="160"/>
        <v>2.6030769230769226</v>
      </c>
      <c r="K145" s="61">
        <f t="shared" si="160"/>
        <v>2.6030769230769226</v>
      </c>
      <c r="L145" s="61">
        <f t="shared" si="160"/>
        <v>2.6030769230769226</v>
      </c>
      <c r="M145" s="61">
        <f t="shared" si="160"/>
        <v>2.6030769230769226</v>
      </c>
      <c r="N145" s="61">
        <f t="shared" si="160"/>
        <v>2.6030769230769226</v>
      </c>
      <c r="O145" s="61">
        <f t="shared" si="160"/>
        <v>2.6030769230769226</v>
      </c>
      <c r="P145" s="61">
        <f t="shared" si="160"/>
        <v>2.6030769230769226</v>
      </c>
      <c r="Q145" s="61">
        <f t="shared" si="160"/>
        <v>2.6030769230769226</v>
      </c>
      <c r="R145" s="61">
        <f t="shared" si="160"/>
        <v>2.6030769230769226</v>
      </c>
      <c r="S145" s="74">
        <f>VLOOKUP($A145,turnover!$A$184:$Q$194,+S$4-$S$4+3,0)</f>
        <v>0</v>
      </c>
      <c r="T145" s="74">
        <f>VLOOKUP($A145,turnover!$A$184:$Q$194,+T$4-$S$4+3,0)</f>
        <v>0</v>
      </c>
      <c r="U145" s="74">
        <f>VLOOKUP($A145,turnover!$A$184:$Q$194,+U$4-$S$4+3,0)</f>
        <v>0</v>
      </c>
      <c r="V145" s="74">
        <f>VLOOKUP($A145,turnover!$A$184:$Q$194,+V$4-$S$4+3,0)</f>
        <v>0</v>
      </c>
      <c r="W145" s="74">
        <f>VLOOKUP($A145,turnover!$A$184:$Q$194,+W$4-$S$4+3,0)</f>
        <v>0</v>
      </c>
      <c r="X145" s="74">
        <f>VLOOKUP($A145,turnover!$A$184:$Q$194,+X$4-$S$4+3,0)</f>
        <v>0</v>
      </c>
      <c r="Y145" s="74">
        <f>VLOOKUP($A145,turnover!$A$184:$Q$194,+Y$4-$S$4+3,0)</f>
        <v>0.39</v>
      </c>
      <c r="Z145" s="74">
        <f>VLOOKUP($A145,turnover!$A$184:$Q$194,+Z$4-$S$4+3,0)</f>
        <v>0.78</v>
      </c>
      <c r="AA145" s="74">
        <f>VLOOKUP($A145,turnover!$A$184:$Q$194,+AA$4-$S$4+3,0)</f>
        <v>0.78</v>
      </c>
      <c r="AB145" s="74">
        <f>VLOOKUP($A145,turnover!$A$184:$Q$194,+AB$4-$S$4+3,0)</f>
        <v>0.78</v>
      </c>
      <c r="AC145" s="74">
        <f>VLOOKUP($A145,turnover!$A$184:$Q$194,+AC$4-$S$4+3,0)</f>
        <v>0.78</v>
      </c>
      <c r="AD145" s="74">
        <f>VLOOKUP($A145,turnover!$A$184:$Q$194,+AD$4-$S$4+3,0)</f>
        <v>0.78</v>
      </c>
      <c r="AE145" s="74">
        <f>VLOOKUP($A145,turnover!$A$184:$Q$194,+AE$4-$S$4+3,0)</f>
        <v>0.78</v>
      </c>
      <c r="AF145" s="74">
        <f>VLOOKUP($A145,turnover!$A$184:$Q$194,+AF$4-$S$4+3,0)</f>
        <v>0.78</v>
      </c>
      <c r="AG145" s="74">
        <f>VLOOKUP($A145,turnover!$A$184:$Q$194,+AG$4-$S$4+3,0)</f>
        <v>0.78</v>
      </c>
      <c r="AH145" s="61">
        <f t="shared" si="129"/>
        <v>0</v>
      </c>
      <c r="AI145" s="61">
        <f t="shared" si="130"/>
        <v>0</v>
      </c>
      <c r="AJ145" s="61">
        <f t="shared" si="131"/>
        <v>0</v>
      </c>
      <c r="AK145" s="61">
        <f t="shared" si="132"/>
        <v>0</v>
      </c>
      <c r="AL145" s="61">
        <f t="shared" si="133"/>
        <v>0</v>
      </c>
      <c r="AM145" s="61">
        <f t="shared" si="134"/>
        <v>0</v>
      </c>
      <c r="AN145" s="61">
        <f t="shared" si="135"/>
        <v>1.0151999999999999</v>
      </c>
      <c r="AO145" s="61">
        <f t="shared" si="136"/>
        <v>2.0303999999999998</v>
      </c>
      <c r="AP145" s="61">
        <f t="shared" si="137"/>
        <v>2.0303999999999998</v>
      </c>
      <c r="AQ145" s="61">
        <f t="shared" si="138"/>
        <v>2.0303999999999998</v>
      </c>
      <c r="AR145" s="61">
        <f t="shared" si="139"/>
        <v>2.0303999999999998</v>
      </c>
      <c r="AS145" s="61">
        <f t="shared" si="140"/>
        <v>2.0303999999999998</v>
      </c>
      <c r="AT145" s="61">
        <f t="shared" si="141"/>
        <v>2.0303999999999998</v>
      </c>
      <c r="AU145" s="61">
        <f t="shared" si="142"/>
        <v>2.0303999999999998</v>
      </c>
      <c r="AV145" s="61">
        <f t="shared" si="143"/>
        <v>2.0303999999999998</v>
      </c>
      <c r="AW145" s="101">
        <f>VLOOKUP($C145,'Cost RMs'!$B$5:$Q$22,+AW$4-$AW$4+2,0)</f>
        <v>7020</v>
      </c>
      <c r="AX145" s="101">
        <f>VLOOKUP($C145,'Cost RMs'!$B$5:$Q$22,+AX$4-$AW$4+2,0)</f>
        <v>8883</v>
      </c>
      <c r="AY145" s="101">
        <f>VLOOKUP($C145,'Cost RMs'!$B$5:$Q$22,+AY$4-$AW$4+2,0)</f>
        <v>11764</v>
      </c>
      <c r="AZ145" s="101">
        <f>VLOOKUP($C145,'Cost RMs'!$B$5:$Q$22,+AZ$4-$AW$4+2,0)</f>
        <v>15733</v>
      </c>
      <c r="BA145" s="101">
        <f ca="1">VLOOKUP($C145,'Cost RMs'!$B$5:$Q$22,+BA$4-$AW$4+2,0)</f>
        <v>19200</v>
      </c>
      <c r="BB145" s="101">
        <f ca="1">VLOOKUP($C145,'Cost RMs'!$B$5:$Q$22,+BB$4-$AW$4+2,0)</f>
        <v>21502</v>
      </c>
      <c r="BC145" s="101">
        <f ca="1">VLOOKUP($C145,'Cost RMs'!$B$5:$Q$22,+BC$4-$AW$4+2,0)</f>
        <v>24104</v>
      </c>
      <c r="BD145" s="101">
        <f ca="1">VLOOKUP($C145,'Cost RMs'!$B$5:$Q$22,+BD$4-$AW$4+2,0)</f>
        <v>27021</v>
      </c>
      <c r="BE145" s="101">
        <f ca="1">VLOOKUP($C145,'Cost RMs'!$B$5:$Q$22,+BE$4-$AW$4+2,0)</f>
        <v>30291</v>
      </c>
      <c r="BF145" s="101">
        <f ca="1">VLOOKUP($C145,'Cost RMs'!$B$5:$Q$22,+BF$4-$AW$4+2,0)</f>
        <v>33956</v>
      </c>
      <c r="BG145" s="101">
        <f ca="1">VLOOKUP($C145,'Cost RMs'!$B$5:$Q$22,+BG$4-$AW$4+2,0)</f>
        <v>38065</v>
      </c>
      <c r="BH145" s="101">
        <f ca="1">VLOOKUP($C145,'Cost RMs'!$B$5:$Q$22,+BH$4-$AW$4+2,0)</f>
        <v>42671</v>
      </c>
      <c r="BI145" s="101">
        <f ca="1">VLOOKUP($C145,'Cost RMs'!$B$5:$Q$22,+BI$4-$AW$4+2,0)</f>
        <v>47834</v>
      </c>
      <c r="BJ145" s="101">
        <f ca="1">VLOOKUP($C145,'Cost RMs'!$B$5:$Q$22,+BJ$4-$AW$4+2,0)</f>
        <v>53622</v>
      </c>
      <c r="BK145" s="101">
        <f ca="1">VLOOKUP($C145,'Cost RMs'!$B$5:$Q$22,+BK$4-$AW$4+2,0)</f>
        <v>60110</v>
      </c>
      <c r="BL145" s="102">
        <f t="shared" si="144"/>
        <v>0</v>
      </c>
      <c r="BM145" s="102">
        <f t="shared" si="145"/>
        <v>0</v>
      </c>
      <c r="BN145" s="102">
        <f t="shared" si="146"/>
        <v>0</v>
      </c>
      <c r="BO145" s="102">
        <f t="shared" si="147"/>
        <v>0</v>
      </c>
      <c r="BP145" s="102">
        <f t="shared" ca="1" si="148"/>
        <v>0</v>
      </c>
      <c r="BQ145" s="102">
        <f t="shared" ca="1" si="149"/>
        <v>0</v>
      </c>
      <c r="BR145" s="102">
        <f t="shared" ca="1" si="150"/>
        <v>24470.380799999995</v>
      </c>
      <c r="BS145" s="102">
        <f t="shared" ca="1" si="151"/>
        <v>54863.438399999992</v>
      </c>
      <c r="BT145" s="102">
        <f t="shared" ca="1" si="152"/>
        <v>61502.846399999995</v>
      </c>
      <c r="BU145" s="102">
        <f t="shared" ca="1" si="153"/>
        <v>68944.262399999992</v>
      </c>
      <c r="BV145" s="102">
        <f t="shared" ca="1" si="154"/>
        <v>77287.175999999992</v>
      </c>
      <c r="BW145" s="102">
        <f t="shared" ca="1" si="155"/>
        <v>86639.198399999994</v>
      </c>
      <c r="BX145" s="102">
        <f t="shared" ca="1" si="156"/>
        <v>97122.153599999991</v>
      </c>
      <c r="BY145" s="102">
        <f t="shared" ca="1" si="157"/>
        <v>108874.10879999999</v>
      </c>
      <c r="BZ145" s="102">
        <f t="shared" ca="1" si="158"/>
        <v>122047.34399999998</v>
      </c>
    </row>
    <row r="146" spans="1:78" x14ac:dyDescent="0.25">
      <c r="A146" s="26" t="str">
        <f>+Assumptions!$A$40</f>
        <v>NPK 13-13-21</v>
      </c>
      <c r="B146" s="73">
        <f>+Assumptions!$R$56</f>
        <v>0.13</v>
      </c>
      <c r="C146" s="59" t="s">
        <v>147</v>
      </c>
      <c r="F146">
        <v>0.33692307692307694</v>
      </c>
      <c r="G146" s="61">
        <f t="shared" si="160"/>
        <v>0.33692307692307694</v>
      </c>
      <c r="H146" s="61">
        <f t="shared" si="160"/>
        <v>0.33692307692307694</v>
      </c>
      <c r="I146" s="61">
        <f t="shared" si="160"/>
        <v>0.33692307692307694</v>
      </c>
      <c r="J146" s="61">
        <f t="shared" si="160"/>
        <v>0.33692307692307694</v>
      </c>
      <c r="K146" s="61">
        <f t="shared" si="160"/>
        <v>0.33692307692307694</v>
      </c>
      <c r="L146" s="61">
        <f t="shared" si="160"/>
        <v>0.33692307692307694</v>
      </c>
      <c r="M146" s="61">
        <f t="shared" si="160"/>
        <v>0.33692307692307694</v>
      </c>
      <c r="N146" s="61">
        <f t="shared" si="160"/>
        <v>0.33692307692307694</v>
      </c>
      <c r="O146" s="61">
        <f t="shared" si="160"/>
        <v>0.33692307692307694</v>
      </c>
      <c r="P146" s="61">
        <f t="shared" si="160"/>
        <v>0.33692307692307694</v>
      </c>
      <c r="Q146" s="61">
        <f t="shared" si="160"/>
        <v>0.33692307692307694</v>
      </c>
      <c r="R146" s="61">
        <f t="shared" si="160"/>
        <v>0.33692307692307694</v>
      </c>
      <c r="S146" s="74">
        <f>VLOOKUP($A146,turnover!$A$184:$Q$194,+S$4-$S$4+3,0)</f>
        <v>0</v>
      </c>
      <c r="T146" s="74">
        <f>VLOOKUP($A146,turnover!$A$184:$Q$194,+T$4-$S$4+3,0)</f>
        <v>0</v>
      </c>
      <c r="U146" s="74">
        <f>VLOOKUP($A146,turnover!$A$184:$Q$194,+U$4-$S$4+3,0)</f>
        <v>0</v>
      </c>
      <c r="V146" s="74">
        <f>VLOOKUP($A146,turnover!$A$184:$Q$194,+V$4-$S$4+3,0)</f>
        <v>0</v>
      </c>
      <c r="W146" s="74">
        <f>VLOOKUP($A146,turnover!$A$184:$Q$194,+W$4-$S$4+3,0)</f>
        <v>0</v>
      </c>
      <c r="X146" s="74">
        <f>VLOOKUP($A146,turnover!$A$184:$Q$194,+X$4-$S$4+3,0)</f>
        <v>0</v>
      </c>
      <c r="Y146" s="74">
        <f>VLOOKUP($A146,turnover!$A$184:$Q$194,+Y$4-$S$4+3,0)</f>
        <v>0.39</v>
      </c>
      <c r="Z146" s="74">
        <f>VLOOKUP($A146,turnover!$A$184:$Q$194,+Z$4-$S$4+3,0)</f>
        <v>0.78</v>
      </c>
      <c r="AA146" s="74">
        <f>VLOOKUP($A146,turnover!$A$184:$Q$194,+AA$4-$S$4+3,0)</f>
        <v>0.78</v>
      </c>
      <c r="AB146" s="74">
        <f>VLOOKUP($A146,turnover!$A$184:$Q$194,+AB$4-$S$4+3,0)</f>
        <v>0.78</v>
      </c>
      <c r="AC146" s="74">
        <f>VLOOKUP($A146,turnover!$A$184:$Q$194,+AC$4-$S$4+3,0)</f>
        <v>0.78</v>
      </c>
      <c r="AD146" s="74">
        <f>VLOOKUP($A146,turnover!$A$184:$Q$194,+AD$4-$S$4+3,0)</f>
        <v>0.78</v>
      </c>
      <c r="AE146" s="74">
        <f>VLOOKUP($A146,turnover!$A$184:$Q$194,+AE$4-$S$4+3,0)</f>
        <v>0.78</v>
      </c>
      <c r="AF146" s="74">
        <f>VLOOKUP($A146,turnover!$A$184:$Q$194,+AF$4-$S$4+3,0)</f>
        <v>0.78</v>
      </c>
      <c r="AG146" s="74">
        <f>VLOOKUP($A146,turnover!$A$184:$Q$194,+AG$4-$S$4+3,0)</f>
        <v>0.78</v>
      </c>
      <c r="AH146" s="61">
        <f t="shared" si="129"/>
        <v>0</v>
      </c>
      <c r="AI146" s="61">
        <f t="shared" si="130"/>
        <v>0</v>
      </c>
      <c r="AJ146" s="61">
        <f t="shared" si="131"/>
        <v>0</v>
      </c>
      <c r="AK146" s="61">
        <f t="shared" si="132"/>
        <v>0</v>
      </c>
      <c r="AL146" s="61">
        <f t="shared" si="133"/>
        <v>0</v>
      </c>
      <c r="AM146" s="61">
        <f t="shared" si="134"/>
        <v>0</v>
      </c>
      <c r="AN146" s="61">
        <f t="shared" si="135"/>
        <v>0.13140000000000002</v>
      </c>
      <c r="AO146" s="61">
        <f t="shared" si="136"/>
        <v>0.26280000000000003</v>
      </c>
      <c r="AP146" s="61">
        <f t="shared" si="137"/>
        <v>0.26280000000000003</v>
      </c>
      <c r="AQ146" s="61">
        <f t="shared" si="138"/>
        <v>0.26280000000000003</v>
      </c>
      <c r="AR146" s="61">
        <f t="shared" si="139"/>
        <v>0.26280000000000003</v>
      </c>
      <c r="AS146" s="61">
        <f t="shared" si="140"/>
        <v>0.26280000000000003</v>
      </c>
      <c r="AT146" s="61">
        <f t="shared" si="141"/>
        <v>0.26280000000000003</v>
      </c>
      <c r="AU146" s="61">
        <f t="shared" si="142"/>
        <v>0.26280000000000003</v>
      </c>
      <c r="AV146" s="61">
        <f t="shared" si="143"/>
        <v>0.26280000000000003</v>
      </c>
      <c r="AW146" s="101">
        <f>VLOOKUP($C146,'Cost RMs'!$B$5:$Q$22,+AW$4-$AW$4+2,0)</f>
        <v>25380</v>
      </c>
      <c r="AX146" s="101">
        <f>VLOOKUP($C146,'Cost RMs'!$B$5:$Q$22,+AX$4-$AW$4+2,0)</f>
        <v>33957</v>
      </c>
      <c r="AY146" s="101">
        <f>VLOOKUP($C146,'Cost RMs'!$B$5:$Q$22,+AY$4-$AW$4+2,0)</f>
        <v>50212</v>
      </c>
      <c r="AZ146" s="101">
        <f>VLOOKUP($C146,'Cost RMs'!$B$5:$Q$22,+AZ$4-$AW$4+2,0)</f>
        <v>63581</v>
      </c>
      <c r="BA146" s="101">
        <f ca="1">VLOOKUP($C146,'Cost RMs'!$B$5:$Q$22,+BA$4-$AW$4+2,0)</f>
        <v>82384</v>
      </c>
      <c r="BB146" s="101">
        <f ca="1">VLOOKUP($C146,'Cost RMs'!$B$5:$Q$22,+BB$4-$AW$4+2,0)</f>
        <v>92262</v>
      </c>
      <c r="BC146" s="101">
        <f ca="1">VLOOKUP($C146,'Cost RMs'!$B$5:$Q$22,+BC$4-$AW$4+2,0)</f>
        <v>103426</v>
      </c>
      <c r="BD146" s="101">
        <f ca="1">VLOOKUP($C146,'Cost RMs'!$B$5:$Q$22,+BD$4-$AW$4+2,0)</f>
        <v>115941</v>
      </c>
      <c r="BE146" s="101">
        <f ca="1">VLOOKUP($C146,'Cost RMs'!$B$5:$Q$22,+BE$4-$AW$4+2,0)</f>
        <v>129970</v>
      </c>
      <c r="BF146" s="101">
        <f ca="1">VLOOKUP($C146,'Cost RMs'!$B$5:$Q$22,+BF$4-$AW$4+2,0)</f>
        <v>145696</v>
      </c>
      <c r="BG146" s="101">
        <f ca="1">VLOOKUP($C146,'Cost RMs'!$B$5:$Q$22,+BG$4-$AW$4+2,0)</f>
        <v>163325</v>
      </c>
      <c r="BH146" s="101">
        <f ca="1">VLOOKUP($C146,'Cost RMs'!$B$5:$Q$22,+BH$4-$AW$4+2,0)</f>
        <v>183087</v>
      </c>
      <c r="BI146" s="101">
        <f ca="1">VLOOKUP($C146,'Cost RMs'!$B$5:$Q$22,+BI$4-$AW$4+2,0)</f>
        <v>205241</v>
      </c>
      <c r="BJ146" s="101">
        <f ca="1">VLOOKUP($C146,'Cost RMs'!$B$5:$Q$22,+BJ$4-$AW$4+2,0)</f>
        <v>230075</v>
      </c>
      <c r="BK146" s="101">
        <f ca="1">VLOOKUP($C146,'Cost RMs'!$B$5:$Q$22,+BK$4-$AW$4+2,0)</f>
        <v>257914</v>
      </c>
      <c r="BL146" s="102">
        <f t="shared" si="144"/>
        <v>0</v>
      </c>
      <c r="BM146" s="102">
        <f t="shared" si="145"/>
        <v>0</v>
      </c>
      <c r="BN146" s="102">
        <f t="shared" si="146"/>
        <v>0</v>
      </c>
      <c r="BO146" s="102">
        <f t="shared" si="147"/>
        <v>0</v>
      </c>
      <c r="BP146" s="102">
        <f t="shared" ca="1" si="148"/>
        <v>0</v>
      </c>
      <c r="BQ146" s="102">
        <f t="shared" ca="1" si="149"/>
        <v>0</v>
      </c>
      <c r="BR146" s="102">
        <f t="shared" ca="1" si="150"/>
        <v>13590.176400000002</v>
      </c>
      <c r="BS146" s="102">
        <f t="shared" ca="1" si="151"/>
        <v>30469.294800000003</v>
      </c>
      <c r="BT146" s="102">
        <f t="shared" ca="1" si="152"/>
        <v>34156.116000000002</v>
      </c>
      <c r="BU146" s="102">
        <f t="shared" ca="1" si="153"/>
        <v>38288.908800000005</v>
      </c>
      <c r="BV146" s="102">
        <f t="shared" ca="1" si="154"/>
        <v>42921.810000000005</v>
      </c>
      <c r="BW146" s="102">
        <f t="shared" ca="1" si="155"/>
        <v>48115.263600000006</v>
      </c>
      <c r="BX146" s="102">
        <f t="shared" ca="1" si="156"/>
        <v>53937.334800000004</v>
      </c>
      <c r="BY146" s="102">
        <f t="shared" ca="1" si="157"/>
        <v>60463.710000000006</v>
      </c>
      <c r="BZ146" s="102">
        <f t="shared" ca="1" si="158"/>
        <v>67779.799200000009</v>
      </c>
    </row>
    <row r="147" spans="1:78" x14ac:dyDescent="0.25">
      <c r="A147" s="26" t="str">
        <f>+Assumptions!$A$40</f>
        <v>NPK 13-13-21</v>
      </c>
      <c r="B147" s="73">
        <f>+Assumptions!$R$56</f>
        <v>0.13</v>
      </c>
      <c r="C147" s="59" t="s">
        <v>148</v>
      </c>
      <c r="F147">
        <v>5.0769230769230761E-2</v>
      </c>
      <c r="G147" s="61">
        <f t="shared" si="160"/>
        <v>5.0769230769230761E-2</v>
      </c>
      <c r="H147" s="61">
        <f t="shared" si="160"/>
        <v>5.0769230769230761E-2</v>
      </c>
      <c r="I147" s="61">
        <f t="shared" si="160"/>
        <v>5.0769230769230761E-2</v>
      </c>
      <c r="J147" s="61">
        <f t="shared" si="160"/>
        <v>5.0769230769230761E-2</v>
      </c>
      <c r="K147" s="61">
        <f t="shared" si="160"/>
        <v>5.0769230769230761E-2</v>
      </c>
      <c r="L147" s="61">
        <f t="shared" si="160"/>
        <v>5.0769230769230761E-2</v>
      </c>
      <c r="M147" s="61">
        <f t="shared" si="160"/>
        <v>5.0769230769230761E-2</v>
      </c>
      <c r="N147" s="61">
        <f t="shared" si="160"/>
        <v>5.0769230769230761E-2</v>
      </c>
      <c r="O147" s="61">
        <f t="shared" si="160"/>
        <v>5.0769230769230761E-2</v>
      </c>
      <c r="P147" s="61">
        <f t="shared" si="160"/>
        <v>5.0769230769230761E-2</v>
      </c>
      <c r="Q147" s="61">
        <f t="shared" si="160"/>
        <v>5.0769230769230761E-2</v>
      </c>
      <c r="R147" s="61">
        <f t="shared" si="160"/>
        <v>5.0769230769230761E-2</v>
      </c>
      <c r="S147" s="74">
        <f>VLOOKUP($A147,turnover!$A$184:$Q$194,+S$4-$S$4+3,0)</f>
        <v>0</v>
      </c>
      <c r="T147" s="74">
        <f>VLOOKUP($A147,turnover!$A$184:$Q$194,+T$4-$S$4+3,0)</f>
        <v>0</v>
      </c>
      <c r="U147" s="74">
        <f>VLOOKUP($A147,turnover!$A$184:$Q$194,+U$4-$S$4+3,0)</f>
        <v>0</v>
      </c>
      <c r="V147" s="74">
        <f>VLOOKUP($A147,turnover!$A$184:$Q$194,+V$4-$S$4+3,0)</f>
        <v>0</v>
      </c>
      <c r="W147" s="74">
        <f>VLOOKUP($A147,turnover!$A$184:$Q$194,+W$4-$S$4+3,0)</f>
        <v>0</v>
      </c>
      <c r="X147" s="74">
        <f>VLOOKUP($A147,turnover!$A$184:$Q$194,+X$4-$S$4+3,0)</f>
        <v>0</v>
      </c>
      <c r="Y147" s="74">
        <f>VLOOKUP($A147,turnover!$A$184:$Q$194,+Y$4-$S$4+3,0)</f>
        <v>0.39</v>
      </c>
      <c r="Z147" s="74">
        <f>VLOOKUP($A147,turnover!$A$184:$Q$194,+Z$4-$S$4+3,0)</f>
        <v>0.78</v>
      </c>
      <c r="AA147" s="74">
        <f>VLOOKUP($A147,turnover!$A$184:$Q$194,+AA$4-$S$4+3,0)</f>
        <v>0.78</v>
      </c>
      <c r="AB147" s="74">
        <f>VLOOKUP($A147,turnover!$A$184:$Q$194,+AB$4-$S$4+3,0)</f>
        <v>0.78</v>
      </c>
      <c r="AC147" s="74">
        <f>VLOOKUP($A147,turnover!$A$184:$Q$194,+AC$4-$S$4+3,0)</f>
        <v>0.78</v>
      </c>
      <c r="AD147" s="74">
        <f>VLOOKUP($A147,turnover!$A$184:$Q$194,+AD$4-$S$4+3,0)</f>
        <v>0.78</v>
      </c>
      <c r="AE147" s="74">
        <f>VLOOKUP($A147,turnover!$A$184:$Q$194,+AE$4-$S$4+3,0)</f>
        <v>0.78</v>
      </c>
      <c r="AF147" s="74">
        <f>VLOOKUP($A147,turnover!$A$184:$Q$194,+AF$4-$S$4+3,0)</f>
        <v>0.78</v>
      </c>
      <c r="AG147" s="74">
        <f>VLOOKUP($A147,turnover!$A$184:$Q$194,+AG$4-$S$4+3,0)</f>
        <v>0.78</v>
      </c>
      <c r="AH147" s="61">
        <f t="shared" si="129"/>
        <v>0</v>
      </c>
      <c r="AI147" s="61">
        <f t="shared" si="130"/>
        <v>0</v>
      </c>
      <c r="AJ147" s="61">
        <f t="shared" si="131"/>
        <v>0</v>
      </c>
      <c r="AK147" s="61">
        <f t="shared" si="132"/>
        <v>0</v>
      </c>
      <c r="AL147" s="61">
        <f t="shared" si="133"/>
        <v>0</v>
      </c>
      <c r="AM147" s="61">
        <f t="shared" si="134"/>
        <v>0</v>
      </c>
      <c r="AN147" s="61">
        <f t="shared" si="135"/>
        <v>1.9799999999999998E-2</v>
      </c>
      <c r="AO147" s="61">
        <f t="shared" si="136"/>
        <v>3.9599999999999996E-2</v>
      </c>
      <c r="AP147" s="61">
        <f t="shared" si="137"/>
        <v>3.9599999999999996E-2</v>
      </c>
      <c r="AQ147" s="61">
        <f t="shared" si="138"/>
        <v>3.9599999999999996E-2</v>
      </c>
      <c r="AR147" s="61">
        <f t="shared" si="139"/>
        <v>3.9599999999999996E-2</v>
      </c>
      <c r="AS147" s="61">
        <f t="shared" si="140"/>
        <v>3.9599999999999996E-2</v>
      </c>
      <c r="AT147" s="61">
        <f t="shared" si="141"/>
        <v>3.9599999999999996E-2</v>
      </c>
      <c r="AU147" s="61">
        <f t="shared" si="142"/>
        <v>3.9599999999999996E-2</v>
      </c>
      <c r="AV147" s="61">
        <f t="shared" si="143"/>
        <v>3.9599999999999996E-2</v>
      </c>
      <c r="AW147" s="101">
        <f>VLOOKUP($C147,'Cost RMs'!$B$5:$Q$22,+AW$4-$AW$4+2,0)</f>
        <v>27439</v>
      </c>
      <c r="AX147" s="101">
        <f>VLOOKUP($C147,'Cost RMs'!$B$5:$Q$22,+AX$4-$AW$4+2,0)</f>
        <v>32275</v>
      </c>
      <c r="AY147" s="101">
        <f>VLOOKUP($C147,'Cost RMs'!$B$5:$Q$22,+AY$4-$AW$4+2,0)</f>
        <v>45664</v>
      </c>
      <c r="AZ147" s="101">
        <f>VLOOKUP($C147,'Cost RMs'!$B$5:$Q$22,+AZ$4-$AW$4+2,0)</f>
        <v>50129</v>
      </c>
      <c r="BA147" s="101">
        <f ca="1">VLOOKUP($C147,'Cost RMs'!$B$5:$Q$22,+BA$4-$AW$4+2,0)</f>
        <v>75490</v>
      </c>
      <c r="BB147" s="101">
        <f ca="1">VLOOKUP($C147,'Cost RMs'!$B$5:$Q$22,+BB$4-$AW$4+2,0)</f>
        <v>84541</v>
      </c>
      <c r="BC147" s="101">
        <f ca="1">VLOOKUP($C147,'Cost RMs'!$B$5:$Q$22,+BC$4-$AW$4+2,0)</f>
        <v>94770</v>
      </c>
      <c r="BD147" s="101">
        <f ca="1">VLOOKUP($C147,'Cost RMs'!$B$5:$Q$22,+BD$4-$AW$4+2,0)</f>
        <v>106237</v>
      </c>
      <c r="BE147" s="101">
        <f ca="1">VLOOKUP($C147,'Cost RMs'!$B$5:$Q$22,+BE$4-$AW$4+2,0)</f>
        <v>119092</v>
      </c>
      <c r="BF147" s="101">
        <f ca="1">VLOOKUP($C147,'Cost RMs'!$B$5:$Q$22,+BF$4-$AW$4+2,0)</f>
        <v>133502</v>
      </c>
      <c r="BG147" s="101">
        <f ca="1">VLOOKUP($C147,'Cost RMs'!$B$5:$Q$22,+BG$4-$AW$4+2,0)</f>
        <v>149656</v>
      </c>
      <c r="BH147" s="101">
        <f ca="1">VLOOKUP($C147,'Cost RMs'!$B$5:$Q$22,+BH$4-$AW$4+2,0)</f>
        <v>167764</v>
      </c>
      <c r="BI147" s="101">
        <f ca="1">VLOOKUP($C147,'Cost RMs'!$B$5:$Q$22,+BI$4-$AW$4+2,0)</f>
        <v>188063</v>
      </c>
      <c r="BJ147" s="101">
        <f ca="1">VLOOKUP($C147,'Cost RMs'!$B$5:$Q$22,+BJ$4-$AW$4+2,0)</f>
        <v>210819</v>
      </c>
      <c r="BK147" s="101">
        <f ca="1">VLOOKUP($C147,'Cost RMs'!$B$5:$Q$22,+BK$4-$AW$4+2,0)</f>
        <v>236328</v>
      </c>
      <c r="BL147" s="102">
        <f t="shared" si="144"/>
        <v>0</v>
      </c>
      <c r="BM147" s="102">
        <f t="shared" si="145"/>
        <v>0</v>
      </c>
      <c r="BN147" s="102">
        <f t="shared" si="146"/>
        <v>0</v>
      </c>
      <c r="BO147" s="102">
        <f t="shared" si="147"/>
        <v>0</v>
      </c>
      <c r="BP147" s="102">
        <f t="shared" ca="1" si="148"/>
        <v>0</v>
      </c>
      <c r="BQ147" s="102">
        <f t="shared" ca="1" si="149"/>
        <v>0</v>
      </c>
      <c r="BR147" s="102">
        <f t="shared" ca="1" si="150"/>
        <v>1876.4459999999999</v>
      </c>
      <c r="BS147" s="102">
        <f t="shared" ca="1" si="151"/>
        <v>4206.9851999999992</v>
      </c>
      <c r="BT147" s="102">
        <f t="shared" ca="1" si="152"/>
        <v>4716.0431999999992</v>
      </c>
      <c r="BU147" s="102">
        <f t="shared" ca="1" si="153"/>
        <v>5286.6791999999996</v>
      </c>
      <c r="BV147" s="102">
        <f t="shared" ca="1" si="154"/>
        <v>5926.3775999999998</v>
      </c>
      <c r="BW147" s="102">
        <f t="shared" ca="1" si="155"/>
        <v>6643.4543999999996</v>
      </c>
      <c r="BX147" s="102">
        <f t="shared" ca="1" si="156"/>
        <v>7447.2947999999997</v>
      </c>
      <c r="BY147" s="102">
        <f t="shared" ca="1" si="157"/>
        <v>8348.4323999999997</v>
      </c>
      <c r="BZ147" s="102">
        <f t="shared" ca="1" si="158"/>
        <v>9358.5887999999995</v>
      </c>
    </row>
    <row r="148" spans="1:78" x14ac:dyDescent="0.25">
      <c r="A148" s="26" t="str">
        <f>+Assumptions!$A$40</f>
        <v>NPK 13-13-21</v>
      </c>
      <c r="B148" s="73">
        <f>+Assumptions!$R$56</f>
        <v>0.13</v>
      </c>
      <c r="C148" s="59" t="s">
        <v>149</v>
      </c>
      <c r="F148">
        <v>2.5119230769230771</v>
      </c>
      <c r="G148" s="61">
        <f t="shared" si="160"/>
        <v>2.5119230769230771</v>
      </c>
      <c r="H148" s="61">
        <f t="shared" si="160"/>
        <v>2.5119230769230771</v>
      </c>
      <c r="I148" s="61">
        <f t="shared" si="160"/>
        <v>2.5119230769230771</v>
      </c>
      <c r="J148" s="61">
        <f t="shared" si="160"/>
        <v>2.5119230769230771</v>
      </c>
      <c r="K148" s="61">
        <f t="shared" si="160"/>
        <v>2.5119230769230771</v>
      </c>
      <c r="L148" s="61">
        <f t="shared" si="160"/>
        <v>2.5119230769230771</v>
      </c>
      <c r="M148" s="61">
        <f t="shared" si="160"/>
        <v>2.5119230769230771</v>
      </c>
      <c r="N148" s="61">
        <f t="shared" si="160"/>
        <v>2.5119230769230771</v>
      </c>
      <c r="O148" s="61">
        <f t="shared" si="160"/>
        <v>2.5119230769230771</v>
      </c>
      <c r="P148" s="61">
        <f t="shared" si="160"/>
        <v>2.5119230769230771</v>
      </c>
      <c r="Q148" s="61">
        <f t="shared" si="160"/>
        <v>2.5119230769230771</v>
      </c>
      <c r="R148" s="61">
        <f t="shared" si="160"/>
        <v>2.5119230769230771</v>
      </c>
      <c r="S148" s="74">
        <f>VLOOKUP($A148,turnover!$A$184:$Q$194,+S$4-$S$4+3,0)</f>
        <v>0</v>
      </c>
      <c r="T148" s="74">
        <f>VLOOKUP($A148,turnover!$A$184:$Q$194,+T$4-$S$4+3,0)</f>
        <v>0</v>
      </c>
      <c r="U148" s="74">
        <f>VLOOKUP($A148,turnover!$A$184:$Q$194,+U$4-$S$4+3,0)</f>
        <v>0</v>
      </c>
      <c r="V148" s="74">
        <f>VLOOKUP($A148,turnover!$A$184:$Q$194,+V$4-$S$4+3,0)</f>
        <v>0</v>
      </c>
      <c r="W148" s="74">
        <f>VLOOKUP($A148,turnover!$A$184:$Q$194,+W$4-$S$4+3,0)</f>
        <v>0</v>
      </c>
      <c r="X148" s="74">
        <f>VLOOKUP($A148,turnover!$A$184:$Q$194,+X$4-$S$4+3,0)</f>
        <v>0</v>
      </c>
      <c r="Y148" s="74">
        <f>VLOOKUP($A148,turnover!$A$184:$Q$194,+Y$4-$S$4+3,0)</f>
        <v>0.39</v>
      </c>
      <c r="Z148" s="74">
        <f>VLOOKUP($A148,turnover!$A$184:$Q$194,+Z$4-$S$4+3,0)</f>
        <v>0.78</v>
      </c>
      <c r="AA148" s="74">
        <f>VLOOKUP($A148,turnover!$A$184:$Q$194,+AA$4-$S$4+3,0)</f>
        <v>0.78</v>
      </c>
      <c r="AB148" s="74">
        <f>VLOOKUP($A148,turnover!$A$184:$Q$194,+AB$4-$S$4+3,0)</f>
        <v>0.78</v>
      </c>
      <c r="AC148" s="74">
        <f>VLOOKUP($A148,turnover!$A$184:$Q$194,+AC$4-$S$4+3,0)</f>
        <v>0.78</v>
      </c>
      <c r="AD148" s="74">
        <f>VLOOKUP($A148,turnover!$A$184:$Q$194,+AD$4-$S$4+3,0)</f>
        <v>0.78</v>
      </c>
      <c r="AE148" s="74">
        <f>VLOOKUP($A148,turnover!$A$184:$Q$194,+AE$4-$S$4+3,0)</f>
        <v>0.78</v>
      </c>
      <c r="AF148" s="74">
        <f>VLOOKUP($A148,turnover!$A$184:$Q$194,+AF$4-$S$4+3,0)</f>
        <v>0.78</v>
      </c>
      <c r="AG148" s="74">
        <f>VLOOKUP($A148,turnover!$A$184:$Q$194,+AG$4-$S$4+3,0)</f>
        <v>0.78</v>
      </c>
      <c r="AH148" s="61">
        <f t="shared" si="129"/>
        <v>0</v>
      </c>
      <c r="AI148" s="61">
        <f t="shared" si="130"/>
        <v>0</v>
      </c>
      <c r="AJ148" s="61">
        <f t="shared" si="131"/>
        <v>0</v>
      </c>
      <c r="AK148" s="61">
        <f t="shared" si="132"/>
        <v>0</v>
      </c>
      <c r="AL148" s="61">
        <f t="shared" si="133"/>
        <v>0</v>
      </c>
      <c r="AM148" s="61">
        <f t="shared" si="134"/>
        <v>0</v>
      </c>
      <c r="AN148" s="61">
        <f t="shared" si="135"/>
        <v>0.97965000000000013</v>
      </c>
      <c r="AO148" s="61">
        <f t="shared" si="136"/>
        <v>1.9593000000000003</v>
      </c>
      <c r="AP148" s="61">
        <f t="shared" si="137"/>
        <v>1.9593000000000003</v>
      </c>
      <c r="AQ148" s="61">
        <f t="shared" si="138"/>
        <v>1.9593000000000003</v>
      </c>
      <c r="AR148" s="61">
        <f t="shared" si="139"/>
        <v>1.9593000000000003</v>
      </c>
      <c r="AS148" s="61">
        <f t="shared" si="140"/>
        <v>1.9593000000000003</v>
      </c>
      <c r="AT148" s="61">
        <f t="shared" si="141"/>
        <v>1.9593000000000003</v>
      </c>
      <c r="AU148" s="61">
        <f t="shared" si="142"/>
        <v>1.9593000000000003</v>
      </c>
      <c r="AV148" s="61">
        <f t="shared" si="143"/>
        <v>1.9593000000000003</v>
      </c>
      <c r="AW148" s="101">
        <f>VLOOKUP($C148,'Cost RMs'!$B$5:$Q$22,+AW$4-$AW$4+2,0)</f>
        <v>9377</v>
      </c>
      <c r="AX148" s="101">
        <f>VLOOKUP($C148,'Cost RMs'!$B$5:$Q$22,+AX$4-$AW$4+2,0)</f>
        <v>9969</v>
      </c>
      <c r="AY148" s="101">
        <f>VLOOKUP($C148,'Cost RMs'!$B$5:$Q$22,+AY$4-$AW$4+2,0)</f>
        <v>14915</v>
      </c>
      <c r="AZ148" s="101">
        <f>VLOOKUP($C148,'Cost RMs'!$B$5:$Q$22,+AZ$4-$AW$4+2,0)</f>
        <v>16547</v>
      </c>
      <c r="BA148" s="101">
        <f ca="1">VLOOKUP($C148,'Cost RMs'!$B$5:$Q$22,+BA$4-$AW$4+2,0)</f>
        <v>17617</v>
      </c>
      <c r="BB148" s="101">
        <f ca="1">VLOOKUP($C148,'Cost RMs'!$B$5:$Q$22,+BB$4-$AW$4+2,0)</f>
        <v>19729</v>
      </c>
      <c r="BC148" s="101">
        <f ca="1">VLOOKUP($C148,'Cost RMs'!$B$5:$Q$22,+BC$4-$AW$4+2,0)</f>
        <v>22116</v>
      </c>
      <c r="BD148" s="101">
        <f ca="1">VLOOKUP($C148,'Cost RMs'!$B$5:$Q$22,+BD$4-$AW$4+2,0)</f>
        <v>24792</v>
      </c>
      <c r="BE148" s="101">
        <f ca="1">VLOOKUP($C148,'Cost RMs'!$B$5:$Q$22,+BE$4-$AW$4+2,0)</f>
        <v>27792</v>
      </c>
      <c r="BF148" s="101">
        <f ca="1">VLOOKUP($C148,'Cost RMs'!$B$5:$Q$22,+BF$4-$AW$4+2,0)</f>
        <v>31155</v>
      </c>
      <c r="BG148" s="101">
        <f ca="1">VLOOKUP($C148,'Cost RMs'!$B$5:$Q$22,+BG$4-$AW$4+2,0)</f>
        <v>34925</v>
      </c>
      <c r="BH148" s="101">
        <f ca="1">VLOOKUP($C148,'Cost RMs'!$B$5:$Q$22,+BH$4-$AW$4+2,0)</f>
        <v>39151</v>
      </c>
      <c r="BI148" s="101">
        <f ca="1">VLOOKUP($C148,'Cost RMs'!$B$5:$Q$22,+BI$4-$AW$4+2,0)</f>
        <v>43888</v>
      </c>
      <c r="BJ148" s="101">
        <f ca="1">VLOOKUP($C148,'Cost RMs'!$B$5:$Q$22,+BJ$4-$AW$4+2,0)</f>
        <v>49198</v>
      </c>
      <c r="BK148" s="101">
        <f ca="1">VLOOKUP($C148,'Cost RMs'!$B$5:$Q$22,+BK$4-$AW$4+2,0)</f>
        <v>55151</v>
      </c>
      <c r="BL148" s="102">
        <f t="shared" si="144"/>
        <v>0</v>
      </c>
      <c r="BM148" s="102">
        <f t="shared" si="145"/>
        <v>0</v>
      </c>
      <c r="BN148" s="102">
        <f t="shared" si="146"/>
        <v>0</v>
      </c>
      <c r="BO148" s="102">
        <f t="shared" si="147"/>
        <v>0</v>
      </c>
      <c r="BP148" s="102">
        <f t="shared" ca="1" si="148"/>
        <v>0</v>
      </c>
      <c r="BQ148" s="102">
        <f t="shared" ca="1" si="149"/>
        <v>0</v>
      </c>
      <c r="BR148" s="102">
        <f t="shared" ca="1" si="150"/>
        <v>21665.939400000003</v>
      </c>
      <c r="BS148" s="102">
        <f t="shared" ca="1" si="151"/>
        <v>48574.965600000003</v>
      </c>
      <c r="BT148" s="102">
        <f t="shared" ca="1" si="152"/>
        <v>54452.865600000005</v>
      </c>
      <c r="BU148" s="102">
        <f t="shared" ca="1" si="153"/>
        <v>61041.991500000011</v>
      </c>
      <c r="BV148" s="102">
        <f t="shared" ca="1" si="154"/>
        <v>68428.552500000005</v>
      </c>
      <c r="BW148" s="102">
        <f t="shared" ca="1" si="155"/>
        <v>76708.554300000003</v>
      </c>
      <c r="BX148" s="102">
        <f t="shared" ca="1" si="156"/>
        <v>85989.758400000006</v>
      </c>
      <c r="BY148" s="102">
        <f t="shared" ca="1" si="157"/>
        <v>96393.641400000008</v>
      </c>
      <c r="BZ148" s="102">
        <f t="shared" ca="1" si="158"/>
        <v>108057.35430000002</v>
      </c>
    </row>
    <row r="149" spans="1:78" x14ac:dyDescent="0.25">
      <c r="A149" s="26" t="str">
        <f>+Assumptions!$A$40</f>
        <v>NPK 13-13-21</v>
      </c>
      <c r="B149" s="73">
        <f>+Assumptions!$R$56</f>
        <v>0.13</v>
      </c>
      <c r="C149" s="59" t="s">
        <v>546</v>
      </c>
      <c r="F149">
        <v>16.667000000000002</v>
      </c>
      <c r="G149" s="61">
        <f t="shared" si="160"/>
        <v>16.667000000000002</v>
      </c>
      <c r="H149" s="61">
        <f t="shared" si="160"/>
        <v>16.667000000000002</v>
      </c>
      <c r="I149" s="61">
        <f t="shared" si="160"/>
        <v>16.667000000000002</v>
      </c>
      <c r="J149" s="61">
        <f t="shared" si="160"/>
        <v>16.667000000000002</v>
      </c>
      <c r="K149" s="61">
        <f t="shared" si="160"/>
        <v>16.667000000000002</v>
      </c>
      <c r="L149" s="61">
        <f t="shared" si="160"/>
        <v>16.667000000000002</v>
      </c>
      <c r="M149" s="61">
        <f t="shared" si="160"/>
        <v>16.667000000000002</v>
      </c>
      <c r="N149" s="61">
        <f t="shared" si="160"/>
        <v>16.667000000000002</v>
      </c>
      <c r="O149" s="61">
        <f t="shared" si="160"/>
        <v>16.667000000000002</v>
      </c>
      <c r="P149" s="61">
        <f t="shared" si="160"/>
        <v>16.667000000000002</v>
      </c>
      <c r="Q149" s="61">
        <f t="shared" si="160"/>
        <v>16.667000000000002</v>
      </c>
      <c r="R149" s="61">
        <f t="shared" si="160"/>
        <v>16.667000000000002</v>
      </c>
      <c r="S149" s="74">
        <f>VLOOKUP($A149,turnover!$A$184:$Q$194,+S$4-$S$4+3,0)</f>
        <v>0</v>
      </c>
      <c r="T149" s="74">
        <f>VLOOKUP($A149,turnover!$A$184:$Q$194,+T$4-$S$4+3,0)</f>
        <v>0</v>
      </c>
      <c r="U149" s="74">
        <f>VLOOKUP($A149,turnover!$A$184:$Q$194,+U$4-$S$4+3,0)</f>
        <v>0</v>
      </c>
      <c r="V149" s="74">
        <f>VLOOKUP($A149,turnover!$A$184:$Q$194,+V$4-$S$4+3,0)</f>
        <v>0</v>
      </c>
      <c r="W149" s="74">
        <f>VLOOKUP($A149,turnover!$A$184:$Q$194,+W$4-$S$4+3,0)</f>
        <v>0</v>
      </c>
      <c r="X149" s="74">
        <f>VLOOKUP($A149,turnover!$A$184:$Q$194,+X$4-$S$4+3,0)</f>
        <v>0</v>
      </c>
      <c r="Y149" s="74">
        <f>VLOOKUP($A149,turnover!$A$184:$Q$194,+Y$4-$S$4+3,0)</f>
        <v>0.39</v>
      </c>
      <c r="Z149" s="74">
        <f>VLOOKUP($A149,turnover!$A$184:$Q$194,+Z$4-$S$4+3,0)</f>
        <v>0.78</v>
      </c>
      <c r="AA149" s="74">
        <f>VLOOKUP($A149,turnover!$A$184:$Q$194,+AA$4-$S$4+3,0)</f>
        <v>0.78</v>
      </c>
      <c r="AB149" s="74">
        <f>VLOOKUP($A149,turnover!$A$184:$Q$194,+AB$4-$S$4+3,0)</f>
        <v>0.78</v>
      </c>
      <c r="AC149" s="74">
        <f>VLOOKUP($A149,turnover!$A$184:$Q$194,+AC$4-$S$4+3,0)</f>
        <v>0.78</v>
      </c>
      <c r="AD149" s="74">
        <f>VLOOKUP($A149,turnover!$A$184:$Q$194,+AD$4-$S$4+3,0)</f>
        <v>0.78</v>
      </c>
      <c r="AE149" s="74">
        <f>VLOOKUP($A149,turnover!$A$184:$Q$194,+AE$4-$S$4+3,0)</f>
        <v>0.78</v>
      </c>
      <c r="AF149" s="74">
        <f>VLOOKUP($A149,turnover!$A$184:$Q$194,+AF$4-$S$4+3,0)</f>
        <v>0.78</v>
      </c>
      <c r="AG149" s="74">
        <f>VLOOKUP($A149,turnover!$A$184:$Q$194,+AG$4-$S$4+3,0)</f>
        <v>0.78</v>
      </c>
      <c r="AH149" s="61">
        <f t="shared" si="129"/>
        <v>0</v>
      </c>
      <c r="AI149" s="61">
        <f t="shared" si="130"/>
        <v>0</v>
      </c>
      <c r="AJ149" s="61">
        <f t="shared" si="131"/>
        <v>0</v>
      </c>
      <c r="AK149" s="61">
        <f t="shared" si="132"/>
        <v>0</v>
      </c>
      <c r="AL149" s="61">
        <f t="shared" si="133"/>
        <v>0</v>
      </c>
      <c r="AM149" s="61">
        <f t="shared" si="134"/>
        <v>0</v>
      </c>
      <c r="AN149" s="61">
        <f t="shared" si="135"/>
        <v>6.5001300000000004</v>
      </c>
      <c r="AO149" s="61">
        <f t="shared" si="136"/>
        <v>13.000260000000001</v>
      </c>
      <c r="AP149" s="61">
        <f t="shared" si="137"/>
        <v>13.000260000000001</v>
      </c>
      <c r="AQ149" s="61">
        <f t="shared" si="138"/>
        <v>13.000260000000001</v>
      </c>
      <c r="AR149" s="61">
        <f t="shared" si="139"/>
        <v>13.000260000000001</v>
      </c>
      <c r="AS149" s="61">
        <f t="shared" si="140"/>
        <v>13.000260000000001</v>
      </c>
      <c r="AT149" s="61">
        <f t="shared" si="141"/>
        <v>13.000260000000001</v>
      </c>
      <c r="AU149" s="61">
        <f t="shared" si="142"/>
        <v>13.000260000000001</v>
      </c>
      <c r="AV149" s="61">
        <f t="shared" si="143"/>
        <v>13.000260000000001</v>
      </c>
      <c r="AW149" s="101">
        <f>VLOOKUP($C149,'Cost RMs'!$B$5:$Q$22,+AW$4-$AW$4+2,0)</f>
        <v>0</v>
      </c>
      <c r="AX149" s="101">
        <f>VLOOKUP($C149,'Cost RMs'!$B$5:$Q$22,+AX$4-$AW$4+2,0)</f>
        <v>0</v>
      </c>
      <c r="AY149" s="101">
        <f>VLOOKUP($C149,'Cost RMs'!$B$5:$Q$22,+AY$4-$AW$4+2,0)</f>
        <v>0</v>
      </c>
      <c r="AZ149" s="101">
        <f>VLOOKUP($C149,'Cost RMs'!$B$5:$Q$22,+AZ$4-$AW$4+2,0)</f>
        <v>0</v>
      </c>
      <c r="BA149" s="101">
        <f>VLOOKUP($C149,'Cost RMs'!$B$5:$Q$22,+BA$4-$AW$4+2,0)</f>
        <v>2835</v>
      </c>
      <c r="BB149" s="101">
        <f>VLOOKUP($C149,'Cost RMs'!$B$5:$Q$22,+BB$4-$AW$4+2,0)</f>
        <v>3175</v>
      </c>
      <c r="BC149" s="101">
        <f>VLOOKUP($C149,'Cost RMs'!$B$5:$Q$22,+BC$4-$AW$4+2,0)</f>
        <v>3559</v>
      </c>
      <c r="BD149" s="101">
        <f>VLOOKUP($C149,'Cost RMs'!$B$5:$Q$22,+BD$4-$AW$4+2,0)</f>
        <v>3990</v>
      </c>
      <c r="BE149" s="101">
        <f>VLOOKUP($C149,'Cost RMs'!$B$5:$Q$22,+BE$4-$AW$4+2,0)</f>
        <v>4473</v>
      </c>
      <c r="BF149" s="101">
        <f>VLOOKUP($C149,'Cost RMs'!$B$5:$Q$22,+BF$4-$AW$4+2,0)</f>
        <v>5014</v>
      </c>
      <c r="BG149" s="101">
        <f>VLOOKUP($C149,'Cost RMs'!$B$5:$Q$22,+BG$4-$AW$4+2,0)</f>
        <v>5621</v>
      </c>
      <c r="BH149" s="101">
        <f>VLOOKUP($C149,'Cost RMs'!$B$5:$Q$22,+BH$4-$AW$4+2,0)</f>
        <v>6301</v>
      </c>
      <c r="BI149" s="101">
        <f>VLOOKUP($C149,'Cost RMs'!$B$5:$Q$22,+BI$4-$AW$4+2,0)</f>
        <v>7063</v>
      </c>
      <c r="BJ149" s="101">
        <f>VLOOKUP($C149,'Cost RMs'!$B$5:$Q$22,+BJ$4-$AW$4+2,0)</f>
        <v>7918</v>
      </c>
      <c r="BK149" s="101">
        <f>VLOOKUP($C149,'Cost RMs'!$B$5:$Q$22,+BK$4-$AW$4+2,0)</f>
        <v>8876</v>
      </c>
      <c r="BL149" s="102">
        <f t="shared" si="144"/>
        <v>0</v>
      </c>
      <c r="BM149" s="102">
        <f t="shared" si="145"/>
        <v>0</v>
      </c>
      <c r="BN149" s="102">
        <f t="shared" si="146"/>
        <v>0</v>
      </c>
      <c r="BO149" s="102">
        <f t="shared" si="147"/>
        <v>0</v>
      </c>
      <c r="BP149" s="102">
        <f t="shared" si="148"/>
        <v>0</v>
      </c>
      <c r="BQ149" s="102">
        <f t="shared" si="149"/>
        <v>0</v>
      </c>
      <c r="BR149" s="102">
        <f t="shared" si="150"/>
        <v>23133.962670000001</v>
      </c>
      <c r="BS149" s="102">
        <f t="shared" si="151"/>
        <v>51871.037400000001</v>
      </c>
      <c r="BT149" s="102">
        <f t="shared" si="152"/>
        <v>58150.162980000001</v>
      </c>
      <c r="BU149" s="102">
        <f t="shared" si="153"/>
        <v>65183.303640000006</v>
      </c>
      <c r="BV149" s="102">
        <f t="shared" si="154"/>
        <v>73074.461460000006</v>
      </c>
      <c r="BW149" s="102">
        <f t="shared" si="155"/>
        <v>81914.638260000007</v>
      </c>
      <c r="BX149" s="102">
        <f t="shared" si="156"/>
        <v>91820.836380000008</v>
      </c>
      <c r="BY149" s="102">
        <f t="shared" si="157"/>
        <v>102936.05868</v>
      </c>
      <c r="BZ149" s="102">
        <f t="shared" si="158"/>
        <v>115390.30776000001</v>
      </c>
    </row>
    <row r="150" spans="1:78" x14ac:dyDescent="0.25">
      <c r="A150" s="26" t="str">
        <f>+Assumptions!$A$40</f>
        <v>NPK 13-13-21</v>
      </c>
      <c r="B150" s="73">
        <f>+Assumptions!$R$56</f>
        <v>0.13</v>
      </c>
      <c r="C150" s="59" t="s">
        <v>547</v>
      </c>
      <c r="F150">
        <v>3.8457692307692311</v>
      </c>
      <c r="G150" s="61">
        <f t="shared" si="160"/>
        <v>3.8457692307692311</v>
      </c>
      <c r="H150" s="61">
        <f t="shared" si="160"/>
        <v>3.8457692307692311</v>
      </c>
      <c r="I150" s="61">
        <f t="shared" si="160"/>
        <v>3.8457692307692311</v>
      </c>
      <c r="J150" s="61">
        <f t="shared" si="160"/>
        <v>3.8457692307692311</v>
      </c>
      <c r="K150" s="61">
        <f t="shared" si="160"/>
        <v>3.8457692307692311</v>
      </c>
      <c r="L150" s="61">
        <f t="shared" si="160"/>
        <v>3.8457692307692311</v>
      </c>
      <c r="M150" s="61">
        <f t="shared" si="160"/>
        <v>3.8457692307692311</v>
      </c>
      <c r="N150" s="61">
        <f t="shared" si="160"/>
        <v>3.8457692307692311</v>
      </c>
      <c r="O150" s="61">
        <f t="shared" si="160"/>
        <v>3.8457692307692311</v>
      </c>
      <c r="P150" s="61">
        <f t="shared" si="160"/>
        <v>3.8457692307692311</v>
      </c>
      <c r="Q150" s="61">
        <f t="shared" si="160"/>
        <v>3.8457692307692311</v>
      </c>
      <c r="R150" s="61">
        <f t="shared" si="160"/>
        <v>3.8457692307692311</v>
      </c>
      <c r="S150" s="74">
        <f>VLOOKUP($A150,turnover!$A$184:$Q$194,+S$4-$S$4+3,0)</f>
        <v>0</v>
      </c>
      <c r="T150" s="74">
        <f>VLOOKUP($A150,turnover!$A$184:$Q$194,+T$4-$S$4+3,0)</f>
        <v>0</v>
      </c>
      <c r="U150" s="74">
        <f>VLOOKUP($A150,turnover!$A$184:$Q$194,+U$4-$S$4+3,0)</f>
        <v>0</v>
      </c>
      <c r="V150" s="74">
        <f>VLOOKUP($A150,turnover!$A$184:$Q$194,+V$4-$S$4+3,0)</f>
        <v>0</v>
      </c>
      <c r="W150" s="74">
        <f>VLOOKUP($A150,turnover!$A$184:$Q$194,+W$4-$S$4+3,0)</f>
        <v>0</v>
      </c>
      <c r="X150" s="74">
        <f>VLOOKUP($A150,turnover!$A$184:$Q$194,+X$4-$S$4+3,0)</f>
        <v>0</v>
      </c>
      <c r="Y150" s="74">
        <f>VLOOKUP($A150,turnover!$A$184:$Q$194,+Y$4-$S$4+3,0)</f>
        <v>0.39</v>
      </c>
      <c r="Z150" s="74">
        <f>VLOOKUP($A150,turnover!$A$184:$Q$194,+Z$4-$S$4+3,0)</f>
        <v>0.78</v>
      </c>
      <c r="AA150" s="74">
        <f>VLOOKUP($A150,turnover!$A$184:$Q$194,+AA$4-$S$4+3,0)</f>
        <v>0.78</v>
      </c>
      <c r="AB150" s="74">
        <f>VLOOKUP($A150,turnover!$A$184:$Q$194,+AB$4-$S$4+3,0)</f>
        <v>0.78</v>
      </c>
      <c r="AC150" s="74">
        <f>VLOOKUP($A150,turnover!$A$184:$Q$194,+AC$4-$S$4+3,0)</f>
        <v>0.78</v>
      </c>
      <c r="AD150" s="74">
        <f>VLOOKUP($A150,turnover!$A$184:$Q$194,+AD$4-$S$4+3,0)</f>
        <v>0.78</v>
      </c>
      <c r="AE150" s="74">
        <f>VLOOKUP($A150,turnover!$A$184:$Q$194,+AE$4-$S$4+3,0)</f>
        <v>0.78</v>
      </c>
      <c r="AF150" s="74">
        <f>VLOOKUP($A150,turnover!$A$184:$Q$194,+AF$4-$S$4+3,0)</f>
        <v>0.78</v>
      </c>
      <c r="AG150" s="74">
        <f>VLOOKUP($A150,turnover!$A$184:$Q$194,+AG$4-$S$4+3,0)</f>
        <v>0.78</v>
      </c>
      <c r="AH150" s="61">
        <f t="shared" si="129"/>
        <v>0</v>
      </c>
      <c r="AI150" s="61">
        <f t="shared" si="130"/>
        <v>0</v>
      </c>
      <c r="AJ150" s="61">
        <f t="shared" si="131"/>
        <v>0</v>
      </c>
      <c r="AK150" s="61">
        <f t="shared" si="132"/>
        <v>0</v>
      </c>
      <c r="AL150" s="61">
        <f t="shared" si="133"/>
        <v>0</v>
      </c>
      <c r="AM150" s="61">
        <f t="shared" si="134"/>
        <v>0</v>
      </c>
      <c r="AN150" s="61">
        <f t="shared" si="135"/>
        <v>1.4998500000000001</v>
      </c>
      <c r="AO150" s="61">
        <f t="shared" si="136"/>
        <v>2.9997000000000003</v>
      </c>
      <c r="AP150" s="61">
        <f t="shared" si="137"/>
        <v>2.9997000000000003</v>
      </c>
      <c r="AQ150" s="61">
        <f t="shared" si="138"/>
        <v>2.9997000000000003</v>
      </c>
      <c r="AR150" s="61">
        <f t="shared" si="139"/>
        <v>2.9997000000000003</v>
      </c>
      <c r="AS150" s="61">
        <f t="shared" si="140"/>
        <v>2.9997000000000003</v>
      </c>
      <c r="AT150" s="61">
        <f t="shared" si="141"/>
        <v>2.9997000000000003</v>
      </c>
      <c r="AU150" s="61">
        <f t="shared" si="142"/>
        <v>2.9997000000000003</v>
      </c>
      <c r="AV150" s="61">
        <f t="shared" si="143"/>
        <v>2.9997000000000003</v>
      </c>
      <c r="AW150" s="101">
        <f>VLOOKUP($C150,'Cost RMs'!$B$5:$Q$22,+AW$4-$AW$4+2,0)</f>
        <v>0</v>
      </c>
      <c r="AX150" s="101">
        <f>VLOOKUP($C150,'Cost RMs'!$B$5:$Q$22,+AX$4-$AW$4+2,0)</f>
        <v>0</v>
      </c>
      <c r="AY150" s="101">
        <f>VLOOKUP($C150,'Cost RMs'!$B$5:$Q$22,+AY$4-$AW$4+2,0)</f>
        <v>0</v>
      </c>
      <c r="AZ150" s="101">
        <f>VLOOKUP($C150,'Cost RMs'!$B$5:$Q$22,+AZ$4-$AW$4+2,0)</f>
        <v>0</v>
      </c>
      <c r="BA150" s="101">
        <f>VLOOKUP($C150,'Cost RMs'!$B$5:$Q$22,+BA$4-$AW$4+2,0)</f>
        <v>3780</v>
      </c>
      <c r="BB150" s="101">
        <f>VLOOKUP($C150,'Cost RMs'!$B$5:$Q$22,+BB$4-$AW$4+2,0)</f>
        <v>4233</v>
      </c>
      <c r="BC150" s="101">
        <f>VLOOKUP($C150,'Cost RMs'!$B$5:$Q$22,+BC$4-$AW$4+2,0)</f>
        <v>4745</v>
      </c>
      <c r="BD150" s="101">
        <f>VLOOKUP($C150,'Cost RMs'!$B$5:$Q$22,+BD$4-$AW$4+2,0)</f>
        <v>5319</v>
      </c>
      <c r="BE150" s="101">
        <f>VLOOKUP($C150,'Cost RMs'!$B$5:$Q$22,+BE$4-$AW$4+2,0)</f>
        <v>5963</v>
      </c>
      <c r="BF150" s="101">
        <f>VLOOKUP($C150,'Cost RMs'!$B$5:$Q$22,+BF$4-$AW$4+2,0)</f>
        <v>6685</v>
      </c>
      <c r="BG150" s="101">
        <f>VLOOKUP($C150,'Cost RMs'!$B$5:$Q$22,+BG$4-$AW$4+2,0)</f>
        <v>7494</v>
      </c>
      <c r="BH150" s="101">
        <f>VLOOKUP($C150,'Cost RMs'!$B$5:$Q$22,+BH$4-$AW$4+2,0)</f>
        <v>8401</v>
      </c>
      <c r="BI150" s="101">
        <f>VLOOKUP($C150,'Cost RMs'!$B$5:$Q$22,+BI$4-$AW$4+2,0)</f>
        <v>9418</v>
      </c>
      <c r="BJ150" s="101">
        <f>VLOOKUP($C150,'Cost RMs'!$B$5:$Q$22,+BJ$4-$AW$4+2,0)</f>
        <v>10558</v>
      </c>
      <c r="BK150" s="101">
        <f>VLOOKUP($C150,'Cost RMs'!$B$5:$Q$22,+BK$4-$AW$4+2,0)</f>
        <v>11836</v>
      </c>
      <c r="BL150" s="102">
        <f t="shared" si="144"/>
        <v>0</v>
      </c>
      <c r="BM150" s="102">
        <f t="shared" si="145"/>
        <v>0</v>
      </c>
      <c r="BN150" s="102">
        <f t="shared" si="146"/>
        <v>0</v>
      </c>
      <c r="BO150" s="102">
        <f t="shared" si="147"/>
        <v>0</v>
      </c>
      <c r="BP150" s="102">
        <f t="shared" si="148"/>
        <v>0</v>
      </c>
      <c r="BQ150" s="102">
        <f t="shared" si="149"/>
        <v>0</v>
      </c>
      <c r="BR150" s="102">
        <f t="shared" si="150"/>
        <v>7116.7882500000005</v>
      </c>
      <c r="BS150" s="102">
        <f t="shared" si="151"/>
        <v>15955.404300000002</v>
      </c>
      <c r="BT150" s="102">
        <f t="shared" si="152"/>
        <v>17887.2111</v>
      </c>
      <c r="BU150" s="102">
        <f t="shared" si="153"/>
        <v>20052.994500000001</v>
      </c>
      <c r="BV150" s="102">
        <f t="shared" si="154"/>
        <v>22479.751800000002</v>
      </c>
      <c r="BW150" s="102">
        <f t="shared" si="155"/>
        <v>25200.479700000004</v>
      </c>
      <c r="BX150" s="102">
        <f t="shared" si="156"/>
        <v>28251.174600000002</v>
      </c>
      <c r="BY150" s="102">
        <f t="shared" si="157"/>
        <v>31670.832600000002</v>
      </c>
      <c r="BZ150" s="102">
        <f t="shared" si="158"/>
        <v>35504.449200000003</v>
      </c>
    </row>
    <row r="151" spans="1:78" x14ac:dyDescent="0.25">
      <c r="A151" s="26" t="str">
        <f>+Assumptions!$A$41</f>
        <v>NPK 00-00-00</v>
      </c>
      <c r="B151" s="73">
        <f>+Assumptions!$R$57</f>
        <v>0</v>
      </c>
      <c r="C151" t="s">
        <v>123</v>
      </c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74">
        <f>VLOOKUP($A151,turnover!$A$184:$Q$194,+S$4-$S$4+3,0)</f>
        <v>0</v>
      </c>
      <c r="T151" s="74">
        <f>VLOOKUP($A151,turnover!$A$184:$Q$194,+T$4-$S$4+3,0)</f>
        <v>0</v>
      </c>
      <c r="U151" s="74">
        <f>VLOOKUP($A151,turnover!$A$184:$Q$194,+U$4-$S$4+3,0)</f>
        <v>0</v>
      </c>
      <c r="V151" s="74">
        <f>VLOOKUP($A151,turnover!$A$184:$Q$194,+V$4-$S$4+3,0)</f>
        <v>0</v>
      </c>
      <c r="W151" s="74">
        <f>VLOOKUP($A151,turnover!$A$184:$Q$194,+W$4-$S$4+3,0)</f>
        <v>0</v>
      </c>
      <c r="X151" s="74">
        <f>VLOOKUP($A151,turnover!$A$184:$Q$194,+X$4-$S$4+3,0)</f>
        <v>0</v>
      </c>
      <c r="Y151" s="74">
        <f>VLOOKUP($A151,turnover!$A$184:$Q$194,+Y$4-$S$4+3,0)</f>
        <v>0</v>
      </c>
      <c r="Z151" s="74">
        <f>VLOOKUP($A151,turnover!$A$184:$Q$194,+Z$4-$S$4+3,0)</f>
        <v>0</v>
      </c>
      <c r="AA151" s="74">
        <f>VLOOKUP($A151,turnover!$A$184:$Q$194,+AA$4-$S$4+3,0)</f>
        <v>0</v>
      </c>
      <c r="AB151" s="74">
        <f>VLOOKUP($A151,turnover!$A$184:$Q$194,+AB$4-$S$4+3,0)</f>
        <v>0</v>
      </c>
      <c r="AC151" s="74">
        <f>VLOOKUP($A151,turnover!$A$184:$Q$194,+AC$4-$S$4+3,0)</f>
        <v>0</v>
      </c>
      <c r="AD151" s="74">
        <f>VLOOKUP($A151,turnover!$A$184:$Q$194,+AD$4-$S$4+3,0)</f>
        <v>0</v>
      </c>
      <c r="AE151" s="74">
        <f>VLOOKUP($A151,turnover!$A$184:$Q$194,+AE$4-$S$4+3,0)</f>
        <v>0</v>
      </c>
      <c r="AF151" s="74">
        <f>VLOOKUP($A151,turnover!$A$184:$Q$194,+AF$4-$S$4+3,0)</f>
        <v>0</v>
      </c>
      <c r="AG151" s="74">
        <f>VLOOKUP($A151,turnover!$A$184:$Q$194,+AG$4-$S$4+3,0)</f>
        <v>0</v>
      </c>
      <c r="AH151" s="61">
        <f t="shared" si="129"/>
        <v>0</v>
      </c>
      <c r="AI151" s="61">
        <f t="shared" si="130"/>
        <v>0</v>
      </c>
      <c r="AJ151" s="61">
        <f t="shared" si="131"/>
        <v>0</v>
      </c>
      <c r="AK151" s="61">
        <f t="shared" si="132"/>
        <v>0</v>
      </c>
      <c r="AL151" s="61">
        <f t="shared" si="133"/>
        <v>0</v>
      </c>
      <c r="AM151" s="61">
        <f t="shared" si="134"/>
        <v>0</v>
      </c>
      <c r="AN151" s="61">
        <f t="shared" si="135"/>
        <v>0</v>
      </c>
      <c r="AO151" s="61">
        <f t="shared" si="136"/>
        <v>0</v>
      </c>
      <c r="AP151" s="61">
        <f t="shared" si="137"/>
        <v>0</v>
      </c>
      <c r="AQ151" s="61">
        <f t="shared" si="138"/>
        <v>0</v>
      </c>
      <c r="AR151" s="61">
        <f t="shared" si="139"/>
        <v>0</v>
      </c>
      <c r="AS151" s="61">
        <f t="shared" si="140"/>
        <v>0</v>
      </c>
      <c r="AT151" s="61">
        <f t="shared" si="141"/>
        <v>0</v>
      </c>
      <c r="AU151" s="61">
        <f t="shared" si="142"/>
        <v>0</v>
      </c>
      <c r="AV151" s="61">
        <f t="shared" si="143"/>
        <v>0</v>
      </c>
      <c r="AW151" s="101">
        <f>VLOOKUP($C151,'Cost RMs'!$B$5:$Q$22,+AW$4-$AW$4+2,0)</f>
        <v>191127</v>
      </c>
      <c r="AX151" s="101">
        <f>VLOOKUP($C151,'Cost RMs'!$B$5:$Q$22,+AX$4-$AW$4+2,0)</f>
        <v>196602</v>
      </c>
      <c r="AY151" s="101">
        <f>VLOOKUP($C151,'Cost RMs'!$B$5:$Q$22,+AY$4-$AW$4+2,0)</f>
        <v>209999</v>
      </c>
      <c r="AZ151" s="101">
        <f>VLOOKUP($C151,'Cost RMs'!$B$5:$Q$22,+AZ$4-$AW$4+2,0)</f>
        <v>266286</v>
      </c>
      <c r="BA151" s="101">
        <f>VLOOKUP($C151,'Cost RMs'!$B$5:$Q$22,+BA$4-$AW$4+2,0)</f>
        <v>275187</v>
      </c>
      <c r="BB151" s="101">
        <f>VLOOKUP($C151,'Cost RMs'!$B$5:$Q$22,+BB$4-$AW$4+2,0)</f>
        <v>308182</v>
      </c>
      <c r="BC151" s="101">
        <f>VLOOKUP($C151,'Cost RMs'!$B$5:$Q$22,+BC$4-$AW$4+2,0)</f>
        <v>345472</v>
      </c>
      <c r="BD151" s="101">
        <f>VLOOKUP($C151,'Cost RMs'!$B$5:$Q$22,+BD$4-$AW$4+2,0)</f>
        <v>387274</v>
      </c>
      <c r="BE151" s="101">
        <f>VLOOKUP($C151,'Cost RMs'!$B$5:$Q$22,+BE$4-$AW$4+2,0)</f>
        <v>434134</v>
      </c>
      <c r="BF151" s="101">
        <f>VLOOKUP($C151,'Cost RMs'!$B$5:$Q$22,+BF$4-$AW$4+2,0)</f>
        <v>486664</v>
      </c>
      <c r="BG151" s="101">
        <f>VLOOKUP($C151,'Cost RMs'!$B$5:$Q$22,+BG$4-$AW$4+2,0)</f>
        <v>545550</v>
      </c>
      <c r="BH151" s="101">
        <f>VLOOKUP($C151,'Cost RMs'!$B$5:$Q$22,+BH$4-$AW$4+2,0)</f>
        <v>611562</v>
      </c>
      <c r="BI151" s="101">
        <f>VLOOKUP($C151,'Cost RMs'!$B$5:$Q$22,+BI$4-$AW$4+2,0)</f>
        <v>685561</v>
      </c>
      <c r="BJ151" s="101">
        <f>VLOOKUP($C151,'Cost RMs'!$B$5:$Q$22,+BJ$4-$AW$4+2,0)</f>
        <v>768514</v>
      </c>
      <c r="BK151" s="101">
        <f>VLOOKUP($C151,'Cost RMs'!$B$5:$Q$22,+BK$4-$AW$4+2,0)</f>
        <v>861504</v>
      </c>
      <c r="BL151" s="102">
        <f t="shared" si="144"/>
        <v>0</v>
      </c>
      <c r="BM151" s="102">
        <f t="shared" si="145"/>
        <v>0</v>
      </c>
      <c r="BN151" s="102">
        <f t="shared" si="146"/>
        <v>0</v>
      </c>
      <c r="BO151" s="102">
        <f t="shared" si="147"/>
        <v>0</v>
      </c>
      <c r="BP151" s="102">
        <f t="shared" si="148"/>
        <v>0</v>
      </c>
      <c r="BQ151" s="102">
        <f t="shared" si="149"/>
        <v>0</v>
      </c>
      <c r="BR151" s="102">
        <f t="shared" si="150"/>
        <v>0</v>
      </c>
      <c r="BS151" s="102">
        <f t="shared" si="151"/>
        <v>0</v>
      </c>
      <c r="BT151" s="102">
        <f t="shared" si="152"/>
        <v>0</v>
      </c>
      <c r="BU151" s="102">
        <f t="shared" si="153"/>
        <v>0</v>
      </c>
      <c r="BV151" s="102">
        <f t="shared" si="154"/>
        <v>0</v>
      </c>
      <c r="BW151" s="102">
        <f t="shared" si="155"/>
        <v>0</v>
      </c>
      <c r="BX151" s="102">
        <f t="shared" si="156"/>
        <v>0</v>
      </c>
      <c r="BY151" s="102">
        <f t="shared" si="157"/>
        <v>0</v>
      </c>
      <c r="BZ151" s="102">
        <f t="shared" si="158"/>
        <v>0</v>
      </c>
    </row>
    <row r="152" spans="1:78" x14ac:dyDescent="0.25">
      <c r="A152" s="26" t="str">
        <f>+Assumptions!$A$41</f>
        <v>NPK 00-00-00</v>
      </c>
      <c r="B152" s="73">
        <f>+Assumptions!$R$57</f>
        <v>0</v>
      </c>
      <c r="C152" t="s">
        <v>124</v>
      </c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74">
        <f>VLOOKUP($A152,turnover!$A$184:$Q$194,+S$4-$S$4+3,0)</f>
        <v>0</v>
      </c>
      <c r="T152" s="74">
        <f>VLOOKUP($A152,turnover!$A$184:$Q$194,+T$4-$S$4+3,0)</f>
        <v>0</v>
      </c>
      <c r="U152" s="74">
        <f>VLOOKUP($A152,turnover!$A$184:$Q$194,+U$4-$S$4+3,0)</f>
        <v>0</v>
      </c>
      <c r="V152" s="74">
        <f>VLOOKUP($A152,turnover!$A$184:$Q$194,+V$4-$S$4+3,0)</f>
        <v>0</v>
      </c>
      <c r="W152" s="74">
        <f>VLOOKUP($A152,turnover!$A$184:$Q$194,+W$4-$S$4+3,0)</f>
        <v>0</v>
      </c>
      <c r="X152" s="74">
        <f>VLOOKUP($A152,turnover!$A$184:$Q$194,+X$4-$S$4+3,0)</f>
        <v>0</v>
      </c>
      <c r="Y152" s="74">
        <f>VLOOKUP($A152,turnover!$A$184:$Q$194,+Y$4-$S$4+3,0)</f>
        <v>0</v>
      </c>
      <c r="Z152" s="74">
        <f>VLOOKUP($A152,turnover!$A$184:$Q$194,+Z$4-$S$4+3,0)</f>
        <v>0</v>
      </c>
      <c r="AA152" s="74">
        <f>VLOOKUP($A152,turnover!$A$184:$Q$194,+AA$4-$S$4+3,0)</f>
        <v>0</v>
      </c>
      <c r="AB152" s="74">
        <f>VLOOKUP($A152,turnover!$A$184:$Q$194,+AB$4-$S$4+3,0)</f>
        <v>0</v>
      </c>
      <c r="AC152" s="74">
        <f>VLOOKUP($A152,turnover!$A$184:$Q$194,+AC$4-$S$4+3,0)</f>
        <v>0</v>
      </c>
      <c r="AD152" s="74">
        <f>VLOOKUP($A152,turnover!$A$184:$Q$194,+AD$4-$S$4+3,0)</f>
        <v>0</v>
      </c>
      <c r="AE152" s="74">
        <f>VLOOKUP($A152,turnover!$A$184:$Q$194,+AE$4-$S$4+3,0)</f>
        <v>0</v>
      </c>
      <c r="AF152" s="74">
        <f>VLOOKUP($A152,turnover!$A$184:$Q$194,+AF$4-$S$4+3,0)</f>
        <v>0</v>
      </c>
      <c r="AG152" s="74">
        <f>VLOOKUP($A152,turnover!$A$184:$Q$194,+AG$4-$S$4+3,0)</f>
        <v>0</v>
      </c>
      <c r="AH152" s="61">
        <f t="shared" si="129"/>
        <v>0</v>
      </c>
      <c r="AI152" s="61">
        <f t="shared" si="130"/>
        <v>0</v>
      </c>
      <c r="AJ152" s="61">
        <f t="shared" si="131"/>
        <v>0</v>
      </c>
      <c r="AK152" s="61">
        <f t="shared" si="132"/>
        <v>0</v>
      </c>
      <c r="AL152" s="61">
        <f t="shared" si="133"/>
        <v>0</v>
      </c>
      <c r="AM152" s="61">
        <f t="shared" si="134"/>
        <v>0</v>
      </c>
      <c r="AN152" s="61">
        <f t="shared" si="135"/>
        <v>0</v>
      </c>
      <c r="AO152" s="61">
        <f t="shared" si="136"/>
        <v>0</v>
      </c>
      <c r="AP152" s="61">
        <f t="shared" si="137"/>
        <v>0</v>
      </c>
      <c r="AQ152" s="61">
        <f t="shared" si="138"/>
        <v>0</v>
      </c>
      <c r="AR152" s="61">
        <f t="shared" si="139"/>
        <v>0</v>
      </c>
      <c r="AS152" s="61">
        <f t="shared" si="140"/>
        <v>0</v>
      </c>
      <c r="AT152" s="61">
        <f t="shared" si="141"/>
        <v>0</v>
      </c>
      <c r="AU152" s="61">
        <f t="shared" si="142"/>
        <v>0</v>
      </c>
      <c r="AV152" s="61">
        <f t="shared" si="143"/>
        <v>0</v>
      </c>
      <c r="AW152" s="101">
        <f>VLOOKUP($C152,'Cost RMs'!$B$5:$Q$22,+AW$4-$AW$4+2,0)</f>
        <v>235089</v>
      </c>
      <c r="AX152" s="101">
        <f>VLOOKUP($C152,'Cost RMs'!$B$5:$Q$22,+AX$4-$AW$4+2,0)</f>
        <v>283888</v>
      </c>
      <c r="AY152" s="101">
        <f>VLOOKUP($C152,'Cost RMs'!$B$5:$Q$22,+AY$4-$AW$4+2,0)</f>
        <v>306490</v>
      </c>
      <c r="AZ152" s="101">
        <f>VLOOKUP($C152,'Cost RMs'!$B$5:$Q$22,+AZ$4-$AW$4+2,0)</f>
        <v>318975</v>
      </c>
      <c r="BA152" s="101">
        <f>VLOOKUP($C152,'Cost RMs'!$B$5:$Q$22,+BA$4-$AW$4+2,0)</f>
        <v>365112</v>
      </c>
      <c r="BB152" s="101">
        <f>VLOOKUP($C152,'Cost RMs'!$B$5:$Q$22,+BB$4-$AW$4+2,0)</f>
        <v>408889</v>
      </c>
      <c r="BC152" s="101">
        <f>VLOOKUP($C152,'Cost RMs'!$B$5:$Q$22,+BC$4-$AW$4+2,0)</f>
        <v>458365</v>
      </c>
      <c r="BD152" s="101">
        <f>VLOOKUP($C152,'Cost RMs'!$B$5:$Q$22,+BD$4-$AW$4+2,0)</f>
        <v>513827</v>
      </c>
      <c r="BE152" s="101">
        <f>VLOOKUP($C152,'Cost RMs'!$B$5:$Q$22,+BE$4-$AW$4+2,0)</f>
        <v>576000</v>
      </c>
      <c r="BF152" s="101">
        <f>VLOOKUP($C152,'Cost RMs'!$B$5:$Q$22,+BF$4-$AW$4+2,0)</f>
        <v>645696</v>
      </c>
      <c r="BG152" s="101">
        <f>VLOOKUP($C152,'Cost RMs'!$B$5:$Q$22,+BG$4-$AW$4+2,0)</f>
        <v>723825</v>
      </c>
      <c r="BH152" s="101">
        <f>VLOOKUP($C152,'Cost RMs'!$B$5:$Q$22,+BH$4-$AW$4+2,0)</f>
        <v>811408</v>
      </c>
      <c r="BI152" s="101">
        <f>VLOOKUP($C152,'Cost RMs'!$B$5:$Q$22,+BI$4-$AW$4+2,0)</f>
        <v>909588</v>
      </c>
      <c r="BJ152" s="101">
        <f>VLOOKUP($C152,'Cost RMs'!$B$5:$Q$22,+BJ$4-$AW$4+2,0)</f>
        <v>1019648</v>
      </c>
      <c r="BK152" s="101">
        <f>VLOOKUP($C152,'Cost RMs'!$B$5:$Q$22,+BK$4-$AW$4+2,0)</f>
        <v>1143025</v>
      </c>
      <c r="BL152" s="102">
        <f t="shared" si="144"/>
        <v>0</v>
      </c>
      <c r="BM152" s="102">
        <f t="shared" si="145"/>
        <v>0</v>
      </c>
      <c r="BN152" s="102">
        <f t="shared" si="146"/>
        <v>0</v>
      </c>
      <c r="BO152" s="102">
        <f t="shared" si="147"/>
        <v>0</v>
      </c>
      <c r="BP152" s="102">
        <f t="shared" si="148"/>
        <v>0</v>
      </c>
      <c r="BQ152" s="102">
        <f t="shared" si="149"/>
        <v>0</v>
      </c>
      <c r="BR152" s="102">
        <f t="shared" si="150"/>
        <v>0</v>
      </c>
      <c r="BS152" s="102">
        <f t="shared" si="151"/>
        <v>0</v>
      </c>
      <c r="BT152" s="102">
        <f t="shared" si="152"/>
        <v>0</v>
      </c>
      <c r="BU152" s="102">
        <f t="shared" si="153"/>
        <v>0</v>
      </c>
      <c r="BV152" s="102">
        <f t="shared" si="154"/>
        <v>0</v>
      </c>
      <c r="BW152" s="102">
        <f t="shared" si="155"/>
        <v>0</v>
      </c>
      <c r="BX152" s="102">
        <f t="shared" si="156"/>
        <v>0</v>
      </c>
      <c r="BY152" s="102">
        <f t="shared" si="157"/>
        <v>0</v>
      </c>
      <c r="BZ152" s="102">
        <f t="shared" si="158"/>
        <v>0</v>
      </c>
    </row>
    <row r="153" spans="1:78" x14ac:dyDescent="0.25">
      <c r="A153" s="26" t="str">
        <f>+Assumptions!$A$41</f>
        <v>NPK 00-00-00</v>
      </c>
      <c r="B153" s="73">
        <f>+Assumptions!$R$57</f>
        <v>0</v>
      </c>
      <c r="C153" t="s">
        <v>125</v>
      </c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74">
        <f>VLOOKUP($A153,turnover!$A$184:$Q$194,+S$4-$S$4+3,0)</f>
        <v>0</v>
      </c>
      <c r="T153" s="74">
        <f>VLOOKUP($A153,turnover!$A$184:$Q$194,+T$4-$S$4+3,0)</f>
        <v>0</v>
      </c>
      <c r="U153" s="74">
        <f>VLOOKUP($A153,turnover!$A$184:$Q$194,+U$4-$S$4+3,0)</f>
        <v>0</v>
      </c>
      <c r="V153" s="74">
        <f>VLOOKUP($A153,turnover!$A$184:$Q$194,+V$4-$S$4+3,0)</f>
        <v>0</v>
      </c>
      <c r="W153" s="74">
        <f>VLOOKUP($A153,turnover!$A$184:$Q$194,+W$4-$S$4+3,0)</f>
        <v>0</v>
      </c>
      <c r="X153" s="74">
        <f>VLOOKUP($A153,turnover!$A$184:$Q$194,+X$4-$S$4+3,0)</f>
        <v>0</v>
      </c>
      <c r="Y153" s="74">
        <f>VLOOKUP($A153,turnover!$A$184:$Q$194,+Y$4-$S$4+3,0)</f>
        <v>0</v>
      </c>
      <c r="Z153" s="74">
        <f>VLOOKUP($A153,turnover!$A$184:$Q$194,+Z$4-$S$4+3,0)</f>
        <v>0</v>
      </c>
      <c r="AA153" s="74">
        <f>VLOOKUP($A153,turnover!$A$184:$Q$194,+AA$4-$S$4+3,0)</f>
        <v>0</v>
      </c>
      <c r="AB153" s="74">
        <f>VLOOKUP($A153,turnover!$A$184:$Q$194,+AB$4-$S$4+3,0)</f>
        <v>0</v>
      </c>
      <c r="AC153" s="74">
        <f>VLOOKUP($A153,turnover!$A$184:$Q$194,+AC$4-$S$4+3,0)</f>
        <v>0</v>
      </c>
      <c r="AD153" s="74">
        <f>VLOOKUP($A153,turnover!$A$184:$Q$194,+AD$4-$S$4+3,0)</f>
        <v>0</v>
      </c>
      <c r="AE153" s="74">
        <f>VLOOKUP($A153,turnover!$A$184:$Q$194,+AE$4-$S$4+3,0)</f>
        <v>0</v>
      </c>
      <c r="AF153" s="74">
        <f>VLOOKUP($A153,turnover!$A$184:$Q$194,+AF$4-$S$4+3,0)</f>
        <v>0</v>
      </c>
      <c r="AG153" s="74">
        <f>VLOOKUP($A153,turnover!$A$184:$Q$194,+AG$4-$S$4+3,0)</f>
        <v>0</v>
      </c>
      <c r="AH153" s="61">
        <f t="shared" si="129"/>
        <v>0</v>
      </c>
      <c r="AI153" s="61">
        <f t="shared" si="130"/>
        <v>0</v>
      </c>
      <c r="AJ153" s="61">
        <f t="shared" si="131"/>
        <v>0</v>
      </c>
      <c r="AK153" s="61">
        <f t="shared" si="132"/>
        <v>0</v>
      </c>
      <c r="AL153" s="61">
        <f t="shared" si="133"/>
        <v>0</v>
      </c>
      <c r="AM153" s="61">
        <f t="shared" si="134"/>
        <v>0</v>
      </c>
      <c r="AN153" s="61">
        <f t="shared" si="135"/>
        <v>0</v>
      </c>
      <c r="AO153" s="61">
        <f t="shared" si="136"/>
        <v>0</v>
      </c>
      <c r="AP153" s="61">
        <f t="shared" si="137"/>
        <v>0</v>
      </c>
      <c r="AQ153" s="61">
        <f t="shared" si="138"/>
        <v>0</v>
      </c>
      <c r="AR153" s="61">
        <f t="shared" si="139"/>
        <v>0</v>
      </c>
      <c r="AS153" s="61">
        <f t="shared" si="140"/>
        <v>0</v>
      </c>
      <c r="AT153" s="61">
        <f t="shared" si="141"/>
        <v>0</v>
      </c>
      <c r="AU153" s="61">
        <f t="shared" si="142"/>
        <v>0</v>
      </c>
      <c r="AV153" s="61">
        <f t="shared" si="143"/>
        <v>0</v>
      </c>
      <c r="AW153" s="101">
        <f>VLOOKUP($C153,'Cost RMs'!$B$5:$Q$22,+AW$4-$AW$4+2,0)</f>
        <v>266257</v>
      </c>
      <c r="AX153" s="101">
        <f>VLOOKUP($C153,'Cost RMs'!$B$5:$Q$22,+AX$4-$AW$4+2,0)</f>
        <v>266257</v>
      </c>
      <c r="AY153" s="101">
        <f>VLOOKUP($C153,'Cost RMs'!$B$5:$Q$22,+AY$4-$AW$4+2,0)</f>
        <v>266257</v>
      </c>
      <c r="AZ153" s="101">
        <f ca="1">VLOOKUP($C153,'Cost RMs'!$B$5:$Q$22,+AZ$4-$AW$4+2,0)</f>
        <v>266257</v>
      </c>
      <c r="BA153" s="101">
        <f ca="1">VLOOKUP($C153,'Cost RMs'!$B$5:$Q$22,+BA$4-$AW$4+2,0)</f>
        <v>266257</v>
      </c>
      <c r="BB153" s="101">
        <f ca="1">VLOOKUP($C153,'Cost RMs'!$B$5:$Q$22,+BB$4-$AW$4+2,0)</f>
        <v>298181</v>
      </c>
      <c r="BC153" s="101">
        <f ca="1">VLOOKUP($C153,'Cost RMs'!$B$5:$Q$22,+BC$4-$AW$4+2,0)</f>
        <v>334261</v>
      </c>
      <c r="BD153" s="101">
        <f ca="1">VLOOKUP($C153,'Cost RMs'!$B$5:$Q$22,+BD$4-$AW$4+2,0)</f>
        <v>374707</v>
      </c>
      <c r="BE153" s="101">
        <f ca="1">VLOOKUP($C153,'Cost RMs'!$B$5:$Q$22,+BE$4-$AW$4+2,0)</f>
        <v>420047</v>
      </c>
      <c r="BF153" s="101">
        <f ca="1">VLOOKUP($C153,'Cost RMs'!$B$5:$Q$22,+BF$4-$AW$4+2,0)</f>
        <v>470873</v>
      </c>
      <c r="BG153" s="101">
        <f ca="1">VLOOKUP($C153,'Cost RMs'!$B$5:$Q$22,+BG$4-$AW$4+2,0)</f>
        <v>527849</v>
      </c>
      <c r="BH153" s="101">
        <f ca="1">VLOOKUP($C153,'Cost RMs'!$B$5:$Q$22,+BH$4-$AW$4+2,0)</f>
        <v>591719</v>
      </c>
      <c r="BI153" s="101">
        <f ca="1">VLOOKUP($C153,'Cost RMs'!$B$5:$Q$22,+BI$4-$AW$4+2,0)</f>
        <v>663317</v>
      </c>
      <c r="BJ153" s="101">
        <f ca="1">VLOOKUP($C153,'Cost RMs'!$B$5:$Q$22,+BJ$4-$AW$4+2,0)</f>
        <v>743578</v>
      </c>
      <c r="BK153" s="101">
        <f ca="1">VLOOKUP($C153,'Cost RMs'!$B$5:$Q$22,+BK$4-$AW$4+2,0)</f>
        <v>833551</v>
      </c>
      <c r="BL153" s="102">
        <f t="shared" si="144"/>
        <v>0</v>
      </c>
      <c r="BM153" s="102">
        <f t="shared" si="145"/>
        <v>0</v>
      </c>
      <c r="BN153" s="102">
        <f t="shared" si="146"/>
        <v>0</v>
      </c>
      <c r="BO153" s="102">
        <f t="shared" ca="1" si="147"/>
        <v>0</v>
      </c>
      <c r="BP153" s="102">
        <f t="shared" ca="1" si="148"/>
        <v>0</v>
      </c>
      <c r="BQ153" s="102">
        <f t="shared" ca="1" si="149"/>
        <v>0</v>
      </c>
      <c r="BR153" s="102">
        <f t="shared" ca="1" si="150"/>
        <v>0</v>
      </c>
      <c r="BS153" s="102">
        <f t="shared" ca="1" si="151"/>
        <v>0</v>
      </c>
      <c r="BT153" s="102">
        <f t="shared" ca="1" si="152"/>
        <v>0</v>
      </c>
      <c r="BU153" s="102">
        <f t="shared" ca="1" si="153"/>
        <v>0</v>
      </c>
      <c r="BV153" s="102">
        <f t="shared" ca="1" si="154"/>
        <v>0</v>
      </c>
      <c r="BW153" s="102">
        <f t="shared" ca="1" si="155"/>
        <v>0</v>
      </c>
      <c r="BX153" s="102">
        <f t="shared" ca="1" si="156"/>
        <v>0</v>
      </c>
      <c r="BY153" s="102">
        <f t="shared" ca="1" si="157"/>
        <v>0</v>
      </c>
      <c r="BZ153" s="102">
        <f t="shared" ca="1" si="158"/>
        <v>0</v>
      </c>
    </row>
    <row r="154" spans="1:78" x14ac:dyDescent="0.25">
      <c r="A154" s="26" t="str">
        <f>+Assumptions!$A$41</f>
        <v>NPK 00-00-00</v>
      </c>
      <c r="B154" s="73">
        <f>+Assumptions!$R$57</f>
        <v>0</v>
      </c>
      <c r="C154" t="s">
        <v>126</v>
      </c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74">
        <f>VLOOKUP($A154,turnover!$A$184:$Q$194,+S$4-$S$4+3,0)</f>
        <v>0</v>
      </c>
      <c r="T154" s="74">
        <f>VLOOKUP($A154,turnover!$A$184:$Q$194,+T$4-$S$4+3,0)</f>
        <v>0</v>
      </c>
      <c r="U154" s="74">
        <f>VLOOKUP($A154,turnover!$A$184:$Q$194,+U$4-$S$4+3,0)</f>
        <v>0</v>
      </c>
      <c r="V154" s="74">
        <f>VLOOKUP($A154,turnover!$A$184:$Q$194,+V$4-$S$4+3,0)</f>
        <v>0</v>
      </c>
      <c r="W154" s="74">
        <f>VLOOKUP($A154,turnover!$A$184:$Q$194,+W$4-$S$4+3,0)</f>
        <v>0</v>
      </c>
      <c r="X154" s="74">
        <f>VLOOKUP($A154,turnover!$A$184:$Q$194,+X$4-$S$4+3,0)</f>
        <v>0</v>
      </c>
      <c r="Y154" s="74">
        <f>VLOOKUP($A154,turnover!$A$184:$Q$194,+Y$4-$S$4+3,0)</f>
        <v>0</v>
      </c>
      <c r="Z154" s="74">
        <f>VLOOKUP($A154,turnover!$A$184:$Q$194,+Z$4-$S$4+3,0)</f>
        <v>0</v>
      </c>
      <c r="AA154" s="74">
        <f>VLOOKUP($A154,turnover!$A$184:$Q$194,+AA$4-$S$4+3,0)</f>
        <v>0</v>
      </c>
      <c r="AB154" s="74">
        <f>VLOOKUP($A154,turnover!$A$184:$Q$194,+AB$4-$S$4+3,0)</f>
        <v>0</v>
      </c>
      <c r="AC154" s="74">
        <f>VLOOKUP($A154,turnover!$A$184:$Q$194,+AC$4-$S$4+3,0)</f>
        <v>0</v>
      </c>
      <c r="AD154" s="74">
        <f>VLOOKUP($A154,turnover!$A$184:$Q$194,+AD$4-$S$4+3,0)</f>
        <v>0</v>
      </c>
      <c r="AE154" s="74">
        <f>VLOOKUP($A154,turnover!$A$184:$Q$194,+AE$4-$S$4+3,0)</f>
        <v>0</v>
      </c>
      <c r="AF154" s="74">
        <f>VLOOKUP($A154,turnover!$A$184:$Q$194,+AF$4-$S$4+3,0)</f>
        <v>0</v>
      </c>
      <c r="AG154" s="74">
        <f>VLOOKUP($A154,turnover!$A$184:$Q$194,+AG$4-$S$4+3,0)</f>
        <v>0</v>
      </c>
      <c r="AH154" s="61">
        <f t="shared" si="129"/>
        <v>0</v>
      </c>
      <c r="AI154" s="61">
        <f t="shared" si="130"/>
        <v>0</v>
      </c>
      <c r="AJ154" s="61">
        <f t="shared" si="131"/>
        <v>0</v>
      </c>
      <c r="AK154" s="61">
        <f t="shared" si="132"/>
        <v>0</v>
      </c>
      <c r="AL154" s="61">
        <f t="shared" si="133"/>
        <v>0</v>
      </c>
      <c r="AM154" s="61">
        <f t="shared" si="134"/>
        <v>0</v>
      </c>
      <c r="AN154" s="61">
        <f t="shared" si="135"/>
        <v>0</v>
      </c>
      <c r="AO154" s="61">
        <f t="shared" si="136"/>
        <v>0</v>
      </c>
      <c r="AP154" s="61">
        <f t="shared" si="137"/>
        <v>0</v>
      </c>
      <c r="AQ154" s="61">
        <f t="shared" si="138"/>
        <v>0</v>
      </c>
      <c r="AR154" s="61">
        <f t="shared" si="139"/>
        <v>0</v>
      </c>
      <c r="AS154" s="61">
        <f t="shared" si="140"/>
        <v>0</v>
      </c>
      <c r="AT154" s="61">
        <f t="shared" si="141"/>
        <v>0</v>
      </c>
      <c r="AU154" s="61">
        <f t="shared" si="142"/>
        <v>0</v>
      </c>
      <c r="AV154" s="61">
        <f t="shared" si="143"/>
        <v>0</v>
      </c>
      <c r="AW154" s="101">
        <f>VLOOKUP($C154,'Cost RMs'!$B$5:$Q$22,+AW$4-$AW$4+2,0)</f>
        <v>248821</v>
      </c>
      <c r="AX154" s="101">
        <f>VLOOKUP($C154,'Cost RMs'!$B$5:$Q$22,+AX$4-$AW$4+2,0)</f>
        <v>290296</v>
      </c>
      <c r="AY154" s="101">
        <f>VLOOKUP($C154,'Cost RMs'!$B$5:$Q$22,+AY$4-$AW$4+2,0)</f>
        <v>316267</v>
      </c>
      <c r="AZ154" s="101">
        <f>VLOOKUP($C154,'Cost RMs'!$B$5:$Q$22,+AZ$4-$AW$4+2,0)</f>
        <v>337089</v>
      </c>
      <c r="BA154" s="101">
        <f>VLOOKUP($C154,'Cost RMs'!$B$5:$Q$22,+BA$4-$AW$4+2,0)</f>
        <v>408568</v>
      </c>
      <c r="BB154" s="101">
        <f>VLOOKUP($C154,'Cost RMs'!$B$5:$Q$22,+BB$4-$AW$4+2,0)</f>
        <v>457555</v>
      </c>
      <c r="BC154" s="101">
        <f>VLOOKUP($C154,'Cost RMs'!$B$5:$Q$22,+BC$4-$AW$4+2,0)</f>
        <v>512919</v>
      </c>
      <c r="BD154" s="101">
        <f>VLOOKUP($C154,'Cost RMs'!$B$5:$Q$22,+BD$4-$AW$4+2,0)</f>
        <v>574982</v>
      </c>
      <c r="BE154" s="101">
        <f>VLOOKUP($C154,'Cost RMs'!$B$5:$Q$22,+BE$4-$AW$4+2,0)</f>
        <v>644555</v>
      </c>
      <c r="BF154" s="101">
        <f>VLOOKUP($C154,'Cost RMs'!$B$5:$Q$22,+BF$4-$AW$4+2,0)</f>
        <v>722546</v>
      </c>
      <c r="BG154" s="101">
        <f>VLOOKUP($C154,'Cost RMs'!$B$5:$Q$22,+BG$4-$AW$4+2,0)</f>
        <v>809974</v>
      </c>
      <c r="BH154" s="101">
        <f>VLOOKUP($C154,'Cost RMs'!$B$5:$Q$22,+BH$4-$AW$4+2,0)</f>
        <v>907981</v>
      </c>
      <c r="BI154" s="101">
        <f>VLOOKUP($C154,'Cost RMs'!$B$5:$Q$22,+BI$4-$AW$4+2,0)</f>
        <v>1017847</v>
      </c>
      <c r="BJ154" s="101">
        <f>VLOOKUP($C154,'Cost RMs'!$B$5:$Q$22,+BJ$4-$AW$4+2,0)</f>
        <v>1141006</v>
      </c>
      <c r="BK154" s="101">
        <f>VLOOKUP($C154,'Cost RMs'!$B$5:$Q$22,+BK$4-$AW$4+2,0)</f>
        <v>1279068</v>
      </c>
      <c r="BL154" s="102">
        <f t="shared" si="144"/>
        <v>0</v>
      </c>
      <c r="BM154" s="102">
        <f t="shared" si="145"/>
        <v>0</v>
      </c>
      <c r="BN154" s="102">
        <f t="shared" si="146"/>
        <v>0</v>
      </c>
      <c r="BO154" s="102">
        <f t="shared" si="147"/>
        <v>0</v>
      </c>
      <c r="BP154" s="102">
        <f t="shared" si="148"/>
        <v>0</v>
      </c>
      <c r="BQ154" s="102">
        <f t="shared" si="149"/>
        <v>0</v>
      </c>
      <c r="BR154" s="102">
        <f t="shared" si="150"/>
        <v>0</v>
      </c>
      <c r="BS154" s="102">
        <f t="shared" si="151"/>
        <v>0</v>
      </c>
      <c r="BT154" s="102">
        <f t="shared" si="152"/>
        <v>0</v>
      </c>
      <c r="BU154" s="102">
        <f t="shared" si="153"/>
        <v>0</v>
      </c>
      <c r="BV154" s="102">
        <f t="shared" si="154"/>
        <v>0</v>
      </c>
      <c r="BW154" s="102">
        <f t="shared" si="155"/>
        <v>0</v>
      </c>
      <c r="BX154" s="102">
        <f t="shared" si="156"/>
        <v>0</v>
      </c>
      <c r="BY154" s="102">
        <f t="shared" si="157"/>
        <v>0</v>
      </c>
      <c r="BZ154" s="102">
        <f t="shared" si="158"/>
        <v>0</v>
      </c>
    </row>
    <row r="155" spans="1:78" x14ac:dyDescent="0.25">
      <c r="A155" s="26" t="str">
        <f>+Assumptions!$A$41</f>
        <v>NPK 00-00-00</v>
      </c>
      <c r="B155" s="73">
        <f>+Assumptions!$R$57</f>
        <v>0</v>
      </c>
      <c r="C155" t="s">
        <v>538</v>
      </c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74">
        <f>VLOOKUP($A155,turnover!$A$184:$Q$194,+S$4-$S$4+3,0)</f>
        <v>0</v>
      </c>
      <c r="T155" s="74">
        <f>VLOOKUP($A155,turnover!$A$184:$Q$194,+T$4-$S$4+3,0)</f>
        <v>0</v>
      </c>
      <c r="U155" s="74">
        <f>VLOOKUP($A155,turnover!$A$184:$Q$194,+U$4-$S$4+3,0)</f>
        <v>0</v>
      </c>
      <c r="V155" s="74">
        <f>VLOOKUP($A155,turnover!$A$184:$Q$194,+V$4-$S$4+3,0)</f>
        <v>0</v>
      </c>
      <c r="W155" s="74">
        <f>VLOOKUP($A155,turnover!$A$184:$Q$194,+W$4-$S$4+3,0)</f>
        <v>0</v>
      </c>
      <c r="X155" s="74">
        <f>VLOOKUP($A155,turnover!$A$184:$Q$194,+X$4-$S$4+3,0)</f>
        <v>0</v>
      </c>
      <c r="Y155" s="74">
        <f>VLOOKUP($A155,turnover!$A$184:$Q$194,+Y$4-$S$4+3,0)</f>
        <v>0</v>
      </c>
      <c r="Z155" s="74">
        <f>VLOOKUP($A155,turnover!$A$184:$Q$194,+Z$4-$S$4+3,0)</f>
        <v>0</v>
      </c>
      <c r="AA155" s="74">
        <f>VLOOKUP($A155,turnover!$A$184:$Q$194,+AA$4-$S$4+3,0)</f>
        <v>0</v>
      </c>
      <c r="AB155" s="74">
        <f>VLOOKUP($A155,turnover!$A$184:$Q$194,+AB$4-$S$4+3,0)</f>
        <v>0</v>
      </c>
      <c r="AC155" s="74">
        <f>VLOOKUP($A155,turnover!$A$184:$Q$194,+AC$4-$S$4+3,0)</f>
        <v>0</v>
      </c>
      <c r="AD155" s="74">
        <f>VLOOKUP($A155,turnover!$A$184:$Q$194,+AD$4-$S$4+3,0)</f>
        <v>0</v>
      </c>
      <c r="AE155" s="74">
        <f>VLOOKUP($A155,turnover!$A$184:$Q$194,+AE$4-$S$4+3,0)</f>
        <v>0</v>
      </c>
      <c r="AF155" s="74">
        <f>VLOOKUP($A155,turnover!$A$184:$Q$194,+AF$4-$S$4+3,0)</f>
        <v>0</v>
      </c>
      <c r="AG155" s="74">
        <f>VLOOKUP($A155,turnover!$A$184:$Q$194,+AG$4-$S$4+3,0)</f>
        <v>0</v>
      </c>
      <c r="AH155" s="61">
        <f t="shared" si="129"/>
        <v>0</v>
      </c>
      <c r="AI155" s="61">
        <f t="shared" si="130"/>
        <v>0</v>
      </c>
      <c r="AJ155" s="61">
        <f t="shared" si="131"/>
        <v>0</v>
      </c>
      <c r="AK155" s="61">
        <f t="shared" si="132"/>
        <v>0</v>
      </c>
      <c r="AL155" s="61">
        <f t="shared" si="133"/>
        <v>0</v>
      </c>
      <c r="AM155" s="61">
        <f t="shared" si="134"/>
        <v>0</v>
      </c>
      <c r="AN155" s="61">
        <f t="shared" si="135"/>
        <v>0</v>
      </c>
      <c r="AO155" s="61">
        <f t="shared" si="136"/>
        <v>0</v>
      </c>
      <c r="AP155" s="61">
        <f t="shared" si="137"/>
        <v>0</v>
      </c>
      <c r="AQ155" s="61">
        <f t="shared" si="138"/>
        <v>0</v>
      </c>
      <c r="AR155" s="61">
        <f t="shared" si="139"/>
        <v>0</v>
      </c>
      <c r="AS155" s="61">
        <f t="shared" si="140"/>
        <v>0</v>
      </c>
      <c r="AT155" s="61">
        <f t="shared" si="141"/>
        <v>0</v>
      </c>
      <c r="AU155" s="61">
        <f t="shared" si="142"/>
        <v>0</v>
      </c>
      <c r="AV155" s="61">
        <f t="shared" si="143"/>
        <v>0</v>
      </c>
      <c r="AW155" s="101">
        <f>VLOOKUP($C155,'Cost RMs'!$B$5:$Q$22,+AW$4-$AW$4+2,0)</f>
        <v>0</v>
      </c>
      <c r="AX155" s="101">
        <f>VLOOKUP($C155,'Cost RMs'!$B$5:$Q$22,+AX$4-$AW$4+2,0)</f>
        <v>0</v>
      </c>
      <c r="AY155" s="101">
        <f>VLOOKUP($C155,'Cost RMs'!$B$5:$Q$22,+AY$4-$AW$4+2,0)</f>
        <v>0</v>
      </c>
      <c r="AZ155" s="101">
        <f>VLOOKUP($C155,'Cost RMs'!$B$5:$Q$22,+AZ$4-$AW$4+2,0)</f>
        <v>0</v>
      </c>
      <c r="BA155" s="101">
        <f>VLOOKUP($C155,'Cost RMs'!$B$5:$Q$22,+BA$4-$AW$4+2,0)</f>
        <v>520000</v>
      </c>
      <c r="BB155" s="101">
        <f>VLOOKUP($C155,'Cost RMs'!$B$5:$Q$22,+BB$4-$AW$4+2,0)</f>
        <v>582348</v>
      </c>
      <c r="BC155" s="101">
        <f>VLOOKUP($C155,'Cost RMs'!$B$5:$Q$22,+BC$4-$AW$4+2,0)</f>
        <v>652812</v>
      </c>
      <c r="BD155" s="101">
        <f>VLOOKUP($C155,'Cost RMs'!$B$5:$Q$22,+BD$4-$AW$4+2,0)</f>
        <v>731802</v>
      </c>
      <c r="BE155" s="101">
        <f>VLOOKUP($C155,'Cost RMs'!$B$5:$Q$22,+BE$4-$AW$4+2,0)</f>
        <v>820350</v>
      </c>
      <c r="BF155" s="101">
        <f>VLOOKUP($C155,'Cost RMs'!$B$5:$Q$22,+BF$4-$AW$4+2,0)</f>
        <v>919612</v>
      </c>
      <c r="BG155" s="101">
        <f>VLOOKUP($C155,'Cost RMs'!$B$5:$Q$22,+BG$4-$AW$4+2,0)</f>
        <v>1030885</v>
      </c>
      <c r="BH155" s="101">
        <f>VLOOKUP($C155,'Cost RMs'!$B$5:$Q$22,+BH$4-$AW$4+2,0)</f>
        <v>1155622</v>
      </c>
      <c r="BI155" s="101">
        <f>VLOOKUP($C155,'Cost RMs'!$B$5:$Q$22,+BI$4-$AW$4+2,0)</f>
        <v>1295452</v>
      </c>
      <c r="BJ155" s="101">
        <f>VLOOKUP($C155,'Cost RMs'!$B$5:$Q$22,+BJ$4-$AW$4+2,0)</f>
        <v>1452202</v>
      </c>
      <c r="BK155" s="101">
        <f>VLOOKUP($C155,'Cost RMs'!$B$5:$Q$22,+BK$4-$AW$4+2,0)</f>
        <v>1627918</v>
      </c>
      <c r="BL155" s="102">
        <f t="shared" si="144"/>
        <v>0</v>
      </c>
      <c r="BM155" s="102">
        <f t="shared" si="145"/>
        <v>0</v>
      </c>
      <c r="BN155" s="102">
        <f t="shared" si="146"/>
        <v>0</v>
      </c>
      <c r="BO155" s="102">
        <f t="shared" si="147"/>
        <v>0</v>
      </c>
      <c r="BP155" s="102">
        <f t="shared" si="148"/>
        <v>0</v>
      </c>
      <c r="BQ155" s="102">
        <f t="shared" si="149"/>
        <v>0</v>
      </c>
      <c r="BR155" s="102">
        <f t="shared" si="150"/>
        <v>0</v>
      </c>
      <c r="BS155" s="102">
        <f t="shared" si="151"/>
        <v>0</v>
      </c>
      <c r="BT155" s="102">
        <f t="shared" si="152"/>
        <v>0</v>
      </c>
      <c r="BU155" s="102">
        <f t="shared" si="153"/>
        <v>0</v>
      </c>
      <c r="BV155" s="102">
        <f t="shared" si="154"/>
        <v>0</v>
      </c>
      <c r="BW155" s="102">
        <f t="shared" si="155"/>
        <v>0</v>
      </c>
      <c r="BX155" s="102">
        <f t="shared" si="156"/>
        <v>0</v>
      </c>
      <c r="BY155" s="102">
        <f t="shared" si="157"/>
        <v>0</v>
      </c>
      <c r="BZ155" s="102">
        <f t="shared" si="158"/>
        <v>0</v>
      </c>
    </row>
    <row r="156" spans="1:78" x14ac:dyDescent="0.25">
      <c r="A156" s="26" t="str">
        <f>+Assumptions!$A$41</f>
        <v>NPK 00-00-00</v>
      </c>
      <c r="B156" s="73">
        <f>+Assumptions!$R$57</f>
        <v>0</v>
      </c>
      <c r="C156" t="s">
        <v>127</v>
      </c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74">
        <f>VLOOKUP($A156,turnover!$A$184:$Q$194,+S$4-$S$4+3,0)</f>
        <v>0</v>
      </c>
      <c r="T156" s="74">
        <f>VLOOKUP($A156,turnover!$A$184:$Q$194,+T$4-$S$4+3,0)</f>
        <v>0</v>
      </c>
      <c r="U156" s="74">
        <f>VLOOKUP($A156,turnover!$A$184:$Q$194,+U$4-$S$4+3,0)</f>
        <v>0</v>
      </c>
      <c r="V156" s="74">
        <f>VLOOKUP($A156,turnover!$A$184:$Q$194,+V$4-$S$4+3,0)</f>
        <v>0</v>
      </c>
      <c r="W156" s="74">
        <f>VLOOKUP($A156,turnover!$A$184:$Q$194,+W$4-$S$4+3,0)</f>
        <v>0</v>
      </c>
      <c r="X156" s="74">
        <f>VLOOKUP($A156,turnover!$A$184:$Q$194,+X$4-$S$4+3,0)</f>
        <v>0</v>
      </c>
      <c r="Y156" s="74">
        <f>VLOOKUP($A156,turnover!$A$184:$Q$194,+Y$4-$S$4+3,0)</f>
        <v>0</v>
      </c>
      <c r="Z156" s="74">
        <f>VLOOKUP($A156,turnover!$A$184:$Q$194,+Z$4-$S$4+3,0)</f>
        <v>0</v>
      </c>
      <c r="AA156" s="74">
        <f>VLOOKUP($A156,turnover!$A$184:$Q$194,+AA$4-$S$4+3,0)</f>
        <v>0</v>
      </c>
      <c r="AB156" s="74">
        <f>VLOOKUP($A156,turnover!$A$184:$Q$194,+AB$4-$S$4+3,0)</f>
        <v>0</v>
      </c>
      <c r="AC156" s="74">
        <f>VLOOKUP($A156,turnover!$A$184:$Q$194,+AC$4-$S$4+3,0)</f>
        <v>0</v>
      </c>
      <c r="AD156" s="74">
        <f>VLOOKUP($A156,turnover!$A$184:$Q$194,+AD$4-$S$4+3,0)</f>
        <v>0</v>
      </c>
      <c r="AE156" s="74">
        <f>VLOOKUP($A156,turnover!$A$184:$Q$194,+AE$4-$S$4+3,0)</f>
        <v>0</v>
      </c>
      <c r="AF156" s="74">
        <f>VLOOKUP($A156,turnover!$A$184:$Q$194,+AF$4-$S$4+3,0)</f>
        <v>0</v>
      </c>
      <c r="AG156" s="74">
        <f>VLOOKUP($A156,turnover!$A$184:$Q$194,+AG$4-$S$4+3,0)</f>
        <v>0</v>
      </c>
      <c r="AH156" s="61">
        <f t="shared" si="129"/>
        <v>0</v>
      </c>
      <c r="AI156" s="61">
        <f t="shared" si="130"/>
        <v>0</v>
      </c>
      <c r="AJ156" s="61">
        <f t="shared" si="131"/>
        <v>0</v>
      </c>
      <c r="AK156" s="61">
        <f t="shared" si="132"/>
        <v>0</v>
      </c>
      <c r="AL156" s="61">
        <f t="shared" si="133"/>
        <v>0</v>
      </c>
      <c r="AM156" s="61">
        <f t="shared" si="134"/>
        <v>0</v>
      </c>
      <c r="AN156" s="61">
        <f t="shared" si="135"/>
        <v>0</v>
      </c>
      <c r="AO156" s="61">
        <f t="shared" si="136"/>
        <v>0</v>
      </c>
      <c r="AP156" s="61">
        <f t="shared" si="137"/>
        <v>0</v>
      </c>
      <c r="AQ156" s="61">
        <f t="shared" si="138"/>
        <v>0</v>
      </c>
      <c r="AR156" s="61">
        <f t="shared" si="139"/>
        <v>0</v>
      </c>
      <c r="AS156" s="61">
        <f t="shared" si="140"/>
        <v>0</v>
      </c>
      <c r="AT156" s="61">
        <f t="shared" si="141"/>
        <v>0</v>
      </c>
      <c r="AU156" s="61">
        <f t="shared" si="142"/>
        <v>0</v>
      </c>
      <c r="AV156" s="61">
        <f t="shared" si="143"/>
        <v>0</v>
      </c>
      <c r="AW156" s="101">
        <f>VLOOKUP($C156,'Cost RMs'!$B$5:$Q$22,+AW$4-$AW$4+2,0)</f>
        <v>31510</v>
      </c>
      <c r="AX156" s="101">
        <f>VLOOKUP($C156,'Cost RMs'!$B$5:$Q$22,+AX$4-$AW$4+2,0)</f>
        <v>40370</v>
      </c>
      <c r="AY156" s="101">
        <f>VLOOKUP($C156,'Cost RMs'!$B$5:$Q$22,+AY$4-$AW$4+2,0)</f>
        <v>41166</v>
      </c>
      <c r="AZ156" s="101">
        <f>VLOOKUP($C156,'Cost RMs'!$B$5:$Q$22,+AZ$4-$AW$4+2,0)</f>
        <v>48881</v>
      </c>
      <c r="BA156" s="101">
        <f>VLOOKUP($C156,'Cost RMs'!$B$5:$Q$22,+BA$4-$AW$4+2,0)</f>
        <v>47121</v>
      </c>
      <c r="BB156" s="101">
        <f ca="1">VLOOKUP($C156,'Cost RMs'!$B$5:$Q$22,+BB$4-$AW$4+2,0)</f>
        <v>50566.413250959507</v>
      </c>
      <c r="BC156" s="101">
        <f ca="1">VLOOKUP($C156,'Cost RMs'!$B$5:$Q$22,+BC$4-$AW$4+2,0)</f>
        <v>56631.49986439231</v>
      </c>
      <c r="BD156" s="101">
        <f ca="1">VLOOKUP($C156,'Cost RMs'!$B$5:$Q$22,+BD$4-$AW$4+2,0)</f>
        <v>63938.797808160256</v>
      </c>
      <c r="BE156" s="101">
        <f ca="1">VLOOKUP($C156,'Cost RMs'!$B$5:$Q$22,+BE$4-$AW$4+2,0)</f>
        <v>72083.206654867696</v>
      </c>
      <c r="BF156" s="101">
        <f ca="1">VLOOKUP($C156,'Cost RMs'!$B$5:$Q$22,+BF$4-$AW$4+2,0)</f>
        <v>81313.760903297516</v>
      </c>
      <c r="BG156" s="101">
        <f ca="1">VLOOKUP($C156,'Cost RMs'!$B$5:$Q$22,+BG$4-$AW$4+2,0)</f>
        <v>91785.423765355576</v>
      </c>
      <c r="BH156" s="101">
        <f ca="1">VLOOKUP($C156,'Cost RMs'!$B$5:$Q$22,+BH$4-$AW$4+2,0)</f>
        <v>103677.12991004685</v>
      </c>
      <c r="BI156" s="101">
        <f ca="1">VLOOKUP($C156,'Cost RMs'!$B$5:$Q$22,+BI$4-$AW$4+2,0)</f>
        <v>117195.56148271105</v>
      </c>
      <c r="BJ156" s="101">
        <f ca="1">VLOOKUP($C156,'Cost RMs'!$B$5:$Q$22,+BJ$4-$AW$4+2,0)</f>
        <v>132580.59576203892</v>
      </c>
      <c r="BK156" s="101">
        <f ca="1">VLOOKUP($C156,'Cost RMs'!$B$5:$Q$22,+BK$4-$AW$4+2,0)</f>
        <v>150111.0973392961</v>
      </c>
      <c r="BL156" s="102">
        <f t="shared" si="144"/>
        <v>0</v>
      </c>
      <c r="BM156" s="102">
        <f t="shared" si="145"/>
        <v>0</v>
      </c>
      <c r="BN156" s="102">
        <f t="shared" si="146"/>
        <v>0</v>
      </c>
      <c r="BO156" s="102">
        <f t="shared" si="147"/>
        <v>0</v>
      </c>
      <c r="BP156" s="102">
        <f t="shared" si="148"/>
        <v>0</v>
      </c>
      <c r="BQ156" s="102">
        <f t="shared" ca="1" si="149"/>
        <v>0</v>
      </c>
      <c r="BR156" s="102">
        <f t="shared" ca="1" si="150"/>
        <v>0</v>
      </c>
      <c r="BS156" s="102">
        <f t="shared" ca="1" si="151"/>
        <v>0</v>
      </c>
      <c r="BT156" s="102">
        <f t="shared" ca="1" si="152"/>
        <v>0</v>
      </c>
      <c r="BU156" s="102">
        <f t="shared" ca="1" si="153"/>
        <v>0</v>
      </c>
      <c r="BV156" s="102">
        <f t="shared" ca="1" si="154"/>
        <v>0</v>
      </c>
      <c r="BW156" s="102">
        <f t="shared" ca="1" si="155"/>
        <v>0</v>
      </c>
      <c r="BX156" s="102">
        <f t="shared" ca="1" si="156"/>
        <v>0</v>
      </c>
      <c r="BY156" s="102">
        <f t="shared" ca="1" si="157"/>
        <v>0</v>
      </c>
      <c r="BZ156" s="102">
        <f t="shared" ca="1" si="158"/>
        <v>0</v>
      </c>
    </row>
    <row r="157" spans="1:78" x14ac:dyDescent="0.25">
      <c r="A157" s="26" t="str">
        <f>+Assumptions!$A$41</f>
        <v>NPK 00-00-00</v>
      </c>
      <c r="B157" s="73">
        <f>+Assumptions!$R$57</f>
        <v>0</v>
      </c>
      <c r="C157" s="26" t="s">
        <v>132</v>
      </c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74">
        <f>VLOOKUP($A157,turnover!$A$184:$Q$194,+S$4-$S$4+3,0)</f>
        <v>0</v>
      </c>
      <c r="T157" s="74">
        <f>VLOOKUP($A157,turnover!$A$184:$Q$194,+T$4-$S$4+3,0)</f>
        <v>0</v>
      </c>
      <c r="U157" s="74">
        <f>VLOOKUP($A157,turnover!$A$184:$Q$194,+U$4-$S$4+3,0)</f>
        <v>0</v>
      </c>
      <c r="V157" s="74">
        <f>VLOOKUP($A157,turnover!$A$184:$Q$194,+V$4-$S$4+3,0)</f>
        <v>0</v>
      </c>
      <c r="W157" s="74">
        <f>VLOOKUP($A157,turnover!$A$184:$Q$194,+W$4-$S$4+3,0)</f>
        <v>0</v>
      </c>
      <c r="X157" s="74">
        <f>VLOOKUP($A157,turnover!$A$184:$Q$194,+X$4-$S$4+3,0)</f>
        <v>0</v>
      </c>
      <c r="Y157" s="74">
        <f>VLOOKUP($A157,turnover!$A$184:$Q$194,+Y$4-$S$4+3,0)</f>
        <v>0</v>
      </c>
      <c r="Z157" s="74">
        <f>VLOOKUP($A157,turnover!$A$184:$Q$194,+Z$4-$S$4+3,0)</f>
        <v>0</v>
      </c>
      <c r="AA157" s="74">
        <f>VLOOKUP($A157,turnover!$A$184:$Q$194,+AA$4-$S$4+3,0)</f>
        <v>0</v>
      </c>
      <c r="AB157" s="74">
        <f>VLOOKUP($A157,turnover!$A$184:$Q$194,+AB$4-$S$4+3,0)</f>
        <v>0</v>
      </c>
      <c r="AC157" s="74">
        <f>VLOOKUP($A157,turnover!$A$184:$Q$194,+AC$4-$S$4+3,0)</f>
        <v>0</v>
      </c>
      <c r="AD157" s="74">
        <f>VLOOKUP($A157,turnover!$A$184:$Q$194,+AD$4-$S$4+3,0)</f>
        <v>0</v>
      </c>
      <c r="AE157" s="74">
        <f>VLOOKUP($A157,turnover!$A$184:$Q$194,+AE$4-$S$4+3,0)</f>
        <v>0</v>
      </c>
      <c r="AF157" s="74">
        <f>VLOOKUP($A157,turnover!$A$184:$Q$194,+AF$4-$S$4+3,0)</f>
        <v>0</v>
      </c>
      <c r="AG157" s="74">
        <f>VLOOKUP($A157,turnover!$A$184:$Q$194,+AG$4-$S$4+3,0)</f>
        <v>0</v>
      </c>
      <c r="AH157" s="61">
        <f t="shared" si="129"/>
        <v>0</v>
      </c>
      <c r="AI157" s="61">
        <f t="shared" si="130"/>
        <v>0</v>
      </c>
      <c r="AJ157" s="61">
        <f t="shared" si="131"/>
        <v>0</v>
      </c>
      <c r="AK157" s="61">
        <f t="shared" si="132"/>
        <v>0</v>
      </c>
      <c r="AL157" s="61">
        <f t="shared" si="133"/>
        <v>0</v>
      </c>
      <c r="AM157" s="61">
        <f t="shared" si="134"/>
        <v>0</v>
      </c>
      <c r="AN157" s="61">
        <f t="shared" si="135"/>
        <v>0</v>
      </c>
      <c r="AO157" s="61">
        <f t="shared" si="136"/>
        <v>0</v>
      </c>
      <c r="AP157" s="61">
        <f t="shared" si="137"/>
        <v>0</v>
      </c>
      <c r="AQ157" s="61">
        <f t="shared" si="138"/>
        <v>0</v>
      </c>
      <c r="AR157" s="61">
        <f t="shared" si="139"/>
        <v>0</v>
      </c>
      <c r="AS157" s="61">
        <f t="shared" si="140"/>
        <v>0</v>
      </c>
      <c r="AT157" s="61">
        <f t="shared" si="141"/>
        <v>0</v>
      </c>
      <c r="AU157" s="61">
        <f t="shared" si="142"/>
        <v>0</v>
      </c>
      <c r="AV157" s="61">
        <f t="shared" si="143"/>
        <v>0</v>
      </c>
      <c r="AW157" s="101">
        <f>VLOOKUP($C157,'Cost RMs'!$B$5:$Q$22,+AW$4-$AW$4+2,0)</f>
        <v>37079</v>
      </c>
      <c r="AX157" s="101">
        <f>VLOOKUP($C157,'Cost RMs'!$B$5:$Q$22,+AX$4-$AW$4+2,0)</f>
        <v>52416</v>
      </c>
      <c r="AY157" s="101">
        <f>VLOOKUP($C157,'Cost RMs'!$B$5:$Q$22,+AY$4-$AW$4+2,0)</f>
        <v>45564</v>
      </c>
      <c r="AZ157" s="101">
        <f>VLOOKUP($C157,'Cost RMs'!$B$5:$Q$22,+AZ$4-$AW$4+2,0)</f>
        <v>49142</v>
      </c>
      <c r="BA157" s="101">
        <f>VLOOKUP($C157,'Cost RMs'!$B$5:$Q$22,+BA$4-$AW$4+2,0)</f>
        <v>50394</v>
      </c>
      <c r="BB157" s="101">
        <f>VLOOKUP($C157,'Cost RMs'!$B$5:$Q$22,+BB$4-$AW$4+2,0)</f>
        <v>56436</v>
      </c>
      <c r="BC157" s="101">
        <f>VLOOKUP($C157,'Cost RMs'!$B$5:$Q$22,+BC$4-$AW$4+2,0)</f>
        <v>63265</v>
      </c>
      <c r="BD157" s="101">
        <f>VLOOKUP($C157,'Cost RMs'!$B$5:$Q$22,+BD$4-$AW$4+2,0)</f>
        <v>70920</v>
      </c>
      <c r="BE157" s="101">
        <f>VLOOKUP($C157,'Cost RMs'!$B$5:$Q$22,+BE$4-$AW$4+2,0)</f>
        <v>79501</v>
      </c>
      <c r="BF157" s="101">
        <f>VLOOKUP($C157,'Cost RMs'!$B$5:$Q$22,+BF$4-$AW$4+2,0)</f>
        <v>89121</v>
      </c>
      <c r="BG157" s="101">
        <f>VLOOKUP($C157,'Cost RMs'!$B$5:$Q$22,+BG$4-$AW$4+2,0)</f>
        <v>99905</v>
      </c>
      <c r="BH157" s="101">
        <f>VLOOKUP($C157,'Cost RMs'!$B$5:$Q$22,+BH$4-$AW$4+2,0)</f>
        <v>111994</v>
      </c>
      <c r="BI157" s="101">
        <f>VLOOKUP($C157,'Cost RMs'!$B$5:$Q$22,+BI$4-$AW$4+2,0)</f>
        <v>125545</v>
      </c>
      <c r="BJ157" s="101">
        <f>VLOOKUP($C157,'Cost RMs'!$B$5:$Q$22,+BJ$4-$AW$4+2,0)</f>
        <v>140736</v>
      </c>
      <c r="BK157" s="101">
        <f>VLOOKUP($C157,'Cost RMs'!$B$5:$Q$22,+BK$4-$AW$4+2,0)</f>
        <v>157765</v>
      </c>
      <c r="BL157" s="102">
        <f t="shared" si="144"/>
        <v>0</v>
      </c>
      <c r="BM157" s="102">
        <f t="shared" si="145"/>
        <v>0</v>
      </c>
      <c r="BN157" s="102">
        <f t="shared" si="146"/>
        <v>0</v>
      </c>
      <c r="BO157" s="102">
        <f t="shared" si="147"/>
        <v>0</v>
      </c>
      <c r="BP157" s="102">
        <f t="shared" si="148"/>
        <v>0</v>
      </c>
      <c r="BQ157" s="102">
        <f t="shared" si="149"/>
        <v>0</v>
      </c>
      <c r="BR157" s="102">
        <f t="shared" si="150"/>
        <v>0</v>
      </c>
      <c r="BS157" s="102">
        <f t="shared" si="151"/>
        <v>0</v>
      </c>
      <c r="BT157" s="102">
        <f t="shared" si="152"/>
        <v>0</v>
      </c>
      <c r="BU157" s="102">
        <f t="shared" si="153"/>
        <v>0</v>
      </c>
      <c r="BV157" s="102">
        <f t="shared" si="154"/>
        <v>0</v>
      </c>
      <c r="BW157" s="102">
        <f t="shared" si="155"/>
        <v>0</v>
      </c>
      <c r="BX157" s="102">
        <f t="shared" si="156"/>
        <v>0</v>
      </c>
      <c r="BY157" s="102">
        <f t="shared" si="157"/>
        <v>0</v>
      </c>
      <c r="BZ157" s="102">
        <f t="shared" si="158"/>
        <v>0</v>
      </c>
    </row>
    <row r="158" spans="1:78" x14ac:dyDescent="0.25">
      <c r="A158" s="26" t="str">
        <f>+Assumptions!$A$41</f>
        <v>NPK 00-00-00</v>
      </c>
      <c r="B158" s="73">
        <f>+Assumptions!$R$57</f>
        <v>0</v>
      </c>
      <c r="C158" s="166" t="s">
        <v>536</v>
      </c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74">
        <f>VLOOKUP($A158,turnover!$A$184:$Q$194,+S$4-$S$4+3,0)</f>
        <v>0</v>
      </c>
      <c r="T158" s="74">
        <f>VLOOKUP($A158,turnover!$A$184:$Q$194,+T$4-$S$4+3,0)</f>
        <v>0</v>
      </c>
      <c r="U158" s="74">
        <f>VLOOKUP($A158,turnover!$A$184:$Q$194,+U$4-$S$4+3,0)</f>
        <v>0</v>
      </c>
      <c r="V158" s="74">
        <f>VLOOKUP($A158,turnover!$A$184:$Q$194,+V$4-$S$4+3,0)</f>
        <v>0</v>
      </c>
      <c r="W158" s="74">
        <f>VLOOKUP($A158,turnover!$A$184:$Q$194,+W$4-$S$4+3,0)</f>
        <v>0</v>
      </c>
      <c r="X158" s="74">
        <f>VLOOKUP($A158,turnover!$A$184:$Q$194,+X$4-$S$4+3,0)</f>
        <v>0</v>
      </c>
      <c r="Y158" s="74">
        <f>VLOOKUP($A158,turnover!$A$184:$Q$194,+Y$4-$S$4+3,0)</f>
        <v>0</v>
      </c>
      <c r="Z158" s="74">
        <f>VLOOKUP($A158,turnover!$A$184:$Q$194,+Z$4-$S$4+3,0)</f>
        <v>0</v>
      </c>
      <c r="AA158" s="74">
        <f>VLOOKUP($A158,turnover!$A$184:$Q$194,+AA$4-$S$4+3,0)</f>
        <v>0</v>
      </c>
      <c r="AB158" s="74">
        <f>VLOOKUP($A158,turnover!$A$184:$Q$194,+AB$4-$S$4+3,0)</f>
        <v>0</v>
      </c>
      <c r="AC158" s="74">
        <f>VLOOKUP($A158,turnover!$A$184:$Q$194,+AC$4-$S$4+3,0)</f>
        <v>0</v>
      </c>
      <c r="AD158" s="74">
        <f>VLOOKUP($A158,turnover!$A$184:$Q$194,+AD$4-$S$4+3,0)</f>
        <v>0</v>
      </c>
      <c r="AE158" s="74">
        <f>VLOOKUP($A158,turnover!$A$184:$Q$194,+AE$4-$S$4+3,0)</f>
        <v>0</v>
      </c>
      <c r="AF158" s="74">
        <f>VLOOKUP($A158,turnover!$A$184:$Q$194,+AF$4-$S$4+3,0)</f>
        <v>0</v>
      </c>
      <c r="AG158" s="74">
        <f>VLOOKUP($A158,turnover!$A$184:$Q$194,+AG$4-$S$4+3,0)</f>
        <v>0</v>
      </c>
      <c r="AH158" s="61">
        <f t="shared" si="129"/>
        <v>0</v>
      </c>
      <c r="AI158" s="61">
        <f t="shared" si="130"/>
        <v>0</v>
      </c>
      <c r="AJ158" s="61">
        <f t="shared" si="131"/>
        <v>0</v>
      </c>
      <c r="AK158" s="61">
        <f t="shared" si="132"/>
        <v>0</v>
      </c>
      <c r="AL158" s="61">
        <f t="shared" si="133"/>
        <v>0</v>
      </c>
      <c r="AM158" s="61">
        <f t="shared" si="134"/>
        <v>0</v>
      </c>
      <c r="AN158" s="61">
        <f t="shared" si="135"/>
        <v>0</v>
      </c>
      <c r="AO158" s="61">
        <f t="shared" si="136"/>
        <v>0</v>
      </c>
      <c r="AP158" s="61">
        <f t="shared" si="137"/>
        <v>0</v>
      </c>
      <c r="AQ158" s="61">
        <f t="shared" si="138"/>
        <v>0</v>
      </c>
      <c r="AR158" s="61">
        <f t="shared" si="139"/>
        <v>0</v>
      </c>
      <c r="AS158" s="61">
        <f t="shared" si="140"/>
        <v>0</v>
      </c>
      <c r="AT158" s="61">
        <f t="shared" si="141"/>
        <v>0</v>
      </c>
      <c r="AU158" s="61">
        <f t="shared" si="142"/>
        <v>0</v>
      </c>
      <c r="AV158" s="61">
        <f t="shared" si="143"/>
        <v>0</v>
      </c>
      <c r="AW158" s="101">
        <f>VLOOKUP($C158,'Cost RMs'!$B$5:$Q$22,+AW$4-$AW$4+2,0)</f>
        <v>0</v>
      </c>
      <c r="AX158" s="101">
        <f>VLOOKUP($C158,'Cost RMs'!$B$5:$Q$22,+AX$4-$AW$4+2,0)</f>
        <v>0</v>
      </c>
      <c r="AY158" s="101">
        <f>VLOOKUP($C158,'Cost RMs'!$B$5:$Q$22,+AY$4-$AW$4+2,0)</f>
        <v>0</v>
      </c>
      <c r="AZ158" s="101">
        <f>VLOOKUP($C158,'Cost RMs'!$B$5:$Q$22,+AZ$4-$AW$4+2,0)</f>
        <v>0</v>
      </c>
      <c r="BA158" s="101">
        <f>VLOOKUP($C158,'Cost RMs'!$B$5:$Q$22,+BA$4-$AW$4+2,0)</f>
        <v>317520</v>
      </c>
      <c r="BB158" s="101">
        <f>VLOOKUP($C158,'Cost RMs'!$B$5:$Q$22,+BB$4-$AW$4+2,0)</f>
        <v>355591</v>
      </c>
      <c r="BC158" s="101">
        <f>VLOOKUP($C158,'Cost RMs'!$B$5:$Q$22,+BC$4-$AW$4+2,0)</f>
        <v>398618</v>
      </c>
      <c r="BD158" s="101">
        <f>VLOOKUP($C158,'Cost RMs'!$B$5:$Q$22,+BD$4-$AW$4+2,0)</f>
        <v>446851</v>
      </c>
      <c r="BE158" s="101">
        <f>VLOOKUP($C158,'Cost RMs'!$B$5:$Q$22,+BE$4-$AW$4+2,0)</f>
        <v>500920</v>
      </c>
      <c r="BF158" s="101">
        <f>VLOOKUP($C158,'Cost RMs'!$B$5:$Q$22,+BF$4-$AW$4+2,0)</f>
        <v>561531</v>
      </c>
      <c r="BG158" s="101">
        <f>VLOOKUP($C158,'Cost RMs'!$B$5:$Q$22,+BG$4-$AW$4+2,0)</f>
        <v>629476</v>
      </c>
      <c r="BH158" s="101">
        <f>VLOOKUP($C158,'Cost RMs'!$B$5:$Q$22,+BH$4-$AW$4+2,0)</f>
        <v>705643</v>
      </c>
      <c r="BI158" s="101">
        <f>VLOOKUP($C158,'Cost RMs'!$B$5:$Q$22,+BI$4-$AW$4+2,0)</f>
        <v>791026</v>
      </c>
      <c r="BJ158" s="101">
        <f>VLOOKUP($C158,'Cost RMs'!$B$5:$Q$22,+BJ$4-$AW$4+2,0)</f>
        <v>886740</v>
      </c>
      <c r="BK158" s="101">
        <f>VLOOKUP($C158,'Cost RMs'!$B$5:$Q$22,+BK$4-$AW$4+2,0)</f>
        <v>994036</v>
      </c>
      <c r="BL158" s="102">
        <f t="shared" si="144"/>
        <v>0</v>
      </c>
      <c r="BM158" s="102">
        <f t="shared" si="145"/>
        <v>0</v>
      </c>
      <c r="BN158" s="102">
        <f t="shared" si="146"/>
        <v>0</v>
      </c>
      <c r="BO158" s="102">
        <f t="shared" si="147"/>
        <v>0</v>
      </c>
      <c r="BP158" s="102">
        <f t="shared" si="148"/>
        <v>0</v>
      </c>
      <c r="BQ158" s="102">
        <f t="shared" si="149"/>
        <v>0</v>
      </c>
      <c r="BR158" s="102">
        <f t="shared" si="150"/>
        <v>0</v>
      </c>
      <c r="BS158" s="102">
        <f t="shared" si="151"/>
        <v>0</v>
      </c>
      <c r="BT158" s="102">
        <f t="shared" si="152"/>
        <v>0</v>
      </c>
      <c r="BU158" s="102">
        <f t="shared" si="153"/>
        <v>0</v>
      </c>
      <c r="BV158" s="102">
        <f t="shared" si="154"/>
        <v>0</v>
      </c>
      <c r="BW158" s="102">
        <f t="shared" si="155"/>
        <v>0</v>
      </c>
      <c r="BX158" s="102">
        <f t="shared" si="156"/>
        <v>0</v>
      </c>
      <c r="BY158" s="102">
        <f t="shared" si="157"/>
        <v>0</v>
      </c>
      <c r="BZ158" s="102">
        <f t="shared" si="158"/>
        <v>0</v>
      </c>
    </row>
    <row r="159" spans="1:78" x14ac:dyDescent="0.25">
      <c r="A159" s="26" t="str">
        <f>+Assumptions!$A$41</f>
        <v>NPK 00-00-00</v>
      </c>
      <c r="B159" s="73">
        <f>+Assumptions!$R$57</f>
        <v>0</v>
      </c>
      <c r="C159" t="s">
        <v>129</v>
      </c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74">
        <f>VLOOKUP($A159,turnover!$A$184:$Q$194,+S$4-$S$4+3,0)</f>
        <v>0</v>
      </c>
      <c r="T159" s="74">
        <f>VLOOKUP($A159,turnover!$A$184:$Q$194,+T$4-$S$4+3,0)</f>
        <v>0</v>
      </c>
      <c r="U159" s="74">
        <f>VLOOKUP($A159,turnover!$A$184:$Q$194,+U$4-$S$4+3,0)</f>
        <v>0</v>
      </c>
      <c r="V159" s="74">
        <f>VLOOKUP($A159,turnover!$A$184:$Q$194,+V$4-$S$4+3,0)</f>
        <v>0</v>
      </c>
      <c r="W159" s="74">
        <f>VLOOKUP($A159,turnover!$A$184:$Q$194,+W$4-$S$4+3,0)</f>
        <v>0</v>
      </c>
      <c r="X159" s="74">
        <f>VLOOKUP($A159,turnover!$A$184:$Q$194,+X$4-$S$4+3,0)</f>
        <v>0</v>
      </c>
      <c r="Y159" s="74">
        <f>VLOOKUP($A159,turnover!$A$184:$Q$194,+Y$4-$S$4+3,0)</f>
        <v>0</v>
      </c>
      <c r="Z159" s="74">
        <f>VLOOKUP($A159,turnover!$A$184:$Q$194,+Z$4-$S$4+3,0)</f>
        <v>0</v>
      </c>
      <c r="AA159" s="74">
        <f>VLOOKUP($A159,turnover!$A$184:$Q$194,+AA$4-$S$4+3,0)</f>
        <v>0</v>
      </c>
      <c r="AB159" s="74">
        <f>VLOOKUP($A159,turnover!$A$184:$Q$194,+AB$4-$S$4+3,0)</f>
        <v>0</v>
      </c>
      <c r="AC159" s="74">
        <f>VLOOKUP($A159,turnover!$A$184:$Q$194,+AC$4-$S$4+3,0)</f>
        <v>0</v>
      </c>
      <c r="AD159" s="74">
        <f>VLOOKUP($A159,turnover!$A$184:$Q$194,+AD$4-$S$4+3,0)</f>
        <v>0</v>
      </c>
      <c r="AE159" s="74">
        <f>VLOOKUP($A159,turnover!$A$184:$Q$194,+AE$4-$S$4+3,0)</f>
        <v>0</v>
      </c>
      <c r="AF159" s="74">
        <f>VLOOKUP($A159,turnover!$A$184:$Q$194,+AF$4-$S$4+3,0)</f>
        <v>0</v>
      </c>
      <c r="AG159" s="74">
        <f>VLOOKUP($A159,turnover!$A$184:$Q$194,+AG$4-$S$4+3,0)</f>
        <v>0</v>
      </c>
      <c r="AH159" s="61">
        <f t="shared" si="129"/>
        <v>0</v>
      </c>
      <c r="AI159" s="61">
        <f t="shared" si="130"/>
        <v>0</v>
      </c>
      <c r="AJ159" s="61">
        <f t="shared" si="131"/>
        <v>0</v>
      </c>
      <c r="AK159" s="61">
        <f t="shared" si="132"/>
        <v>0</v>
      </c>
      <c r="AL159" s="61">
        <f t="shared" si="133"/>
        <v>0</v>
      </c>
      <c r="AM159" s="61">
        <f t="shared" si="134"/>
        <v>0</v>
      </c>
      <c r="AN159" s="61">
        <f t="shared" si="135"/>
        <v>0</v>
      </c>
      <c r="AO159" s="61">
        <f t="shared" si="136"/>
        <v>0</v>
      </c>
      <c r="AP159" s="61">
        <f t="shared" si="137"/>
        <v>0</v>
      </c>
      <c r="AQ159" s="61">
        <f t="shared" si="138"/>
        <v>0</v>
      </c>
      <c r="AR159" s="61">
        <f t="shared" si="139"/>
        <v>0</v>
      </c>
      <c r="AS159" s="61">
        <f t="shared" si="140"/>
        <v>0</v>
      </c>
      <c r="AT159" s="61">
        <f t="shared" si="141"/>
        <v>0</v>
      </c>
      <c r="AU159" s="61">
        <f t="shared" si="142"/>
        <v>0</v>
      </c>
      <c r="AV159" s="61">
        <f t="shared" si="143"/>
        <v>0</v>
      </c>
      <c r="AW159" s="101">
        <f>VLOOKUP($C159,'Cost RMs'!$B$5:$Q$22,+AW$4-$AW$4+2,0)</f>
        <v>40086</v>
      </c>
      <c r="AX159" s="101">
        <f>VLOOKUP($C159,'Cost RMs'!$B$5:$Q$22,+AX$4-$AW$4+2,0)</f>
        <v>56197</v>
      </c>
      <c r="AY159" s="101">
        <f>VLOOKUP($C159,'Cost RMs'!$B$5:$Q$22,+AY$4-$AW$4+2,0)</f>
        <v>64582</v>
      </c>
      <c r="AZ159" s="101">
        <f>VLOOKUP($C159,'Cost RMs'!$B$5:$Q$22,+AZ$4-$AW$4+2,0)</f>
        <v>76567</v>
      </c>
      <c r="BA159" s="101">
        <f ca="1">VLOOKUP($C159,'Cost RMs'!$B$5:$Q$22,+BA$4-$AW$4+2,0)</f>
        <v>86638</v>
      </c>
      <c r="BB159" s="101">
        <f ca="1">VLOOKUP($C159,'Cost RMs'!$B$5:$Q$22,+BB$4-$AW$4+2,0)</f>
        <v>97026</v>
      </c>
      <c r="BC159" s="101">
        <f ca="1">VLOOKUP($C159,'Cost RMs'!$B$5:$Q$22,+BC$4-$AW$4+2,0)</f>
        <v>108766</v>
      </c>
      <c r="BD159" s="101">
        <f ca="1">VLOOKUP($C159,'Cost RMs'!$B$5:$Q$22,+BD$4-$AW$4+2,0)</f>
        <v>121927</v>
      </c>
      <c r="BE159" s="101">
        <f ca="1">VLOOKUP($C159,'Cost RMs'!$B$5:$Q$22,+BE$4-$AW$4+2,0)</f>
        <v>136680</v>
      </c>
      <c r="BF159" s="101">
        <f ca="1">VLOOKUP($C159,'Cost RMs'!$B$5:$Q$22,+BF$4-$AW$4+2,0)</f>
        <v>153218</v>
      </c>
      <c r="BG159" s="101">
        <f ca="1">VLOOKUP($C159,'Cost RMs'!$B$5:$Q$22,+BG$4-$AW$4+2,0)</f>
        <v>171757</v>
      </c>
      <c r="BH159" s="101">
        <f ca="1">VLOOKUP($C159,'Cost RMs'!$B$5:$Q$22,+BH$4-$AW$4+2,0)</f>
        <v>192540</v>
      </c>
      <c r="BI159" s="101">
        <f ca="1">VLOOKUP($C159,'Cost RMs'!$B$5:$Q$22,+BI$4-$AW$4+2,0)</f>
        <v>215837</v>
      </c>
      <c r="BJ159" s="101">
        <f ca="1">VLOOKUP($C159,'Cost RMs'!$B$5:$Q$22,+BJ$4-$AW$4+2,0)</f>
        <v>241953</v>
      </c>
      <c r="BK159" s="101">
        <f ca="1">VLOOKUP($C159,'Cost RMs'!$B$5:$Q$22,+BK$4-$AW$4+2,0)</f>
        <v>271229</v>
      </c>
      <c r="BL159" s="102">
        <f t="shared" si="144"/>
        <v>0</v>
      </c>
      <c r="BM159" s="102">
        <f t="shared" si="145"/>
        <v>0</v>
      </c>
      <c r="BN159" s="102">
        <f t="shared" si="146"/>
        <v>0</v>
      </c>
      <c r="BO159" s="102">
        <f t="shared" si="147"/>
        <v>0</v>
      </c>
      <c r="BP159" s="102">
        <f t="shared" ca="1" si="148"/>
        <v>0</v>
      </c>
      <c r="BQ159" s="102">
        <f t="shared" ca="1" si="149"/>
        <v>0</v>
      </c>
      <c r="BR159" s="102">
        <f t="shared" ca="1" si="150"/>
        <v>0</v>
      </c>
      <c r="BS159" s="102">
        <f t="shared" ca="1" si="151"/>
        <v>0</v>
      </c>
      <c r="BT159" s="102">
        <f t="shared" ca="1" si="152"/>
        <v>0</v>
      </c>
      <c r="BU159" s="102">
        <f t="shared" ca="1" si="153"/>
        <v>0</v>
      </c>
      <c r="BV159" s="102">
        <f t="shared" ca="1" si="154"/>
        <v>0</v>
      </c>
      <c r="BW159" s="102">
        <f t="shared" ca="1" si="155"/>
        <v>0</v>
      </c>
      <c r="BX159" s="102">
        <f t="shared" ca="1" si="156"/>
        <v>0</v>
      </c>
      <c r="BY159" s="102">
        <f t="shared" ca="1" si="157"/>
        <v>0</v>
      </c>
      <c r="BZ159" s="102">
        <f t="shared" ca="1" si="158"/>
        <v>0</v>
      </c>
    </row>
    <row r="160" spans="1:78" x14ac:dyDescent="0.25">
      <c r="A160" s="26" t="str">
        <f>+Assumptions!$A$41</f>
        <v>NPK 00-00-00</v>
      </c>
      <c r="B160" s="73">
        <f>+Assumptions!$R$57</f>
        <v>0</v>
      </c>
      <c r="C160" t="s">
        <v>130</v>
      </c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74">
        <f>VLOOKUP($A160,turnover!$A$184:$Q$194,+S$4-$S$4+3,0)</f>
        <v>0</v>
      </c>
      <c r="T160" s="74">
        <f>VLOOKUP($A160,turnover!$A$184:$Q$194,+T$4-$S$4+3,0)</f>
        <v>0</v>
      </c>
      <c r="U160" s="74">
        <f>VLOOKUP($A160,turnover!$A$184:$Q$194,+U$4-$S$4+3,0)</f>
        <v>0</v>
      </c>
      <c r="V160" s="74">
        <f>VLOOKUP($A160,turnover!$A$184:$Q$194,+V$4-$S$4+3,0)</f>
        <v>0</v>
      </c>
      <c r="W160" s="74">
        <f>VLOOKUP($A160,turnover!$A$184:$Q$194,+W$4-$S$4+3,0)</f>
        <v>0</v>
      </c>
      <c r="X160" s="74">
        <f>VLOOKUP($A160,turnover!$A$184:$Q$194,+X$4-$S$4+3,0)</f>
        <v>0</v>
      </c>
      <c r="Y160" s="74">
        <f>VLOOKUP($A160,turnover!$A$184:$Q$194,+Y$4-$S$4+3,0)</f>
        <v>0</v>
      </c>
      <c r="Z160" s="74">
        <f>VLOOKUP($A160,turnover!$A$184:$Q$194,+Z$4-$S$4+3,0)</f>
        <v>0</v>
      </c>
      <c r="AA160" s="74">
        <f>VLOOKUP($A160,turnover!$A$184:$Q$194,+AA$4-$S$4+3,0)</f>
        <v>0</v>
      </c>
      <c r="AB160" s="74">
        <f>VLOOKUP($A160,turnover!$A$184:$Q$194,+AB$4-$S$4+3,0)</f>
        <v>0</v>
      </c>
      <c r="AC160" s="74">
        <f>VLOOKUP($A160,turnover!$A$184:$Q$194,+AC$4-$S$4+3,0)</f>
        <v>0</v>
      </c>
      <c r="AD160" s="74">
        <f>VLOOKUP($A160,turnover!$A$184:$Q$194,+AD$4-$S$4+3,0)</f>
        <v>0</v>
      </c>
      <c r="AE160" s="74">
        <f>VLOOKUP($A160,turnover!$A$184:$Q$194,+AE$4-$S$4+3,0)</f>
        <v>0</v>
      </c>
      <c r="AF160" s="74">
        <f>VLOOKUP($A160,turnover!$A$184:$Q$194,+AF$4-$S$4+3,0)</f>
        <v>0</v>
      </c>
      <c r="AG160" s="74">
        <f>VLOOKUP($A160,turnover!$A$184:$Q$194,+AG$4-$S$4+3,0)</f>
        <v>0</v>
      </c>
      <c r="AH160" s="61">
        <f t="shared" si="129"/>
        <v>0</v>
      </c>
      <c r="AI160" s="61">
        <f t="shared" si="130"/>
        <v>0</v>
      </c>
      <c r="AJ160" s="61">
        <f t="shared" si="131"/>
        <v>0</v>
      </c>
      <c r="AK160" s="61">
        <f t="shared" si="132"/>
        <v>0</v>
      </c>
      <c r="AL160" s="61">
        <f t="shared" si="133"/>
        <v>0</v>
      </c>
      <c r="AM160" s="61">
        <f t="shared" si="134"/>
        <v>0</v>
      </c>
      <c r="AN160" s="61">
        <f t="shared" si="135"/>
        <v>0</v>
      </c>
      <c r="AO160" s="61">
        <f t="shared" si="136"/>
        <v>0</v>
      </c>
      <c r="AP160" s="61">
        <f t="shared" si="137"/>
        <v>0</v>
      </c>
      <c r="AQ160" s="61">
        <f t="shared" si="138"/>
        <v>0</v>
      </c>
      <c r="AR160" s="61">
        <f t="shared" si="139"/>
        <v>0</v>
      </c>
      <c r="AS160" s="61">
        <f t="shared" si="140"/>
        <v>0</v>
      </c>
      <c r="AT160" s="61">
        <f t="shared" si="141"/>
        <v>0</v>
      </c>
      <c r="AU160" s="61">
        <f t="shared" si="142"/>
        <v>0</v>
      </c>
      <c r="AV160" s="61">
        <f t="shared" si="143"/>
        <v>0</v>
      </c>
      <c r="AW160" s="101">
        <f>VLOOKUP($C160,'Cost RMs'!$B$5:$Q$22,+AW$4-$AW$4+2,0)</f>
        <v>42500</v>
      </c>
      <c r="AX160" s="101">
        <f>VLOOKUP($C160,'Cost RMs'!$B$5:$Q$22,+AX$4-$AW$4+2,0)</f>
        <v>63692</v>
      </c>
      <c r="AY160" s="101">
        <f>VLOOKUP($C160,'Cost RMs'!$B$5:$Q$22,+AY$4-$AW$4+2,0)</f>
        <v>71301</v>
      </c>
      <c r="AZ160" s="101">
        <f>VLOOKUP($C160,'Cost RMs'!$B$5:$Q$22,+AZ$4-$AW$4+2,0)</f>
        <v>82665</v>
      </c>
      <c r="BA160" s="101">
        <f ca="1">VLOOKUP($C160,'Cost RMs'!$B$5:$Q$22,+BA$4-$AW$4+2,0)</f>
        <v>96790</v>
      </c>
      <c r="BB160" s="101">
        <f ca="1">VLOOKUP($C160,'Cost RMs'!$B$5:$Q$22,+BB$4-$AW$4+2,0)</f>
        <v>108395</v>
      </c>
      <c r="BC160" s="101">
        <f ca="1">VLOOKUP($C160,'Cost RMs'!$B$5:$Q$22,+BC$4-$AW$4+2,0)</f>
        <v>121511</v>
      </c>
      <c r="BD160" s="101">
        <f ca="1">VLOOKUP($C160,'Cost RMs'!$B$5:$Q$22,+BD$4-$AW$4+2,0)</f>
        <v>136214</v>
      </c>
      <c r="BE160" s="101">
        <f ca="1">VLOOKUP($C160,'Cost RMs'!$B$5:$Q$22,+BE$4-$AW$4+2,0)</f>
        <v>152696</v>
      </c>
      <c r="BF160" s="101">
        <f ca="1">VLOOKUP($C160,'Cost RMs'!$B$5:$Q$22,+BF$4-$AW$4+2,0)</f>
        <v>171172</v>
      </c>
      <c r="BG160" s="101">
        <f ca="1">VLOOKUP($C160,'Cost RMs'!$B$5:$Q$22,+BG$4-$AW$4+2,0)</f>
        <v>191884</v>
      </c>
      <c r="BH160" s="101">
        <f ca="1">VLOOKUP($C160,'Cost RMs'!$B$5:$Q$22,+BH$4-$AW$4+2,0)</f>
        <v>215102</v>
      </c>
      <c r="BI160" s="101">
        <f ca="1">VLOOKUP($C160,'Cost RMs'!$B$5:$Q$22,+BI$4-$AW$4+2,0)</f>
        <v>241129</v>
      </c>
      <c r="BJ160" s="101">
        <f ca="1">VLOOKUP($C160,'Cost RMs'!$B$5:$Q$22,+BJ$4-$AW$4+2,0)</f>
        <v>270306</v>
      </c>
      <c r="BK160" s="101">
        <f ca="1">VLOOKUP($C160,'Cost RMs'!$B$5:$Q$22,+BK$4-$AW$4+2,0)</f>
        <v>303013</v>
      </c>
      <c r="BL160" s="102">
        <f t="shared" si="144"/>
        <v>0</v>
      </c>
      <c r="BM160" s="102">
        <f t="shared" si="145"/>
        <v>0</v>
      </c>
      <c r="BN160" s="102">
        <f t="shared" si="146"/>
        <v>0</v>
      </c>
      <c r="BO160" s="102">
        <f t="shared" si="147"/>
        <v>0</v>
      </c>
      <c r="BP160" s="102">
        <f t="shared" ca="1" si="148"/>
        <v>0</v>
      </c>
      <c r="BQ160" s="102">
        <f t="shared" ca="1" si="149"/>
        <v>0</v>
      </c>
      <c r="BR160" s="102">
        <f t="shared" ca="1" si="150"/>
        <v>0</v>
      </c>
      <c r="BS160" s="102">
        <f t="shared" ca="1" si="151"/>
        <v>0</v>
      </c>
      <c r="BT160" s="102">
        <f t="shared" ca="1" si="152"/>
        <v>0</v>
      </c>
      <c r="BU160" s="102">
        <f t="shared" ca="1" si="153"/>
        <v>0</v>
      </c>
      <c r="BV160" s="102">
        <f t="shared" ca="1" si="154"/>
        <v>0</v>
      </c>
      <c r="BW160" s="102">
        <f t="shared" ca="1" si="155"/>
        <v>0</v>
      </c>
      <c r="BX160" s="102">
        <f t="shared" ca="1" si="156"/>
        <v>0</v>
      </c>
      <c r="BY160" s="102">
        <f t="shared" ca="1" si="157"/>
        <v>0</v>
      </c>
      <c r="BZ160" s="102">
        <f t="shared" ca="1" si="158"/>
        <v>0</v>
      </c>
    </row>
    <row r="161" spans="1:78" x14ac:dyDescent="0.25">
      <c r="A161" s="26" t="str">
        <f>+Assumptions!$A$41</f>
        <v>NPK 00-00-00</v>
      </c>
      <c r="B161" s="73">
        <f>+Assumptions!$R$57</f>
        <v>0</v>
      </c>
      <c r="C161" s="59" t="s">
        <v>146</v>
      </c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74">
        <f>VLOOKUP($A161,turnover!$A$184:$Q$194,+S$4-$S$4+3,0)</f>
        <v>0</v>
      </c>
      <c r="T161" s="74">
        <f>VLOOKUP($A161,turnover!$A$184:$Q$194,+T$4-$S$4+3,0)</f>
        <v>0</v>
      </c>
      <c r="U161" s="74">
        <f>VLOOKUP($A161,turnover!$A$184:$Q$194,+U$4-$S$4+3,0)</f>
        <v>0</v>
      </c>
      <c r="V161" s="74">
        <f>VLOOKUP($A161,turnover!$A$184:$Q$194,+V$4-$S$4+3,0)</f>
        <v>0</v>
      </c>
      <c r="W161" s="74">
        <f>VLOOKUP($A161,turnover!$A$184:$Q$194,+W$4-$S$4+3,0)</f>
        <v>0</v>
      </c>
      <c r="X161" s="74">
        <f>VLOOKUP($A161,turnover!$A$184:$Q$194,+X$4-$S$4+3,0)</f>
        <v>0</v>
      </c>
      <c r="Y161" s="74">
        <f>VLOOKUP($A161,turnover!$A$184:$Q$194,+Y$4-$S$4+3,0)</f>
        <v>0</v>
      </c>
      <c r="Z161" s="74">
        <f>VLOOKUP($A161,turnover!$A$184:$Q$194,+Z$4-$S$4+3,0)</f>
        <v>0</v>
      </c>
      <c r="AA161" s="74">
        <f>VLOOKUP($A161,turnover!$A$184:$Q$194,+AA$4-$S$4+3,0)</f>
        <v>0</v>
      </c>
      <c r="AB161" s="74">
        <f>VLOOKUP($A161,turnover!$A$184:$Q$194,+AB$4-$S$4+3,0)</f>
        <v>0</v>
      </c>
      <c r="AC161" s="74">
        <f>VLOOKUP($A161,turnover!$A$184:$Q$194,+AC$4-$S$4+3,0)</f>
        <v>0</v>
      </c>
      <c r="AD161" s="74">
        <f>VLOOKUP($A161,turnover!$A$184:$Q$194,+AD$4-$S$4+3,0)</f>
        <v>0</v>
      </c>
      <c r="AE161" s="74">
        <f>VLOOKUP($A161,turnover!$A$184:$Q$194,+AE$4-$S$4+3,0)</f>
        <v>0</v>
      </c>
      <c r="AF161" s="74">
        <f>VLOOKUP($A161,turnover!$A$184:$Q$194,+AF$4-$S$4+3,0)</f>
        <v>0</v>
      </c>
      <c r="AG161" s="74">
        <f>VLOOKUP($A161,turnover!$A$184:$Q$194,+AG$4-$S$4+3,0)</f>
        <v>0</v>
      </c>
      <c r="AH161" s="61">
        <f t="shared" si="129"/>
        <v>0</v>
      </c>
      <c r="AI161" s="61">
        <f t="shared" si="130"/>
        <v>0</v>
      </c>
      <c r="AJ161" s="61">
        <f t="shared" si="131"/>
        <v>0</v>
      </c>
      <c r="AK161" s="61">
        <f t="shared" si="132"/>
        <v>0</v>
      </c>
      <c r="AL161" s="61">
        <f t="shared" si="133"/>
        <v>0</v>
      </c>
      <c r="AM161" s="61">
        <f t="shared" si="134"/>
        <v>0</v>
      </c>
      <c r="AN161" s="61">
        <f t="shared" si="135"/>
        <v>0</v>
      </c>
      <c r="AO161" s="61">
        <f t="shared" si="136"/>
        <v>0</v>
      </c>
      <c r="AP161" s="61">
        <f t="shared" si="137"/>
        <v>0</v>
      </c>
      <c r="AQ161" s="61">
        <f t="shared" si="138"/>
        <v>0</v>
      </c>
      <c r="AR161" s="61">
        <f t="shared" si="139"/>
        <v>0</v>
      </c>
      <c r="AS161" s="61">
        <f t="shared" si="140"/>
        <v>0</v>
      </c>
      <c r="AT161" s="61">
        <f t="shared" si="141"/>
        <v>0</v>
      </c>
      <c r="AU161" s="61">
        <f t="shared" si="142"/>
        <v>0</v>
      </c>
      <c r="AV161" s="61">
        <f t="shared" si="143"/>
        <v>0</v>
      </c>
      <c r="AW161" s="101">
        <f>VLOOKUP($C161,'Cost RMs'!$B$5:$Q$22,+AW$4-$AW$4+2,0)</f>
        <v>7020</v>
      </c>
      <c r="AX161" s="101">
        <f>VLOOKUP($C161,'Cost RMs'!$B$5:$Q$22,+AX$4-$AW$4+2,0)</f>
        <v>8883</v>
      </c>
      <c r="AY161" s="101">
        <f>VLOOKUP($C161,'Cost RMs'!$B$5:$Q$22,+AY$4-$AW$4+2,0)</f>
        <v>11764</v>
      </c>
      <c r="AZ161" s="101">
        <f>VLOOKUP($C161,'Cost RMs'!$B$5:$Q$22,+AZ$4-$AW$4+2,0)</f>
        <v>15733</v>
      </c>
      <c r="BA161" s="101">
        <f ca="1">VLOOKUP($C161,'Cost RMs'!$B$5:$Q$22,+BA$4-$AW$4+2,0)</f>
        <v>19200</v>
      </c>
      <c r="BB161" s="101">
        <f ca="1">VLOOKUP($C161,'Cost RMs'!$B$5:$Q$22,+BB$4-$AW$4+2,0)</f>
        <v>21502</v>
      </c>
      <c r="BC161" s="101">
        <f ca="1">VLOOKUP($C161,'Cost RMs'!$B$5:$Q$22,+BC$4-$AW$4+2,0)</f>
        <v>24104</v>
      </c>
      <c r="BD161" s="101">
        <f ca="1">VLOOKUP($C161,'Cost RMs'!$B$5:$Q$22,+BD$4-$AW$4+2,0)</f>
        <v>27021</v>
      </c>
      <c r="BE161" s="101">
        <f ca="1">VLOOKUP($C161,'Cost RMs'!$B$5:$Q$22,+BE$4-$AW$4+2,0)</f>
        <v>30291</v>
      </c>
      <c r="BF161" s="101">
        <f ca="1">VLOOKUP($C161,'Cost RMs'!$B$5:$Q$22,+BF$4-$AW$4+2,0)</f>
        <v>33956</v>
      </c>
      <c r="BG161" s="101">
        <f ca="1">VLOOKUP($C161,'Cost RMs'!$B$5:$Q$22,+BG$4-$AW$4+2,0)</f>
        <v>38065</v>
      </c>
      <c r="BH161" s="101">
        <f ca="1">VLOOKUP($C161,'Cost RMs'!$B$5:$Q$22,+BH$4-$AW$4+2,0)</f>
        <v>42671</v>
      </c>
      <c r="BI161" s="101">
        <f ca="1">VLOOKUP($C161,'Cost RMs'!$B$5:$Q$22,+BI$4-$AW$4+2,0)</f>
        <v>47834</v>
      </c>
      <c r="BJ161" s="101">
        <f ca="1">VLOOKUP($C161,'Cost RMs'!$B$5:$Q$22,+BJ$4-$AW$4+2,0)</f>
        <v>53622</v>
      </c>
      <c r="BK161" s="101">
        <f ca="1">VLOOKUP($C161,'Cost RMs'!$B$5:$Q$22,+BK$4-$AW$4+2,0)</f>
        <v>60110</v>
      </c>
      <c r="BL161" s="102">
        <f t="shared" si="144"/>
        <v>0</v>
      </c>
      <c r="BM161" s="102">
        <f t="shared" si="145"/>
        <v>0</v>
      </c>
      <c r="BN161" s="102">
        <f t="shared" si="146"/>
        <v>0</v>
      </c>
      <c r="BO161" s="102">
        <f t="shared" si="147"/>
        <v>0</v>
      </c>
      <c r="BP161" s="102">
        <f t="shared" ca="1" si="148"/>
        <v>0</v>
      </c>
      <c r="BQ161" s="102">
        <f t="shared" ca="1" si="149"/>
        <v>0</v>
      </c>
      <c r="BR161" s="102">
        <f t="shared" ca="1" si="150"/>
        <v>0</v>
      </c>
      <c r="BS161" s="102">
        <f t="shared" ca="1" si="151"/>
        <v>0</v>
      </c>
      <c r="BT161" s="102">
        <f t="shared" ca="1" si="152"/>
        <v>0</v>
      </c>
      <c r="BU161" s="102">
        <f t="shared" ca="1" si="153"/>
        <v>0</v>
      </c>
      <c r="BV161" s="102">
        <f t="shared" ca="1" si="154"/>
        <v>0</v>
      </c>
      <c r="BW161" s="102">
        <f t="shared" ca="1" si="155"/>
        <v>0</v>
      </c>
      <c r="BX161" s="102">
        <f t="shared" ca="1" si="156"/>
        <v>0</v>
      </c>
      <c r="BY161" s="102">
        <f t="shared" ca="1" si="157"/>
        <v>0</v>
      </c>
      <c r="BZ161" s="102">
        <f t="shared" ca="1" si="158"/>
        <v>0</v>
      </c>
    </row>
    <row r="162" spans="1:78" x14ac:dyDescent="0.25">
      <c r="A162" s="26" t="str">
        <f>+Assumptions!$A$41</f>
        <v>NPK 00-00-00</v>
      </c>
      <c r="B162" s="73">
        <f>+Assumptions!$R$57</f>
        <v>0</v>
      </c>
      <c r="C162" s="59" t="s">
        <v>147</v>
      </c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74">
        <f>VLOOKUP($A162,turnover!$A$184:$Q$194,+S$4-$S$4+3,0)</f>
        <v>0</v>
      </c>
      <c r="T162" s="74">
        <f>VLOOKUP($A162,turnover!$A$184:$Q$194,+T$4-$S$4+3,0)</f>
        <v>0</v>
      </c>
      <c r="U162" s="74">
        <f>VLOOKUP($A162,turnover!$A$184:$Q$194,+U$4-$S$4+3,0)</f>
        <v>0</v>
      </c>
      <c r="V162" s="74">
        <f>VLOOKUP($A162,turnover!$A$184:$Q$194,+V$4-$S$4+3,0)</f>
        <v>0</v>
      </c>
      <c r="W162" s="74">
        <f>VLOOKUP($A162,turnover!$A$184:$Q$194,+W$4-$S$4+3,0)</f>
        <v>0</v>
      </c>
      <c r="X162" s="74">
        <f>VLOOKUP($A162,turnover!$A$184:$Q$194,+X$4-$S$4+3,0)</f>
        <v>0</v>
      </c>
      <c r="Y162" s="74">
        <f>VLOOKUP($A162,turnover!$A$184:$Q$194,+Y$4-$S$4+3,0)</f>
        <v>0</v>
      </c>
      <c r="Z162" s="74">
        <f>VLOOKUP($A162,turnover!$A$184:$Q$194,+Z$4-$S$4+3,0)</f>
        <v>0</v>
      </c>
      <c r="AA162" s="74">
        <f>VLOOKUP($A162,turnover!$A$184:$Q$194,+AA$4-$S$4+3,0)</f>
        <v>0</v>
      </c>
      <c r="AB162" s="74">
        <f>VLOOKUP($A162,turnover!$A$184:$Q$194,+AB$4-$S$4+3,0)</f>
        <v>0</v>
      </c>
      <c r="AC162" s="74">
        <f>VLOOKUP($A162,turnover!$A$184:$Q$194,+AC$4-$S$4+3,0)</f>
        <v>0</v>
      </c>
      <c r="AD162" s="74">
        <f>VLOOKUP($A162,turnover!$A$184:$Q$194,+AD$4-$S$4+3,0)</f>
        <v>0</v>
      </c>
      <c r="AE162" s="74">
        <f>VLOOKUP($A162,turnover!$A$184:$Q$194,+AE$4-$S$4+3,0)</f>
        <v>0</v>
      </c>
      <c r="AF162" s="74">
        <f>VLOOKUP($A162,turnover!$A$184:$Q$194,+AF$4-$S$4+3,0)</f>
        <v>0</v>
      </c>
      <c r="AG162" s="74">
        <f>VLOOKUP($A162,turnover!$A$184:$Q$194,+AG$4-$S$4+3,0)</f>
        <v>0</v>
      </c>
      <c r="AH162" s="61">
        <f t="shared" si="129"/>
        <v>0</v>
      </c>
      <c r="AI162" s="61">
        <f t="shared" si="130"/>
        <v>0</v>
      </c>
      <c r="AJ162" s="61">
        <f t="shared" si="131"/>
        <v>0</v>
      </c>
      <c r="AK162" s="61">
        <f t="shared" si="132"/>
        <v>0</v>
      </c>
      <c r="AL162" s="61">
        <f t="shared" si="133"/>
        <v>0</v>
      </c>
      <c r="AM162" s="61">
        <f t="shared" si="134"/>
        <v>0</v>
      </c>
      <c r="AN162" s="61">
        <f t="shared" si="135"/>
        <v>0</v>
      </c>
      <c r="AO162" s="61">
        <f t="shared" si="136"/>
        <v>0</v>
      </c>
      <c r="AP162" s="61">
        <f t="shared" si="137"/>
        <v>0</v>
      </c>
      <c r="AQ162" s="61">
        <f t="shared" si="138"/>
        <v>0</v>
      </c>
      <c r="AR162" s="61">
        <f t="shared" si="139"/>
        <v>0</v>
      </c>
      <c r="AS162" s="61">
        <f t="shared" si="140"/>
        <v>0</v>
      </c>
      <c r="AT162" s="61">
        <f t="shared" si="141"/>
        <v>0</v>
      </c>
      <c r="AU162" s="61">
        <f t="shared" si="142"/>
        <v>0</v>
      </c>
      <c r="AV162" s="61">
        <f t="shared" si="143"/>
        <v>0</v>
      </c>
      <c r="AW162" s="101">
        <f>VLOOKUP($C162,'Cost RMs'!$B$5:$Q$22,+AW$4-$AW$4+2,0)</f>
        <v>25380</v>
      </c>
      <c r="AX162" s="101">
        <f>VLOOKUP($C162,'Cost RMs'!$B$5:$Q$22,+AX$4-$AW$4+2,0)</f>
        <v>33957</v>
      </c>
      <c r="AY162" s="101">
        <f>VLOOKUP($C162,'Cost RMs'!$B$5:$Q$22,+AY$4-$AW$4+2,0)</f>
        <v>50212</v>
      </c>
      <c r="AZ162" s="101">
        <f>VLOOKUP($C162,'Cost RMs'!$B$5:$Q$22,+AZ$4-$AW$4+2,0)</f>
        <v>63581</v>
      </c>
      <c r="BA162" s="101">
        <f ca="1">VLOOKUP($C162,'Cost RMs'!$B$5:$Q$22,+BA$4-$AW$4+2,0)</f>
        <v>82384</v>
      </c>
      <c r="BB162" s="101">
        <f ca="1">VLOOKUP($C162,'Cost RMs'!$B$5:$Q$22,+BB$4-$AW$4+2,0)</f>
        <v>92262</v>
      </c>
      <c r="BC162" s="101">
        <f ca="1">VLOOKUP($C162,'Cost RMs'!$B$5:$Q$22,+BC$4-$AW$4+2,0)</f>
        <v>103426</v>
      </c>
      <c r="BD162" s="101">
        <f ca="1">VLOOKUP($C162,'Cost RMs'!$B$5:$Q$22,+BD$4-$AW$4+2,0)</f>
        <v>115941</v>
      </c>
      <c r="BE162" s="101">
        <f ca="1">VLOOKUP($C162,'Cost RMs'!$B$5:$Q$22,+BE$4-$AW$4+2,0)</f>
        <v>129970</v>
      </c>
      <c r="BF162" s="101">
        <f ca="1">VLOOKUP($C162,'Cost RMs'!$B$5:$Q$22,+BF$4-$AW$4+2,0)</f>
        <v>145696</v>
      </c>
      <c r="BG162" s="101">
        <f ca="1">VLOOKUP($C162,'Cost RMs'!$B$5:$Q$22,+BG$4-$AW$4+2,0)</f>
        <v>163325</v>
      </c>
      <c r="BH162" s="101">
        <f ca="1">VLOOKUP($C162,'Cost RMs'!$B$5:$Q$22,+BH$4-$AW$4+2,0)</f>
        <v>183087</v>
      </c>
      <c r="BI162" s="101">
        <f ca="1">VLOOKUP($C162,'Cost RMs'!$B$5:$Q$22,+BI$4-$AW$4+2,0)</f>
        <v>205241</v>
      </c>
      <c r="BJ162" s="101">
        <f ca="1">VLOOKUP($C162,'Cost RMs'!$B$5:$Q$22,+BJ$4-$AW$4+2,0)</f>
        <v>230075</v>
      </c>
      <c r="BK162" s="101">
        <f ca="1">VLOOKUP($C162,'Cost RMs'!$B$5:$Q$22,+BK$4-$AW$4+2,0)</f>
        <v>257914</v>
      </c>
      <c r="BL162" s="102">
        <f t="shared" si="144"/>
        <v>0</v>
      </c>
      <c r="BM162" s="102">
        <f t="shared" si="145"/>
        <v>0</v>
      </c>
      <c r="BN162" s="102">
        <f t="shared" si="146"/>
        <v>0</v>
      </c>
      <c r="BO162" s="102">
        <f t="shared" si="147"/>
        <v>0</v>
      </c>
      <c r="BP162" s="102">
        <f t="shared" ca="1" si="148"/>
        <v>0</v>
      </c>
      <c r="BQ162" s="102">
        <f t="shared" ca="1" si="149"/>
        <v>0</v>
      </c>
      <c r="BR162" s="102">
        <f t="shared" ca="1" si="150"/>
        <v>0</v>
      </c>
      <c r="BS162" s="102">
        <f t="shared" ca="1" si="151"/>
        <v>0</v>
      </c>
      <c r="BT162" s="102">
        <f t="shared" ca="1" si="152"/>
        <v>0</v>
      </c>
      <c r="BU162" s="102">
        <f t="shared" ca="1" si="153"/>
        <v>0</v>
      </c>
      <c r="BV162" s="102">
        <f t="shared" ca="1" si="154"/>
        <v>0</v>
      </c>
      <c r="BW162" s="102">
        <f t="shared" ca="1" si="155"/>
        <v>0</v>
      </c>
      <c r="BX162" s="102">
        <f t="shared" ca="1" si="156"/>
        <v>0</v>
      </c>
      <c r="BY162" s="102">
        <f t="shared" ca="1" si="157"/>
        <v>0</v>
      </c>
      <c r="BZ162" s="102">
        <f t="shared" ca="1" si="158"/>
        <v>0</v>
      </c>
    </row>
    <row r="163" spans="1:78" x14ac:dyDescent="0.25">
      <c r="A163" s="26" t="str">
        <f>+Assumptions!$A$41</f>
        <v>NPK 00-00-00</v>
      </c>
      <c r="B163" s="73">
        <f>+Assumptions!$R$57</f>
        <v>0</v>
      </c>
      <c r="C163" s="59" t="s">
        <v>148</v>
      </c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74">
        <f>VLOOKUP($A163,turnover!$A$184:$Q$194,+S$4-$S$4+3,0)</f>
        <v>0</v>
      </c>
      <c r="T163" s="74">
        <f>VLOOKUP($A163,turnover!$A$184:$Q$194,+T$4-$S$4+3,0)</f>
        <v>0</v>
      </c>
      <c r="U163" s="74">
        <f>VLOOKUP($A163,turnover!$A$184:$Q$194,+U$4-$S$4+3,0)</f>
        <v>0</v>
      </c>
      <c r="V163" s="74">
        <f>VLOOKUP($A163,turnover!$A$184:$Q$194,+V$4-$S$4+3,0)</f>
        <v>0</v>
      </c>
      <c r="W163" s="74">
        <f>VLOOKUP($A163,turnover!$A$184:$Q$194,+W$4-$S$4+3,0)</f>
        <v>0</v>
      </c>
      <c r="X163" s="74">
        <f>VLOOKUP($A163,turnover!$A$184:$Q$194,+X$4-$S$4+3,0)</f>
        <v>0</v>
      </c>
      <c r="Y163" s="74">
        <f>VLOOKUP($A163,turnover!$A$184:$Q$194,+Y$4-$S$4+3,0)</f>
        <v>0</v>
      </c>
      <c r="Z163" s="74">
        <f>VLOOKUP($A163,turnover!$A$184:$Q$194,+Z$4-$S$4+3,0)</f>
        <v>0</v>
      </c>
      <c r="AA163" s="74">
        <f>VLOOKUP($A163,turnover!$A$184:$Q$194,+AA$4-$S$4+3,0)</f>
        <v>0</v>
      </c>
      <c r="AB163" s="74">
        <f>VLOOKUP($A163,turnover!$A$184:$Q$194,+AB$4-$S$4+3,0)</f>
        <v>0</v>
      </c>
      <c r="AC163" s="74">
        <f>VLOOKUP($A163,turnover!$A$184:$Q$194,+AC$4-$S$4+3,0)</f>
        <v>0</v>
      </c>
      <c r="AD163" s="74">
        <f>VLOOKUP($A163,turnover!$A$184:$Q$194,+AD$4-$S$4+3,0)</f>
        <v>0</v>
      </c>
      <c r="AE163" s="74">
        <f>VLOOKUP($A163,turnover!$A$184:$Q$194,+AE$4-$S$4+3,0)</f>
        <v>0</v>
      </c>
      <c r="AF163" s="74">
        <f>VLOOKUP($A163,turnover!$A$184:$Q$194,+AF$4-$S$4+3,0)</f>
        <v>0</v>
      </c>
      <c r="AG163" s="74">
        <f>VLOOKUP($A163,turnover!$A$184:$Q$194,+AG$4-$S$4+3,0)</f>
        <v>0</v>
      </c>
      <c r="AH163" s="61">
        <f t="shared" si="129"/>
        <v>0</v>
      </c>
      <c r="AI163" s="61">
        <f t="shared" si="130"/>
        <v>0</v>
      </c>
      <c r="AJ163" s="61">
        <f t="shared" si="131"/>
        <v>0</v>
      </c>
      <c r="AK163" s="61">
        <f t="shared" si="132"/>
        <v>0</v>
      </c>
      <c r="AL163" s="61">
        <f t="shared" si="133"/>
        <v>0</v>
      </c>
      <c r="AM163" s="61">
        <f t="shared" si="134"/>
        <v>0</v>
      </c>
      <c r="AN163" s="61">
        <f t="shared" si="135"/>
        <v>0</v>
      </c>
      <c r="AO163" s="61">
        <f t="shared" si="136"/>
        <v>0</v>
      </c>
      <c r="AP163" s="61">
        <f t="shared" si="137"/>
        <v>0</v>
      </c>
      <c r="AQ163" s="61">
        <f t="shared" si="138"/>
        <v>0</v>
      </c>
      <c r="AR163" s="61">
        <f t="shared" si="139"/>
        <v>0</v>
      </c>
      <c r="AS163" s="61">
        <f t="shared" si="140"/>
        <v>0</v>
      </c>
      <c r="AT163" s="61">
        <f t="shared" si="141"/>
        <v>0</v>
      </c>
      <c r="AU163" s="61">
        <f t="shared" si="142"/>
        <v>0</v>
      </c>
      <c r="AV163" s="61">
        <f t="shared" si="143"/>
        <v>0</v>
      </c>
      <c r="AW163" s="101">
        <f>VLOOKUP($C163,'Cost RMs'!$B$5:$Q$22,+AW$4-$AW$4+2,0)</f>
        <v>27439</v>
      </c>
      <c r="AX163" s="101">
        <f>VLOOKUP($C163,'Cost RMs'!$B$5:$Q$22,+AX$4-$AW$4+2,0)</f>
        <v>32275</v>
      </c>
      <c r="AY163" s="101">
        <f>VLOOKUP($C163,'Cost RMs'!$B$5:$Q$22,+AY$4-$AW$4+2,0)</f>
        <v>45664</v>
      </c>
      <c r="AZ163" s="101">
        <f>VLOOKUP($C163,'Cost RMs'!$B$5:$Q$22,+AZ$4-$AW$4+2,0)</f>
        <v>50129</v>
      </c>
      <c r="BA163" s="101">
        <f ca="1">VLOOKUP($C163,'Cost RMs'!$B$5:$Q$22,+BA$4-$AW$4+2,0)</f>
        <v>75490</v>
      </c>
      <c r="BB163" s="101">
        <f ca="1">VLOOKUP($C163,'Cost RMs'!$B$5:$Q$22,+BB$4-$AW$4+2,0)</f>
        <v>84541</v>
      </c>
      <c r="BC163" s="101">
        <f ca="1">VLOOKUP($C163,'Cost RMs'!$B$5:$Q$22,+BC$4-$AW$4+2,0)</f>
        <v>94770</v>
      </c>
      <c r="BD163" s="101">
        <f ca="1">VLOOKUP($C163,'Cost RMs'!$B$5:$Q$22,+BD$4-$AW$4+2,0)</f>
        <v>106237</v>
      </c>
      <c r="BE163" s="101">
        <f ca="1">VLOOKUP($C163,'Cost RMs'!$B$5:$Q$22,+BE$4-$AW$4+2,0)</f>
        <v>119092</v>
      </c>
      <c r="BF163" s="101">
        <f ca="1">VLOOKUP($C163,'Cost RMs'!$B$5:$Q$22,+BF$4-$AW$4+2,0)</f>
        <v>133502</v>
      </c>
      <c r="BG163" s="101">
        <f ca="1">VLOOKUP($C163,'Cost RMs'!$B$5:$Q$22,+BG$4-$AW$4+2,0)</f>
        <v>149656</v>
      </c>
      <c r="BH163" s="101">
        <f ca="1">VLOOKUP($C163,'Cost RMs'!$B$5:$Q$22,+BH$4-$AW$4+2,0)</f>
        <v>167764</v>
      </c>
      <c r="BI163" s="101">
        <f ca="1">VLOOKUP($C163,'Cost RMs'!$B$5:$Q$22,+BI$4-$AW$4+2,0)</f>
        <v>188063</v>
      </c>
      <c r="BJ163" s="101">
        <f ca="1">VLOOKUP($C163,'Cost RMs'!$B$5:$Q$22,+BJ$4-$AW$4+2,0)</f>
        <v>210819</v>
      </c>
      <c r="BK163" s="101">
        <f ca="1">VLOOKUP($C163,'Cost RMs'!$B$5:$Q$22,+BK$4-$AW$4+2,0)</f>
        <v>236328</v>
      </c>
      <c r="BL163" s="102">
        <f t="shared" si="144"/>
        <v>0</v>
      </c>
      <c r="BM163" s="102">
        <f t="shared" si="145"/>
        <v>0</v>
      </c>
      <c r="BN163" s="102">
        <f t="shared" si="146"/>
        <v>0</v>
      </c>
      <c r="BO163" s="102">
        <f t="shared" si="147"/>
        <v>0</v>
      </c>
      <c r="BP163" s="102">
        <f t="shared" ca="1" si="148"/>
        <v>0</v>
      </c>
      <c r="BQ163" s="102">
        <f t="shared" ca="1" si="149"/>
        <v>0</v>
      </c>
      <c r="BR163" s="102">
        <f t="shared" ca="1" si="150"/>
        <v>0</v>
      </c>
      <c r="BS163" s="102">
        <f t="shared" ca="1" si="151"/>
        <v>0</v>
      </c>
      <c r="BT163" s="102">
        <f t="shared" ca="1" si="152"/>
        <v>0</v>
      </c>
      <c r="BU163" s="102">
        <f t="shared" ca="1" si="153"/>
        <v>0</v>
      </c>
      <c r="BV163" s="102">
        <f t="shared" ca="1" si="154"/>
        <v>0</v>
      </c>
      <c r="BW163" s="102">
        <f t="shared" ca="1" si="155"/>
        <v>0</v>
      </c>
      <c r="BX163" s="102">
        <f t="shared" ca="1" si="156"/>
        <v>0</v>
      </c>
      <c r="BY163" s="102">
        <f t="shared" ca="1" si="157"/>
        <v>0</v>
      </c>
      <c r="BZ163" s="102">
        <f t="shared" ca="1" si="158"/>
        <v>0</v>
      </c>
    </row>
    <row r="164" spans="1:78" x14ac:dyDescent="0.25">
      <c r="A164" s="26" t="str">
        <f>+Assumptions!$A$41</f>
        <v>NPK 00-00-00</v>
      </c>
      <c r="B164" s="73">
        <f>+Assumptions!$R$57</f>
        <v>0</v>
      </c>
      <c r="C164" s="59" t="s">
        <v>149</v>
      </c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74">
        <f>VLOOKUP($A164,turnover!$A$184:$Q$194,+S$4-$S$4+3,0)</f>
        <v>0</v>
      </c>
      <c r="T164" s="74">
        <f>VLOOKUP($A164,turnover!$A$184:$Q$194,+T$4-$S$4+3,0)</f>
        <v>0</v>
      </c>
      <c r="U164" s="74">
        <f>VLOOKUP($A164,turnover!$A$184:$Q$194,+U$4-$S$4+3,0)</f>
        <v>0</v>
      </c>
      <c r="V164" s="74">
        <f>VLOOKUP($A164,turnover!$A$184:$Q$194,+V$4-$S$4+3,0)</f>
        <v>0</v>
      </c>
      <c r="W164" s="74">
        <f>VLOOKUP($A164,turnover!$A$184:$Q$194,+W$4-$S$4+3,0)</f>
        <v>0</v>
      </c>
      <c r="X164" s="74">
        <f>VLOOKUP($A164,turnover!$A$184:$Q$194,+X$4-$S$4+3,0)</f>
        <v>0</v>
      </c>
      <c r="Y164" s="74">
        <f>VLOOKUP($A164,turnover!$A$184:$Q$194,+Y$4-$S$4+3,0)</f>
        <v>0</v>
      </c>
      <c r="Z164" s="74">
        <f>VLOOKUP($A164,turnover!$A$184:$Q$194,+Z$4-$S$4+3,0)</f>
        <v>0</v>
      </c>
      <c r="AA164" s="74">
        <f>VLOOKUP($A164,turnover!$A$184:$Q$194,+AA$4-$S$4+3,0)</f>
        <v>0</v>
      </c>
      <c r="AB164" s="74">
        <f>VLOOKUP($A164,turnover!$A$184:$Q$194,+AB$4-$S$4+3,0)</f>
        <v>0</v>
      </c>
      <c r="AC164" s="74">
        <f>VLOOKUP($A164,turnover!$A$184:$Q$194,+AC$4-$S$4+3,0)</f>
        <v>0</v>
      </c>
      <c r="AD164" s="74">
        <f>VLOOKUP($A164,turnover!$A$184:$Q$194,+AD$4-$S$4+3,0)</f>
        <v>0</v>
      </c>
      <c r="AE164" s="74">
        <f>VLOOKUP($A164,turnover!$A$184:$Q$194,+AE$4-$S$4+3,0)</f>
        <v>0</v>
      </c>
      <c r="AF164" s="74">
        <f>VLOOKUP($A164,turnover!$A$184:$Q$194,+AF$4-$S$4+3,0)</f>
        <v>0</v>
      </c>
      <c r="AG164" s="74">
        <f>VLOOKUP($A164,turnover!$A$184:$Q$194,+AG$4-$S$4+3,0)</f>
        <v>0</v>
      </c>
      <c r="AH164" s="61">
        <f t="shared" si="129"/>
        <v>0</v>
      </c>
      <c r="AI164" s="61">
        <f t="shared" si="130"/>
        <v>0</v>
      </c>
      <c r="AJ164" s="61">
        <f t="shared" si="131"/>
        <v>0</v>
      </c>
      <c r="AK164" s="61">
        <f t="shared" si="132"/>
        <v>0</v>
      </c>
      <c r="AL164" s="61">
        <f t="shared" si="133"/>
        <v>0</v>
      </c>
      <c r="AM164" s="61">
        <f t="shared" si="134"/>
        <v>0</v>
      </c>
      <c r="AN164" s="61">
        <f t="shared" si="135"/>
        <v>0</v>
      </c>
      <c r="AO164" s="61">
        <f t="shared" si="136"/>
        <v>0</v>
      </c>
      <c r="AP164" s="61">
        <f t="shared" si="137"/>
        <v>0</v>
      </c>
      <c r="AQ164" s="61">
        <f t="shared" si="138"/>
        <v>0</v>
      </c>
      <c r="AR164" s="61">
        <f t="shared" si="139"/>
        <v>0</v>
      </c>
      <c r="AS164" s="61">
        <f t="shared" si="140"/>
        <v>0</v>
      </c>
      <c r="AT164" s="61">
        <f t="shared" si="141"/>
        <v>0</v>
      </c>
      <c r="AU164" s="61">
        <f t="shared" si="142"/>
        <v>0</v>
      </c>
      <c r="AV164" s="61">
        <f t="shared" si="143"/>
        <v>0</v>
      </c>
      <c r="AW164" s="101">
        <f>VLOOKUP($C164,'Cost RMs'!$B$5:$Q$22,+AW$4-$AW$4+2,0)</f>
        <v>9377</v>
      </c>
      <c r="AX164" s="101">
        <f>VLOOKUP($C164,'Cost RMs'!$B$5:$Q$22,+AX$4-$AW$4+2,0)</f>
        <v>9969</v>
      </c>
      <c r="AY164" s="101">
        <f>VLOOKUP($C164,'Cost RMs'!$B$5:$Q$22,+AY$4-$AW$4+2,0)</f>
        <v>14915</v>
      </c>
      <c r="AZ164" s="101">
        <f>VLOOKUP($C164,'Cost RMs'!$B$5:$Q$22,+AZ$4-$AW$4+2,0)</f>
        <v>16547</v>
      </c>
      <c r="BA164" s="101">
        <f ca="1">VLOOKUP($C164,'Cost RMs'!$B$5:$Q$22,+BA$4-$AW$4+2,0)</f>
        <v>17617</v>
      </c>
      <c r="BB164" s="101">
        <f ca="1">VLOOKUP($C164,'Cost RMs'!$B$5:$Q$22,+BB$4-$AW$4+2,0)</f>
        <v>19729</v>
      </c>
      <c r="BC164" s="101">
        <f ca="1">VLOOKUP($C164,'Cost RMs'!$B$5:$Q$22,+BC$4-$AW$4+2,0)</f>
        <v>22116</v>
      </c>
      <c r="BD164" s="101">
        <f ca="1">VLOOKUP($C164,'Cost RMs'!$B$5:$Q$22,+BD$4-$AW$4+2,0)</f>
        <v>24792</v>
      </c>
      <c r="BE164" s="101">
        <f ca="1">VLOOKUP($C164,'Cost RMs'!$B$5:$Q$22,+BE$4-$AW$4+2,0)</f>
        <v>27792</v>
      </c>
      <c r="BF164" s="101">
        <f ca="1">VLOOKUP($C164,'Cost RMs'!$B$5:$Q$22,+BF$4-$AW$4+2,0)</f>
        <v>31155</v>
      </c>
      <c r="BG164" s="101">
        <f ca="1">VLOOKUP($C164,'Cost RMs'!$B$5:$Q$22,+BG$4-$AW$4+2,0)</f>
        <v>34925</v>
      </c>
      <c r="BH164" s="101">
        <f ca="1">VLOOKUP($C164,'Cost RMs'!$B$5:$Q$22,+BH$4-$AW$4+2,0)</f>
        <v>39151</v>
      </c>
      <c r="BI164" s="101">
        <f ca="1">VLOOKUP($C164,'Cost RMs'!$B$5:$Q$22,+BI$4-$AW$4+2,0)</f>
        <v>43888</v>
      </c>
      <c r="BJ164" s="101">
        <f ca="1">VLOOKUP($C164,'Cost RMs'!$B$5:$Q$22,+BJ$4-$AW$4+2,0)</f>
        <v>49198</v>
      </c>
      <c r="BK164" s="101">
        <f ca="1">VLOOKUP($C164,'Cost RMs'!$B$5:$Q$22,+BK$4-$AW$4+2,0)</f>
        <v>55151</v>
      </c>
      <c r="BL164" s="102">
        <f t="shared" si="144"/>
        <v>0</v>
      </c>
      <c r="BM164" s="102">
        <f t="shared" si="145"/>
        <v>0</v>
      </c>
      <c r="BN164" s="102">
        <f t="shared" si="146"/>
        <v>0</v>
      </c>
      <c r="BO164" s="102">
        <f t="shared" si="147"/>
        <v>0</v>
      </c>
      <c r="BP164" s="102">
        <f t="shared" ca="1" si="148"/>
        <v>0</v>
      </c>
      <c r="BQ164" s="102">
        <f t="shared" ca="1" si="149"/>
        <v>0</v>
      </c>
      <c r="BR164" s="102">
        <f t="shared" ca="1" si="150"/>
        <v>0</v>
      </c>
      <c r="BS164" s="102">
        <f t="shared" ca="1" si="151"/>
        <v>0</v>
      </c>
      <c r="BT164" s="102">
        <f t="shared" ca="1" si="152"/>
        <v>0</v>
      </c>
      <c r="BU164" s="102">
        <f t="shared" ca="1" si="153"/>
        <v>0</v>
      </c>
      <c r="BV164" s="102">
        <f t="shared" ca="1" si="154"/>
        <v>0</v>
      </c>
      <c r="BW164" s="102">
        <f t="shared" ca="1" si="155"/>
        <v>0</v>
      </c>
      <c r="BX164" s="102">
        <f t="shared" ca="1" si="156"/>
        <v>0</v>
      </c>
      <c r="BY164" s="102">
        <f t="shared" ca="1" si="157"/>
        <v>0</v>
      </c>
      <c r="BZ164" s="102">
        <f t="shared" ca="1" si="158"/>
        <v>0</v>
      </c>
    </row>
    <row r="165" spans="1:78" x14ac:dyDescent="0.25">
      <c r="A165" s="26" t="str">
        <f>+Assumptions!$A$41</f>
        <v>NPK 00-00-00</v>
      </c>
      <c r="B165" s="73">
        <f>+Assumptions!$R$57</f>
        <v>0</v>
      </c>
      <c r="C165" s="59" t="s">
        <v>546</v>
      </c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74">
        <f>VLOOKUP($A165,turnover!$A$184:$Q$194,+S$4-$S$4+3,0)</f>
        <v>0</v>
      </c>
      <c r="T165" s="74">
        <f>VLOOKUP($A165,turnover!$A$184:$Q$194,+T$4-$S$4+3,0)</f>
        <v>0</v>
      </c>
      <c r="U165" s="74">
        <f>VLOOKUP($A165,turnover!$A$184:$Q$194,+U$4-$S$4+3,0)</f>
        <v>0</v>
      </c>
      <c r="V165" s="74">
        <f>VLOOKUP($A165,turnover!$A$184:$Q$194,+V$4-$S$4+3,0)</f>
        <v>0</v>
      </c>
      <c r="W165" s="74">
        <f>VLOOKUP($A165,turnover!$A$184:$Q$194,+W$4-$S$4+3,0)</f>
        <v>0</v>
      </c>
      <c r="X165" s="74">
        <f>VLOOKUP($A165,turnover!$A$184:$Q$194,+X$4-$S$4+3,0)</f>
        <v>0</v>
      </c>
      <c r="Y165" s="74">
        <f>VLOOKUP($A165,turnover!$A$184:$Q$194,+Y$4-$S$4+3,0)</f>
        <v>0</v>
      </c>
      <c r="Z165" s="74">
        <f>VLOOKUP($A165,turnover!$A$184:$Q$194,+Z$4-$S$4+3,0)</f>
        <v>0</v>
      </c>
      <c r="AA165" s="74">
        <f>VLOOKUP($A165,turnover!$A$184:$Q$194,+AA$4-$S$4+3,0)</f>
        <v>0</v>
      </c>
      <c r="AB165" s="74">
        <f>VLOOKUP($A165,turnover!$A$184:$Q$194,+AB$4-$S$4+3,0)</f>
        <v>0</v>
      </c>
      <c r="AC165" s="74">
        <f>VLOOKUP($A165,turnover!$A$184:$Q$194,+AC$4-$S$4+3,0)</f>
        <v>0</v>
      </c>
      <c r="AD165" s="74">
        <f>VLOOKUP($A165,turnover!$A$184:$Q$194,+AD$4-$S$4+3,0)</f>
        <v>0</v>
      </c>
      <c r="AE165" s="74">
        <f>VLOOKUP($A165,turnover!$A$184:$Q$194,+AE$4-$S$4+3,0)</f>
        <v>0</v>
      </c>
      <c r="AF165" s="74">
        <f>VLOOKUP($A165,turnover!$A$184:$Q$194,+AF$4-$S$4+3,0)</f>
        <v>0</v>
      </c>
      <c r="AG165" s="74">
        <f>VLOOKUP($A165,turnover!$A$184:$Q$194,+AG$4-$S$4+3,0)</f>
        <v>0</v>
      </c>
      <c r="AH165" s="61">
        <f t="shared" si="129"/>
        <v>0</v>
      </c>
      <c r="AI165" s="61">
        <f t="shared" si="130"/>
        <v>0</v>
      </c>
      <c r="AJ165" s="61">
        <f t="shared" si="131"/>
        <v>0</v>
      </c>
      <c r="AK165" s="61">
        <f t="shared" si="132"/>
        <v>0</v>
      </c>
      <c r="AL165" s="61">
        <f t="shared" si="133"/>
        <v>0</v>
      </c>
      <c r="AM165" s="61">
        <f t="shared" si="134"/>
        <v>0</v>
      </c>
      <c r="AN165" s="61">
        <f t="shared" si="135"/>
        <v>0</v>
      </c>
      <c r="AO165" s="61">
        <f t="shared" si="136"/>
        <v>0</v>
      </c>
      <c r="AP165" s="61">
        <f t="shared" si="137"/>
        <v>0</v>
      </c>
      <c r="AQ165" s="61">
        <f t="shared" si="138"/>
        <v>0</v>
      </c>
      <c r="AR165" s="61">
        <f t="shared" si="139"/>
        <v>0</v>
      </c>
      <c r="AS165" s="61">
        <f t="shared" si="140"/>
        <v>0</v>
      </c>
      <c r="AT165" s="61">
        <f t="shared" si="141"/>
        <v>0</v>
      </c>
      <c r="AU165" s="61">
        <f t="shared" si="142"/>
        <v>0</v>
      </c>
      <c r="AV165" s="61">
        <f t="shared" si="143"/>
        <v>0</v>
      </c>
      <c r="AW165" s="101">
        <f>VLOOKUP($C165,'Cost RMs'!$B$5:$Q$22,+AW$4-$AW$4+2,0)</f>
        <v>0</v>
      </c>
      <c r="AX165" s="101">
        <f>VLOOKUP($C165,'Cost RMs'!$B$5:$Q$22,+AX$4-$AW$4+2,0)</f>
        <v>0</v>
      </c>
      <c r="AY165" s="101">
        <f>VLOOKUP($C165,'Cost RMs'!$B$5:$Q$22,+AY$4-$AW$4+2,0)</f>
        <v>0</v>
      </c>
      <c r="AZ165" s="101">
        <f>VLOOKUP($C165,'Cost RMs'!$B$5:$Q$22,+AZ$4-$AW$4+2,0)</f>
        <v>0</v>
      </c>
      <c r="BA165" s="101">
        <f>VLOOKUP($C165,'Cost RMs'!$B$5:$Q$22,+BA$4-$AW$4+2,0)</f>
        <v>2835</v>
      </c>
      <c r="BB165" s="101">
        <f>VLOOKUP($C165,'Cost RMs'!$B$5:$Q$22,+BB$4-$AW$4+2,0)</f>
        <v>3175</v>
      </c>
      <c r="BC165" s="101">
        <f>VLOOKUP($C165,'Cost RMs'!$B$5:$Q$22,+BC$4-$AW$4+2,0)</f>
        <v>3559</v>
      </c>
      <c r="BD165" s="101">
        <f>VLOOKUP($C165,'Cost RMs'!$B$5:$Q$22,+BD$4-$AW$4+2,0)</f>
        <v>3990</v>
      </c>
      <c r="BE165" s="101">
        <f>VLOOKUP($C165,'Cost RMs'!$B$5:$Q$22,+BE$4-$AW$4+2,0)</f>
        <v>4473</v>
      </c>
      <c r="BF165" s="101">
        <f>VLOOKUP($C165,'Cost RMs'!$B$5:$Q$22,+BF$4-$AW$4+2,0)</f>
        <v>5014</v>
      </c>
      <c r="BG165" s="101">
        <f>VLOOKUP($C165,'Cost RMs'!$B$5:$Q$22,+BG$4-$AW$4+2,0)</f>
        <v>5621</v>
      </c>
      <c r="BH165" s="101">
        <f>VLOOKUP($C165,'Cost RMs'!$B$5:$Q$22,+BH$4-$AW$4+2,0)</f>
        <v>6301</v>
      </c>
      <c r="BI165" s="101">
        <f>VLOOKUP($C165,'Cost RMs'!$B$5:$Q$22,+BI$4-$AW$4+2,0)</f>
        <v>7063</v>
      </c>
      <c r="BJ165" s="101">
        <f>VLOOKUP($C165,'Cost RMs'!$B$5:$Q$22,+BJ$4-$AW$4+2,0)</f>
        <v>7918</v>
      </c>
      <c r="BK165" s="101">
        <f>VLOOKUP($C165,'Cost RMs'!$B$5:$Q$22,+BK$4-$AW$4+2,0)</f>
        <v>8876</v>
      </c>
      <c r="BL165" s="102">
        <f t="shared" si="144"/>
        <v>0</v>
      </c>
      <c r="BM165" s="102">
        <f t="shared" si="145"/>
        <v>0</v>
      </c>
      <c r="BN165" s="102">
        <f t="shared" si="146"/>
        <v>0</v>
      </c>
      <c r="BO165" s="102">
        <f t="shared" si="147"/>
        <v>0</v>
      </c>
      <c r="BP165" s="102">
        <f t="shared" si="148"/>
        <v>0</v>
      </c>
      <c r="BQ165" s="102">
        <f t="shared" si="149"/>
        <v>0</v>
      </c>
      <c r="BR165" s="102">
        <f t="shared" si="150"/>
        <v>0</v>
      </c>
      <c r="BS165" s="102">
        <f t="shared" si="151"/>
        <v>0</v>
      </c>
      <c r="BT165" s="102">
        <f t="shared" si="152"/>
        <v>0</v>
      </c>
      <c r="BU165" s="102">
        <f t="shared" si="153"/>
        <v>0</v>
      </c>
      <c r="BV165" s="102">
        <f t="shared" si="154"/>
        <v>0</v>
      </c>
      <c r="BW165" s="102">
        <f t="shared" si="155"/>
        <v>0</v>
      </c>
      <c r="BX165" s="102">
        <f t="shared" si="156"/>
        <v>0</v>
      </c>
      <c r="BY165" s="102">
        <f t="shared" si="157"/>
        <v>0</v>
      </c>
      <c r="BZ165" s="102">
        <f t="shared" si="158"/>
        <v>0</v>
      </c>
    </row>
    <row r="166" spans="1:78" x14ac:dyDescent="0.25">
      <c r="A166" s="26" t="str">
        <f>+Assumptions!$A$41</f>
        <v>NPK 00-00-00</v>
      </c>
      <c r="B166" s="73">
        <f>+Assumptions!$R$57</f>
        <v>0</v>
      </c>
      <c r="C166" s="59" t="s">
        <v>547</v>
      </c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74">
        <f>VLOOKUP($A166,turnover!$A$184:$Q$194,+S$4-$S$4+3,0)</f>
        <v>0</v>
      </c>
      <c r="T166" s="74">
        <f>VLOOKUP($A166,turnover!$A$184:$Q$194,+T$4-$S$4+3,0)</f>
        <v>0</v>
      </c>
      <c r="U166" s="74">
        <f>VLOOKUP($A166,turnover!$A$184:$Q$194,+U$4-$S$4+3,0)</f>
        <v>0</v>
      </c>
      <c r="V166" s="74">
        <f>VLOOKUP($A166,turnover!$A$184:$Q$194,+V$4-$S$4+3,0)</f>
        <v>0</v>
      </c>
      <c r="W166" s="74">
        <f>VLOOKUP($A166,turnover!$A$184:$Q$194,+W$4-$S$4+3,0)</f>
        <v>0</v>
      </c>
      <c r="X166" s="74">
        <f>VLOOKUP($A166,turnover!$A$184:$Q$194,+X$4-$S$4+3,0)</f>
        <v>0</v>
      </c>
      <c r="Y166" s="74">
        <f>VLOOKUP($A166,turnover!$A$184:$Q$194,+Y$4-$S$4+3,0)</f>
        <v>0</v>
      </c>
      <c r="Z166" s="74">
        <f>VLOOKUP($A166,turnover!$A$184:$Q$194,+Z$4-$S$4+3,0)</f>
        <v>0</v>
      </c>
      <c r="AA166" s="74">
        <f>VLOOKUP($A166,turnover!$A$184:$Q$194,+AA$4-$S$4+3,0)</f>
        <v>0</v>
      </c>
      <c r="AB166" s="74">
        <f>VLOOKUP($A166,turnover!$A$184:$Q$194,+AB$4-$S$4+3,0)</f>
        <v>0</v>
      </c>
      <c r="AC166" s="74">
        <f>VLOOKUP($A166,turnover!$A$184:$Q$194,+AC$4-$S$4+3,0)</f>
        <v>0</v>
      </c>
      <c r="AD166" s="74">
        <f>VLOOKUP($A166,turnover!$A$184:$Q$194,+AD$4-$S$4+3,0)</f>
        <v>0</v>
      </c>
      <c r="AE166" s="74">
        <f>VLOOKUP($A166,turnover!$A$184:$Q$194,+AE$4-$S$4+3,0)</f>
        <v>0</v>
      </c>
      <c r="AF166" s="74">
        <f>VLOOKUP($A166,turnover!$A$184:$Q$194,+AF$4-$S$4+3,0)</f>
        <v>0</v>
      </c>
      <c r="AG166" s="74">
        <f>VLOOKUP($A166,turnover!$A$184:$Q$194,+AG$4-$S$4+3,0)</f>
        <v>0</v>
      </c>
      <c r="AH166" s="61">
        <f t="shared" si="129"/>
        <v>0</v>
      </c>
      <c r="AI166" s="61">
        <f t="shared" si="130"/>
        <v>0</v>
      </c>
      <c r="AJ166" s="61">
        <f t="shared" si="131"/>
        <v>0</v>
      </c>
      <c r="AK166" s="61">
        <f t="shared" si="132"/>
        <v>0</v>
      </c>
      <c r="AL166" s="61">
        <f t="shared" si="133"/>
        <v>0</v>
      </c>
      <c r="AM166" s="61">
        <f t="shared" si="134"/>
        <v>0</v>
      </c>
      <c r="AN166" s="61">
        <f t="shared" si="135"/>
        <v>0</v>
      </c>
      <c r="AO166" s="61">
        <f t="shared" si="136"/>
        <v>0</v>
      </c>
      <c r="AP166" s="61">
        <f t="shared" si="137"/>
        <v>0</v>
      </c>
      <c r="AQ166" s="61">
        <f t="shared" si="138"/>
        <v>0</v>
      </c>
      <c r="AR166" s="61">
        <f t="shared" si="139"/>
        <v>0</v>
      </c>
      <c r="AS166" s="61">
        <f t="shared" si="140"/>
        <v>0</v>
      </c>
      <c r="AT166" s="61">
        <f t="shared" si="141"/>
        <v>0</v>
      </c>
      <c r="AU166" s="61">
        <f t="shared" si="142"/>
        <v>0</v>
      </c>
      <c r="AV166" s="61">
        <f t="shared" si="143"/>
        <v>0</v>
      </c>
      <c r="AW166" s="101">
        <f>VLOOKUP($C166,'Cost RMs'!$B$5:$Q$22,+AW$4-$AW$4+2,0)</f>
        <v>0</v>
      </c>
      <c r="AX166" s="101">
        <f>VLOOKUP($C166,'Cost RMs'!$B$5:$Q$22,+AX$4-$AW$4+2,0)</f>
        <v>0</v>
      </c>
      <c r="AY166" s="101">
        <f>VLOOKUP($C166,'Cost RMs'!$B$5:$Q$22,+AY$4-$AW$4+2,0)</f>
        <v>0</v>
      </c>
      <c r="AZ166" s="101">
        <f>VLOOKUP($C166,'Cost RMs'!$B$5:$Q$22,+AZ$4-$AW$4+2,0)</f>
        <v>0</v>
      </c>
      <c r="BA166" s="101">
        <f>VLOOKUP($C166,'Cost RMs'!$B$5:$Q$22,+BA$4-$AW$4+2,0)</f>
        <v>3780</v>
      </c>
      <c r="BB166" s="101">
        <f>VLOOKUP($C166,'Cost RMs'!$B$5:$Q$22,+BB$4-$AW$4+2,0)</f>
        <v>4233</v>
      </c>
      <c r="BC166" s="101">
        <f>VLOOKUP($C166,'Cost RMs'!$B$5:$Q$22,+BC$4-$AW$4+2,0)</f>
        <v>4745</v>
      </c>
      <c r="BD166" s="101">
        <f>VLOOKUP($C166,'Cost RMs'!$B$5:$Q$22,+BD$4-$AW$4+2,0)</f>
        <v>5319</v>
      </c>
      <c r="BE166" s="101">
        <f>VLOOKUP($C166,'Cost RMs'!$B$5:$Q$22,+BE$4-$AW$4+2,0)</f>
        <v>5963</v>
      </c>
      <c r="BF166" s="101">
        <f>VLOOKUP($C166,'Cost RMs'!$B$5:$Q$22,+BF$4-$AW$4+2,0)</f>
        <v>6685</v>
      </c>
      <c r="BG166" s="101">
        <f>VLOOKUP($C166,'Cost RMs'!$B$5:$Q$22,+BG$4-$AW$4+2,0)</f>
        <v>7494</v>
      </c>
      <c r="BH166" s="101">
        <f>VLOOKUP($C166,'Cost RMs'!$B$5:$Q$22,+BH$4-$AW$4+2,0)</f>
        <v>8401</v>
      </c>
      <c r="BI166" s="101">
        <f>VLOOKUP($C166,'Cost RMs'!$B$5:$Q$22,+BI$4-$AW$4+2,0)</f>
        <v>9418</v>
      </c>
      <c r="BJ166" s="101">
        <f>VLOOKUP($C166,'Cost RMs'!$B$5:$Q$22,+BJ$4-$AW$4+2,0)</f>
        <v>10558</v>
      </c>
      <c r="BK166" s="101">
        <f>VLOOKUP($C166,'Cost RMs'!$B$5:$Q$22,+BK$4-$AW$4+2,0)</f>
        <v>11836</v>
      </c>
      <c r="BL166" s="102">
        <f t="shared" si="144"/>
        <v>0</v>
      </c>
      <c r="BM166" s="102">
        <f t="shared" si="145"/>
        <v>0</v>
      </c>
      <c r="BN166" s="102">
        <f t="shared" si="146"/>
        <v>0</v>
      </c>
      <c r="BO166" s="102">
        <f t="shared" si="147"/>
        <v>0</v>
      </c>
      <c r="BP166" s="102">
        <f t="shared" si="148"/>
        <v>0</v>
      </c>
      <c r="BQ166" s="102">
        <f t="shared" si="149"/>
        <v>0</v>
      </c>
      <c r="BR166" s="102">
        <f t="shared" si="150"/>
        <v>0</v>
      </c>
      <c r="BS166" s="102">
        <f t="shared" si="151"/>
        <v>0</v>
      </c>
      <c r="BT166" s="102">
        <f t="shared" si="152"/>
        <v>0</v>
      </c>
      <c r="BU166" s="102">
        <f t="shared" si="153"/>
        <v>0</v>
      </c>
      <c r="BV166" s="102">
        <f t="shared" si="154"/>
        <v>0</v>
      </c>
      <c r="BW166" s="102">
        <f t="shared" si="155"/>
        <v>0</v>
      </c>
      <c r="BX166" s="102">
        <f t="shared" si="156"/>
        <v>0</v>
      </c>
      <c r="BY166" s="102">
        <f t="shared" si="157"/>
        <v>0</v>
      </c>
      <c r="BZ166" s="102">
        <f t="shared" si="158"/>
        <v>0</v>
      </c>
    </row>
    <row r="169" spans="1:78" ht="20.25" x14ac:dyDescent="0.3">
      <c r="C169" s="69" t="s">
        <v>157</v>
      </c>
    </row>
    <row r="170" spans="1:78" x14ac:dyDescent="0.25">
      <c r="C170" t="s">
        <v>123</v>
      </c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>
        <f t="shared" ref="AH170:AH181" si="161">SUMIF($C$6:$C$70,$C170,AH$6:AH$70)</f>
        <v>0</v>
      </c>
      <c r="AI170">
        <f>SUMIF($C$6:$C$166,$C170,AI$6:AI$166)</f>
        <v>33.387307000000007</v>
      </c>
      <c r="AJ170">
        <f t="shared" ref="AJ170:AV170" si="162">SUMIF($C$6:$C$166,$C170,AJ$6:AJ$166)</f>
        <v>70.702232440000003</v>
      </c>
      <c r="AK170">
        <f t="shared" si="162"/>
        <v>58.297907999999993</v>
      </c>
      <c r="AL170">
        <f t="shared" si="162"/>
        <v>51.848434000000005</v>
      </c>
      <c r="AM170">
        <f t="shared" si="162"/>
        <v>58.632501980000001</v>
      </c>
      <c r="AN170">
        <f t="shared" si="162"/>
        <v>67.64464098000002</v>
      </c>
      <c r="AO170">
        <f t="shared" si="162"/>
        <v>76.255957999999993</v>
      </c>
      <c r="AP170">
        <f t="shared" si="162"/>
        <v>76.255957999999993</v>
      </c>
      <c r="AQ170">
        <f t="shared" si="162"/>
        <v>76.255957999999993</v>
      </c>
      <c r="AR170">
        <f t="shared" si="162"/>
        <v>76.255957999999993</v>
      </c>
      <c r="AS170">
        <f t="shared" si="162"/>
        <v>76.255957999999993</v>
      </c>
      <c r="AT170">
        <f t="shared" si="162"/>
        <v>76.255957999999993</v>
      </c>
      <c r="AU170">
        <f t="shared" si="162"/>
        <v>76.255957999999993</v>
      </c>
      <c r="AV170">
        <f t="shared" si="162"/>
        <v>76.255957999999993</v>
      </c>
      <c r="AW170" s="65"/>
      <c r="AX170" s="65"/>
      <c r="AY170" s="65"/>
      <c r="AZ170" s="65"/>
      <c r="BA170" s="65"/>
      <c r="BB170" s="65"/>
      <c r="BC170" s="65"/>
      <c r="BD170" s="65"/>
      <c r="BE170" s="65"/>
      <c r="BF170" s="65"/>
      <c r="BG170" s="65"/>
      <c r="BH170" s="65"/>
      <c r="BI170" s="65"/>
      <c r="BJ170" s="65"/>
      <c r="BK170" s="65"/>
      <c r="BL170" s="102">
        <f t="shared" ref="BL170:BL179" si="163">SUMIF($C$6:$C$134,$C170,BL$6:BL$134)</f>
        <v>0</v>
      </c>
      <c r="BM170" s="102">
        <f>SUMIF($C$6:$C$166,$C170,BM$6:BM$166)</f>
        <v>6564011.3308140002</v>
      </c>
      <c r="BN170" s="102">
        <f t="shared" ref="BN170:BZ170" si="164">SUMIF($C$6:$C$166,$C170,BN$6:BN$166)</f>
        <v>14847398.110167561</v>
      </c>
      <c r="BO170" s="102">
        <f t="shared" si="164"/>
        <v>15523916.729687996</v>
      </c>
      <c r="BP170" s="102">
        <f t="shared" si="164"/>
        <v>14268015.007158002</v>
      </c>
      <c r="BQ170" s="102">
        <f t="shared" si="164"/>
        <v>18069481.725200359</v>
      </c>
      <c r="BR170" s="102">
        <f t="shared" si="164"/>
        <v>23369329.40864256</v>
      </c>
      <c r="BS170" s="102">
        <f t="shared" si="164"/>
        <v>29531949.878492001</v>
      </c>
      <c r="BT170" s="102">
        <f t="shared" si="164"/>
        <v>33105304.070371997</v>
      </c>
      <c r="BU170" s="102">
        <f t="shared" si="164"/>
        <v>37111029.544112004</v>
      </c>
      <c r="BV170" s="102">
        <f t="shared" si="164"/>
        <v>41601437.886899993</v>
      </c>
      <c r="BW170" s="102">
        <f t="shared" si="164"/>
        <v>46635246.18639601</v>
      </c>
      <c r="BX170" s="102">
        <f t="shared" si="164"/>
        <v>52278110.822438002</v>
      </c>
      <c r="BY170" s="102">
        <f t="shared" si="164"/>
        <v>58603771.306412004</v>
      </c>
      <c r="BZ170" s="102">
        <f t="shared" si="164"/>
        <v>65694812.840832002</v>
      </c>
    </row>
    <row r="171" spans="1:78" x14ac:dyDescent="0.25">
      <c r="C171" t="s">
        <v>124</v>
      </c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>
        <f>SUMIF($C$6:$C$70,$C171,AH$6:AH$70)</f>
        <v>0</v>
      </c>
      <c r="AI171">
        <f t="shared" ref="AI171:AV185" si="165">SUMIF($C$6:$C$166,$C171,AI$6:AI$166)</f>
        <v>73.602971000000011</v>
      </c>
      <c r="AJ171">
        <f t="shared" si="165"/>
        <v>164.50428436000004</v>
      </c>
      <c r="AK171">
        <f t="shared" si="165"/>
        <v>115.95449859999999</v>
      </c>
      <c r="AL171">
        <f t="shared" si="165"/>
        <v>115.11357000000001</v>
      </c>
      <c r="AM171">
        <f t="shared" si="165"/>
        <v>119.90596470000003</v>
      </c>
      <c r="AN171">
        <f t="shared" si="165"/>
        <v>127.6327737</v>
      </c>
      <c r="AO171">
        <f t="shared" si="165"/>
        <v>132.81540691916507</v>
      </c>
      <c r="AP171">
        <f t="shared" si="165"/>
        <v>132.81540691916507</v>
      </c>
      <c r="AQ171">
        <f t="shared" si="165"/>
        <v>132.81540691916507</v>
      </c>
      <c r="AR171">
        <f t="shared" si="165"/>
        <v>132.81540691916507</v>
      </c>
      <c r="AS171">
        <f t="shared" si="165"/>
        <v>132.81540691916507</v>
      </c>
      <c r="AT171">
        <f t="shared" si="165"/>
        <v>132.81540691916507</v>
      </c>
      <c r="AU171">
        <f t="shared" si="165"/>
        <v>132.81540691916507</v>
      </c>
      <c r="AV171">
        <f t="shared" si="165"/>
        <v>132.81540691916507</v>
      </c>
      <c r="AW171" s="65"/>
      <c r="AX171" s="65"/>
      <c r="AY171" s="65"/>
      <c r="AZ171" s="65"/>
      <c r="BA171" s="65"/>
      <c r="BB171" s="65"/>
      <c r="BC171" s="65"/>
      <c r="BD171" s="65"/>
      <c r="BE171" s="65"/>
      <c r="BF171" s="65"/>
      <c r="BG171" s="65"/>
      <c r="BH171" s="65"/>
      <c r="BI171" s="65"/>
      <c r="BJ171" s="65"/>
      <c r="BK171" s="65"/>
      <c r="BL171" s="102">
        <f t="shared" si="163"/>
        <v>0</v>
      </c>
      <c r="BM171" s="102">
        <f t="shared" ref="BM171:BZ185" si="166">SUMIF($C$6:$C$166,$C171,BM$6:BM$166)</f>
        <v>20895000.231248002</v>
      </c>
      <c r="BN171" s="102">
        <f t="shared" si="166"/>
        <v>50418918.1134964</v>
      </c>
      <c r="BO171" s="102">
        <f t="shared" si="166"/>
        <v>36986586.190935001</v>
      </c>
      <c r="BP171" s="102">
        <f t="shared" si="166"/>
        <v>42029345.769840002</v>
      </c>
      <c r="BQ171" s="102">
        <f t="shared" si="166"/>
        <v>49028230.000218309</v>
      </c>
      <c r="BR171" s="102">
        <f t="shared" si="166"/>
        <v>58502396.317000501</v>
      </c>
      <c r="BS171" s="102">
        <f t="shared" si="166"/>
        <v>68244142.091053829</v>
      </c>
      <c r="BT171" s="102">
        <f t="shared" si="166"/>
        <v>76501674.385439083</v>
      </c>
      <c r="BU171" s="102">
        <f t="shared" si="166"/>
        <v>85758376.986077204</v>
      </c>
      <c r="BV171" s="102">
        <f t="shared" si="166"/>
        <v>96135111.913264662</v>
      </c>
      <c r="BW171" s="102">
        <f t="shared" si="166"/>
        <v>107767483.69746588</v>
      </c>
      <c r="BX171" s="102">
        <f t="shared" si="166"/>
        <v>120807300.34878953</v>
      </c>
      <c r="BY171" s="102">
        <f t="shared" si="166"/>
        <v>135424964.03431284</v>
      </c>
      <c r="BZ171" s="102">
        <f t="shared" si="166"/>
        <v>151811330.49377868</v>
      </c>
    </row>
    <row r="172" spans="1:78" x14ac:dyDescent="0.25">
      <c r="C172" t="s">
        <v>125</v>
      </c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>
        <f t="shared" si="161"/>
        <v>0</v>
      </c>
      <c r="AI172">
        <f t="shared" si="165"/>
        <v>0</v>
      </c>
      <c r="AJ172">
        <f t="shared" si="165"/>
        <v>0</v>
      </c>
      <c r="AK172">
        <f t="shared" si="165"/>
        <v>0</v>
      </c>
      <c r="AL172">
        <f t="shared" si="165"/>
        <v>0</v>
      </c>
      <c r="AM172">
        <f t="shared" si="165"/>
        <v>0</v>
      </c>
      <c r="AN172">
        <f t="shared" si="165"/>
        <v>0</v>
      </c>
      <c r="AO172">
        <f t="shared" si="165"/>
        <v>0</v>
      </c>
      <c r="AP172">
        <f t="shared" si="165"/>
        <v>0</v>
      </c>
      <c r="AQ172">
        <f t="shared" si="165"/>
        <v>0</v>
      </c>
      <c r="AR172">
        <f t="shared" si="165"/>
        <v>0</v>
      </c>
      <c r="AS172">
        <f t="shared" si="165"/>
        <v>0</v>
      </c>
      <c r="AT172">
        <f t="shared" si="165"/>
        <v>0</v>
      </c>
      <c r="AU172">
        <f t="shared" si="165"/>
        <v>0</v>
      </c>
      <c r="AV172">
        <f t="shared" si="165"/>
        <v>0</v>
      </c>
      <c r="AW172" s="65"/>
      <c r="AX172" s="65"/>
      <c r="AY172" s="65"/>
      <c r="AZ172" s="65"/>
      <c r="BA172" s="65"/>
      <c r="BB172" s="65"/>
      <c r="BC172" s="65"/>
      <c r="BD172" s="65"/>
      <c r="BE172" s="65"/>
      <c r="BF172" s="65"/>
      <c r="BG172" s="65"/>
      <c r="BH172" s="65"/>
      <c r="BI172" s="65"/>
      <c r="BJ172" s="65"/>
      <c r="BK172" s="65"/>
      <c r="BL172" s="102">
        <f t="shared" si="163"/>
        <v>0</v>
      </c>
      <c r="BM172" s="102">
        <f t="shared" si="166"/>
        <v>0</v>
      </c>
      <c r="BN172" s="102">
        <f t="shared" si="166"/>
        <v>0</v>
      </c>
      <c r="BO172" s="102">
        <f t="shared" ca="1" si="166"/>
        <v>0</v>
      </c>
      <c r="BP172" s="102">
        <f t="shared" ca="1" si="166"/>
        <v>0</v>
      </c>
      <c r="BQ172" s="102">
        <f t="shared" ca="1" si="166"/>
        <v>0</v>
      </c>
      <c r="BR172" s="102">
        <f t="shared" ca="1" si="166"/>
        <v>0</v>
      </c>
      <c r="BS172" s="102">
        <f t="shared" ca="1" si="166"/>
        <v>0</v>
      </c>
      <c r="BT172" s="102">
        <f t="shared" ca="1" si="166"/>
        <v>0</v>
      </c>
      <c r="BU172" s="102">
        <f t="shared" ca="1" si="166"/>
        <v>0</v>
      </c>
      <c r="BV172" s="102">
        <f t="shared" ca="1" si="166"/>
        <v>0</v>
      </c>
      <c r="BW172" s="102">
        <f t="shared" ca="1" si="166"/>
        <v>0</v>
      </c>
      <c r="BX172" s="102">
        <f t="shared" ca="1" si="166"/>
        <v>0</v>
      </c>
      <c r="BY172" s="102">
        <f t="shared" ca="1" si="166"/>
        <v>0</v>
      </c>
      <c r="BZ172" s="102">
        <f t="shared" ca="1" si="166"/>
        <v>0</v>
      </c>
    </row>
    <row r="173" spans="1:78" x14ac:dyDescent="0.25">
      <c r="C173" t="s">
        <v>126</v>
      </c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>
        <f t="shared" si="161"/>
        <v>0</v>
      </c>
      <c r="AI173">
        <f t="shared" si="165"/>
        <v>11.370218400000001</v>
      </c>
      <c r="AJ173">
        <f t="shared" si="165"/>
        <v>24.79227624</v>
      </c>
      <c r="AK173">
        <f t="shared" si="165"/>
        <v>24.872179199999998</v>
      </c>
      <c r="AL173">
        <f t="shared" si="165"/>
        <v>19.768560000000001</v>
      </c>
      <c r="AM173">
        <f t="shared" si="165"/>
        <v>24.843343199999993</v>
      </c>
      <c r="AN173">
        <f t="shared" si="165"/>
        <v>23.517403199999997</v>
      </c>
      <c r="AO173">
        <f t="shared" si="165"/>
        <v>22.066298399999994</v>
      </c>
      <c r="AP173">
        <f t="shared" si="165"/>
        <v>22.066298399999994</v>
      </c>
      <c r="AQ173">
        <f t="shared" si="165"/>
        <v>22.066298399999994</v>
      </c>
      <c r="AR173">
        <f t="shared" si="165"/>
        <v>22.066298399999994</v>
      </c>
      <c r="AS173">
        <f t="shared" si="165"/>
        <v>22.066298399999997</v>
      </c>
      <c r="AT173">
        <f t="shared" si="165"/>
        <v>22.066298399999994</v>
      </c>
      <c r="AU173">
        <f t="shared" si="165"/>
        <v>22.066298399999994</v>
      </c>
      <c r="AV173">
        <f t="shared" si="165"/>
        <v>22.066298399999994</v>
      </c>
      <c r="AW173" s="65"/>
      <c r="AX173" s="65"/>
      <c r="AY173" s="65"/>
      <c r="AZ173" s="65"/>
      <c r="BA173" s="65"/>
      <c r="BB173" s="65"/>
      <c r="BC173" s="65"/>
      <c r="BD173" s="65"/>
      <c r="BE173" s="65"/>
      <c r="BF173" s="65"/>
      <c r="BG173" s="65"/>
      <c r="BH173" s="65"/>
      <c r="BI173" s="65"/>
      <c r="BJ173" s="65"/>
      <c r="BK173" s="65"/>
      <c r="BL173" s="102">
        <f t="shared" si="163"/>
        <v>0</v>
      </c>
      <c r="BM173" s="102">
        <f t="shared" si="166"/>
        <v>3300728.9206464002</v>
      </c>
      <c r="BN173" s="102">
        <f t="shared" si="166"/>
        <v>7840978.8295960799</v>
      </c>
      <c r="BO173" s="102">
        <f t="shared" si="166"/>
        <v>8384138.0143487994</v>
      </c>
      <c r="BP173" s="102">
        <f t="shared" si="166"/>
        <v>8076801.0220800005</v>
      </c>
      <c r="BQ173" s="102">
        <f t="shared" si="166"/>
        <v>11367195.897875996</v>
      </c>
      <c r="BR173" s="102">
        <f t="shared" si="166"/>
        <v>12062522.931940798</v>
      </c>
      <c r="BS173" s="102">
        <f t="shared" si="166"/>
        <v>12687724.386628797</v>
      </c>
      <c r="BT173" s="102">
        <f t="shared" si="166"/>
        <v>14222942.965211997</v>
      </c>
      <c r="BU173" s="102">
        <f t="shared" si="166"/>
        <v>15943915.643726395</v>
      </c>
      <c r="BV173" s="102">
        <f t="shared" si="166"/>
        <v>17873127.980241597</v>
      </c>
      <c r="BW173" s="102">
        <f t="shared" si="166"/>
        <v>20035779.687530398</v>
      </c>
      <c r="BX173" s="102">
        <f t="shared" si="166"/>
        <v>22460115.627544794</v>
      </c>
      <c r="BY173" s="102">
        <f t="shared" si="166"/>
        <v>25177778.872190394</v>
      </c>
      <c r="BZ173" s="102">
        <f t="shared" si="166"/>
        <v>28224296.161891192</v>
      </c>
    </row>
    <row r="174" spans="1:78" x14ac:dyDescent="0.25">
      <c r="C174" s="166" t="s">
        <v>538</v>
      </c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>
        <f t="shared" si="161"/>
        <v>0</v>
      </c>
      <c r="AI174">
        <f t="shared" si="165"/>
        <v>0</v>
      </c>
      <c r="AJ174">
        <f t="shared" si="165"/>
        <v>0</v>
      </c>
      <c r="AK174">
        <f t="shared" si="165"/>
        <v>0</v>
      </c>
      <c r="AL174">
        <f t="shared" si="165"/>
        <v>0</v>
      </c>
      <c r="AM174">
        <f t="shared" si="165"/>
        <v>0</v>
      </c>
      <c r="AN174">
        <f t="shared" si="165"/>
        <v>23.407970000000006</v>
      </c>
      <c r="AO174">
        <f t="shared" si="165"/>
        <v>46.815940000000012</v>
      </c>
      <c r="AP174">
        <f t="shared" si="165"/>
        <v>46.815940000000012</v>
      </c>
      <c r="AQ174">
        <f t="shared" si="165"/>
        <v>46.815940000000012</v>
      </c>
      <c r="AR174">
        <f t="shared" si="165"/>
        <v>46.815940000000012</v>
      </c>
      <c r="AS174">
        <f t="shared" si="165"/>
        <v>46.815940000000012</v>
      </c>
      <c r="AT174">
        <f t="shared" si="165"/>
        <v>46.815940000000012</v>
      </c>
      <c r="AU174">
        <f t="shared" si="165"/>
        <v>46.815940000000012</v>
      </c>
      <c r="AV174">
        <f t="shared" si="165"/>
        <v>46.815940000000012</v>
      </c>
      <c r="AW174" s="65"/>
      <c r="AX174" s="65"/>
      <c r="AY174" s="65"/>
      <c r="AZ174" s="65"/>
      <c r="BA174" s="65"/>
      <c r="BB174" s="65"/>
      <c r="BC174" s="65"/>
      <c r="BD174" s="65"/>
      <c r="BE174" s="65"/>
      <c r="BF174" s="65"/>
      <c r="BG174" s="65"/>
      <c r="BH174" s="65"/>
      <c r="BI174" s="65"/>
      <c r="BJ174" s="65"/>
      <c r="BK174" s="65"/>
      <c r="BL174" s="102">
        <f t="shared" si="163"/>
        <v>0</v>
      </c>
      <c r="BM174" s="102">
        <f t="shared" si="166"/>
        <v>0</v>
      </c>
      <c r="BN174" s="102">
        <f t="shared" si="166"/>
        <v>0</v>
      </c>
      <c r="BO174" s="102">
        <f t="shared" si="166"/>
        <v>0</v>
      </c>
      <c r="BP174" s="102">
        <f t="shared" si="166"/>
        <v>0</v>
      </c>
      <c r="BQ174" s="102">
        <f t="shared" si="166"/>
        <v>0</v>
      </c>
      <c r="BR174" s="102">
        <f t="shared" si="166"/>
        <v>15281003.711640004</v>
      </c>
      <c r="BS174" s="102">
        <f t="shared" si="166"/>
        <v>34259998.523880005</v>
      </c>
      <c r="BT174" s="102">
        <f t="shared" si="166"/>
        <v>38405456.379000001</v>
      </c>
      <c r="BU174" s="102">
        <f t="shared" si="166"/>
        <v>43052500.215280004</v>
      </c>
      <c r="BV174" s="102">
        <f t="shared" si="166"/>
        <v>48261850.306900002</v>
      </c>
      <c r="BW174" s="102">
        <f t="shared" si="166"/>
        <v>54101530.214680016</v>
      </c>
      <c r="BX174" s="102">
        <f t="shared" si="166"/>
        <v>60647803.104880005</v>
      </c>
      <c r="BY174" s="102">
        <f t="shared" si="166"/>
        <v>67986201.699880004</v>
      </c>
      <c r="BZ174" s="102">
        <f t="shared" si="166"/>
        <v>76212511.412920013</v>
      </c>
    </row>
    <row r="175" spans="1:78" x14ac:dyDescent="0.25">
      <c r="C175" t="s">
        <v>127</v>
      </c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>
        <f t="shared" si="161"/>
        <v>0</v>
      </c>
      <c r="AI175">
        <f t="shared" si="165"/>
        <v>301.74553380000003</v>
      </c>
      <c r="AJ175">
        <f t="shared" si="165"/>
        <v>702.49725080000007</v>
      </c>
      <c r="AK175">
        <f t="shared" si="165"/>
        <v>537.13572360000001</v>
      </c>
      <c r="AL175">
        <f t="shared" si="165"/>
        <v>525.54930000000002</v>
      </c>
      <c r="AM175">
        <f t="shared" si="165"/>
        <v>567.09191099999998</v>
      </c>
      <c r="AN175">
        <f t="shared" si="165"/>
        <v>607.4550210000001</v>
      </c>
      <c r="AO175">
        <f t="shared" si="165"/>
        <v>592.51114703999997</v>
      </c>
      <c r="AP175">
        <f t="shared" si="165"/>
        <v>592.51114703999997</v>
      </c>
      <c r="AQ175">
        <f t="shared" si="165"/>
        <v>592.51114703999997</v>
      </c>
      <c r="AR175">
        <f t="shared" si="165"/>
        <v>592.51114703999997</v>
      </c>
      <c r="AS175">
        <f t="shared" si="165"/>
        <v>592.51114703999997</v>
      </c>
      <c r="AT175">
        <f t="shared" si="165"/>
        <v>592.51114703999997</v>
      </c>
      <c r="AU175">
        <f t="shared" si="165"/>
        <v>592.51114703999997</v>
      </c>
      <c r="AV175">
        <f t="shared" si="165"/>
        <v>592.51114703999997</v>
      </c>
      <c r="AW175" s="65"/>
      <c r="AX175" s="65"/>
      <c r="AY175" s="65"/>
      <c r="AZ175" s="65"/>
      <c r="BA175" s="65"/>
      <c r="BB175" s="65"/>
      <c r="BC175" s="65"/>
      <c r="BD175" s="65"/>
      <c r="BE175" s="65"/>
      <c r="BF175" s="65"/>
      <c r="BG175" s="65"/>
      <c r="BH175" s="65"/>
      <c r="BI175" s="65"/>
      <c r="BJ175" s="65"/>
      <c r="BK175" s="65"/>
      <c r="BL175" s="102">
        <f t="shared" si="163"/>
        <v>0</v>
      </c>
      <c r="BM175" s="102">
        <f t="shared" si="166"/>
        <v>12181467.199506002</v>
      </c>
      <c r="BN175" s="102">
        <f t="shared" si="166"/>
        <v>28919001.826432798</v>
      </c>
      <c r="BO175" s="102">
        <f t="shared" si="166"/>
        <v>26255731.305291601</v>
      </c>
      <c r="BP175" s="102">
        <f t="shared" si="166"/>
        <v>24764408.565300003</v>
      </c>
      <c r="BQ175" s="102">
        <f t="shared" ca="1" si="166"/>
        <v>28675803.922902353</v>
      </c>
      <c r="BR175" s="102">
        <f t="shared" ca="1" si="166"/>
        <v>34401088.939385936</v>
      </c>
      <c r="BS175" s="102">
        <f t="shared" ca="1" si="166"/>
        <v>37884450.429671675</v>
      </c>
      <c r="BT175" s="102">
        <f t="shared" ca="1" si="166"/>
        <v>42710103.457397014</v>
      </c>
      <c r="BU175" s="102">
        <f t="shared" ca="1" si="166"/>
        <v>48179309.742949121</v>
      </c>
      <c r="BV175" s="102">
        <f t="shared" ca="1" si="166"/>
        <v>54383886.716763318</v>
      </c>
      <c r="BW175" s="102">
        <f t="shared" ca="1" si="166"/>
        <v>61429855.164816961</v>
      </c>
      <c r="BX175" s="102">
        <f t="shared" ca="1" si="166"/>
        <v>69439676.562117964</v>
      </c>
      <c r="BY175" s="102">
        <f t="shared" ca="1" si="166"/>
        <v>78555480.870212242</v>
      </c>
      <c r="BZ175" s="102">
        <f t="shared" ca="1" si="166"/>
        <v>88942498.467939422</v>
      </c>
    </row>
    <row r="176" spans="1:78" x14ac:dyDescent="0.25">
      <c r="C176" s="26" t="s">
        <v>132</v>
      </c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>
        <f t="shared" si="161"/>
        <v>0</v>
      </c>
      <c r="AI176">
        <f t="shared" si="165"/>
        <v>0</v>
      </c>
      <c r="AJ176">
        <f t="shared" si="165"/>
        <v>0</v>
      </c>
      <c r="AK176">
        <f t="shared" si="165"/>
        <v>0</v>
      </c>
      <c r="AL176">
        <f t="shared" si="165"/>
        <v>0</v>
      </c>
      <c r="AM176">
        <f t="shared" si="165"/>
        <v>0</v>
      </c>
      <c r="AN176">
        <f t="shared" si="165"/>
        <v>0</v>
      </c>
      <c r="AO176">
        <f t="shared" si="165"/>
        <v>0</v>
      </c>
      <c r="AP176">
        <f t="shared" si="165"/>
        <v>0</v>
      </c>
      <c r="AQ176">
        <f t="shared" si="165"/>
        <v>0</v>
      </c>
      <c r="AR176">
        <f t="shared" si="165"/>
        <v>0</v>
      </c>
      <c r="AS176">
        <f t="shared" si="165"/>
        <v>0</v>
      </c>
      <c r="AT176">
        <f t="shared" si="165"/>
        <v>0</v>
      </c>
      <c r="AU176">
        <f t="shared" si="165"/>
        <v>0</v>
      </c>
      <c r="AV176">
        <f t="shared" si="165"/>
        <v>0</v>
      </c>
      <c r="AW176" s="65"/>
      <c r="AX176" s="65"/>
      <c r="AY176" s="65"/>
      <c r="AZ176" s="65"/>
      <c r="BA176" s="65"/>
      <c r="BB176" s="65"/>
      <c r="BC176" s="65"/>
      <c r="BD176" s="65"/>
      <c r="BE176" s="65"/>
      <c r="BF176" s="65"/>
      <c r="BG176" s="65"/>
      <c r="BH176" s="65"/>
      <c r="BI176" s="65"/>
      <c r="BJ176" s="65"/>
      <c r="BK176" s="65"/>
      <c r="BL176" s="102">
        <f t="shared" si="163"/>
        <v>0</v>
      </c>
      <c r="BM176" s="102">
        <f t="shared" si="166"/>
        <v>0</v>
      </c>
      <c r="BN176" s="102">
        <f t="shared" si="166"/>
        <v>0</v>
      </c>
      <c r="BO176" s="102">
        <f t="shared" si="166"/>
        <v>0</v>
      </c>
      <c r="BP176" s="102">
        <f t="shared" si="166"/>
        <v>0</v>
      </c>
      <c r="BQ176" s="102">
        <f t="shared" si="166"/>
        <v>0</v>
      </c>
      <c r="BR176" s="102">
        <f t="shared" si="166"/>
        <v>0</v>
      </c>
      <c r="BS176" s="102">
        <f t="shared" si="166"/>
        <v>0</v>
      </c>
      <c r="BT176" s="102">
        <f t="shared" si="166"/>
        <v>0</v>
      </c>
      <c r="BU176" s="102">
        <f t="shared" si="166"/>
        <v>0</v>
      </c>
      <c r="BV176" s="102">
        <f t="shared" si="166"/>
        <v>0</v>
      </c>
      <c r="BW176" s="102">
        <f t="shared" si="166"/>
        <v>0</v>
      </c>
      <c r="BX176" s="102">
        <f t="shared" si="166"/>
        <v>0</v>
      </c>
      <c r="BY176" s="102">
        <f t="shared" si="166"/>
        <v>0</v>
      </c>
      <c r="BZ176" s="102">
        <f t="shared" si="166"/>
        <v>0</v>
      </c>
    </row>
    <row r="177" spans="1:81" x14ac:dyDescent="0.25">
      <c r="C177" s="166" t="s">
        <v>537</v>
      </c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>
        <f t="shared" si="161"/>
        <v>0</v>
      </c>
      <c r="AI177">
        <f t="shared" si="165"/>
        <v>0</v>
      </c>
      <c r="AJ177">
        <f t="shared" si="165"/>
        <v>0</v>
      </c>
      <c r="AK177">
        <f t="shared" si="165"/>
        <v>0</v>
      </c>
      <c r="AL177">
        <f t="shared" si="165"/>
        <v>0</v>
      </c>
      <c r="AM177">
        <f t="shared" si="165"/>
        <v>0</v>
      </c>
      <c r="AN177">
        <f t="shared" si="165"/>
        <v>3.4015200000000005</v>
      </c>
      <c r="AO177">
        <f t="shared" si="165"/>
        <v>6.8030400000000011</v>
      </c>
      <c r="AP177">
        <f t="shared" si="165"/>
        <v>6.8030400000000011</v>
      </c>
      <c r="AQ177">
        <f t="shared" si="165"/>
        <v>6.8030400000000011</v>
      </c>
      <c r="AR177">
        <f t="shared" si="165"/>
        <v>6.8030400000000011</v>
      </c>
      <c r="AS177">
        <f t="shared" si="165"/>
        <v>6.8030400000000011</v>
      </c>
      <c r="AT177">
        <f t="shared" si="165"/>
        <v>6.8030400000000011</v>
      </c>
      <c r="AU177">
        <f t="shared" si="165"/>
        <v>6.8030400000000011</v>
      </c>
      <c r="AV177">
        <f t="shared" si="165"/>
        <v>6.8030400000000011</v>
      </c>
      <c r="AW177" s="65"/>
      <c r="AX177" s="65"/>
      <c r="AY177" s="65"/>
      <c r="AZ177" s="65"/>
      <c r="BA177" s="65"/>
      <c r="BB177" s="65"/>
      <c r="BC177" s="65"/>
      <c r="BD177" s="65"/>
      <c r="BE177" s="65"/>
      <c r="BF177" s="65"/>
      <c r="BG177" s="65"/>
      <c r="BH177" s="65"/>
      <c r="BI177" s="65"/>
      <c r="BJ177" s="65"/>
      <c r="BK177" s="65"/>
      <c r="BL177" s="102">
        <f t="shared" si="163"/>
        <v>0</v>
      </c>
      <c r="BM177" s="102">
        <f t="shared" si="166"/>
        <v>0</v>
      </c>
      <c r="BN177" s="102">
        <f t="shared" si="166"/>
        <v>0</v>
      </c>
      <c r="BO177" s="102">
        <f t="shared" si="166"/>
        <v>0</v>
      </c>
      <c r="BP177" s="102">
        <f t="shared" si="166"/>
        <v>0</v>
      </c>
      <c r="BQ177" s="102">
        <f t="shared" si="166"/>
        <v>0</v>
      </c>
      <c r="BR177" s="102">
        <f t="shared" si="166"/>
        <v>1355907.0993600001</v>
      </c>
      <c r="BS177" s="102">
        <f t="shared" si="166"/>
        <v>3039945.2270400007</v>
      </c>
      <c r="BT177" s="102">
        <f t="shared" si="166"/>
        <v>3407778.7968000006</v>
      </c>
      <c r="BU177" s="102">
        <f t="shared" si="166"/>
        <v>3820117.8542400007</v>
      </c>
      <c r="BV177" s="102">
        <f t="shared" si="166"/>
        <v>4282350.40704</v>
      </c>
      <c r="BW177" s="102">
        <f t="shared" si="166"/>
        <v>4800517.5547199994</v>
      </c>
      <c r="BX177" s="102">
        <f t="shared" si="166"/>
        <v>5381381.5190400006</v>
      </c>
      <c r="BY177" s="102">
        <f t="shared" si="166"/>
        <v>6032527.6896000011</v>
      </c>
      <c r="BZ177" s="102">
        <f t="shared" si="166"/>
        <v>6762466.6694400012</v>
      </c>
    </row>
    <row r="178" spans="1:81" x14ac:dyDescent="0.25">
      <c r="C178" t="s">
        <v>129</v>
      </c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>
        <f t="shared" si="161"/>
        <v>0</v>
      </c>
      <c r="AI178">
        <f t="shared" si="165"/>
        <v>54.8516896</v>
      </c>
      <c r="AJ178">
        <f t="shared" si="165"/>
        <v>115.17446124</v>
      </c>
      <c r="AK178">
        <f t="shared" si="165"/>
        <v>87.125401799999992</v>
      </c>
      <c r="AL178">
        <f t="shared" si="165"/>
        <v>80.823800000000006</v>
      </c>
      <c r="AM178">
        <f t="shared" si="165"/>
        <v>88.158758800000015</v>
      </c>
      <c r="AN178">
        <f t="shared" si="165"/>
        <v>91.254842799999992</v>
      </c>
      <c r="AO178">
        <f t="shared" si="165"/>
        <v>87.380942640000001</v>
      </c>
      <c r="AP178">
        <f t="shared" si="165"/>
        <v>87.380942640000001</v>
      </c>
      <c r="AQ178">
        <f t="shared" si="165"/>
        <v>87.380942640000001</v>
      </c>
      <c r="AR178">
        <f t="shared" si="165"/>
        <v>87.380942640000001</v>
      </c>
      <c r="AS178">
        <f t="shared" si="165"/>
        <v>87.380942640000029</v>
      </c>
      <c r="AT178">
        <f t="shared" si="165"/>
        <v>87.380942640000001</v>
      </c>
      <c r="AU178">
        <f t="shared" si="165"/>
        <v>87.380942640000001</v>
      </c>
      <c r="AV178">
        <f t="shared" si="165"/>
        <v>87.380942640000001</v>
      </c>
      <c r="AW178" s="65"/>
      <c r="AX178" s="65"/>
      <c r="AY178" s="65"/>
      <c r="AZ178" s="65"/>
      <c r="BA178" s="65"/>
      <c r="BB178" s="65"/>
      <c r="BC178" s="65"/>
      <c r="BD178" s="65"/>
      <c r="BE178" s="65"/>
      <c r="BF178" s="65"/>
      <c r="BG178" s="65"/>
      <c r="BH178" s="65"/>
      <c r="BI178" s="65"/>
      <c r="BJ178" s="65"/>
      <c r="BK178" s="65"/>
      <c r="BL178" s="102">
        <f t="shared" si="163"/>
        <v>0</v>
      </c>
      <c r="BM178" s="102">
        <f t="shared" si="166"/>
        <v>3082500.4004512001</v>
      </c>
      <c r="BN178" s="102">
        <f t="shared" si="166"/>
        <v>7438197.0558016803</v>
      </c>
      <c r="BO178" s="102">
        <f t="shared" si="166"/>
        <v>6670930.6396206003</v>
      </c>
      <c r="BP178" s="102">
        <f t="shared" ca="1" si="166"/>
        <v>7002412.3844000008</v>
      </c>
      <c r="BQ178" s="102">
        <f t="shared" ca="1" si="166"/>
        <v>8553691.7313288003</v>
      </c>
      <c r="BR178" s="102">
        <f t="shared" ca="1" si="166"/>
        <v>9925424.2319848035</v>
      </c>
      <c r="BS178" s="102">
        <f t="shared" ca="1" si="166"/>
        <v>10654096.19326728</v>
      </c>
      <c r="BT178" s="102">
        <f t="shared" ca="1" si="166"/>
        <v>11943227.240035202</v>
      </c>
      <c r="BU178" s="102">
        <f t="shared" ca="1" si="166"/>
        <v>13388333.26941552</v>
      </c>
      <c r="BV178" s="102">
        <f t="shared" ca="1" si="166"/>
        <v>15008288.565018483</v>
      </c>
      <c r="BW178" s="102">
        <f t="shared" ca="1" si="166"/>
        <v>16824326.695905603</v>
      </c>
      <c r="BX178" s="102">
        <f t="shared" ca="1" si="166"/>
        <v>18860040.516589679</v>
      </c>
      <c r="BY178" s="102">
        <f t="shared" ca="1" si="166"/>
        <v>21142081.214575924</v>
      </c>
      <c r="BZ178" s="102">
        <f t="shared" ca="1" si="166"/>
        <v>23700245.691304561</v>
      </c>
    </row>
    <row r="179" spans="1:81" x14ac:dyDescent="0.25">
      <c r="C179" t="s">
        <v>130</v>
      </c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>
        <f t="shared" si="161"/>
        <v>0</v>
      </c>
      <c r="AI179">
        <f t="shared" si="165"/>
        <v>30.033565400000004</v>
      </c>
      <c r="AJ179">
        <f t="shared" si="165"/>
        <v>57.969301399999999</v>
      </c>
      <c r="AK179">
        <f t="shared" si="165"/>
        <v>41.951386799999995</v>
      </c>
      <c r="AL179">
        <f t="shared" si="165"/>
        <v>38.869523999999998</v>
      </c>
      <c r="AM179">
        <f t="shared" si="165"/>
        <v>42.462337080000005</v>
      </c>
      <c r="AN179">
        <f t="shared" si="165"/>
        <v>46.826545080000002</v>
      </c>
      <c r="AO179">
        <f t="shared" si="165"/>
        <v>49.684356560000005</v>
      </c>
      <c r="AP179">
        <f t="shared" si="165"/>
        <v>49.684356560000005</v>
      </c>
      <c r="AQ179">
        <f t="shared" si="165"/>
        <v>49.684356560000005</v>
      </c>
      <c r="AR179">
        <f t="shared" si="165"/>
        <v>49.684356560000005</v>
      </c>
      <c r="AS179">
        <f t="shared" si="165"/>
        <v>49.684356560000005</v>
      </c>
      <c r="AT179">
        <f t="shared" si="165"/>
        <v>49.684356560000005</v>
      </c>
      <c r="AU179">
        <f t="shared" si="165"/>
        <v>49.684356560000005</v>
      </c>
      <c r="AV179">
        <f t="shared" si="165"/>
        <v>49.684356560000005</v>
      </c>
      <c r="AW179" s="65"/>
      <c r="AX179" s="65"/>
      <c r="AY179" s="65"/>
      <c r="AZ179" s="65"/>
      <c r="BA179" s="65"/>
      <c r="BB179" s="65"/>
      <c r="BC179" s="65"/>
      <c r="BD179" s="65"/>
      <c r="BE179" s="65"/>
      <c r="BF179" s="65"/>
      <c r="BG179" s="65"/>
      <c r="BH179" s="65"/>
      <c r="BI179" s="65"/>
      <c r="BJ179" s="65"/>
      <c r="BK179" s="65"/>
      <c r="BL179" s="102">
        <f t="shared" si="163"/>
        <v>0</v>
      </c>
      <c r="BM179" s="102">
        <f t="shared" si="166"/>
        <v>1912897.8474568003</v>
      </c>
      <c r="BN179" s="102">
        <f t="shared" si="166"/>
        <v>4133269.1591214002</v>
      </c>
      <c r="BO179" s="102">
        <f t="shared" si="166"/>
        <v>3467911.3898219997</v>
      </c>
      <c r="BP179" s="102">
        <f t="shared" ca="1" si="166"/>
        <v>3762181.2279600003</v>
      </c>
      <c r="BQ179" s="102">
        <f t="shared" ca="1" si="166"/>
        <v>4602705.0277866004</v>
      </c>
      <c r="BR179" s="102">
        <f t="shared" ca="1" si="166"/>
        <v>5689940.3192158816</v>
      </c>
      <c r="BS179" s="102">
        <f t="shared" ca="1" si="166"/>
        <v>6767704.9444638407</v>
      </c>
      <c r="BT179" s="102">
        <f t="shared" ca="1" si="166"/>
        <v>7586602.509285761</v>
      </c>
      <c r="BU179" s="102">
        <f t="shared" ca="1" si="166"/>
        <v>8504570.6810883209</v>
      </c>
      <c r="BV179" s="102">
        <f t="shared" ca="1" si="166"/>
        <v>9533633.0741590392</v>
      </c>
      <c r="BW179" s="102">
        <f t="shared" ca="1" si="166"/>
        <v>10687204.464769121</v>
      </c>
      <c r="BX179" s="102">
        <f t="shared" ca="1" si="166"/>
        <v>11980339.212956239</v>
      </c>
      <c r="BY179" s="102">
        <f t="shared" ca="1" si="166"/>
        <v>13429979.684307359</v>
      </c>
      <c r="BZ179" s="102">
        <f t="shared" ca="1" si="166"/>
        <v>15055005.934315281</v>
      </c>
    </row>
    <row r="180" spans="1:81" x14ac:dyDescent="0.25">
      <c r="C180" s="166" t="s">
        <v>546</v>
      </c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>
        <f t="shared" si="161"/>
        <v>0</v>
      </c>
      <c r="AI180">
        <f t="shared" si="165"/>
        <v>0</v>
      </c>
      <c r="AJ180">
        <f t="shared" si="165"/>
        <v>0</v>
      </c>
      <c r="AK180">
        <f t="shared" si="165"/>
        <v>0</v>
      </c>
      <c r="AL180">
        <f t="shared" si="165"/>
        <v>0</v>
      </c>
      <c r="AM180">
        <f t="shared" si="165"/>
        <v>0</v>
      </c>
      <c r="AN180">
        <f t="shared" si="165"/>
        <v>227.67122000000006</v>
      </c>
      <c r="AO180">
        <f t="shared" si="165"/>
        <v>455.34244000000012</v>
      </c>
      <c r="AP180">
        <f t="shared" si="165"/>
        <v>455.34244000000012</v>
      </c>
      <c r="AQ180">
        <f t="shared" si="165"/>
        <v>455.34244000000012</v>
      </c>
      <c r="AR180">
        <f t="shared" si="165"/>
        <v>455.34244000000012</v>
      </c>
      <c r="AS180">
        <f t="shared" si="165"/>
        <v>455.34244000000012</v>
      </c>
      <c r="AT180">
        <f t="shared" si="165"/>
        <v>455.34244000000012</v>
      </c>
      <c r="AU180">
        <f t="shared" si="165"/>
        <v>455.34244000000012</v>
      </c>
      <c r="AV180">
        <f t="shared" si="165"/>
        <v>455.34244000000012</v>
      </c>
      <c r="AW180" s="65"/>
      <c r="AX180" s="65"/>
      <c r="AY180" s="65"/>
      <c r="AZ180" s="65"/>
      <c r="BA180" s="65"/>
      <c r="BB180" s="65"/>
      <c r="BC180" s="65"/>
      <c r="BD180" s="65"/>
      <c r="BE180" s="65"/>
      <c r="BF180" s="65"/>
      <c r="BG180" s="65"/>
      <c r="BH180" s="65"/>
      <c r="BI180" s="65"/>
      <c r="BJ180" s="65"/>
      <c r="BK180" s="65"/>
      <c r="BL180" s="102">
        <f t="shared" ref="BL180:BL185" si="167">SUMIF($C$6:$C$134,$C180,BL$6:BL$134)</f>
        <v>0</v>
      </c>
      <c r="BM180" s="102">
        <f t="shared" si="166"/>
        <v>0</v>
      </c>
      <c r="BN180" s="102">
        <f t="shared" si="166"/>
        <v>0</v>
      </c>
      <c r="BO180" s="102">
        <f t="shared" si="166"/>
        <v>0</v>
      </c>
      <c r="BP180" s="102">
        <f t="shared" si="166"/>
        <v>0</v>
      </c>
      <c r="BQ180" s="102">
        <f t="shared" si="166"/>
        <v>0</v>
      </c>
      <c r="BR180" s="102">
        <f t="shared" si="166"/>
        <v>810281.87198000017</v>
      </c>
      <c r="BS180" s="102">
        <f t="shared" si="166"/>
        <v>1816816.3356000003</v>
      </c>
      <c r="BT180" s="102">
        <f t="shared" si="166"/>
        <v>2036746.7341200004</v>
      </c>
      <c r="BU180" s="102">
        <f t="shared" si="166"/>
        <v>2283086.9941600007</v>
      </c>
      <c r="BV180" s="102">
        <f t="shared" si="166"/>
        <v>2559479.8552400004</v>
      </c>
      <c r="BW180" s="102">
        <f t="shared" si="166"/>
        <v>2869112.7144400002</v>
      </c>
      <c r="BX180" s="102">
        <f t="shared" si="166"/>
        <v>3216083.6537200008</v>
      </c>
      <c r="BY180" s="102">
        <f t="shared" si="166"/>
        <v>3605401.4399200007</v>
      </c>
      <c r="BZ180" s="102">
        <f t="shared" si="166"/>
        <v>4041619.497440001</v>
      </c>
    </row>
    <row r="181" spans="1:81" x14ac:dyDescent="0.25">
      <c r="C181" s="166" t="s">
        <v>547</v>
      </c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>
        <f t="shared" si="161"/>
        <v>0</v>
      </c>
      <c r="AI181">
        <f t="shared" si="165"/>
        <v>0</v>
      </c>
      <c r="AJ181">
        <f t="shared" si="165"/>
        <v>0</v>
      </c>
      <c r="AK181">
        <f t="shared" si="165"/>
        <v>0</v>
      </c>
      <c r="AL181">
        <f t="shared" si="165"/>
        <v>0</v>
      </c>
      <c r="AM181">
        <f t="shared" si="165"/>
        <v>0</v>
      </c>
      <c r="AN181">
        <f t="shared" si="165"/>
        <v>39.996000000000009</v>
      </c>
      <c r="AO181">
        <f t="shared" si="165"/>
        <v>79.992000000000019</v>
      </c>
      <c r="AP181">
        <f t="shared" si="165"/>
        <v>79.992000000000019</v>
      </c>
      <c r="AQ181">
        <f t="shared" si="165"/>
        <v>79.992000000000019</v>
      </c>
      <c r="AR181">
        <f t="shared" si="165"/>
        <v>79.992000000000019</v>
      </c>
      <c r="AS181">
        <f t="shared" si="165"/>
        <v>79.992000000000019</v>
      </c>
      <c r="AT181">
        <f t="shared" si="165"/>
        <v>79.992000000000019</v>
      </c>
      <c r="AU181">
        <f t="shared" si="165"/>
        <v>79.992000000000019</v>
      </c>
      <c r="AV181">
        <f t="shared" si="165"/>
        <v>79.992000000000019</v>
      </c>
      <c r="AW181" s="65"/>
      <c r="AX181" s="65"/>
      <c r="AY181" s="65"/>
      <c r="AZ181" s="65"/>
      <c r="BA181" s="65"/>
      <c r="BB181" s="65"/>
      <c r="BC181" s="65"/>
      <c r="BD181" s="65"/>
      <c r="BE181" s="65"/>
      <c r="BF181" s="65"/>
      <c r="BG181" s="65"/>
      <c r="BH181" s="65"/>
      <c r="BI181" s="65"/>
      <c r="BJ181" s="65"/>
      <c r="BK181" s="65"/>
      <c r="BL181" s="102">
        <f t="shared" si="167"/>
        <v>0</v>
      </c>
      <c r="BM181" s="102">
        <f t="shared" si="166"/>
        <v>0</v>
      </c>
      <c r="BN181" s="102">
        <f t="shared" si="166"/>
        <v>0</v>
      </c>
      <c r="BO181" s="102">
        <f t="shared" si="166"/>
        <v>0</v>
      </c>
      <c r="BP181" s="102">
        <f t="shared" si="166"/>
        <v>0</v>
      </c>
      <c r="BQ181" s="102">
        <f t="shared" si="166"/>
        <v>0</v>
      </c>
      <c r="BR181" s="102">
        <f t="shared" si="166"/>
        <v>189781.02000000008</v>
      </c>
      <c r="BS181" s="102">
        <f t="shared" si="166"/>
        <v>425477.44800000009</v>
      </c>
      <c r="BT181" s="102">
        <f t="shared" si="166"/>
        <v>476992.29600000009</v>
      </c>
      <c r="BU181" s="102">
        <f t="shared" si="166"/>
        <v>534746.52</v>
      </c>
      <c r="BV181" s="102">
        <f t="shared" si="166"/>
        <v>599460.04799999995</v>
      </c>
      <c r="BW181" s="102">
        <f t="shared" si="166"/>
        <v>672012.79200000025</v>
      </c>
      <c r="BX181" s="102">
        <f t="shared" si="166"/>
        <v>753364.65600000019</v>
      </c>
      <c r="BY181" s="102">
        <f t="shared" si="166"/>
        <v>844555.53600000008</v>
      </c>
      <c r="BZ181" s="102">
        <f t="shared" si="166"/>
        <v>946785.31200000027</v>
      </c>
    </row>
    <row r="182" spans="1:81" x14ac:dyDescent="0.25">
      <c r="C182" s="59" t="s">
        <v>146</v>
      </c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>
        <f>SUMIF($C$6:$C$70,$C182,AH$6:AH$70)</f>
        <v>0</v>
      </c>
      <c r="AI182">
        <f t="shared" si="165"/>
        <v>99.770724800000011</v>
      </c>
      <c r="AJ182">
        <f t="shared" si="165"/>
        <v>210.66754208</v>
      </c>
      <c r="AK182">
        <f t="shared" si="165"/>
        <v>158.76047419999998</v>
      </c>
      <c r="AL182">
        <f t="shared" si="165"/>
        <v>148.05905999999999</v>
      </c>
      <c r="AM182">
        <f t="shared" si="165"/>
        <v>160.64625180000002</v>
      </c>
      <c r="AN182">
        <f t="shared" si="165"/>
        <v>176.7814698</v>
      </c>
      <c r="AO182">
        <f t="shared" si="165"/>
        <v>192.22901288</v>
      </c>
      <c r="AP182">
        <f t="shared" si="165"/>
        <v>192.22901288</v>
      </c>
      <c r="AQ182">
        <f t="shared" si="165"/>
        <v>192.22901288</v>
      </c>
      <c r="AR182">
        <f t="shared" si="165"/>
        <v>192.22901288</v>
      </c>
      <c r="AS182">
        <f t="shared" si="165"/>
        <v>192.22901288</v>
      </c>
      <c r="AT182">
        <f t="shared" si="165"/>
        <v>192.22901288</v>
      </c>
      <c r="AU182">
        <f t="shared" si="165"/>
        <v>192.22901288</v>
      </c>
      <c r="AV182">
        <f t="shared" si="165"/>
        <v>192.22901288</v>
      </c>
      <c r="AW182" s="65"/>
      <c r="AX182" s="65"/>
      <c r="AY182" s="65"/>
      <c r="AZ182" s="65"/>
      <c r="BA182" s="65"/>
      <c r="BB182" s="65"/>
      <c r="BC182" s="65"/>
      <c r="BD182" s="65"/>
      <c r="BE182" s="65"/>
      <c r="BF182" s="65"/>
      <c r="BG182" s="65"/>
      <c r="BH182" s="65"/>
      <c r="BI182" s="65"/>
      <c r="BJ182" s="65"/>
      <c r="BK182" s="65"/>
      <c r="BL182" s="102">
        <f t="shared" si="167"/>
        <v>0</v>
      </c>
      <c r="BM182" s="102">
        <f t="shared" si="166"/>
        <v>886263.34839840012</v>
      </c>
      <c r="BN182" s="102">
        <f t="shared" si="166"/>
        <v>2478292.96502912</v>
      </c>
      <c r="BO182" s="102">
        <f t="shared" si="166"/>
        <v>2497778.5405885996</v>
      </c>
      <c r="BP182" s="102">
        <f t="shared" ca="1" si="166"/>
        <v>2842733.952</v>
      </c>
      <c r="BQ182" s="102">
        <f t="shared" ca="1" si="166"/>
        <v>3454215.7062035999</v>
      </c>
      <c r="BR182" s="102">
        <f t="shared" ca="1" si="166"/>
        <v>4261140.5480591999</v>
      </c>
      <c r="BS182" s="102">
        <f t="shared" ca="1" si="166"/>
        <v>5194220.15703048</v>
      </c>
      <c r="BT182" s="102">
        <f t="shared" ca="1" si="166"/>
        <v>5822809.0291480795</v>
      </c>
      <c r="BU182" s="102">
        <f t="shared" ca="1" si="166"/>
        <v>6527328.3613532791</v>
      </c>
      <c r="BV182" s="102">
        <f t="shared" ca="1" si="166"/>
        <v>7317197.3752771998</v>
      </c>
      <c r="BW182" s="102">
        <f t="shared" ca="1" si="166"/>
        <v>8202604.2086024797</v>
      </c>
      <c r="BX182" s="102">
        <f t="shared" ca="1" si="166"/>
        <v>9195082.6021019183</v>
      </c>
      <c r="BY182" s="102">
        <f t="shared" ca="1" si="166"/>
        <v>10307704.128651358</v>
      </c>
      <c r="BZ182" s="102">
        <f t="shared" ca="1" si="166"/>
        <v>11554885.9642168</v>
      </c>
    </row>
    <row r="183" spans="1:81" x14ac:dyDescent="0.25">
      <c r="C183" s="59" t="s">
        <v>147</v>
      </c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>
        <f>SUMIF($C$6:$C$70,$C183,AH$6:AH$70)</f>
        <v>0</v>
      </c>
      <c r="AI183">
        <f t="shared" si="165"/>
        <v>13.2167262</v>
      </c>
      <c r="AJ183">
        <f t="shared" si="165"/>
        <v>26.623358760000002</v>
      </c>
      <c r="AK183">
        <f t="shared" si="165"/>
        <v>21.396360399999999</v>
      </c>
      <c r="AL183">
        <f t="shared" si="165"/>
        <v>18.899498000000001</v>
      </c>
      <c r="AM183">
        <f t="shared" si="165"/>
        <v>21.24121006</v>
      </c>
      <c r="AN183">
        <f t="shared" si="165"/>
        <v>23.378233059999999</v>
      </c>
      <c r="AO183">
        <f t="shared" si="165"/>
        <v>25.72850304</v>
      </c>
      <c r="AP183">
        <f t="shared" si="165"/>
        <v>25.72850304</v>
      </c>
      <c r="AQ183">
        <f t="shared" si="165"/>
        <v>25.72850304</v>
      </c>
      <c r="AR183">
        <f t="shared" si="165"/>
        <v>25.72850304</v>
      </c>
      <c r="AS183">
        <f t="shared" si="165"/>
        <v>25.72850304</v>
      </c>
      <c r="AT183">
        <f t="shared" si="165"/>
        <v>25.72850304</v>
      </c>
      <c r="AU183">
        <f t="shared" si="165"/>
        <v>25.72850304</v>
      </c>
      <c r="AV183">
        <f t="shared" si="165"/>
        <v>25.72850304</v>
      </c>
      <c r="AW183" s="65"/>
      <c r="AX183" s="65"/>
      <c r="AY183" s="65"/>
      <c r="AZ183" s="65"/>
      <c r="BA183" s="65"/>
      <c r="BB183" s="65"/>
      <c r="BC183" s="65"/>
      <c r="BD183" s="65"/>
      <c r="BE183" s="65"/>
      <c r="BF183" s="65"/>
      <c r="BG183" s="65"/>
      <c r="BH183" s="65"/>
      <c r="BI183" s="65"/>
      <c r="BJ183" s="65"/>
      <c r="BK183" s="65"/>
      <c r="BL183" s="102">
        <f t="shared" si="167"/>
        <v>0</v>
      </c>
      <c r="BM183" s="102">
        <f t="shared" si="166"/>
        <v>448800.37157339999</v>
      </c>
      <c r="BN183" s="102">
        <f t="shared" si="166"/>
        <v>1336812.09005712</v>
      </c>
      <c r="BO183" s="102">
        <f t="shared" si="166"/>
        <v>1360401.9905924001</v>
      </c>
      <c r="BP183" s="102">
        <f t="shared" ca="1" si="166"/>
        <v>1557016.2432320002</v>
      </c>
      <c r="BQ183" s="102">
        <f t="shared" ca="1" si="166"/>
        <v>1959756.5225557201</v>
      </c>
      <c r="BR183" s="102">
        <f t="shared" ca="1" si="166"/>
        <v>2417917.13246356</v>
      </c>
      <c r="BS183" s="102">
        <f t="shared" ca="1" si="166"/>
        <v>2982988.3709606398</v>
      </c>
      <c r="BT183" s="102">
        <f t="shared" ca="1" si="166"/>
        <v>3343933.5401087999</v>
      </c>
      <c r="BU183" s="102">
        <f t="shared" ca="1" si="166"/>
        <v>3748539.9789158399</v>
      </c>
      <c r="BV183" s="102">
        <f t="shared" ca="1" si="166"/>
        <v>4202107.7590079997</v>
      </c>
      <c r="BW183" s="102">
        <f t="shared" ca="1" si="166"/>
        <v>4710554.43608448</v>
      </c>
      <c r="BX183" s="102">
        <f t="shared" ca="1" si="166"/>
        <v>5280543.6924326401</v>
      </c>
      <c r="BY183" s="102">
        <f t="shared" ca="1" si="166"/>
        <v>5919485.3369279988</v>
      </c>
      <c r="BZ183" s="102">
        <f t="shared" ca="1" si="166"/>
        <v>6635741.1330585601</v>
      </c>
    </row>
    <row r="184" spans="1:81" x14ac:dyDescent="0.25">
      <c r="C184" s="59" t="s">
        <v>148</v>
      </c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>
        <f>SUMIF($C$6:$C$70,$C184,AH$6:AH$70)</f>
        <v>0</v>
      </c>
      <c r="AI184">
        <f t="shared" si="165"/>
        <v>2.6461595999999998</v>
      </c>
      <c r="AJ184">
        <f t="shared" si="165"/>
        <v>5.4772050000000005</v>
      </c>
      <c r="AK184">
        <f t="shared" si="165"/>
        <v>3.2820594000000001</v>
      </c>
      <c r="AL184">
        <f t="shared" si="165"/>
        <v>2.904344</v>
      </c>
      <c r="AM184">
        <f t="shared" si="165"/>
        <v>3.2483216800000001</v>
      </c>
      <c r="AN184">
        <f t="shared" si="165"/>
        <v>3.5656256800000001</v>
      </c>
      <c r="AO184">
        <f t="shared" si="165"/>
        <v>7.3809860800000004</v>
      </c>
      <c r="AP184">
        <f t="shared" si="165"/>
        <v>7.3809860800000004</v>
      </c>
      <c r="AQ184">
        <f t="shared" si="165"/>
        <v>7.3809860800000004</v>
      </c>
      <c r="AR184">
        <f t="shared" si="165"/>
        <v>7.3809860800000004</v>
      </c>
      <c r="AS184">
        <f t="shared" si="165"/>
        <v>7.3809860800000013</v>
      </c>
      <c r="AT184">
        <f t="shared" si="165"/>
        <v>7.3809860800000004</v>
      </c>
      <c r="AU184">
        <f t="shared" si="165"/>
        <v>7.3809860800000004</v>
      </c>
      <c r="AV184">
        <f t="shared" si="165"/>
        <v>7.3809860800000004</v>
      </c>
      <c r="AW184" s="65"/>
      <c r="AX184" s="65"/>
      <c r="AY184" s="65"/>
      <c r="AZ184" s="65"/>
      <c r="BA184" s="65"/>
      <c r="BB184" s="65"/>
      <c r="BC184" s="65"/>
      <c r="BD184" s="65"/>
      <c r="BE184" s="65"/>
      <c r="BF184" s="65"/>
      <c r="BG184" s="65"/>
      <c r="BH184" s="65"/>
      <c r="BI184" s="65"/>
      <c r="BJ184" s="65"/>
      <c r="BK184" s="65"/>
      <c r="BL184" s="102">
        <f t="shared" si="167"/>
        <v>0</v>
      </c>
      <c r="BM184" s="102">
        <f t="shared" si="166"/>
        <v>85404.801090000008</v>
      </c>
      <c r="BN184" s="102">
        <f t="shared" si="166"/>
        <v>250111.08912000002</v>
      </c>
      <c r="BO184" s="102">
        <f t="shared" si="166"/>
        <v>164526.35566259999</v>
      </c>
      <c r="BP184" s="102">
        <f t="shared" ca="1" si="166"/>
        <v>219248.92856000003</v>
      </c>
      <c r="BQ184" s="102">
        <f t="shared" ca="1" si="166"/>
        <v>274616.36314888002</v>
      </c>
      <c r="BR184" s="102">
        <f t="shared" ca="1" si="166"/>
        <v>337914.34569360007</v>
      </c>
      <c r="BS184" s="102">
        <f t="shared" ca="1" si="166"/>
        <v>784133.81818096014</v>
      </c>
      <c r="BT184" s="102">
        <f t="shared" ca="1" si="166"/>
        <v>879016.39423936012</v>
      </c>
      <c r="BU184" s="102">
        <f t="shared" ca="1" si="166"/>
        <v>985376.40365216008</v>
      </c>
      <c r="BV184" s="102">
        <f t="shared" ca="1" si="166"/>
        <v>1104608.8527884802</v>
      </c>
      <c r="BW184" s="102">
        <f t="shared" ca="1" si="166"/>
        <v>1238263.74872512</v>
      </c>
      <c r="BX184" s="102">
        <f t="shared" ca="1" si="166"/>
        <v>1388090.3851630401</v>
      </c>
      <c r="BY184" s="102">
        <f t="shared" ca="1" si="166"/>
        <v>1556052.1043995202</v>
      </c>
      <c r="BZ184" s="102">
        <f t="shared" ca="1" si="166"/>
        <v>1744333.6783142406</v>
      </c>
    </row>
    <row r="185" spans="1:81" x14ac:dyDescent="0.25">
      <c r="C185" s="59" t="s">
        <v>149</v>
      </c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>
        <f>SUMIF($C$6:$C$70,$C185,AH$6:AH$70)</f>
        <v>0</v>
      </c>
      <c r="AI185">
        <f t="shared" si="165"/>
        <v>57.756196000000003</v>
      </c>
      <c r="AJ185">
        <f t="shared" si="165"/>
        <v>104.82179804</v>
      </c>
      <c r="AK185">
        <f t="shared" si="165"/>
        <v>76.631118399999991</v>
      </c>
      <c r="AL185">
        <f t="shared" si="165"/>
        <v>73.987439999999992</v>
      </c>
      <c r="AM185">
        <f t="shared" si="165"/>
        <v>78.523288800000003</v>
      </c>
      <c r="AN185">
        <f t="shared" si="165"/>
        <v>99.112588800000012</v>
      </c>
      <c r="AO185">
        <f t="shared" si="165"/>
        <v>118.6923712</v>
      </c>
      <c r="AP185">
        <f t="shared" si="165"/>
        <v>118.6923712</v>
      </c>
      <c r="AQ185">
        <f t="shared" si="165"/>
        <v>118.6923712</v>
      </c>
      <c r="AR185">
        <f t="shared" si="165"/>
        <v>118.6923712</v>
      </c>
      <c r="AS185">
        <f t="shared" si="165"/>
        <v>118.69237120000003</v>
      </c>
      <c r="AT185">
        <f t="shared" si="165"/>
        <v>118.6923712</v>
      </c>
      <c r="AU185">
        <f t="shared" si="165"/>
        <v>118.6923712</v>
      </c>
      <c r="AV185">
        <f t="shared" si="165"/>
        <v>118.6923712</v>
      </c>
      <c r="AW185" s="65"/>
      <c r="AX185" s="65"/>
      <c r="AY185" s="65"/>
      <c r="AZ185" s="65"/>
      <c r="BA185" s="65"/>
      <c r="BB185" s="65"/>
      <c r="BC185" s="65"/>
      <c r="BD185" s="65"/>
      <c r="BE185" s="65"/>
      <c r="BF185" s="65"/>
      <c r="BG185" s="65"/>
      <c r="BH185" s="65"/>
      <c r="BI185" s="65"/>
      <c r="BJ185" s="65"/>
      <c r="BK185" s="65"/>
      <c r="BL185" s="102">
        <f t="shared" si="167"/>
        <v>0</v>
      </c>
      <c r="BM185" s="102">
        <f t="shared" si="166"/>
        <v>575771.51792400004</v>
      </c>
      <c r="BN185" s="102">
        <f t="shared" si="166"/>
        <v>1563417.1177666001</v>
      </c>
      <c r="BO185" s="102">
        <f t="shared" si="166"/>
        <v>1268015.1161647998</v>
      </c>
      <c r="BP185" s="102">
        <f t="shared" ca="1" si="166"/>
        <v>1303436.7304799999</v>
      </c>
      <c r="BQ185" s="102">
        <f t="shared" ca="1" si="166"/>
        <v>1549185.9647352002</v>
      </c>
      <c r="BR185" s="102">
        <f t="shared" ca="1" si="166"/>
        <v>2191974.0139008001</v>
      </c>
      <c r="BS185" s="102">
        <f t="shared" ca="1" si="166"/>
        <v>2942621.2667904003</v>
      </c>
      <c r="BT185" s="102">
        <f t="shared" ca="1" si="166"/>
        <v>3298698.3803904005</v>
      </c>
      <c r="BU185" s="102">
        <f t="shared" ca="1" si="166"/>
        <v>3697860.8247360005</v>
      </c>
      <c r="BV185" s="102">
        <f t="shared" ca="1" si="166"/>
        <v>4145331.0641600005</v>
      </c>
      <c r="BW185" s="102">
        <f t="shared" ca="1" si="166"/>
        <v>4646925.0248512002</v>
      </c>
      <c r="BX185" s="102">
        <f t="shared" ca="1" si="166"/>
        <v>5209170.7872255994</v>
      </c>
      <c r="BY185" s="102">
        <f t="shared" ca="1" si="166"/>
        <v>5839427.2782976013</v>
      </c>
      <c r="BZ185" s="102">
        <f t="shared" ca="1" si="166"/>
        <v>6546002.9640512001</v>
      </c>
    </row>
    <row r="187" spans="1:81" s="66" customFormat="1" ht="18.75" x14ac:dyDescent="0.3">
      <c r="C187" s="67" t="s">
        <v>114</v>
      </c>
      <c r="AH187" s="66">
        <f t="shared" ref="AH187:AS187" si="168">SUM(AH170:AH186)</f>
        <v>0</v>
      </c>
      <c r="AI187" s="66">
        <f t="shared" si="168"/>
        <v>678.38109180000015</v>
      </c>
      <c r="AJ187" s="66">
        <f t="shared" si="168"/>
        <v>1483.2297103599999</v>
      </c>
      <c r="AK187" s="66">
        <f t="shared" si="168"/>
        <v>1125.4071104</v>
      </c>
      <c r="AL187" s="66">
        <f t="shared" si="168"/>
        <v>1075.8235300000001</v>
      </c>
      <c r="AM187" s="66">
        <f t="shared" si="168"/>
        <v>1164.7538890999999</v>
      </c>
      <c r="AN187" s="66">
        <f t="shared" si="168"/>
        <v>1561.6458541000002</v>
      </c>
      <c r="AO187" s="66">
        <f t="shared" si="168"/>
        <v>1893.6984027591652</v>
      </c>
      <c r="AP187" s="66">
        <f t="shared" si="168"/>
        <v>1893.6984027591652</v>
      </c>
      <c r="AQ187" s="66">
        <f t="shared" si="168"/>
        <v>1893.6984027591652</v>
      </c>
      <c r="AR187" s="66">
        <f t="shared" si="168"/>
        <v>1893.6984027591652</v>
      </c>
      <c r="AS187" s="66">
        <f t="shared" si="168"/>
        <v>1893.6984027591652</v>
      </c>
      <c r="AT187" s="66">
        <f t="shared" ref="AT187:AV187" si="169">SUM(AT170:AT186)</f>
        <v>1893.6984027591652</v>
      </c>
      <c r="AU187" s="66">
        <f t="shared" si="169"/>
        <v>1893.6984027591652</v>
      </c>
      <c r="AV187" s="66">
        <f t="shared" si="169"/>
        <v>1893.6984027591652</v>
      </c>
      <c r="BL187" s="66">
        <f>SUM(BL170:BL186)</f>
        <v>0</v>
      </c>
      <c r="BM187" s="103">
        <f>SUM(BM170:BM186)</f>
        <v>49932845.969108209</v>
      </c>
      <c r="BN187" s="103">
        <f>SUM(BN170:BN186)</f>
        <v>119226396.35658875</v>
      </c>
      <c r="BO187" s="103">
        <f ca="1">SUM(BO170:BO186)</f>
        <v>102579936.27271442</v>
      </c>
      <c r="BP187" s="103">
        <f ca="1">SUM(BP170:BP186)</f>
        <v>105825599.83101001</v>
      </c>
      <c r="BQ187" s="103">
        <f t="shared" ref="BQ187:BW187" ca="1" si="170">SUM(BQ170:BQ186)</f>
        <v>127534882.86195582</v>
      </c>
      <c r="BR187" s="103">
        <f t="shared" ca="1" si="170"/>
        <v>170796621.89126763</v>
      </c>
      <c r="BS187" s="103">
        <f t="shared" ca="1" si="170"/>
        <v>217216269.07105991</v>
      </c>
      <c r="BT187" s="103">
        <f t="shared" ca="1" si="170"/>
        <v>243741286.17754769</v>
      </c>
      <c r="BU187" s="103">
        <f t="shared" ca="1" si="170"/>
        <v>273535093.01970583</v>
      </c>
      <c r="BV187" s="103">
        <f t="shared" ca="1" si="170"/>
        <v>307007871.80476075</v>
      </c>
      <c r="BW187" s="103">
        <f t="shared" ca="1" si="170"/>
        <v>344621416.59098732</v>
      </c>
      <c r="BX187" s="103">
        <f t="shared" ref="BX187:BZ187" ca="1" si="171">SUM(BX170:BX186)</f>
        <v>386897103.49099946</v>
      </c>
      <c r="BY187" s="103">
        <f t="shared" ca="1" si="171"/>
        <v>434425411.19568729</v>
      </c>
      <c r="BZ187" s="103">
        <f t="shared" ca="1" si="171"/>
        <v>487872536.22150195</v>
      </c>
      <c r="CA187" s="64"/>
    </row>
    <row r="189" spans="1:81" ht="20.25" x14ac:dyDescent="0.3">
      <c r="A189" s="68" t="s">
        <v>156</v>
      </c>
      <c r="B189" s="68"/>
    </row>
    <row r="190" spans="1:81" x14ac:dyDescent="0.25">
      <c r="A190" t="str">
        <f>+turnover!A14</f>
        <v>ammofos</v>
      </c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  <c r="AU190" s="65"/>
      <c r="AV190" s="65"/>
      <c r="AW190" s="65"/>
      <c r="AX190" s="65"/>
      <c r="AY190" s="65"/>
      <c r="AZ190" s="65"/>
      <c r="BA190" s="65"/>
      <c r="BB190" s="65"/>
      <c r="BC190" s="65"/>
      <c r="BD190" s="65"/>
      <c r="BE190" s="65"/>
      <c r="BF190" s="65"/>
      <c r="BG190" s="65"/>
      <c r="BH190" s="65"/>
      <c r="BI190" s="65"/>
      <c r="BJ190" s="65"/>
      <c r="BK190" s="65"/>
      <c r="BL190" s="102">
        <f t="shared" ref="BL190:BL200" si="172">SUMIF($A$6:$A$70,$A190,BL$6:BL$70)</f>
        <v>0</v>
      </c>
      <c r="BM190" s="102">
        <f>SUMIF($A$6:$A$166,$A190,BM$6:BM$166)</f>
        <v>26936483.050609007</v>
      </c>
      <c r="BN190" s="102">
        <f t="shared" ref="BN190:BZ190" si="173">SUMIF($A$6:$A$166,$A190,BN$6:BN$166)</f>
        <v>65149778.990828469</v>
      </c>
      <c r="BO190" s="102">
        <f t="shared" ca="1" si="173"/>
        <v>46388342.159431204</v>
      </c>
      <c r="BP190" s="102">
        <f t="shared" ca="1" si="173"/>
        <v>56683648.436250001</v>
      </c>
      <c r="BQ190" s="102">
        <f t="shared" ca="1" si="173"/>
        <v>59014185.516934723</v>
      </c>
      <c r="BR190" s="102">
        <f t="shared" ca="1" si="173"/>
        <v>60532295.097309545</v>
      </c>
      <c r="BS190" s="102">
        <f t="shared" ca="1" si="173"/>
        <v>59283513.278776929</v>
      </c>
      <c r="BT190" s="102">
        <f t="shared" ca="1" si="173"/>
        <v>66541608.851387613</v>
      </c>
      <c r="BU190" s="102">
        <f t="shared" ca="1" si="173"/>
        <v>74698806.03695403</v>
      </c>
      <c r="BV190" s="102">
        <f t="shared" ca="1" si="173"/>
        <v>83868868.232689723</v>
      </c>
      <c r="BW190" s="102">
        <f t="shared" ca="1" si="173"/>
        <v>94180340.604466885</v>
      </c>
      <c r="BX190" s="102">
        <f t="shared" ca="1" si="173"/>
        <v>105778444.95239362</v>
      </c>
      <c r="BY190" s="102">
        <f t="shared" ca="1" si="173"/>
        <v>118827945.17269877</v>
      </c>
      <c r="BZ190" s="102">
        <f t="shared" ca="1" si="173"/>
        <v>133515404.99495579</v>
      </c>
      <c r="CB190" s="406"/>
      <c r="CC190" s="406"/>
    </row>
    <row r="191" spans="1:81" x14ac:dyDescent="0.25">
      <c r="A191" t="str">
        <f>+turnover!A15</f>
        <v>suprefos</v>
      </c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  <c r="AP191" s="65"/>
      <c r="AQ191" s="65"/>
      <c r="AR191" s="65"/>
      <c r="AS191" s="65"/>
      <c r="AT191" s="65"/>
      <c r="AU191" s="65"/>
      <c r="AV191" s="65"/>
      <c r="AW191" s="65"/>
      <c r="AX191" s="65"/>
      <c r="AY191" s="65"/>
      <c r="AZ191" s="65"/>
      <c r="BA191" s="65"/>
      <c r="BB191" s="65"/>
      <c r="BC191" s="65"/>
      <c r="BD191" s="65"/>
      <c r="BE191" s="65"/>
      <c r="BF191" s="65"/>
      <c r="BG191" s="65"/>
      <c r="BH191" s="65"/>
      <c r="BI191" s="65"/>
      <c r="BJ191" s="65"/>
      <c r="BK191" s="65"/>
      <c r="BL191" s="102">
        <f t="shared" si="172"/>
        <v>0</v>
      </c>
      <c r="BM191" s="102">
        <f t="shared" ref="BM191:BZ200" si="174">SUMIF($A$6:$A$166,$A191,BM$6:BM$166)</f>
        <v>22996362.918499198</v>
      </c>
      <c r="BN191" s="102">
        <f t="shared" si="174"/>
        <v>47489981.968254492</v>
      </c>
      <c r="BO191" s="102">
        <f t="shared" ca="1" si="174"/>
        <v>56191594.113283187</v>
      </c>
      <c r="BP191" s="102">
        <f t="shared" ca="1" si="174"/>
        <v>49141951.394759998</v>
      </c>
      <c r="BQ191" s="102">
        <f t="shared" ca="1" si="174"/>
        <v>68520697.345021099</v>
      </c>
      <c r="BR191" s="102">
        <f t="shared" ca="1" si="174"/>
        <v>72697417.466582924</v>
      </c>
      <c r="BS191" s="102">
        <f t="shared" ca="1" si="174"/>
        <v>73635426.497309372</v>
      </c>
      <c r="BT191" s="102">
        <f t="shared" ca="1" si="174"/>
        <v>82637531.76152283</v>
      </c>
      <c r="BU191" s="102">
        <f t="shared" ca="1" si="174"/>
        <v>92751572.908766523</v>
      </c>
      <c r="BV191" s="102">
        <f t="shared" ca="1" si="174"/>
        <v>104117529.14392032</v>
      </c>
      <c r="BW191" s="102">
        <f t="shared" ca="1" si="174"/>
        <v>116893396.54185486</v>
      </c>
      <c r="BX191" s="102">
        <f t="shared" ca="1" si="174"/>
        <v>131257505.88499981</v>
      </c>
      <c r="BY191" s="102">
        <f t="shared" ca="1" si="174"/>
        <v>147411882.29276794</v>
      </c>
      <c r="BZ191" s="102">
        <f t="shared" ca="1" si="174"/>
        <v>165585082.14844626</v>
      </c>
      <c r="CB191" s="406"/>
      <c r="CC191" s="406"/>
    </row>
    <row r="192" spans="1:81" x14ac:dyDescent="0.25">
      <c r="A192" t="str">
        <f>+turnover!A16</f>
        <v>ASP</v>
      </c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  <c r="AP192" s="65"/>
      <c r="AQ192" s="65"/>
      <c r="AR192" s="65"/>
      <c r="AS192" s="65"/>
      <c r="AT192" s="65"/>
      <c r="AU192" s="65"/>
      <c r="AV192" s="65"/>
      <c r="AW192" s="65"/>
      <c r="AX192" s="65"/>
      <c r="AY192" s="65"/>
      <c r="AZ192" s="65"/>
      <c r="BA192" s="65"/>
      <c r="BB192" s="65"/>
      <c r="BC192" s="65"/>
      <c r="BD192" s="65"/>
      <c r="BE192" s="65"/>
      <c r="BF192" s="65"/>
      <c r="BG192" s="65"/>
      <c r="BH192" s="65"/>
      <c r="BI192" s="65"/>
      <c r="BJ192" s="65"/>
      <c r="BK192" s="65"/>
      <c r="BL192" s="102">
        <f t="shared" si="172"/>
        <v>0</v>
      </c>
      <c r="BM192" s="102">
        <f t="shared" si="174"/>
        <v>0</v>
      </c>
      <c r="BN192" s="102">
        <f t="shared" si="174"/>
        <v>0</v>
      </c>
      <c r="BO192" s="102">
        <f t="shared" ca="1" si="174"/>
        <v>0</v>
      </c>
      <c r="BP192" s="102">
        <f t="shared" ca="1" si="174"/>
        <v>0</v>
      </c>
      <c r="BQ192" s="102">
        <f t="shared" ca="1" si="174"/>
        <v>0</v>
      </c>
      <c r="BR192" s="102">
        <f t="shared" ca="1" si="174"/>
        <v>0</v>
      </c>
      <c r="BS192" s="102">
        <f t="shared" ca="1" si="174"/>
        <v>0</v>
      </c>
      <c r="BT192" s="102">
        <f t="shared" ca="1" si="174"/>
        <v>0</v>
      </c>
      <c r="BU192" s="102">
        <f t="shared" ca="1" si="174"/>
        <v>0</v>
      </c>
      <c r="BV192" s="102">
        <f t="shared" ca="1" si="174"/>
        <v>0</v>
      </c>
      <c r="BW192" s="102">
        <f t="shared" ca="1" si="174"/>
        <v>0</v>
      </c>
      <c r="BX192" s="102">
        <f t="shared" ca="1" si="174"/>
        <v>0</v>
      </c>
      <c r="BY192" s="102">
        <f t="shared" ca="1" si="174"/>
        <v>0</v>
      </c>
      <c r="BZ192" s="102">
        <f t="shared" ca="1" si="174"/>
        <v>0</v>
      </c>
      <c r="CB192" s="406"/>
      <c r="CC192" s="406"/>
    </row>
    <row r="193" spans="1:87" x14ac:dyDescent="0.25">
      <c r="A193" t="str">
        <f>+turnover!A17</f>
        <v>MAP</v>
      </c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  <c r="AP193" s="65"/>
      <c r="AQ193" s="65"/>
      <c r="AR193" s="65"/>
      <c r="AS193" s="65"/>
      <c r="AT193" s="65"/>
      <c r="AU193" s="65"/>
      <c r="AV193" s="65"/>
      <c r="AW193" s="65"/>
      <c r="AX193" s="65"/>
      <c r="AY193" s="65"/>
      <c r="AZ193" s="65"/>
      <c r="BA193" s="65"/>
      <c r="BB193" s="65"/>
      <c r="BC193" s="65"/>
      <c r="BD193" s="65"/>
      <c r="BE193" s="65"/>
      <c r="BF193" s="65"/>
      <c r="BG193" s="65"/>
      <c r="BH193" s="65"/>
      <c r="BI193" s="65"/>
      <c r="BJ193" s="65"/>
      <c r="BK193" s="65"/>
      <c r="BL193" s="102">
        <f t="shared" si="172"/>
        <v>0</v>
      </c>
      <c r="BM193" s="102">
        <f t="shared" si="174"/>
        <v>0</v>
      </c>
      <c r="BN193" s="102">
        <f t="shared" si="174"/>
        <v>6586635.3975058021</v>
      </c>
      <c r="BO193" s="102">
        <f t="shared" ca="1" si="174"/>
        <v>0</v>
      </c>
      <c r="BP193" s="102">
        <f t="shared" ca="1" si="174"/>
        <v>0</v>
      </c>
      <c r="BQ193" s="102">
        <f t="shared" ca="1" si="174"/>
        <v>0</v>
      </c>
      <c r="BR193" s="102">
        <f t="shared" ca="1" si="174"/>
        <v>0</v>
      </c>
      <c r="BS193" s="102">
        <f t="shared" ca="1" si="174"/>
        <v>0</v>
      </c>
      <c r="BT193" s="102">
        <f t="shared" ca="1" si="174"/>
        <v>0</v>
      </c>
      <c r="BU193" s="102">
        <f t="shared" ca="1" si="174"/>
        <v>0</v>
      </c>
      <c r="BV193" s="102">
        <f t="shared" ca="1" si="174"/>
        <v>0</v>
      </c>
      <c r="BW193" s="102">
        <f t="shared" ca="1" si="174"/>
        <v>0</v>
      </c>
      <c r="BX193" s="102">
        <f t="shared" ca="1" si="174"/>
        <v>0</v>
      </c>
      <c r="BY193" s="102">
        <f t="shared" ca="1" si="174"/>
        <v>0</v>
      </c>
      <c r="BZ193" s="102">
        <f t="shared" ca="1" si="174"/>
        <v>0</v>
      </c>
      <c r="CB193" s="406"/>
      <c r="CC193" s="406"/>
    </row>
    <row r="194" spans="1:87" x14ac:dyDescent="0.25">
      <c r="A194" t="str">
        <f>+turnover!A18</f>
        <v>SA</v>
      </c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  <c r="AP194" s="65"/>
      <c r="AQ194" s="65"/>
      <c r="AR194" s="65"/>
      <c r="AS194" s="65"/>
      <c r="AT194" s="65"/>
      <c r="AU194" s="65"/>
      <c r="AV194" s="65"/>
      <c r="AW194" s="65"/>
      <c r="AX194" s="65"/>
      <c r="AY194" s="65"/>
      <c r="AZ194" s="65"/>
      <c r="BA194" s="65"/>
      <c r="BB194" s="65"/>
      <c r="BC194" s="65"/>
      <c r="BD194" s="65"/>
      <c r="BE194" s="65"/>
      <c r="BF194" s="65"/>
      <c r="BG194" s="65"/>
      <c r="BH194" s="65"/>
      <c r="BI194" s="65"/>
      <c r="BJ194" s="65"/>
      <c r="BK194" s="65"/>
      <c r="BL194" s="102">
        <f t="shared" si="172"/>
        <v>0</v>
      </c>
      <c r="BM194" s="102">
        <f t="shared" si="174"/>
        <v>0</v>
      </c>
      <c r="BN194" s="102">
        <f t="shared" si="174"/>
        <v>0</v>
      </c>
      <c r="BO194" s="102">
        <f t="shared" ca="1" si="174"/>
        <v>0</v>
      </c>
      <c r="BP194" s="102">
        <f t="shared" ca="1" si="174"/>
        <v>0</v>
      </c>
      <c r="BQ194" s="102">
        <f t="shared" ca="1" si="174"/>
        <v>0</v>
      </c>
      <c r="BR194" s="102">
        <f t="shared" ca="1" si="174"/>
        <v>0</v>
      </c>
      <c r="BS194" s="102">
        <f t="shared" ca="1" si="174"/>
        <v>0</v>
      </c>
      <c r="BT194" s="102">
        <f t="shared" ca="1" si="174"/>
        <v>0</v>
      </c>
      <c r="BU194" s="102">
        <f t="shared" ca="1" si="174"/>
        <v>0</v>
      </c>
      <c r="BV194" s="102">
        <f t="shared" ca="1" si="174"/>
        <v>0</v>
      </c>
      <c r="BW194" s="102">
        <f t="shared" ca="1" si="174"/>
        <v>0</v>
      </c>
      <c r="BX194" s="102">
        <f t="shared" ca="1" si="174"/>
        <v>0</v>
      </c>
      <c r="BY194" s="102">
        <f t="shared" ca="1" si="174"/>
        <v>0</v>
      </c>
      <c r="BZ194" s="102">
        <f t="shared" ca="1" si="174"/>
        <v>0</v>
      </c>
      <c r="CB194" s="406"/>
      <c r="CC194" s="406"/>
    </row>
    <row r="195" spans="1:87" x14ac:dyDescent="0.25">
      <c r="A195" t="str">
        <f>+turnover!A19</f>
        <v>NPK 15-15-15</v>
      </c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  <c r="AP195" s="65"/>
      <c r="AQ195" s="65"/>
      <c r="AR195" s="65"/>
      <c r="AS195" s="65"/>
      <c r="AT195" s="65"/>
      <c r="AU195" s="65"/>
      <c r="AV195" s="65"/>
      <c r="AW195" s="65"/>
      <c r="AX195" s="65"/>
      <c r="AY195" s="65"/>
      <c r="AZ195" s="65"/>
      <c r="BA195" s="65"/>
      <c r="BB195" s="65"/>
      <c r="BC195" s="65"/>
      <c r="BD195" s="65"/>
      <c r="BE195" s="65"/>
      <c r="BF195" s="65"/>
      <c r="BG195" s="65"/>
      <c r="BH195" s="65"/>
      <c r="BI195" s="65"/>
      <c r="BJ195" s="65"/>
      <c r="BK195" s="65"/>
      <c r="BL195" s="102">
        <f t="shared" si="172"/>
        <v>0</v>
      </c>
      <c r="BM195" s="102">
        <f t="shared" si="174"/>
        <v>0</v>
      </c>
      <c r="BN195" s="102">
        <f t="shared" si="174"/>
        <v>0</v>
      </c>
      <c r="BO195" s="102">
        <f t="shared" ca="1" si="174"/>
        <v>0</v>
      </c>
      <c r="BP195" s="102">
        <f t="shared" ca="1" si="174"/>
        <v>0</v>
      </c>
      <c r="BQ195" s="102">
        <f t="shared" ca="1" si="174"/>
        <v>0</v>
      </c>
      <c r="BR195" s="102">
        <f t="shared" ca="1" si="174"/>
        <v>3425502.6241689478</v>
      </c>
      <c r="BS195" s="102">
        <f t="shared" ca="1" si="174"/>
        <v>7686908.8845900102</v>
      </c>
      <c r="BT195" s="102">
        <f t="shared" ca="1" si="174"/>
        <v>8623240.4576765839</v>
      </c>
      <c r="BU195" s="102">
        <f t="shared" ca="1" si="174"/>
        <v>9674375.7601999063</v>
      </c>
      <c r="BV195" s="102">
        <f t="shared" ca="1" si="174"/>
        <v>10854610.058345504</v>
      </c>
      <c r="BW195" s="102">
        <f t="shared" ca="1" si="174"/>
        <v>12179964.473064138</v>
      </c>
      <c r="BX195" s="102">
        <f t="shared" ca="1" si="174"/>
        <v>13668525.308530698</v>
      </c>
      <c r="BY195" s="102">
        <f t="shared" ca="1" si="174"/>
        <v>15340748.632195873</v>
      </c>
      <c r="BZ195" s="102">
        <f t="shared" ca="1" si="174"/>
        <v>17219605.835380275</v>
      </c>
      <c r="CB195" s="102">
        <f ca="1">+BQ195/Assumptions!H$6</f>
        <v>0</v>
      </c>
      <c r="CC195" s="102">
        <f ca="1">+BR195/Assumptions!I$6</f>
        <v>1497.8803726306126</v>
      </c>
      <c r="CD195" s="102">
        <f ca="1">+BS195/Assumptions!J$6</f>
        <v>3055.7081577641866</v>
      </c>
      <c r="CE195" s="102">
        <f ca="1">+BT195/Assumptions!K$6</f>
        <v>3116.2906145193419</v>
      </c>
      <c r="CF195" s="102">
        <f ca="1">+BU195/Assumptions!L$6</f>
        <v>3178.3207390448383</v>
      </c>
      <c r="CG195" s="102">
        <f ca="1">+BV195/Assumptions!M$6</f>
        <v>3241.8753432992316</v>
      </c>
      <c r="CH195" s="102">
        <f ca="1">+BW195/Assumptions!N$6</f>
        <v>3307.0093381557949</v>
      </c>
      <c r="CI195" s="102"/>
    </row>
    <row r="196" spans="1:87" x14ac:dyDescent="0.25">
      <c r="A196" t="str">
        <f>+turnover!A20</f>
        <v>NPK 16-16-16</v>
      </c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  <c r="AP196" s="65"/>
      <c r="AQ196" s="65"/>
      <c r="AR196" s="65"/>
      <c r="AS196" s="65"/>
      <c r="AT196" s="65"/>
      <c r="AU196" s="65"/>
      <c r="AV196" s="65"/>
      <c r="AW196" s="65"/>
      <c r="AX196" s="65"/>
      <c r="AY196" s="65"/>
      <c r="AZ196" s="65"/>
      <c r="BA196" s="65"/>
      <c r="BB196" s="65"/>
      <c r="BC196" s="65"/>
      <c r="BD196" s="65"/>
      <c r="BE196" s="65"/>
      <c r="BF196" s="65"/>
      <c r="BG196" s="65"/>
      <c r="BH196" s="65"/>
      <c r="BI196" s="65"/>
      <c r="BJ196" s="65"/>
      <c r="BK196" s="65"/>
      <c r="BL196" s="102">
        <f t="shared" si="172"/>
        <v>0</v>
      </c>
      <c r="BM196" s="102">
        <f t="shared" si="174"/>
        <v>0</v>
      </c>
      <c r="BN196" s="102">
        <f t="shared" si="174"/>
        <v>0</v>
      </c>
      <c r="BO196" s="102">
        <f t="shared" ca="1" si="174"/>
        <v>0</v>
      </c>
      <c r="BP196" s="102">
        <f t="shared" ca="1" si="174"/>
        <v>0</v>
      </c>
      <c r="BQ196" s="102">
        <f t="shared" ca="1" si="174"/>
        <v>0</v>
      </c>
      <c r="BR196" s="102">
        <f t="shared" ca="1" si="174"/>
        <v>25391352.255309638</v>
      </c>
      <c r="BS196" s="102">
        <f t="shared" ca="1" si="174"/>
        <v>56976700.029565245</v>
      </c>
      <c r="BT196" s="102">
        <f t="shared" ca="1" si="174"/>
        <v>63915073.202378809</v>
      </c>
      <c r="BU196" s="102">
        <f t="shared" ca="1" si="174"/>
        <v>71703701.368850335</v>
      </c>
      <c r="BV196" s="102">
        <f t="shared" ca="1" si="174"/>
        <v>80448352.185848951</v>
      </c>
      <c r="BW196" s="102">
        <f t="shared" ca="1" si="174"/>
        <v>90267536.67451185</v>
      </c>
      <c r="BX196" s="102">
        <f t="shared" ca="1" si="174"/>
        <v>101295018.27289951</v>
      </c>
      <c r="BY196" s="102">
        <f t="shared" ca="1" si="174"/>
        <v>113682052.3168043</v>
      </c>
      <c r="BZ196" s="102">
        <f t="shared" ca="1" si="174"/>
        <v>127598444.68780372</v>
      </c>
      <c r="CB196" s="102">
        <f ca="1">+BQ196/Assumptions!H$6</f>
        <v>0</v>
      </c>
      <c r="CC196" s="102">
        <f ca="1">+BR196/Assumptions!I$6</f>
        <v>11102.956952778712</v>
      </c>
      <c r="CD196" s="102">
        <f ca="1">+BS196/Assumptions!J$6</f>
        <v>22649.438115736364</v>
      </c>
      <c r="CE196" s="102">
        <f ca="1">+BT196/Assumptions!K$6</f>
        <v>23097.806877178929</v>
      </c>
      <c r="CF196" s="102">
        <f ca="1">+BU196/Assumptions!L$6</f>
        <v>23556.802710150845</v>
      </c>
      <c r="CG196" s="102">
        <f ca="1">+BV196/Assumptions!M$6</f>
        <v>24026.982817299759</v>
      </c>
      <c r="CH196" s="102">
        <f ca="1">+BW196/Assumptions!N$6</f>
        <v>24508.740347732164</v>
      </c>
      <c r="CI196" s="102"/>
    </row>
    <row r="197" spans="1:87" x14ac:dyDescent="0.25">
      <c r="A197" t="str">
        <f>+turnover!A21</f>
        <v>NPK 10-26-26</v>
      </c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  <c r="AP197" s="65"/>
      <c r="AQ197" s="65"/>
      <c r="AR197" s="65"/>
      <c r="AS197" s="65"/>
      <c r="AT197" s="65"/>
      <c r="AU197" s="65"/>
      <c r="AV197" s="65"/>
      <c r="AW197" s="65"/>
      <c r="AX197" s="65"/>
      <c r="AY197" s="65"/>
      <c r="AZ197" s="65"/>
      <c r="BA197" s="65"/>
      <c r="BB197" s="65"/>
      <c r="BC197" s="65"/>
      <c r="BD197" s="65"/>
      <c r="BE197" s="65"/>
      <c r="BF197" s="65"/>
      <c r="BG197" s="65"/>
      <c r="BH197" s="65"/>
      <c r="BI197" s="65"/>
      <c r="BJ197" s="65"/>
      <c r="BK197" s="65"/>
      <c r="BL197" s="102">
        <f t="shared" si="172"/>
        <v>0</v>
      </c>
      <c r="BM197" s="102">
        <f t="shared" si="174"/>
        <v>0</v>
      </c>
      <c r="BN197" s="102">
        <f t="shared" si="174"/>
        <v>0</v>
      </c>
      <c r="BO197" s="102">
        <f t="shared" ca="1" si="174"/>
        <v>0</v>
      </c>
      <c r="BP197" s="102">
        <f t="shared" ca="1" si="174"/>
        <v>0</v>
      </c>
      <c r="BQ197" s="102">
        <f t="shared" ca="1" si="174"/>
        <v>0</v>
      </c>
      <c r="BR197" s="102">
        <f t="shared" ca="1" si="174"/>
        <v>5138923.185692721</v>
      </c>
      <c r="BS197" s="102">
        <f t="shared" ca="1" si="174"/>
        <v>11530798.694448564</v>
      </c>
      <c r="BT197" s="102">
        <f t="shared" ca="1" si="174"/>
        <v>12934390.774165792</v>
      </c>
      <c r="BU197" s="102">
        <f t="shared" ca="1" si="174"/>
        <v>14509838.11873843</v>
      </c>
      <c r="BV197" s="102">
        <f t="shared" ca="1" si="174"/>
        <v>16278497.543145455</v>
      </c>
      <c r="BW197" s="102">
        <f t="shared" ca="1" si="174"/>
        <v>18264265.255682945</v>
      </c>
      <c r="BX197" s="102">
        <f t="shared" ca="1" si="174"/>
        <v>20494125.048637338</v>
      </c>
      <c r="BY197" s="102">
        <f t="shared" ca="1" si="174"/>
        <v>22998586.859578561</v>
      </c>
      <c r="BZ197" s="102">
        <f t="shared" ca="1" si="174"/>
        <v>25811856.427269522</v>
      </c>
      <c r="CB197" s="102">
        <f ca="1">+BQ197/Assumptions!H$6</f>
        <v>0</v>
      </c>
      <c r="CC197" s="102">
        <f ca="1">+BR197/Assumptions!I$6</f>
        <v>2247.1132037661118</v>
      </c>
      <c r="CD197" s="102">
        <f ca="1">+BS197/Assumptions!J$6</f>
        <v>4583.7353044210558</v>
      </c>
      <c r="CE197" s="102">
        <f ca="1">+BT197/Assumptions!K$6</f>
        <v>4674.2661035476549</v>
      </c>
      <c r="CF197" s="102">
        <f ca="1">+BU197/Assumptions!L$6</f>
        <v>4766.9142233128186</v>
      </c>
      <c r="CG197" s="102">
        <f ca="1">+BV197/Assumptions!M$6</f>
        <v>4861.7923193386632</v>
      </c>
      <c r="CH197" s="102">
        <f ca="1">+BW197/Assumptions!N$6</f>
        <v>4958.971423001447</v>
      </c>
      <c r="CI197" s="102"/>
    </row>
    <row r="198" spans="1:87" x14ac:dyDescent="0.25">
      <c r="A198" t="str">
        <f>+turnover!A22</f>
        <v>NPK 10-20-20</v>
      </c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  <c r="AP198" s="65"/>
      <c r="AQ198" s="65"/>
      <c r="AR198" s="65"/>
      <c r="AS198" s="65"/>
      <c r="AT198" s="65"/>
      <c r="AU198" s="65"/>
      <c r="AV198" s="65"/>
      <c r="AW198" s="65"/>
      <c r="AX198" s="65"/>
      <c r="AY198" s="65"/>
      <c r="AZ198" s="65"/>
      <c r="BA198" s="65"/>
      <c r="BB198" s="65"/>
      <c r="BC198" s="65"/>
      <c r="BD198" s="65"/>
      <c r="BE198" s="65"/>
      <c r="BF198" s="65"/>
      <c r="BG198" s="65"/>
      <c r="BH198" s="65"/>
      <c r="BI198" s="65"/>
      <c r="BJ198" s="65"/>
      <c r="BK198" s="65"/>
      <c r="BL198" s="102">
        <f t="shared" si="172"/>
        <v>0</v>
      </c>
      <c r="BM198" s="102">
        <f t="shared" si="174"/>
        <v>0</v>
      </c>
      <c r="BN198" s="102">
        <f t="shared" si="174"/>
        <v>0</v>
      </c>
      <c r="BO198" s="102">
        <f t="shared" ca="1" si="174"/>
        <v>0</v>
      </c>
      <c r="BP198" s="102">
        <f t="shared" ca="1" si="174"/>
        <v>0</v>
      </c>
      <c r="BQ198" s="102">
        <f t="shared" ca="1" si="174"/>
        <v>0</v>
      </c>
      <c r="BR198" s="102">
        <f t="shared" ca="1" si="174"/>
        <v>2220304.7704542303</v>
      </c>
      <c r="BS198" s="102">
        <f t="shared" ca="1" si="174"/>
        <v>4982434.1145065697</v>
      </c>
      <c r="BT198" s="102">
        <f t="shared" ca="1" si="174"/>
        <v>5589352.6092452761</v>
      </c>
      <c r="BU198" s="102">
        <f t="shared" ca="1" si="174"/>
        <v>6270687.7234641425</v>
      </c>
      <c r="BV198" s="102">
        <f t="shared" ca="1" si="174"/>
        <v>7035710.1817759117</v>
      </c>
      <c r="BW198" s="102">
        <f t="shared" ca="1" si="174"/>
        <v>7894801.9223741135</v>
      </c>
      <c r="BX198" s="102">
        <f t="shared" ca="1" si="174"/>
        <v>8859689.6713361666</v>
      </c>
      <c r="BY198" s="102">
        <f t="shared" ca="1" si="174"/>
        <v>9943639.6172547005</v>
      </c>
      <c r="BZ198" s="102">
        <f t="shared" ca="1" si="174"/>
        <v>11161539.302808192</v>
      </c>
      <c r="CB198" s="102">
        <f ca="1">+BQ198/Assumptions!H$6</f>
        <v>0</v>
      </c>
      <c r="CC198" s="102">
        <f ca="1">+BR198/Assumptions!I$6</f>
        <v>970.8796932328612</v>
      </c>
      <c r="CD198" s="102">
        <f ca="1">+BS198/Assumptions!J$6</f>
        <v>1980.6224839924507</v>
      </c>
      <c r="CE198" s="102">
        <f ca="1">+BT198/Assumptions!K$6</f>
        <v>2019.8957877748092</v>
      </c>
      <c r="CF198" s="102">
        <f ca="1">+BU198/Assumptions!L$6</f>
        <v>2060.1077871662201</v>
      </c>
      <c r="CG198" s="102">
        <f ca="1">+BV198/Assumptions!M$6</f>
        <v>2101.3095116541931</v>
      </c>
      <c r="CH198" s="102">
        <f ca="1">+BW198/Assumptions!N$6</f>
        <v>2143.5352901003516</v>
      </c>
      <c r="CI198" s="102"/>
    </row>
    <row r="199" spans="1:87" x14ac:dyDescent="0.25">
      <c r="A199" t="str">
        <f>+turnover!A23</f>
        <v>NPK 13-13-21</v>
      </c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  <c r="AP199" s="65"/>
      <c r="AQ199" s="65"/>
      <c r="AR199" s="65"/>
      <c r="AS199" s="65"/>
      <c r="AT199" s="65"/>
      <c r="AU199" s="65"/>
      <c r="AV199" s="65"/>
      <c r="AW199" s="65"/>
      <c r="AX199" s="65"/>
      <c r="AY199" s="65"/>
      <c r="AZ199" s="65"/>
      <c r="BA199" s="65"/>
      <c r="BB199" s="65"/>
      <c r="BC199" s="65"/>
      <c r="BD199" s="65"/>
      <c r="BE199" s="65"/>
      <c r="BF199" s="65"/>
      <c r="BG199" s="65"/>
      <c r="BH199" s="65"/>
      <c r="BI199" s="65"/>
      <c r="BJ199" s="65"/>
      <c r="BK199" s="65"/>
      <c r="BL199" s="102">
        <f t="shared" si="172"/>
        <v>0</v>
      </c>
      <c r="BM199" s="102">
        <f t="shared" si="174"/>
        <v>0</v>
      </c>
      <c r="BN199" s="102">
        <f t="shared" si="174"/>
        <v>0</v>
      </c>
      <c r="BO199" s="102">
        <f t="shared" ca="1" si="174"/>
        <v>0</v>
      </c>
      <c r="BP199" s="102">
        <f t="shared" ca="1" si="174"/>
        <v>0</v>
      </c>
      <c r="BQ199" s="102">
        <f t="shared" ca="1" si="174"/>
        <v>0</v>
      </c>
      <c r="BR199" s="102">
        <f t="shared" ca="1" si="174"/>
        <v>1390826.4917496438</v>
      </c>
      <c r="BS199" s="102">
        <f t="shared" ca="1" si="174"/>
        <v>3120487.5718632042</v>
      </c>
      <c r="BT199" s="102">
        <f t="shared" ca="1" si="174"/>
        <v>3500088.5211708429</v>
      </c>
      <c r="BU199" s="102">
        <f t="shared" ca="1" si="174"/>
        <v>3926111.1027324917</v>
      </c>
      <c r="BV199" s="102">
        <f t="shared" ca="1" si="174"/>
        <v>4404304.4590349738</v>
      </c>
      <c r="BW199" s="102">
        <f t="shared" ca="1" si="174"/>
        <v>4941111.1190324947</v>
      </c>
      <c r="BX199" s="102">
        <f t="shared" ca="1" si="174"/>
        <v>5543794.3522022599</v>
      </c>
      <c r="BY199" s="102">
        <f t="shared" ca="1" si="174"/>
        <v>6220556.3043871289</v>
      </c>
      <c r="BZ199" s="102">
        <f t="shared" ca="1" si="174"/>
        <v>6980602.8248382127</v>
      </c>
      <c r="CB199" s="102">
        <f ca="1">+BQ199/Assumptions!H$6</f>
        <v>0</v>
      </c>
      <c r="CC199" s="102">
        <f ca="1">+BR199/Assumptions!I$6</f>
        <v>608.17110138162741</v>
      </c>
      <c r="CD199" s="102">
        <f ca="1">+BS199/Assumptions!J$6</f>
        <v>1240.459523158863</v>
      </c>
      <c r="CE199" s="102">
        <f ca="1">+BT199/Assumptions!K$6</f>
        <v>1264.8717221844008</v>
      </c>
      <c r="CF199" s="102">
        <f ca="1">+BU199/Assumptions!L$6</f>
        <v>1289.8444975586756</v>
      </c>
      <c r="CG199" s="102">
        <f ca="1">+BV199/Assumptions!M$6</f>
        <v>1315.4047868491255</v>
      </c>
      <c r="CH199" s="102">
        <f ca="1">+BW199/Assumptions!N$6</f>
        <v>1341.5721078367915</v>
      </c>
      <c r="CI199" s="102"/>
    </row>
    <row r="200" spans="1:87" x14ac:dyDescent="0.25">
      <c r="A200" t="str">
        <f>+turnover!A24</f>
        <v>NPK 00-00-00</v>
      </c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  <c r="AP200" s="65"/>
      <c r="AQ200" s="65"/>
      <c r="AR200" s="65"/>
      <c r="AS200" s="65"/>
      <c r="AT200" s="65"/>
      <c r="AU200" s="65"/>
      <c r="AV200" s="65"/>
      <c r="AW200" s="65"/>
      <c r="AX200" s="65"/>
      <c r="AY200" s="65"/>
      <c r="AZ200" s="65"/>
      <c r="BA200" s="65"/>
      <c r="BB200" s="65"/>
      <c r="BC200" s="65"/>
      <c r="BD200" s="65"/>
      <c r="BE200" s="65"/>
      <c r="BF200" s="65"/>
      <c r="BG200" s="65"/>
      <c r="BH200" s="65"/>
      <c r="BI200" s="65"/>
      <c r="BJ200" s="65"/>
      <c r="BK200" s="65"/>
      <c r="BL200" s="102">
        <f t="shared" si="172"/>
        <v>0</v>
      </c>
      <c r="BM200" s="102">
        <f t="shared" si="174"/>
        <v>0</v>
      </c>
      <c r="BN200" s="102">
        <f t="shared" si="174"/>
        <v>0</v>
      </c>
      <c r="BO200" s="102">
        <f t="shared" ca="1" si="174"/>
        <v>0</v>
      </c>
      <c r="BP200" s="102">
        <f t="shared" ca="1" si="174"/>
        <v>0</v>
      </c>
      <c r="BQ200" s="102">
        <f t="shared" ca="1" si="174"/>
        <v>0</v>
      </c>
      <c r="BR200" s="102">
        <f t="shared" ca="1" si="174"/>
        <v>0</v>
      </c>
      <c r="BS200" s="102">
        <f t="shared" ca="1" si="174"/>
        <v>0</v>
      </c>
      <c r="BT200" s="102">
        <f t="shared" ca="1" si="174"/>
        <v>0</v>
      </c>
      <c r="BU200" s="102">
        <f t="shared" ca="1" si="174"/>
        <v>0</v>
      </c>
      <c r="BV200" s="102">
        <f t="shared" ca="1" si="174"/>
        <v>0</v>
      </c>
      <c r="BW200" s="102">
        <f t="shared" ca="1" si="174"/>
        <v>0</v>
      </c>
      <c r="BX200" s="102">
        <f t="shared" ca="1" si="174"/>
        <v>0</v>
      </c>
      <c r="BY200" s="102">
        <f t="shared" ca="1" si="174"/>
        <v>0</v>
      </c>
      <c r="BZ200" s="102">
        <f t="shared" ca="1" si="174"/>
        <v>0</v>
      </c>
      <c r="CB200" s="102">
        <f ca="1">+BQ200/Assumptions!H$6</f>
        <v>0</v>
      </c>
      <c r="CC200" s="102">
        <f ca="1">+BR200/Assumptions!I$6</f>
        <v>0</v>
      </c>
      <c r="CD200" s="102">
        <f ca="1">+BS200/Assumptions!J$6</f>
        <v>0</v>
      </c>
      <c r="CE200" s="102">
        <f ca="1">+BT200/Assumptions!K$6</f>
        <v>0</v>
      </c>
      <c r="CF200" s="102">
        <f ca="1">+BU200/Assumptions!L$6</f>
        <v>0</v>
      </c>
      <c r="CG200" s="102">
        <f ca="1">+BV200/Assumptions!M$6</f>
        <v>0</v>
      </c>
      <c r="CH200" s="102">
        <f ca="1">+BW200/Assumptions!N$6</f>
        <v>0</v>
      </c>
      <c r="CI200" s="102"/>
    </row>
    <row r="201" spans="1:87" x14ac:dyDescent="0.25">
      <c r="CB201" s="1">
        <f t="shared" ref="CB201:CC201" ca="1" si="175">SUM(CB195:CB198)</f>
        <v>0</v>
      </c>
      <c r="CC201" s="1">
        <f t="shared" ca="1" si="175"/>
        <v>15818.830222408296</v>
      </c>
      <c r="CD201" s="1">
        <f ca="1">SUM(CD195:CD200)</f>
        <v>33509.963585072925</v>
      </c>
      <c r="CE201" s="1">
        <f t="shared" ref="CE201:CH201" ca="1" si="176">SUM(CE195:CE200)</f>
        <v>34173.131105205131</v>
      </c>
      <c r="CF201" s="1">
        <f t="shared" ca="1" si="176"/>
        <v>34851.989957233396</v>
      </c>
      <c r="CG201" s="1">
        <f t="shared" ca="1" si="176"/>
        <v>35547.36477844097</v>
      </c>
      <c r="CH201" s="1">
        <f t="shared" ca="1" si="176"/>
        <v>36259.828506826554</v>
      </c>
    </row>
    <row r="202" spans="1:87" s="66" customFormat="1" ht="18.75" x14ac:dyDescent="0.3">
      <c r="A202" s="67" t="s">
        <v>114</v>
      </c>
      <c r="B202" s="67"/>
      <c r="C202" s="67"/>
      <c r="BL202" s="66">
        <f t="shared" ref="BL202:BQ202" si="177">SUM(BL190:BL201)</f>
        <v>0</v>
      </c>
      <c r="BM202" s="103">
        <f t="shared" si="177"/>
        <v>49932845.969108209</v>
      </c>
      <c r="BN202" s="103">
        <f t="shared" si="177"/>
        <v>119226396.35658877</v>
      </c>
      <c r="BO202" s="103">
        <f t="shared" ca="1" si="177"/>
        <v>102579936.27271439</v>
      </c>
      <c r="BP202" s="103">
        <f t="shared" ca="1" si="177"/>
        <v>105825599.83101</v>
      </c>
      <c r="BQ202" s="103">
        <f t="shared" ca="1" si="177"/>
        <v>127534882.86195582</v>
      </c>
      <c r="BR202" s="103">
        <f t="shared" ref="BR202:BW202" ca="1" si="178">SUM(BR190:BR201)</f>
        <v>170796621.89126766</v>
      </c>
      <c r="BS202" s="103">
        <f t="shared" ca="1" si="178"/>
        <v>217216269.07105988</v>
      </c>
      <c r="BT202" s="103">
        <f t="shared" ca="1" si="178"/>
        <v>243741286.17754775</v>
      </c>
      <c r="BU202" s="103">
        <f t="shared" ca="1" si="178"/>
        <v>273535093.01970589</v>
      </c>
      <c r="BV202" s="103">
        <f t="shared" ca="1" si="178"/>
        <v>307007871.80476087</v>
      </c>
      <c r="BW202" s="103">
        <f t="shared" ca="1" si="178"/>
        <v>344621416.59098732</v>
      </c>
      <c r="BX202" s="103">
        <f t="shared" ref="BX202:BZ202" ca="1" si="179">SUM(BX190:BX201)</f>
        <v>386897103.49099934</v>
      </c>
      <c r="BY202" s="103">
        <f t="shared" ca="1" si="179"/>
        <v>434425411.19568723</v>
      </c>
      <c r="BZ202" s="103">
        <f t="shared" ca="1" si="179"/>
        <v>487872536.22150195</v>
      </c>
      <c r="CA202" s="64"/>
      <c r="CB202" s="416">
        <f t="shared" ref="CB202:CH202" ca="1" si="180">+CB201/12</f>
        <v>0</v>
      </c>
      <c r="CC202" s="416">
        <f t="shared" ca="1" si="180"/>
        <v>1318.235851867358</v>
      </c>
      <c r="CD202" s="416">
        <f t="shared" ca="1" si="180"/>
        <v>2792.4969654227439</v>
      </c>
      <c r="CE202" s="416">
        <f t="shared" ca="1" si="180"/>
        <v>2847.7609254337608</v>
      </c>
      <c r="CF202" s="416">
        <f t="shared" ca="1" si="180"/>
        <v>2904.3324964361163</v>
      </c>
      <c r="CG202" s="416">
        <f t="shared" ca="1" si="180"/>
        <v>2962.2803982034143</v>
      </c>
      <c r="CH202" s="416">
        <f t="shared" ca="1" si="180"/>
        <v>3021.6523755688795</v>
      </c>
    </row>
    <row r="204" spans="1:87" x14ac:dyDescent="0.25">
      <c r="BL204">
        <f t="shared" ref="BL204:BQ204" si="181">+BL202-BL187</f>
        <v>0</v>
      </c>
      <c r="BM204">
        <f t="shared" si="181"/>
        <v>0</v>
      </c>
      <c r="BN204">
        <f t="shared" si="181"/>
        <v>0</v>
      </c>
      <c r="BO204">
        <f t="shared" ca="1" si="181"/>
        <v>0</v>
      </c>
      <c r="BP204">
        <f t="shared" ca="1" si="181"/>
        <v>0</v>
      </c>
      <c r="BQ204">
        <f t="shared" ca="1" si="181"/>
        <v>0</v>
      </c>
      <c r="BR204">
        <f t="shared" ref="BR204:BW204" ca="1" si="182">+BR202-BR187</f>
        <v>0</v>
      </c>
      <c r="BS204">
        <f t="shared" ca="1" si="182"/>
        <v>0</v>
      </c>
      <c r="BT204">
        <f t="shared" ca="1" si="182"/>
        <v>0</v>
      </c>
      <c r="BU204">
        <f t="shared" ca="1" si="182"/>
        <v>0</v>
      </c>
      <c r="BV204">
        <f t="shared" ca="1" si="182"/>
        <v>0</v>
      </c>
      <c r="BW204">
        <f t="shared" ca="1" si="182"/>
        <v>0</v>
      </c>
      <c r="BX204">
        <f t="shared" ref="BX204:BZ204" ca="1" si="183">+BX202-BX187</f>
        <v>0</v>
      </c>
      <c r="BY204">
        <f t="shared" ca="1" si="183"/>
        <v>0</v>
      </c>
      <c r="BZ204">
        <f t="shared" ca="1" si="183"/>
        <v>0</v>
      </c>
    </row>
    <row r="205" spans="1:87" x14ac:dyDescent="0.25">
      <c r="C205" t="s">
        <v>190</v>
      </c>
      <c r="BL205" s="1">
        <f>+turnover!C140</f>
        <v>132.5</v>
      </c>
      <c r="BM205" s="4">
        <f>+turnover!D140</f>
        <v>89.65</v>
      </c>
      <c r="BN205" s="1">
        <f>+turnover!E140</f>
        <v>194.97399999999999</v>
      </c>
      <c r="BO205" s="1">
        <f>+turnover!F140</f>
        <v>123.07</v>
      </c>
      <c r="BP205" s="1">
        <f>+turnover!G140</f>
        <v>137.5</v>
      </c>
      <c r="BQ205" s="1">
        <f>+turnover!H140</f>
        <v>129.14586956521742</v>
      </c>
      <c r="BR205" s="1">
        <f>+turnover!I140</f>
        <v>118.19586956521741</v>
      </c>
      <c r="BS205" s="1">
        <f>+turnover!J140</f>
        <v>106.21686956521741</v>
      </c>
      <c r="BT205" s="1">
        <f>+turnover!K140</f>
        <v>106.21686956521741</v>
      </c>
      <c r="BU205" s="1">
        <f>+turnover!L140</f>
        <v>106.21686956521741</v>
      </c>
      <c r="BV205" s="1">
        <f>+turnover!M140</f>
        <v>106.21686956521741</v>
      </c>
      <c r="BW205" s="1">
        <f>+turnover!N140</f>
        <v>106.21686956521741</v>
      </c>
      <c r="BX205" s="1">
        <f>+turnover!O140</f>
        <v>106.21686956521741</v>
      </c>
      <c r="BY205" s="1">
        <f>+turnover!P140</f>
        <v>106.21686956521741</v>
      </c>
      <c r="BZ205" s="1">
        <f>+turnover!Q140</f>
        <v>106.21686956521741</v>
      </c>
    </row>
    <row r="206" spans="1:87" x14ac:dyDescent="0.25">
      <c r="C206" t="s">
        <v>191</v>
      </c>
      <c r="BL206" s="1">
        <f>+turnover!C141</f>
        <v>191.33999999999997</v>
      </c>
      <c r="BM206" s="4">
        <f>+turnover!D141</f>
        <v>136.53</v>
      </c>
      <c r="BN206" s="1">
        <f>+turnover!E141</f>
        <v>251.34100000000001</v>
      </c>
      <c r="BO206" s="1">
        <f>+turnover!F141</f>
        <v>256.52</v>
      </c>
      <c r="BP206" s="1">
        <f>+turnover!G141</f>
        <v>200.9</v>
      </c>
      <c r="BQ206" s="1">
        <f>+turnover!H141</f>
        <v>252.47299999999996</v>
      </c>
      <c r="BR206" s="1">
        <f>+turnover!I141</f>
        <v>238.99799999999999</v>
      </c>
      <c r="BS206" s="1">
        <f>+turnover!J141</f>
        <v>224.25099999999998</v>
      </c>
      <c r="BT206" s="1">
        <f>+turnover!K141</f>
        <v>224.25099999999998</v>
      </c>
      <c r="BU206" s="1">
        <f>+turnover!L141</f>
        <v>224.25099999999998</v>
      </c>
      <c r="BV206" s="1">
        <f>+turnover!M141</f>
        <v>224.25099999999998</v>
      </c>
      <c r="BW206" s="1">
        <f>+turnover!N141</f>
        <v>224.251</v>
      </c>
      <c r="BX206" s="1">
        <f>+turnover!O141</f>
        <v>224.25099999999998</v>
      </c>
      <c r="BY206" s="1">
        <f>+turnover!P141</f>
        <v>224.25099999999998</v>
      </c>
      <c r="BZ206" s="1">
        <f>+turnover!Q141</f>
        <v>224.25099999999998</v>
      </c>
    </row>
    <row r="207" spans="1:87" x14ac:dyDescent="0.25">
      <c r="C207" s="166" t="s">
        <v>506</v>
      </c>
      <c r="BL207" s="1">
        <f>+turnover!C143</f>
        <v>0</v>
      </c>
      <c r="BM207" s="1">
        <f>+turnover!D143</f>
        <v>0</v>
      </c>
      <c r="BN207" s="1">
        <f>+turnover!E143</f>
        <v>17.185000000000002</v>
      </c>
      <c r="BO207" s="1">
        <f>+turnover!F143</f>
        <v>0</v>
      </c>
      <c r="BP207" s="1">
        <f>+turnover!G143</f>
        <v>0</v>
      </c>
      <c r="BQ207" s="1">
        <f>+turnover!H143</f>
        <v>0</v>
      </c>
      <c r="BR207" s="1">
        <f>+turnover!I143</f>
        <v>0</v>
      </c>
      <c r="BS207" s="1">
        <f>+turnover!J143</f>
        <v>0</v>
      </c>
      <c r="BT207" s="1">
        <f>+turnover!K143</f>
        <v>0</v>
      </c>
      <c r="BU207" s="1">
        <f>+turnover!L143</f>
        <v>0</v>
      </c>
      <c r="BV207" s="1">
        <f>+turnover!M143</f>
        <v>0</v>
      </c>
      <c r="BW207" s="1">
        <f>+turnover!N143</f>
        <v>0</v>
      </c>
      <c r="BX207" s="1">
        <f>+turnover!O143</f>
        <v>0</v>
      </c>
      <c r="BY207" s="1">
        <f>+turnover!P143</f>
        <v>0</v>
      </c>
      <c r="BZ207" s="1">
        <f>+turnover!Q143</f>
        <v>0</v>
      </c>
    </row>
    <row r="208" spans="1:87" x14ac:dyDescent="0.25">
      <c r="C208" s="166" t="s">
        <v>544</v>
      </c>
      <c r="BL208" s="1"/>
      <c r="BM208" s="1"/>
      <c r="BN208" s="1"/>
      <c r="BO208" s="1"/>
      <c r="BP208" s="1"/>
      <c r="BQ208" s="1">
        <f>+turnover!H144</f>
        <v>0</v>
      </c>
      <c r="BR208" s="1">
        <f>+turnover!I144</f>
        <v>0</v>
      </c>
      <c r="BS208" s="1">
        <f>+turnover!J144</f>
        <v>0</v>
      </c>
      <c r="BT208" s="1">
        <f>+turnover!K144</f>
        <v>0</v>
      </c>
      <c r="BU208" s="1">
        <f>+turnover!L144</f>
        <v>0</v>
      </c>
      <c r="BV208" s="1">
        <f>+turnover!M144</f>
        <v>0</v>
      </c>
      <c r="BW208" s="1">
        <f>+turnover!N144</f>
        <v>0</v>
      </c>
      <c r="BX208" s="1">
        <f>+turnover!O144</f>
        <v>0</v>
      </c>
      <c r="BY208" s="1">
        <f>+turnover!P144</f>
        <v>0</v>
      </c>
      <c r="BZ208" s="1">
        <f>+turnover!Q144</f>
        <v>0</v>
      </c>
    </row>
    <row r="209" spans="3:86" x14ac:dyDescent="0.25">
      <c r="C209" s="166" t="str">
        <f>+A195</f>
        <v>NPK 15-15-15</v>
      </c>
      <c r="BL209" s="1"/>
      <c r="BM209" s="1"/>
      <c r="BN209" s="1"/>
      <c r="BO209" s="1"/>
      <c r="BP209" s="1"/>
      <c r="BQ209" s="1">
        <f>+turnover!H145</f>
        <v>0</v>
      </c>
      <c r="BR209" s="1">
        <f>+turnover!I145</f>
        <v>8.0000000000000018</v>
      </c>
      <c r="BS209" s="1">
        <f>+turnover!J145</f>
        <v>16.000000000000004</v>
      </c>
      <c r="BT209" s="1">
        <f>+turnover!K145</f>
        <v>16.000000000000004</v>
      </c>
      <c r="BU209" s="1">
        <f>+turnover!L145</f>
        <v>16.000000000000004</v>
      </c>
      <c r="BV209" s="1">
        <f>+turnover!M145</f>
        <v>16.000000000000004</v>
      </c>
      <c r="BW209" s="1">
        <f>+turnover!N145</f>
        <v>16.000000000000004</v>
      </c>
      <c r="BX209" s="1">
        <f>+turnover!O145</f>
        <v>16.000000000000004</v>
      </c>
      <c r="BY209" s="1">
        <f>+turnover!P145</f>
        <v>16.000000000000004</v>
      </c>
      <c r="BZ209" s="1">
        <f>+turnover!Q145</f>
        <v>16.000000000000004</v>
      </c>
      <c r="CB209" s="1">
        <f t="shared" ref="CB209:CH214" si="184">+BQ209</f>
        <v>0</v>
      </c>
      <c r="CC209" s="1">
        <f t="shared" si="184"/>
        <v>8.0000000000000018</v>
      </c>
      <c r="CD209" s="1">
        <f t="shared" si="184"/>
        <v>16.000000000000004</v>
      </c>
      <c r="CE209" s="1">
        <f t="shared" si="184"/>
        <v>16.000000000000004</v>
      </c>
      <c r="CF209" s="1">
        <f t="shared" si="184"/>
        <v>16.000000000000004</v>
      </c>
      <c r="CG209" s="1">
        <f t="shared" si="184"/>
        <v>16.000000000000004</v>
      </c>
      <c r="CH209" s="1">
        <f t="shared" si="184"/>
        <v>16.000000000000004</v>
      </c>
    </row>
    <row r="210" spans="3:86" x14ac:dyDescent="0.25">
      <c r="C210" s="166" t="str">
        <f>+A196</f>
        <v>NPK 16-16-16</v>
      </c>
      <c r="BL210" s="1"/>
      <c r="BM210" s="1"/>
      <c r="BN210" s="1"/>
      <c r="BO210" s="1"/>
      <c r="BP210" s="1"/>
      <c r="BQ210" s="1">
        <f>+turnover!H146</f>
        <v>0</v>
      </c>
      <c r="BR210" s="1">
        <f>+turnover!I146</f>
        <v>56</v>
      </c>
      <c r="BS210" s="1">
        <f>+turnover!J146</f>
        <v>112</v>
      </c>
      <c r="BT210" s="1">
        <f>+turnover!K146</f>
        <v>112</v>
      </c>
      <c r="BU210" s="1">
        <f>+turnover!L146</f>
        <v>112</v>
      </c>
      <c r="BV210" s="1">
        <f>+turnover!M146</f>
        <v>112</v>
      </c>
      <c r="BW210" s="1">
        <f>+turnover!N146</f>
        <v>112</v>
      </c>
      <c r="BX210" s="1">
        <f>+turnover!O146</f>
        <v>112</v>
      </c>
      <c r="BY210" s="1">
        <f>+turnover!P146</f>
        <v>112</v>
      </c>
      <c r="BZ210" s="1">
        <f>+turnover!Q146</f>
        <v>112</v>
      </c>
      <c r="CB210" s="1">
        <f t="shared" si="184"/>
        <v>0</v>
      </c>
      <c r="CC210" s="1">
        <f t="shared" si="184"/>
        <v>56</v>
      </c>
      <c r="CD210" s="1">
        <f t="shared" si="184"/>
        <v>112</v>
      </c>
      <c r="CE210" s="1">
        <f t="shared" si="184"/>
        <v>112</v>
      </c>
      <c r="CF210" s="1">
        <f t="shared" si="184"/>
        <v>112</v>
      </c>
      <c r="CG210" s="1">
        <f t="shared" si="184"/>
        <v>112</v>
      </c>
      <c r="CH210" s="1">
        <f t="shared" si="184"/>
        <v>112</v>
      </c>
    </row>
    <row r="211" spans="3:86" x14ac:dyDescent="0.25">
      <c r="C211" s="166" t="str">
        <f>+A197</f>
        <v>NPK 10-26-26</v>
      </c>
      <c r="BL211" s="1"/>
      <c r="BM211" s="1"/>
      <c r="BN211" s="1"/>
      <c r="BO211" s="1"/>
      <c r="BP211" s="1"/>
      <c r="BQ211" s="1">
        <f>+turnover!H147</f>
        <v>0</v>
      </c>
      <c r="BR211" s="1">
        <f>+turnover!I147</f>
        <v>8.5</v>
      </c>
      <c r="BS211" s="1">
        <f>+turnover!J147</f>
        <v>17</v>
      </c>
      <c r="BT211" s="1">
        <f>+turnover!K147</f>
        <v>17</v>
      </c>
      <c r="BU211" s="1">
        <f>+turnover!L147</f>
        <v>17</v>
      </c>
      <c r="BV211" s="1">
        <f>+turnover!M147</f>
        <v>17</v>
      </c>
      <c r="BW211" s="1">
        <f>+turnover!N147</f>
        <v>17</v>
      </c>
      <c r="BX211" s="1">
        <f>+turnover!O147</f>
        <v>17</v>
      </c>
      <c r="BY211" s="1">
        <f>+turnover!P147</f>
        <v>17</v>
      </c>
      <c r="BZ211" s="1">
        <f>+turnover!Q147</f>
        <v>17</v>
      </c>
      <c r="CB211" s="1">
        <f t="shared" si="184"/>
        <v>0</v>
      </c>
      <c r="CC211" s="1">
        <f t="shared" si="184"/>
        <v>8.5</v>
      </c>
      <c r="CD211" s="1">
        <f t="shared" si="184"/>
        <v>17</v>
      </c>
      <c r="CE211" s="1">
        <f t="shared" si="184"/>
        <v>17</v>
      </c>
      <c r="CF211" s="1">
        <f t="shared" si="184"/>
        <v>17</v>
      </c>
      <c r="CG211" s="1">
        <f t="shared" si="184"/>
        <v>17</v>
      </c>
      <c r="CH211" s="1">
        <f t="shared" si="184"/>
        <v>17</v>
      </c>
    </row>
    <row r="212" spans="3:86" x14ac:dyDescent="0.25">
      <c r="C212" s="166" t="str">
        <f>+A198</f>
        <v>NPK 10-20-20</v>
      </c>
      <c r="BL212" s="1"/>
      <c r="BM212" s="1"/>
      <c r="BN212" s="1"/>
      <c r="BO212" s="1"/>
      <c r="BP212" s="1"/>
      <c r="BQ212" s="1">
        <f>+turnover!H148</f>
        <v>0</v>
      </c>
      <c r="BR212" s="1">
        <f>+turnover!I148</f>
        <v>4.5000000000000009</v>
      </c>
      <c r="BS212" s="1">
        <f>+turnover!J148</f>
        <v>9.0000000000000018</v>
      </c>
      <c r="BT212" s="1">
        <f>+turnover!K148</f>
        <v>9.0000000000000018</v>
      </c>
      <c r="BU212" s="1">
        <f>+turnover!L148</f>
        <v>9.0000000000000018</v>
      </c>
      <c r="BV212" s="1">
        <f>+turnover!M148</f>
        <v>9.0000000000000018</v>
      </c>
      <c r="BW212" s="1">
        <f>+turnover!N148</f>
        <v>9.0000000000000018</v>
      </c>
      <c r="BX212" s="1">
        <f>+turnover!O148</f>
        <v>9.0000000000000018</v>
      </c>
      <c r="BY212" s="1">
        <f>+turnover!P148</f>
        <v>9.0000000000000018</v>
      </c>
      <c r="BZ212" s="1">
        <f>+turnover!Q148</f>
        <v>9.0000000000000018</v>
      </c>
      <c r="CB212" s="1">
        <f t="shared" si="184"/>
        <v>0</v>
      </c>
      <c r="CC212" s="1">
        <f t="shared" si="184"/>
        <v>4.5000000000000009</v>
      </c>
      <c r="CD212" s="1">
        <f t="shared" si="184"/>
        <v>9.0000000000000018</v>
      </c>
      <c r="CE212" s="1">
        <f t="shared" si="184"/>
        <v>9.0000000000000018</v>
      </c>
      <c r="CF212" s="1">
        <f t="shared" si="184"/>
        <v>9.0000000000000018</v>
      </c>
      <c r="CG212" s="1">
        <f t="shared" si="184"/>
        <v>9.0000000000000018</v>
      </c>
      <c r="CH212" s="1">
        <f t="shared" si="184"/>
        <v>9.0000000000000018</v>
      </c>
    </row>
    <row r="213" spans="3:86" x14ac:dyDescent="0.25">
      <c r="C213" s="166" t="str">
        <f t="shared" ref="C213:C214" si="185">+A199</f>
        <v>NPK 13-13-21</v>
      </c>
      <c r="BL213" s="1"/>
      <c r="BM213" s="1"/>
      <c r="BN213" s="1"/>
      <c r="BO213" s="1"/>
      <c r="BP213" s="1"/>
      <c r="BQ213" s="1">
        <f>+turnover!H149</f>
        <v>0</v>
      </c>
      <c r="BR213" s="1">
        <f>+turnover!I149</f>
        <v>3</v>
      </c>
      <c r="BS213" s="1">
        <f>+turnover!J149</f>
        <v>6</v>
      </c>
      <c r="BT213" s="1">
        <f>+turnover!K149</f>
        <v>6</v>
      </c>
      <c r="BU213" s="1">
        <f>+turnover!L149</f>
        <v>6</v>
      </c>
      <c r="BV213" s="1">
        <f>+turnover!M149</f>
        <v>6</v>
      </c>
      <c r="BW213" s="1">
        <f>+turnover!N149</f>
        <v>6</v>
      </c>
      <c r="BX213" s="1">
        <f>+turnover!O149</f>
        <v>6</v>
      </c>
      <c r="BY213" s="1">
        <f>+turnover!P149</f>
        <v>6</v>
      </c>
      <c r="BZ213" s="1">
        <f>+turnover!Q149</f>
        <v>6</v>
      </c>
      <c r="CB213" s="1">
        <f t="shared" si="184"/>
        <v>0</v>
      </c>
      <c r="CC213" s="1">
        <f t="shared" si="184"/>
        <v>3</v>
      </c>
      <c r="CD213" s="1">
        <f t="shared" si="184"/>
        <v>6</v>
      </c>
      <c r="CE213" s="1">
        <f t="shared" si="184"/>
        <v>6</v>
      </c>
      <c r="CF213" s="1">
        <f t="shared" si="184"/>
        <v>6</v>
      </c>
      <c r="CG213" s="1">
        <f t="shared" si="184"/>
        <v>6</v>
      </c>
      <c r="CH213" s="1">
        <f t="shared" si="184"/>
        <v>6</v>
      </c>
    </row>
    <row r="214" spans="3:86" x14ac:dyDescent="0.25">
      <c r="C214" s="166" t="str">
        <f t="shared" si="185"/>
        <v>NPK 00-00-00</v>
      </c>
      <c r="BL214" s="1"/>
      <c r="BM214" s="1"/>
      <c r="BN214" s="1"/>
      <c r="BO214" s="1"/>
      <c r="BP214" s="1"/>
      <c r="BQ214" s="1">
        <f>+turnover!H150</f>
        <v>0</v>
      </c>
      <c r="BR214" s="1">
        <f>+turnover!I150</f>
        <v>0</v>
      </c>
      <c r="BS214" s="1">
        <f>+turnover!J150</f>
        <v>0</v>
      </c>
      <c r="BT214" s="1">
        <f>+turnover!K150</f>
        <v>0</v>
      </c>
      <c r="BU214" s="1">
        <f>+turnover!L150</f>
        <v>0</v>
      </c>
      <c r="BV214" s="1">
        <f>+turnover!M150</f>
        <v>0</v>
      </c>
      <c r="BW214" s="1">
        <f>+turnover!N150</f>
        <v>0</v>
      </c>
      <c r="BX214" s="1">
        <f>+turnover!O150</f>
        <v>0</v>
      </c>
      <c r="BY214" s="1">
        <f>+turnover!P150</f>
        <v>0</v>
      </c>
      <c r="BZ214" s="1">
        <f>+turnover!Q150</f>
        <v>0</v>
      </c>
      <c r="CB214" s="1">
        <f t="shared" si="184"/>
        <v>0</v>
      </c>
      <c r="CC214" s="1">
        <f t="shared" si="184"/>
        <v>0</v>
      </c>
      <c r="CD214" s="1">
        <f t="shared" si="184"/>
        <v>0</v>
      </c>
      <c r="CE214" s="1">
        <f t="shared" si="184"/>
        <v>0</v>
      </c>
      <c r="CF214" s="1">
        <f t="shared" si="184"/>
        <v>0</v>
      </c>
      <c r="CG214" s="1">
        <f t="shared" si="184"/>
        <v>0</v>
      </c>
      <c r="CH214" s="1">
        <f t="shared" si="184"/>
        <v>0</v>
      </c>
    </row>
    <row r="215" spans="3:86" x14ac:dyDescent="0.25">
      <c r="C215" s="166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</row>
    <row r="216" spans="3:86" x14ac:dyDescent="0.25">
      <c r="C216" s="365" t="s">
        <v>192</v>
      </c>
    </row>
    <row r="217" spans="3:86" x14ac:dyDescent="0.25">
      <c r="C217" t="s">
        <v>111</v>
      </c>
      <c r="BL217" s="1">
        <f>+BL190/BL205</f>
        <v>0</v>
      </c>
      <c r="BM217" s="1">
        <f>+BM190/BM205</f>
        <v>300462.72226000007</v>
      </c>
      <c r="BN217" s="1">
        <f t="shared" ref="BN217:BW217" si="186">+BN190/BN205</f>
        <v>334145.98351999995</v>
      </c>
      <c r="BO217" s="1">
        <f t="shared" ca="1" si="186"/>
        <v>376926.48216000007</v>
      </c>
      <c r="BP217" s="1">
        <f t="shared" ca="1" si="186"/>
        <v>412244.71590000001</v>
      </c>
      <c r="BQ217" s="1">
        <f t="shared" ca="1" si="186"/>
        <v>456957.59156380239</v>
      </c>
      <c r="BR217" s="1">
        <f t="shared" ca="1" si="186"/>
        <v>512135.45210993517</v>
      </c>
      <c r="BS217" s="1">
        <f t="shared" ca="1" si="186"/>
        <v>558136.5137331289</v>
      </c>
      <c r="BT217" s="1">
        <f t="shared" ca="1" si="186"/>
        <v>626469.30872436333</v>
      </c>
      <c r="BU217" s="1">
        <f t="shared" ca="1" si="186"/>
        <v>703266.87599363667</v>
      </c>
      <c r="BV217" s="1">
        <f t="shared" ca="1" si="186"/>
        <v>789600.26383750688</v>
      </c>
      <c r="BW217" s="1">
        <f t="shared" ca="1" si="186"/>
        <v>886679.68647522538</v>
      </c>
      <c r="BX217" s="1">
        <f t="shared" ref="BX217:BZ217" ca="1" si="187">+BX190/BX205</f>
        <v>995872.36364036705</v>
      </c>
      <c r="BY217" s="1">
        <f t="shared" ca="1" si="187"/>
        <v>1118729.4980458647</v>
      </c>
      <c r="BZ217" s="1">
        <f t="shared" ca="1" si="187"/>
        <v>1257007.5313034623</v>
      </c>
    </row>
    <row r="218" spans="3:86" x14ac:dyDescent="0.25">
      <c r="C218" t="s">
        <v>112</v>
      </c>
      <c r="BL218" s="1">
        <f>+BL191/BL206</f>
        <v>0</v>
      </c>
      <c r="BM218" s="1">
        <f>+BM191/BM206</f>
        <v>168434.50463999997</v>
      </c>
      <c r="BN218" s="1">
        <f t="shared" ref="BN218:BW218" si="188">+BN191/BN206</f>
        <v>188946.41928000003</v>
      </c>
      <c r="BO218" s="1">
        <f t="shared" ca="1" si="188"/>
        <v>219053.46215999997</v>
      </c>
      <c r="BP218" s="1">
        <f t="shared" ca="1" si="188"/>
        <v>244609.01639999999</v>
      </c>
      <c r="BQ218" s="1">
        <f t="shared" ca="1" si="188"/>
        <v>271398.11918510537</v>
      </c>
      <c r="BR218" s="1">
        <f t="shared" ca="1" si="188"/>
        <v>304175.84024378</v>
      </c>
      <c r="BS218" s="1">
        <f t="shared" ca="1" si="188"/>
        <v>328361.64163062541</v>
      </c>
      <c r="BT218" s="1">
        <f t="shared" ca="1" si="188"/>
        <v>368504.6299081067</v>
      </c>
      <c r="BU218" s="1">
        <f t="shared" ca="1" si="188"/>
        <v>413606.06155052391</v>
      </c>
      <c r="BV218" s="1">
        <f t="shared" ca="1" si="188"/>
        <v>464290.14427547849</v>
      </c>
      <c r="BW218" s="1">
        <f t="shared" ca="1" si="188"/>
        <v>521261.4282293272</v>
      </c>
      <c r="BX218" s="1">
        <f t="shared" ref="BX218:BZ218" ca="1" si="189">+BX191/BX206</f>
        <v>585315.14189457276</v>
      </c>
      <c r="BY218" s="1">
        <f t="shared" ca="1" si="189"/>
        <v>657352.17364813515</v>
      </c>
      <c r="BZ218" s="1">
        <f t="shared" ca="1" si="189"/>
        <v>738391.72243801039</v>
      </c>
    </row>
    <row r="219" spans="3:86" x14ac:dyDescent="0.25">
      <c r="C219" s="166" t="s">
        <v>502</v>
      </c>
      <c r="BM219" s="1">
        <f t="shared" ref="BM219:BW219" si="190">IFERROR(+BM193/BM207,0)</f>
        <v>0</v>
      </c>
      <c r="BN219" s="1">
        <f t="shared" si="190"/>
        <v>383278.17268000008</v>
      </c>
      <c r="BO219" s="1">
        <f t="shared" ca="1" si="190"/>
        <v>0</v>
      </c>
      <c r="BP219" s="1">
        <f t="shared" ca="1" si="190"/>
        <v>0</v>
      </c>
      <c r="BQ219" s="1">
        <f t="shared" ca="1" si="190"/>
        <v>0</v>
      </c>
      <c r="BR219" s="1">
        <f t="shared" ca="1" si="190"/>
        <v>0</v>
      </c>
      <c r="BS219" s="1">
        <f t="shared" ca="1" si="190"/>
        <v>0</v>
      </c>
      <c r="BT219" s="1">
        <f t="shared" ca="1" si="190"/>
        <v>0</v>
      </c>
      <c r="BU219" s="1">
        <f t="shared" ca="1" si="190"/>
        <v>0</v>
      </c>
      <c r="BV219" s="1">
        <f t="shared" ca="1" si="190"/>
        <v>0</v>
      </c>
      <c r="BW219" s="1">
        <f t="shared" ca="1" si="190"/>
        <v>0</v>
      </c>
      <c r="BX219" s="1">
        <f t="shared" ref="BX219:BZ219" ca="1" si="191">IFERROR(+BX193/BX207,0)</f>
        <v>0</v>
      </c>
      <c r="BY219" s="1">
        <f t="shared" ca="1" si="191"/>
        <v>0</v>
      </c>
      <c r="BZ219" s="1">
        <f t="shared" ca="1" si="191"/>
        <v>0</v>
      </c>
    </row>
    <row r="220" spans="3:86" x14ac:dyDescent="0.25">
      <c r="C220" s="166" t="str">
        <f>+C208</f>
        <v>sa</v>
      </c>
      <c r="BM220" s="1"/>
      <c r="BN220" s="1"/>
      <c r="BO220" s="1"/>
      <c r="BP220" s="1">
        <f t="shared" ref="BP220:BW224" ca="1" si="192">IFERROR(+BP194/BP208,0)</f>
        <v>0</v>
      </c>
      <c r="BQ220" s="1">
        <f t="shared" ca="1" si="192"/>
        <v>0</v>
      </c>
      <c r="BR220" s="1">
        <f t="shared" ca="1" si="192"/>
        <v>0</v>
      </c>
      <c r="BS220" s="1">
        <f t="shared" ca="1" si="192"/>
        <v>0</v>
      </c>
      <c r="BT220" s="1">
        <f t="shared" ca="1" si="192"/>
        <v>0</v>
      </c>
      <c r="BU220" s="1">
        <f t="shared" ca="1" si="192"/>
        <v>0</v>
      </c>
      <c r="BV220" s="1">
        <f t="shared" ca="1" si="192"/>
        <v>0</v>
      </c>
      <c r="BW220" s="1">
        <f t="shared" ca="1" si="192"/>
        <v>0</v>
      </c>
      <c r="BX220" s="1">
        <f t="shared" ref="BX220:BZ220" ca="1" si="193">IFERROR(+BX194/BX208,0)</f>
        <v>0</v>
      </c>
      <c r="BY220" s="1">
        <f t="shared" ca="1" si="193"/>
        <v>0</v>
      </c>
      <c r="BZ220" s="1">
        <f t="shared" ca="1" si="193"/>
        <v>0</v>
      </c>
    </row>
    <row r="221" spans="3:86" x14ac:dyDescent="0.25">
      <c r="C221" t="str">
        <f>+C209</f>
        <v>NPK 15-15-15</v>
      </c>
      <c r="BP221" s="1">
        <f t="shared" ca="1" si="192"/>
        <v>0</v>
      </c>
      <c r="BQ221" s="1">
        <f t="shared" ca="1" si="192"/>
        <v>0</v>
      </c>
      <c r="BR221" s="1">
        <f t="shared" ca="1" si="192"/>
        <v>428187.82802111836</v>
      </c>
      <c r="BS221" s="1">
        <f t="shared" ca="1" si="192"/>
        <v>480431.80528687552</v>
      </c>
      <c r="BT221" s="1">
        <f t="shared" ca="1" si="192"/>
        <v>538952.52860478638</v>
      </c>
      <c r="BU221" s="1">
        <f t="shared" ca="1" si="192"/>
        <v>604648.48501249403</v>
      </c>
      <c r="BV221" s="1">
        <f t="shared" ca="1" si="192"/>
        <v>678413.12864659389</v>
      </c>
      <c r="BW221" s="1">
        <f t="shared" ca="1" si="192"/>
        <v>761247.77956650849</v>
      </c>
      <c r="BX221" s="1">
        <f t="shared" ref="BX221:BZ221" ca="1" si="194">IFERROR(+BX195/BX209,0)</f>
        <v>854282.83178316837</v>
      </c>
      <c r="BY221" s="1">
        <f t="shared" ca="1" si="194"/>
        <v>958796.78951224184</v>
      </c>
      <c r="BZ221" s="1">
        <f t="shared" ca="1" si="194"/>
        <v>1076225.3647112669</v>
      </c>
      <c r="CB221" s="1">
        <f t="shared" ref="CB221:CH224" ca="1" si="195">IFERROR(+CB195/CB209,0)</f>
        <v>0</v>
      </c>
      <c r="CC221" s="1">
        <f t="shared" ca="1" si="195"/>
        <v>187.23504657882654</v>
      </c>
      <c r="CD221" s="1">
        <f t="shared" ca="1" si="195"/>
        <v>190.98175986026163</v>
      </c>
      <c r="CE221" s="1">
        <f t="shared" ca="1" si="195"/>
        <v>194.76816340745881</v>
      </c>
      <c r="CF221" s="1">
        <f t="shared" ca="1" si="195"/>
        <v>198.64504619030234</v>
      </c>
      <c r="CG221" s="1">
        <f t="shared" ca="1" si="195"/>
        <v>202.61720895620192</v>
      </c>
      <c r="CH221" s="1">
        <f t="shared" ca="1" si="195"/>
        <v>206.68808363473713</v>
      </c>
    </row>
    <row r="222" spans="3:86" x14ac:dyDescent="0.25">
      <c r="C222" t="str">
        <f>+C210</f>
        <v>NPK 16-16-16</v>
      </c>
      <c r="BP222" s="1">
        <f t="shared" ca="1" si="192"/>
        <v>0</v>
      </c>
      <c r="BQ222" s="1">
        <f t="shared" ca="1" si="192"/>
        <v>0</v>
      </c>
      <c r="BR222" s="1">
        <f t="shared" ca="1" si="192"/>
        <v>453417.00455910066</v>
      </c>
      <c r="BS222" s="1">
        <f t="shared" ca="1" si="192"/>
        <v>508720.53597826109</v>
      </c>
      <c r="BT222" s="1">
        <f t="shared" ca="1" si="192"/>
        <v>570670.29644981085</v>
      </c>
      <c r="BU222" s="1">
        <f t="shared" ca="1" si="192"/>
        <v>640211.61936473509</v>
      </c>
      <c r="BV222" s="1">
        <f t="shared" ca="1" si="192"/>
        <v>718288.85880222276</v>
      </c>
      <c r="BW222" s="1">
        <f t="shared" ca="1" si="192"/>
        <v>805960.14887957007</v>
      </c>
      <c r="BX222" s="1">
        <f t="shared" ref="BX222:BZ222" ca="1" si="196">IFERROR(+BX196/BX210,0)</f>
        <v>904419.80600803136</v>
      </c>
      <c r="BY222" s="1">
        <f t="shared" ca="1" si="196"/>
        <v>1015018.3242571813</v>
      </c>
      <c r="BZ222" s="1">
        <f t="shared" ca="1" si="196"/>
        <v>1139271.8275696761</v>
      </c>
      <c r="CB222" s="1">
        <f t="shared" ca="1" si="195"/>
        <v>0</v>
      </c>
      <c r="CC222" s="1">
        <f t="shared" ca="1" si="195"/>
        <v>198.26708844247699</v>
      </c>
      <c r="CD222" s="1">
        <f t="shared" ca="1" si="195"/>
        <v>202.22712603336041</v>
      </c>
      <c r="CE222" s="1">
        <f t="shared" ca="1" si="195"/>
        <v>206.23041854624043</v>
      </c>
      <c r="CF222" s="1">
        <f t="shared" ca="1" si="195"/>
        <v>210.32859562634684</v>
      </c>
      <c r="CG222" s="1">
        <f t="shared" ca="1" si="195"/>
        <v>214.52663229731928</v>
      </c>
      <c r="CH222" s="1">
        <f t="shared" ca="1" si="195"/>
        <v>218.82803881903718</v>
      </c>
    </row>
    <row r="223" spans="3:86" x14ac:dyDescent="0.25">
      <c r="C223" t="str">
        <f>+C211</f>
        <v>NPK 10-26-26</v>
      </c>
      <c r="BP223" s="1">
        <f t="shared" ca="1" si="192"/>
        <v>0</v>
      </c>
      <c r="BQ223" s="1">
        <f t="shared" ca="1" si="192"/>
        <v>0</v>
      </c>
      <c r="BR223" s="1">
        <f t="shared" ca="1" si="192"/>
        <v>604579.19831679075</v>
      </c>
      <c r="BS223" s="1">
        <f t="shared" ca="1" si="192"/>
        <v>678282.27614403318</v>
      </c>
      <c r="BT223" s="1">
        <f t="shared" ca="1" si="192"/>
        <v>760846.51612739952</v>
      </c>
      <c r="BU223" s="1">
        <f t="shared" ca="1" si="192"/>
        <v>853519.88933755469</v>
      </c>
      <c r="BV223" s="1">
        <f t="shared" ca="1" si="192"/>
        <v>957558.67900855618</v>
      </c>
      <c r="BW223" s="1">
        <f t="shared" ca="1" si="192"/>
        <v>1074368.544451938</v>
      </c>
      <c r="BX223" s="1">
        <f t="shared" ref="BX223:BZ223" ca="1" si="197">IFERROR(+BX197/BX211,0)</f>
        <v>1205536.7675669023</v>
      </c>
      <c r="BY223" s="1">
        <f t="shared" ca="1" si="197"/>
        <v>1352858.0505634448</v>
      </c>
      <c r="BZ223" s="1">
        <f t="shared" ca="1" si="197"/>
        <v>1518344.4957217367</v>
      </c>
      <c r="CB223" s="1">
        <f t="shared" ca="1" si="195"/>
        <v>0</v>
      </c>
      <c r="CC223" s="1">
        <f t="shared" ca="1" si="195"/>
        <v>264.36625926660139</v>
      </c>
      <c r="CD223" s="1">
        <f t="shared" ca="1" si="195"/>
        <v>269.63148849535622</v>
      </c>
      <c r="CE223" s="1">
        <f t="shared" ca="1" si="195"/>
        <v>274.95682962045026</v>
      </c>
      <c r="CF223" s="1">
        <f t="shared" ca="1" si="195"/>
        <v>280.40671901840108</v>
      </c>
      <c r="CG223" s="1">
        <f t="shared" ca="1" si="195"/>
        <v>285.98778349050963</v>
      </c>
      <c r="CH223" s="1">
        <f t="shared" ca="1" si="195"/>
        <v>291.70420135302629</v>
      </c>
    </row>
    <row r="224" spans="3:86" x14ac:dyDescent="0.25">
      <c r="C224" t="str">
        <f>+C212</f>
        <v>NPK 10-20-20</v>
      </c>
      <c r="BP224" s="1">
        <f t="shared" ca="1" si="192"/>
        <v>0</v>
      </c>
      <c r="BQ224" s="1">
        <f t="shared" ca="1" si="192"/>
        <v>0</v>
      </c>
      <c r="BR224" s="1">
        <f t="shared" ca="1" si="192"/>
        <v>493401.06010093994</v>
      </c>
      <c r="BS224" s="1">
        <f t="shared" ca="1" si="192"/>
        <v>553603.79050072981</v>
      </c>
      <c r="BT224" s="1">
        <f t="shared" ca="1" si="192"/>
        <v>621039.17880503053</v>
      </c>
      <c r="BU224" s="1">
        <f t="shared" ca="1" si="192"/>
        <v>696743.08038490464</v>
      </c>
      <c r="BV224" s="1">
        <f t="shared" ca="1" si="192"/>
        <v>781745.57575287891</v>
      </c>
      <c r="BW224" s="1">
        <f t="shared" ca="1" si="192"/>
        <v>877200.21359712351</v>
      </c>
      <c r="BX224" s="1">
        <f t="shared" ref="BX224:BZ224" ca="1" si="198">IFERROR(+BX198/BX212,0)</f>
        <v>984409.96348179609</v>
      </c>
      <c r="BY224" s="1">
        <f t="shared" ca="1" si="198"/>
        <v>1104848.8463616332</v>
      </c>
      <c r="BZ224" s="1">
        <f t="shared" ca="1" si="198"/>
        <v>1240171.0336453544</v>
      </c>
      <c r="CB224" s="1">
        <f t="shared" ca="1" si="195"/>
        <v>0</v>
      </c>
      <c r="CC224" s="1">
        <f t="shared" ca="1" si="195"/>
        <v>215.75104294063578</v>
      </c>
      <c r="CD224" s="1">
        <f t="shared" ca="1" si="195"/>
        <v>220.06916488805004</v>
      </c>
      <c r="CE224" s="1">
        <f t="shared" ca="1" si="195"/>
        <v>224.43286530831207</v>
      </c>
      <c r="CF224" s="1">
        <f t="shared" ca="1" si="195"/>
        <v>228.90086524069108</v>
      </c>
      <c r="CG224" s="1">
        <f t="shared" ca="1" si="195"/>
        <v>233.47883462824362</v>
      </c>
      <c r="CH224" s="1">
        <f t="shared" ca="1" si="195"/>
        <v>238.17058778892792</v>
      </c>
    </row>
    <row r="225" spans="3:88" x14ac:dyDescent="0.25">
      <c r="C225" t="str">
        <f t="shared" ref="C225:C226" si="199">+C213</f>
        <v>NPK 13-13-21</v>
      </c>
      <c r="BP225" s="1">
        <f t="shared" ref="BP225:BZ225" ca="1" si="200">IFERROR(+BP199/BP213,0)</f>
        <v>0</v>
      </c>
      <c r="BQ225" s="1">
        <f t="shared" ca="1" si="200"/>
        <v>0</v>
      </c>
      <c r="BR225" s="1">
        <f t="shared" ca="1" si="200"/>
        <v>463608.83058321459</v>
      </c>
      <c r="BS225" s="1">
        <f t="shared" ca="1" si="200"/>
        <v>520081.26197720069</v>
      </c>
      <c r="BT225" s="1">
        <f t="shared" ca="1" si="200"/>
        <v>583348.08686180715</v>
      </c>
      <c r="BU225" s="1">
        <f t="shared" ca="1" si="200"/>
        <v>654351.85045541532</v>
      </c>
      <c r="BV225" s="1">
        <f t="shared" ca="1" si="200"/>
        <v>734050.74317249563</v>
      </c>
      <c r="BW225" s="1">
        <f t="shared" ca="1" si="200"/>
        <v>823518.51983874908</v>
      </c>
      <c r="BX225" s="1">
        <f t="shared" ca="1" si="200"/>
        <v>923965.72536704328</v>
      </c>
      <c r="BY225" s="1">
        <f t="shared" ca="1" si="200"/>
        <v>1036759.3840645215</v>
      </c>
      <c r="BZ225" s="1">
        <f t="shared" ca="1" si="200"/>
        <v>1163433.8041397021</v>
      </c>
      <c r="CB225" s="1">
        <f t="shared" ref="CB225:CH225" ca="1" si="201">IFERROR(+CB199/CB213,0)</f>
        <v>0</v>
      </c>
      <c r="CC225" s="1">
        <f t="shared" ca="1" si="201"/>
        <v>202.72370046054246</v>
      </c>
      <c r="CD225" s="1">
        <f t="shared" ca="1" si="201"/>
        <v>206.74325385981049</v>
      </c>
      <c r="CE225" s="1">
        <f t="shared" ca="1" si="201"/>
        <v>210.81195369740013</v>
      </c>
      <c r="CF225" s="1">
        <f t="shared" ca="1" si="201"/>
        <v>214.97408292644593</v>
      </c>
      <c r="CG225" s="1">
        <f t="shared" ca="1" si="201"/>
        <v>219.23413114152092</v>
      </c>
      <c r="CH225" s="1">
        <f t="shared" ca="1" si="201"/>
        <v>223.5953513061319</v>
      </c>
    </row>
    <row r="226" spans="3:88" x14ac:dyDescent="0.25">
      <c r="C226" t="str">
        <f t="shared" si="199"/>
        <v>NPK 00-00-00</v>
      </c>
      <c r="BP226" s="1">
        <f t="shared" ref="BP226:BZ226" ca="1" si="202">IFERROR(+BP200/BP214,0)</f>
        <v>0</v>
      </c>
      <c r="BQ226" s="1">
        <f t="shared" ca="1" si="202"/>
        <v>0</v>
      </c>
      <c r="BR226" s="1">
        <f t="shared" ca="1" si="202"/>
        <v>0</v>
      </c>
      <c r="BS226" s="1">
        <f t="shared" ca="1" si="202"/>
        <v>0</v>
      </c>
      <c r="BT226" s="1">
        <f t="shared" ca="1" si="202"/>
        <v>0</v>
      </c>
      <c r="BU226" s="1">
        <f t="shared" ca="1" si="202"/>
        <v>0</v>
      </c>
      <c r="BV226" s="1">
        <f t="shared" ca="1" si="202"/>
        <v>0</v>
      </c>
      <c r="BW226" s="1">
        <f t="shared" ca="1" si="202"/>
        <v>0</v>
      </c>
      <c r="BX226" s="1">
        <f t="shared" ca="1" si="202"/>
        <v>0</v>
      </c>
      <c r="BY226" s="1">
        <f t="shared" ca="1" si="202"/>
        <v>0</v>
      </c>
      <c r="BZ226" s="1">
        <f t="shared" ca="1" si="202"/>
        <v>0</v>
      </c>
      <c r="CB226" s="1">
        <f t="shared" ref="CB226:CH226" ca="1" si="203">IFERROR(+CB200/CB214,0)</f>
        <v>0</v>
      </c>
      <c r="CC226" s="1">
        <f t="shared" ca="1" si="203"/>
        <v>0</v>
      </c>
      <c r="CD226" s="1">
        <f t="shared" ca="1" si="203"/>
        <v>0</v>
      </c>
      <c r="CE226" s="1">
        <f t="shared" ca="1" si="203"/>
        <v>0</v>
      </c>
      <c r="CF226" s="1">
        <f t="shared" ca="1" si="203"/>
        <v>0</v>
      </c>
      <c r="CG226" s="1">
        <f t="shared" ca="1" si="203"/>
        <v>0</v>
      </c>
      <c r="CH226" s="1">
        <f t="shared" ca="1" si="203"/>
        <v>0</v>
      </c>
    </row>
    <row r="227" spans="3:88" x14ac:dyDescent="0.25">
      <c r="C227" s="166" t="s">
        <v>566</v>
      </c>
      <c r="CB227" s="1">
        <f ca="1">(+'PL NPK USD'!C13+'PL NPK USD'!C14+'PL NPK USD'!C15)*0+('PL NPK USD'!C8+bom!CB201)*1</f>
        <v>0</v>
      </c>
      <c r="CC227" s="1">
        <f ca="1">(+'PL NPK USD'!D13+'PL NPK USD'!D14+'PL NPK USD'!D15)*0+('PL NPK USD'!D8+bom!CC201)*1</f>
        <v>-1636.2212682529444</v>
      </c>
      <c r="CD227" s="1">
        <f ca="1">(+'PL NPK USD'!E13+'PL NPK USD'!E14+'PL NPK USD'!E15)*0+('PL NPK USD'!E8+bom!CD201)*1</f>
        <v>-1691.2218845640236</v>
      </c>
      <c r="CE227" s="1">
        <f ca="1">(+'PL NPK USD'!F13+'PL NPK USD'!F14+'PL NPK USD'!F15)*0+('PL NPK USD'!F8+bom!CE201)*1</f>
        <v>-1691.5204258874874</v>
      </c>
      <c r="CF227" s="1">
        <f ca="1">(+'PL NPK USD'!G13+'PL NPK USD'!G14+'PL NPK USD'!G15)*0+('PL NPK USD'!G8+bom!CF201)*1</f>
        <v>-1693.1661634361881</v>
      </c>
      <c r="CG227" s="1">
        <f ca="1">(+'PL NPK USD'!H13+'PL NPK USD'!H14+'PL NPK USD'!H15)*0+('PL NPK USD'!H8+bom!CG201)*1</f>
        <v>-1691.2640390524175</v>
      </c>
      <c r="CH227" s="1">
        <f ca="1">(+'PL NPK USD'!I13+'PL NPK USD'!I14+'PL NPK USD'!I15)*0+('PL NPK USD'!I8+bom!CH201)*1</f>
        <v>-1687.5913970972906</v>
      </c>
    </row>
    <row r="228" spans="3:88" x14ac:dyDescent="0.25">
      <c r="C228" s="166" t="s">
        <v>564</v>
      </c>
      <c r="CB228" s="9">
        <f t="shared" ref="CB228:CH228" ca="1" si="204">-+CB227/160</f>
        <v>0</v>
      </c>
      <c r="CC228" s="9">
        <f t="shared" ca="1" si="204"/>
        <v>10.226382926580902</v>
      </c>
      <c r="CD228" s="9">
        <f t="shared" ca="1" si="204"/>
        <v>10.570136778525148</v>
      </c>
      <c r="CE228" s="9">
        <f t="shared" ca="1" si="204"/>
        <v>10.572002661796796</v>
      </c>
      <c r="CF228" s="9">
        <f t="shared" ca="1" si="204"/>
        <v>10.582288521476176</v>
      </c>
      <c r="CG228" s="9">
        <f t="shared" ca="1" si="204"/>
        <v>10.570400244077609</v>
      </c>
      <c r="CH228" s="9">
        <f t="shared" ca="1" si="204"/>
        <v>10.547446231858066</v>
      </c>
    </row>
    <row r="230" spans="3:88" x14ac:dyDescent="0.25">
      <c r="CB230" s="151">
        <f t="shared" ref="CB230:CH230" si="205">+BQ4</f>
        <v>2013</v>
      </c>
      <c r="CC230" s="151">
        <f t="shared" si="205"/>
        <v>2014</v>
      </c>
      <c r="CD230" s="151">
        <f t="shared" si="205"/>
        <v>2015</v>
      </c>
      <c r="CE230" s="151">
        <f t="shared" si="205"/>
        <v>2016</v>
      </c>
      <c r="CF230" s="151">
        <f t="shared" si="205"/>
        <v>2017</v>
      </c>
      <c r="CG230" s="151">
        <f t="shared" si="205"/>
        <v>2018</v>
      </c>
      <c r="CH230" s="151">
        <f t="shared" si="205"/>
        <v>2019</v>
      </c>
    </row>
    <row r="231" spans="3:88" x14ac:dyDescent="0.25">
      <c r="CB231" s="64"/>
      <c r="CC231" s="773" t="s">
        <v>565</v>
      </c>
      <c r="CD231" s="774"/>
      <c r="CE231" s="774"/>
      <c r="CF231" s="774"/>
      <c r="CG231" s="774"/>
      <c r="CH231" s="774"/>
    </row>
    <row r="232" spans="3:88" x14ac:dyDescent="0.25">
      <c r="C232" t="str">
        <f>+C221</f>
        <v>NPK 15-15-15</v>
      </c>
      <c r="CB232" s="1">
        <f t="shared" ref="CB232:CH232" ca="1" si="206">+CB221+CB$228</f>
        <v>0</v>
      </c>
      <c r="CC232" s="1">
        <f t="shared" ca="1" si="206"/>
        <v>197.46142950540744</v>
      </c>
      <c r="CD232" s="1">
        <f t="shared" ca="1" si="206"/>
        <v>201.55189663878679</v>
      </c>
      <c r="CE232" s="1">
        <f t="shared" ca="1" si="206"/>
        <v>205.34016606925562</v>
      </c>
      <c r="CF232" s="1">
        <f t="shared" ca="1" si="206"/>
        <v>209.22733471177852</v>
      </c>
      <c r="CG232" s="1">
        <f t="shared" ca="1" si="206"/>
        <v>213.18760920027952</v>
      </c>
      <c r="CH232" s="1">
        <f t="shared" ca="1" si="206"/>
        <v>217.23552986659519</v>
      </c>
      <c r="CJ232" s="1"/>
    </row>
    <row r="233" spans="3:88" x14ac:dyDescent="0.25">
      <c r="C233" t="str">
        <f>+C222</f>
        <v>NPK 16-16-16</v>
      </c>
      <c r="CB233" s="1">
        <f ca="1">+CB222+CB$228</f>
        <v>0</v>
      </c>
      <c r="CC233" s="1">
        <f t="shared" ref="CC233:CH233" ca="1" si="207">+CC222+CC$228</f>
        <v>208.49347136905789</v>
      </c>
      <c r="CD233" s="1">
        <f t="shared" ca="1" si="207"/>
        <v>212.79726281188556</v>
      </c>
      <c r="CE233" s="1">
        <f t="shared" ca="1" si="207"/>
        <v>216.80242120803723</v>
      </c>
      <c r="CF233" s="1">
        <f t="shared" ca="1" si="207"/>
        <v>220.91088414782303</v>
      </c>
      <c r="CG233" s="1">
        <f t="shared" ca="1" si="207"/>
        <v>225.09703254139689</v>
      </c>
      <c r="CH233" s="1">
        <f t="shared" ca="1" si="207"/>
        <v>229.37548505089524</v>
      </c>
      <c r="CJ233" s="1"/>
    </row>
    <row r="234" spans="3:88" x14ac:dyDescent="0.25">
      <c r="C234" t="str">
        <f>+C223</f>
        <v>NPK 10-26-26</v>
      </c>
      <c r="CB234" s="1">
        <f ca="1">+CB223+CB$228</f>
        <v>0</v>
      </c>
      <c r="CC234" s="1">
        <f t="shared" ref="CC234:CH234" ca="1" si="208">+CC223+CC$228</f>
        <v>274.59264219318231</v>
      </c>
      <c r="CD234" s="1">
        <f t="shared" ca="1" si="208"/>
        <v>280.20162527388135</v>
      </c>
      <c r="CE234" s="1">
        <f t="shared" ca="1" si="208"/>
        <v>285.52883228224704</v>
      </c>
      <c r="CF234" s="1">
        <f t="shared" ca="1" si="208"/>
        <v>290.98900753987726</v>
      </c>
      <c r="CG234" s="1">
        <f t="shared" ca="1" si="208"/>
        <v>296.55818373458726</v>
      </c>
      <c r="CH234" s="1">
        <f t="shared" ca="1" si="208"/>
        <v>302.25164758488438</v>
      </c>
      <c r="CJ234" s="1"/>
    </row>
    <row r="235" spans="3:88" x14ac:dyDescent="0.25">
      <c r="C235" t="str">
        <f>+C224</f>
        <v>NPK 10-20-20</v>
      </c>
      <c r="CB235" s="1">
        <f ca="1">+CB224+CB$228</f>
        <v>0</v>
      </c>
      <c r="CC235" s="1">
        <f t="shared" ref="CC235:CH235" ca="1" si="209">+CC224+CC$228</f>
        <v>225.97742586721668</v>
      </c>
      <c r="CD235" s="1">
        <f t="shared" ca="1" si="209"/>
        <v>230.63930166657519</v>
      </c>
      <c r="CE235" s="1">
        <f t="shared" ca="1" si="209"/>
        <v>235.00486797010888</v>
      </c>
      <c r="CF235" s="1">
        <f t="shared" ca="1" si="209"/>
        <v>239.48315376216726</v>
      </c>
      <c r="CG235" s="1">
        <f t="shared" ca="1" si="209"/>
        <v>244.04923487232122</v>
      </c>
      <c r="CH235" s="1">
        <f t="shared" ca="1" si="209"/>
        <v>248.71803402078598</v>
      </c>
      <c r="CJ235" s="1"/>
    </row>
    <row r="236" spans="3:88" x14ac:dyDescent="0.25">
      <c r="C236" t="str">
        <f t="shared" ref="C236:C237" si="210">+C225</f>
        <v>NPK 13-13-21</v>
      </c>
      <c r="CB236" s="1">
        <f t="shared" ref="CB236:CH236" ca="1" si="211">+CB225+CB$228</f>
        <v>0</v>
      </c>
      <c r="CC236" s="1">
        <f t="shared" ca="1" si="211"/>
        <v>212.95008338712336</v>
      </c>
      <c r="CD236" s="1">
        <f t="shared" ca="1" si="211"/>
        <v>217.31339063833565</v>
      </c>
      <c r="CE236" s="1">
        <f t="shared" ca="1" si="211"/>
        <v>221.38395635919693</v>
      </c>
      <c r="CF236" s="1">
        <f t="shared" ca="1" si="211"/>
        <v>225.55637144792212</v>
      </c>
      <c r="CG236" s="1">
        <f t="shared" ca="1" si="211"/>
        <v>229.80453138559852</v>
      </c>
      <c r="CH236" s="1">
        <f t="shared" ca="1" si="211"/>
        <v>234.14279753798996</v>
      </c>
      <c r="CJ236" s="1"/>
    </row>
    <row r="237" spans="3:88" x14ac:dyDescent="0.25">
      <c r="C237" t="str">
        <f t="shared" si="210"/>
        <v>NPK 00-00-00</v>
      </c>
      <c r="CB237" s="1">
        <f t="shared" ref="CB237:CH237" ca="1" si="212">+CB226+CB$228</f>
        <v>0</v>
      </c>
      <c r="CC237" s="1">
        <f t="shared" ca="1" si="212"/>
        <v>10.226382926580902</v>
      </c>
      <c r="CD237" s="1">
        <f t="shared" ca="1" si="212"/>
        <v>10.570136778525148</v>
      </c>
      <c r="CE237" s="1">
        <f t="shared" ca="1" si="212"/>
        <v>10.572002661796796</v>
      </c>
      <c r="CF237" s="1">
        <f t="shared" ca="1" si="212"/>
        <v>10.582288521476176</v>
      </c>
      <c r="CG237" s="1">
        <f t="shared" ca="1" si="212"/>
        <v>10.570400244077609</v>
      </c>
      <c r="CH237" s="1">
        <f t="shared" ca="1" si="212"/>
        <v>10.547446231858066</v>
      </c>
    </row>
    <row r="242" spans="1:79" x14ac:dyDescent="0.25">
      <c r="D242" s="776" t="str">
        <f>+D3</f>
        <v>consumption per unit</v>
      </c>
      <c r="E242" s="776"/>
      <c r="F242" s="776"/>
      <c r="G242" s="776"/>
      <c r="H242" s="776"/>
      <c r="I242" s="776"/>
      <c r="J242" s="776"/>
      <c r="K242" s="776"/>
      <c r="L242" s="776"/>
      <c r="M242" s="776"/>
      <c r="N242" s="776"/>
      <c r="O242" s="776"/>
      <c r="P242" s="692"/>
      <c r="Q242" s="692"/>
      <c r="R242" s="692"/>
      <c r="S242" s="775" t="s">
        <v>189</v>
      </c>
      <c r="T242" s="775"/>
      <c r="U242" s="775"/>
      <c r="V242" s="775"/>
      <c r="W242" s="775"/>
      <c r="X242" s="775"/>
      <c r="Y242" s="775"/>
      <c r="Z242" s="775"/>
      <c r="AA242" s="775"/>
      <c r="AB242" s="775"/>
      <c r="AC242" s="775"/>
      <c r="AD242" s="775"/>
      <c r="AE242" s="691"/>
      <c r="AF242" s="691"/>
      <c r="AG242" s="691"/>
      <c r="AH242" s="776" t="s">
        <v>153</v>
      </c>
      <c r="AI242" s="776"/>
      <c r="AJ242" s="776"/>
      <c r="AK242" s="776"/>
      <c r="AL242" s="776"/>
      <c r="AM242" s="776"/>
      <c r="AN242" s="776"/>
      <c r="AO242" s="776"/>
      <c r="AP242" s="776"/>
      <c r="AQ242" s="776"/>
      <c r="AR242" s="776"/>
      <c r="AS242" s="776"/>
      <c r="AT242" s="692"/>
      <c r="AU242" s="692"/>
      <c r="AV242" s="692"/>
      <c r="AW242" s="775" t="s">
        <v>154</v>
      </c>
      <c r="AX242" s="775"/>
      <c r="AY242" s="775"/>
      <c r="AZ242" s="775"/>
      <c r="BA242" s="775"/>
      <c r="BB242" s="775"/>
      <c r="BC242" s="775"/>
      <c r="BD242" s="775"/>
      <c r="BE242" s="775"/>
      <c r="BF242" s="775"/>
      <c r="BG242" s="775"/>
      <c r="BH242" s="775"/>
      <c r="BI242" s="691"/>
      <c r="BJ242" s="691"/>
      <c r="BK242" s="691"/>
      <c r="BL242" s="776" t="s">
        <v>155</v>
      </c>
      <c r="BM242" s="776"/>
      <c r="BN242" s="776"/>
      <c r="BO242" s="776"/>
      <c r="BP242" s="776"/>
      <c r="BQ242" s="776"/>
      <c r="BR242" s="776"/>
      <c r="BS242" s="776"/>
      <c r="BT242" s="776"/>
      <c r="BU242" s="776"/>
      <c r="BV242" s="776"/>
      <c r="BW242" s="776"/>
      <c r="BX242" s="692"/>
      <c r="BY242" s="692"/>
      <c r="BZ242" s="692"/>
    </row>
    <row r="243" spans="1:79" s="142" customFormat="1" ht="34.5" customHeight="1" x14ac:dyDescent="0.25">
      <c r="A243" s="139" t="s">
        <v>150</v>
      </c>
      <c r="B243" s="139"/>
      <c r="C243" s="139" t="s">
        <v>151</v>
      </c>
      <c r="D243" s="139">
        <f>+PL!C2</f>
        <v>2008</v>
      </c>
      <c r="E243" s="139">
        <f>+PL!D2</f>
        <v>2009</v>
      </c>
      <c r="F243" s="139">
        <f>+PL!E2</f>
        <v>2010</v>
      </c>
      <c r="G243" s="139">
        <f>+PL!F2</f>
        <v>2011</v>
      </c>
      <c r="H243" s="139">
        <f>+PL!G2</f>
        <v>2012</v>
      </c>
      <c r="I243" s="139">
        <f>+PL!H2</f>
        <v>2013</v>
      </c>
      <c r="J243" s="139">
        <f>+PL!I2</f>
        <v>2014</v>
      </c>
      <c r="K243" s="139">
        <f>+PL!J2</f>
        <v>2015</v>
      </c>
      <c r="L243" s="139">
        <f>+PL!K2</f>
        <v>2016</v>
      </c>
      <c r="M243" s="139">
        <f>+PL!L2</f>
        <v>2017</v>
      </c>
      <c r="N243" s="139">
        <f>+PL!M2</f>
        <v>2018</v>
      </c>
      <c r="O243" s="139">
        <f>+PL!N2</f>
        <v>2019</v>
      </c>
      <c r="P243" s="139">
        <f>+PL!O2</f>
        <v>2020</v>
      </c>
      <c r="Q243" s="139">
        <f>+PL!P2</f>
        <v>2021</v>
      </c>
      <c r="R243" s="139">
        <f>+PL!Q2</f>
        <v>2022</v>
      </c>
      <c r="S243" s="140">
        <f t="shared" ref="S243:AX243" si="213">+D243</f>
        <v>2008</v>
      </c>
      <c r="T243" s="140">
        <f t="shared" si="213"/>
        <v>2009</v>
      </c>
      <c r="U243" s="140">
        <f t="shared" si="213"/>
        <v>2010</v>
      </c>
      <c r="V243" s="140">
        <f t="shared" si="213"/>
        <v>2011</v>
      </c>
      <c r="W243" s="140">
        <f t="shared" si="213"/>
        <v>2012</v>
      </c>
      <c r="X243" s="140">
        <f t="shared" si="213"/>
        <v>2013</v>
      </c>
      <c r="Y243" s="140">
        <f t="shared" si="213"/>
        <v>2014</v>
      </c>
      <c r="Z243" s="140">
        <f t="shared" si="213"/>
        <v>2015</v>
      </c>
      <c r="AA243" s="140">
        <f t="shared" si="213"/>
        <v>2016</v>
      </c>
      <c r="AB243" s="140">
        <f t="shared" si="213"/>
        <v>2017</v>
      </c>
      <c r="AC243" s="140">
        <f t="shared" si="213"/>
        <v>2018</v>
      </c>
      <c r="AD243" s="140">
        <f t="shared" si="213"/>
        <v>2019</v>
      </c>
      <c r="AE243" s="140">
        <f t="shared" si="213"/>
        <v>2020</v>
      </c>
      <c r="AF243" s="140">
        <f t="shared" si="213"/>
        <v>2021</v>
      </c>
      <c r="AG243" s="140">
        <f t="shared" si="213"/>
        <v>2022</v>
      </c>
      <c r="AH243" s="139">
        <f t="shared" si="213"/>
        <v>2008</v>
      </c>
      <c r="AI243" s="139">
        <f t="shared" si="213"/>
        <v>2009</v>
      </c>
      <c r="AJ243" s="139">
        <f t="shared" si="213"/>
        <v>2010</v>
      </c>
      <c r="AK243" s="139">
        <f t="shared" si="213"/>
        <v>2011</v>
      </c>
      <c r="AL243" s="139">
        <f t="shared" si="213"/>
        <v>2012</v>
      </c>
      <c r="AM243" s="139">
        <f t="shared" si="213"/>
        <v>2013</v>
      </c>
      <c r="AN243" s="139">
        <f t="shared" si="213"/>
        <v>2014</v>
      </c>
      <c r="AO243" s="139">
        <f t="shared" si="213"/>
        <v>2015</v>
      </c>
      <c r="AP243" s="139">
        <f t="shared" si="213"/>
        <v>2016</v>
      </c>
      <c r="AQ243" s="139">
        <f t="shared" si="213"/>
        <v>2017</v>
      </c>
      <c r="AR243" s="139">
        <f t="shared" si="213"/>
        <v>2018</v>
      </c>
      <c r="AS243" s="139">
        <f t="shared" si="213"/>
        <v>2019</v>
      </c>
      <c r="AT243" s="139">
        <f t="shared" si="213"/>
        <v>2020</v>
      </c>
      <c r="AU243" s="139">
        <f t="shared" si="213"/>
        <v>2021</v>
      </c>
      <c r="AV243" s="139">
        <f t="shared" si="213"/>
        <v>2022</v>
      </c>
      <c r="AW243" s="140">
        <f t="shared" si="213"/>
        <v>2008</v>
      </c>
      <c r="AX243" s="140">
        <f t="shared" si="213"/>
        <v>2009</v>
      </c>
      <c r="AY243" s="140">
        <f t="shared" ref="AY243:BZ243" si="214">+AJ243</f>
        <v>2010</v>
      </c>
      <c r="AZ243" s="140">
        <f t="shared" si="214"/>
        <v>2011</v>
      </c>
      <c r="BA243" s="140">
        <f t="shared" si="214"/>
        <v>2012</v>
      </c>
      <c r="BB243" s="140">
        <f t="shared" si="214"/>
        <v>2013</v>
      </c>
      <c r="BC243" s="140">
        <f t="shared" si="214"/>
        <v>2014</v>
      </c>
      <c r="BD243" s="140">
        <f t="shared" si="214"/>
        <v>2015</v>
      </c>
      <c r="BE243" s="140">
        <f t="shared" si="214"/>
        <v>2016</v>
      </c>
      <c r="BF243" s="140">
        <f t="shared" si="214"/>
        <v>2017</v>
      </c>
      <c r="BG243" s="140">
        <f t="shared" si="214"/>
        <v>2018</v>
      </c>
      <c r="BH243" s="140">
        <f t="shared" si="214"/>
        <v>2019</v>
      </c>
      <c r="BI243" s="140">
        <f t="shared" si="214"/>
        <v>2020</v>
      </c>
      <c r="BJ243" s="140">
        <f t="shared" si="214"/>
        <v>2021</v>
      </c>
      <c r="BK243" s="140">
        <f t="shared" si="214"/>
        <v>2022</v>
      </c>
      <c r="BL243" s="139">
        <f t="shared" si="214"/>
        <v>2008</v>
      </c>
      <c r="BM243" s="139">
        <f t="shared" si="214"/>
        <v>2009</v>
      </c>
      <c r="BN243" s="139">
        <f t="shared" si="214"/>
        <v>2010</v>
      </c>
      <c r="BO243" s="139">
        <f t="shared" si="214"/>
        <v>2011</v>
      </c>
      <c r="BP243" s="139">
        <f t="shared" si="214"/>
        <v>2012</v>
      </c>
      <c r="BQ243" s="139">
        <f t="shared" si="214"/>
        <v>2013</v>
      </c>
      <c r="BR243" s="139">
        <f t="shared" si="214"/>
        <v>2014</v>
      </c>
      <c r="BS243" s="139">
        <f t="shared" si="214"/>
        <v>2015</v>
      </c>
      <c r="BT243" s="139">
        <f t="shared" si="214"/>
        <v>2016</v>
      </c>
      <c r="BU243" s="139">
        <f t="shared" si="214"/>
        <v>2017</v>
      </c>
      <c r="BV243" s="139">
        <f t="shared" si="214"/>
        <v>2018</v>
      </c>
      <c r="BW243" s="139">
        <f t="shared" si="214"/>
        <v>2019</v>
      </c>
      <c r="BX243" s="139">
        <f t="shared" si="214"/>
        <v>2020</v>
      </c>
      <c r="BY243" s="139">
        <f t="shared" si="214"/>
        <v>2021</v>
      </c>
      <c r="BZ243" s="139">
        <f t="shared" si="214"/>
        <v>2022</v>
      </c>
      <c r="CA243" s="141"/>
    </row>
    <row r="244" spans="1:79" x14ac:dyDescent="0.25">
      <c r="A244" s="26" t="s">
        <v>152</v>
      </c>
      <c r="B244" s="73">
        <v>1</v>
      </c>
      <c r="C244" s="26" t="s">
        <v>132</v>
      </c>
      <c r="E244">
        <v>0.33600000000000002</v>
      </c>
      <c r="F244">
        <v>0.33600000000000002</v>
      </c>
      <c r="G244">
        <v>0.33900000000000002</v>
      </c>
      <c r="H244">
        <v>0.33900000000000002</v>
      </c>
      <c r="I244">
        <v>0.33900000000000002</v>
      </c>
      <c r="J244">
        <v>0.33900000000000002</v>
      </c>
      <c r="K244">
        <v>0.33900000000000002</v>
      </c>
      <c r="L244">
        <v>0.33900000000000002</v>
      </c>
      <c r="M244">
        <v>0.33900000000000002</v>
      </c>
      <c r="N244">
        <v>0.33900000000000002</v>
      </c>
      <c r="O244">
        <v>0.33900000000000002</v>
      </c>
      <c r="P244">
        <v>0.33900000000000002</v>
      </c>
      <c r="Q244">
        <v>0.33900000000000002</v>
      </c>
      <c r="R244">
        <v>0.33900000000000002</v>
      </c>
      <c r="S244" s="74"/>
      <c r="T244" s="74">
        <f>+Assumptions!D19</f>
        <v>285.60000000000002</v>
      </c>
      <c r="U244" s="74">
        <f>+Assumptions!E19</f>
        <v>260.2</v>
      </c>
      <c r="V244" s="74">
        <f>+Assumptions!F19</f>
        <v>217.2</v>
      </c>
      <c r="W244" s="74">
        <f>+Assumptions!G19</f>
        <v>325</v>
      </c>
      <c r="X244" s="74">
        <f>+Assumptions!H19</f>
        <v>350</v>
      </c>
      <c r="Y244" s="74">
        <f>+Assumptions!I19</f>
        <v>350</v>
      </c>
      <c r="Z244" s="74">
        <f>+Assumptions!J19</f>
        <v>350</v>
      </c>
      <c r="AA244" s="74">
        <f>+Assumptions!K19</f>
        <v>350</v>
      </c>
      <c r="AB244" s="74">
        <f>+Assumptions!L19</f>
        <v>350</v>
      </c>
      <c r="AC244" s="74">
        <f>+Assumptions!M19</f>
        <v>350</v>
      </c>
      <c r="AD244" s="74">
        <f>+Assumptions!N19</f>
        <v>350</v>
      </c>
      <c r="AE244" s="74">
        <f>+Assumptions!O19</f>
        <v>350</v>
      </c>
      <c r="AF244" s="74">
        <f>+Assumptions!P19</f>
        <v>350</v>
      </c>
      <c r="AG244" s="74">
        <f>+Assumptions!Q19</f>
        <v>350</v>
      </c>
      <c r="AH244" s="61">
        <f t="shared" ref="AH244:AV247" si="215">+D244*S244</f>
        <v>0</v>
      </c>
      <c r="AI244" s="61">
        <f t="shared" si="215"/>
        <v>95.961600000000018</v>
      </c>
      <c r="AJ244" s="61">
        <f t="shared" si="215"/>
        <v>87.427199999999999</v>
      </c>
      <c r="AK244" s="61">
        <f t="shared" si="215"/>
        <v>73.630800000000008</v>
      </c>
      <c r="AL244" s="61">
        <f t="shared" si="215"/>
        <v>110.17500000000001</v>
      </c>
      <c r="AM244" s="61">
        <f t="shared" si="215"/>
        <v>118.65</v>
      </c>
      <c r="AN244" s="61">
        <f t="shared" si="215"/>
        <v>118.65</v>
      </c>
      <c r="AO244" s="61">
        <f t="shared" si="215"/>
        <v>118.65</v>
      </c>
      <c r="AP244" s="61">
        <f t="shared" si="215"/>
        <v>118.65</v>
      </c>
      <c r="AQ244" s="61">
        <f t="shared" si="215"/>
        <v>118.65</v>
      </c>
      <c r="AR244" s="61">
        <f t="shared" si="215"/>
        <v>118.65</v>
      </c>
      <c r="AS244" s="61">
        <f t="shared" si="215"/>
        <v>118.65</v>
      </c>
      <c r="AT244" s="61">
        <f t="shared" si="215"/>
        <v>118.65</v>
      </c>
      <c r="AU244" s="61">
        <f t="shared" si="215"/>
        <v>118.65</v>
      </c>
      <c r="AV244" s="61">
        <f t="shared" si="215"/>
        <v>118.65</v>
      </c>
      <c r="AW244" s="101">
        <f>VLOOKUP($C244,'Cost RMs'!$B$5:$Q$22,+AW$4-$AW$4+2,0)</f>
        <v>37079</v>
      </c>
      <c r="AX244" s="101">
        <f>VLOOKUP($C244,'Cost RMs'!$B$5:$Q$22,+AX$4-$AW$4+2,0)</f>
        <v>52416</v>
      </c>
      <c r="AY244" s="101">
        <f>VLOOKUP($C244,'Cost RMs'!$B$5:$Q$22,+AY$4-$AW$4+2,0)</f>
        <v>45564</v>
      </c>
      <c r="AZ244" s="101">
        <f>VLOOKUP($C244,'Cost RMs'!$B$5:$Q$22,+AZ$4-$AW$4+2,0)</f>
        <v>49142</v>
      </c>
      <c r="BA244" s="101">
        <f>VLOOKUP($C244,'Cost RMs'!$B$5:$Q$22,+BA$4-$AW$4+2,0)</f>
        <v>50394</v>
      </c>
      <c r="BB244" s="101">
        <f>VLOOKUP($C244,'Cost RMs'!$B$5:$Q$22,+BB$4-$AW$4+2,0)</f>
        <v>56436</v>
      </c>
      <c r="BC244" s="101">
        <f>VLOOKUP($C244,'Cost RMs'!$B$5:$Q$22,+BC$4-$AW$4+2,0)</f>
        <v>63265</v>
      </c>
      <c r="BD244" s="101">
        <f>VLOOKUP($C244,'Cost RMs'!$B$5:$Q$22,+BD$4-$AW$4+2,0)</f>
        <v>70920</v>
      </c>
      <c r="BE244" s="101">
        <f>VLOOKUP($C244,'Cost RMs'!$B$5:$Q$22,+BE$4-$AW$4+2,0)</f>
        <v>79501</v>
      </c>
      <c r="BF244" s="101">
        <f>VLOOKUP($C244,'Cost RMs'!$B$5:$Q$22,+BF$4-$AW$4+2,0)</f>
        <v>89121</v>
      </c>
      <c r="BG244" s="101">
        <f>VLOOKUP($C244,'Cost RMs'!$B$5:$Q$22,+BG$4-$AW$4+2,0)</f>
        <v>99905</v>
      </c>
      <c r="BH244" s="101">
        <f>VLOOKUP($C244,'Cost RMs'!$B$5:$Q$22,+BH$4-$AW$4+2,0)</f>
        <v>111994</v>
      </c>
      <c r="BI244" s="101">
        <f>VLOOKUP($C244,'Cost RMs'!$B$5:$Q$22,+BI$4-$AW$4+2,0)</f>
        <v>125545</v>
      </c>
      <c r="BJ244" s="101">
        <f>VLOOKUP($C244,'Cost RMs'!$B$5:$Q$22,+BJ$4-$AW$4+2,0)</f>
        <v>140736</v>
      </c>
      <c r="BK244" s="101">
        <f>VLOOKUP($C244,'Cost RMs'!$B$5:$Q$22,+BK$4-$AW$4+2,0)</f>
        <v>157765</v>
      </c>
      <c r="BL244" s="102">
        <f t="shared" ref="BL244:BZ247" si="216">+AH244*AW244</f>
        <v>0</v>
      </c>
      <c r="BM244" s="102">
        <f t="shared" si="216"/>
        <v>5029923.2256000014</v>
      </c>
      <c r="BN244" s="102">
        <f t="shared" si="216"/>
        <v>3983532.9408</v>
      </c>
      <c r="BO244" s="102">
        <f t="shared" si="216"/>
        <v>3618364.7736000004</v>
      </c>
      <c r="BP244" s="102">
        <f t="shared" si="216"/>
        <v>5552158.9500000002</v>
      </c>
      <c r="BQ244" s="102">
        <f t="shared" si="216"/>
        <v>6696131.4000000004</v>
      </c>
      <c r="BR244" s="102">
        <f t="shared" si="216"/>
        <v>7506392.25</v>
      </c>
      <c r="BS244" s="102">
        <f t="shared" si="216"/>
        <v>8414658</v>
      </c>
      <c r="BT244" s="102">
        <f t="shared" si="216"/>
        <v>9432793.6500000004</v>
      </c>
      <c r="BU244" s="102">
        <f t="shared" si="216"/>
        <v>10574206.65</v>
      </c>
      <c r="BV244" s="102">
        <f t="shared" si="216"/>
        <v>11853728.25</v>
      </c>
      <c r="BW244" s="102">
        <f t="shared" si="216"/>
        <v>13288088.100000001</v>
      </c>
      <c r="BX244" s="102">
        <f t="shared" si="216"/>
        <v>14895914.25</v>
      </c>
      <c r="BY244" s="102">
        <f t="shared" si="216"/>
        <v>16698326.4</v>
      </c>
      <c r="BZ244" s="102">
        <f t="shared" si="216"/>
        <v>18718817.25</v>
      </c>
    </row>
    <row r="245" spans="1:79" x14ac:dyDescent="0.25">
      <c r="A245" s="26" t="s">
        <v>152</v>
      </c>
      <c r="B245" s="73">
        <v>1</v>
      </c>
      <c r="C245" t="s">
        <v>129</v>
      </c>
      <c r="E245" s="71">
        <v>0.10638</v>
      </c>
      <c r="F245" s="71">
        <v>0.10638</v>
      </c>
      <c r="G245" s="71">
        <v>0.10473</v>
      </c>
      <c r="H245" s="71">
        <v>0.10473</v>
      </c>
      <c r="I245" s="71">
        <v>0.10473</v>
      </c>
      <c r="J245" s="71">
        <v>0.10473</v>
      </c>
      <c r="K245" s="71">
        <v>0.10473</v>
      </c>
      <c r="L245" s="71">
        <v>0.10473</v>
      </c>
      <c r="M245" s="71">
        <v>0.10473</v>
      </c>
      <c r="N245" s="71">
        <v>0.10473</v>
      </c>
      <c r="O245" s="71">
        <v>0.10473</v>
      </c>
      <c r="P245" s="71">
        <v>0.10473</v>
      </c>
      <c r="Q245" s="71">
        <v>0.10473</v>
      </c>
      <c r="R245" s="71">
        <v>0.10473</v>
      </c>
      <c r="S245" s="74"/>
      <c r="T245" s="74">
        <f>+T244</f>
        <v>285.60000000000002</v>
      </c>
      <c r="U245" s="74">
        <f t="shared" ref="U245:AD247" si="217">+U244</f>
        <v>260.2</v>
      </c>
      <c r="V245" s="74">
        <f t="shared" si="217"/>
        <v>217.2</v>
      </c>
      <c r="W245" s="74">
        <f t="shared" si="217"/>
        <v>325</v>
      </c>
      <c r="X245" s="74">
        <f t="shared" si="217"/>
        <v>350</v>
      </c>
      <c r="Y245" s="74">
        <f t="shared" si="217"/>
        <v>350</v>
      </c>
      <c r="Z245" s="74">
        <f t="shared" si="217"/>
        <v>350</v>
      </c>
      <c r="AA245" s="74">
        <f t="shared" si="217"/>
        <v>350</v>
      </c>
      <c r="AB245" s="74">
        <f t="shared" si="217"/>
        <v>350</v>
      </c>
      <c r="AC245" s="74">
        <f t="shared" si="217"/>
        <v>350</v>
      </c>
      <c r="AD245" s="74">
        <f t="shared" si="217"/>
        <v>350</v>
      </c>
      <c r="AE245" s="74">
        <f t="shared" ref="AE245:AG245" si="218">+AE244</f>
        <v>350</v>
      </c>
      <c r="AF245" s="74">
        <f t="shared" si="218"/>
        <v>350</v>
      </c>
      <c r="AG245" s="74">
        <f t="shared" si="218"/>
        <v>350</v>
      </c>
      <c r="AH245" s="61">
        <f t="shared" si="215"/>
        <v>0</v>
      </c>
      <c r="AI245" s="61">
        <f t="shared" si="215"/>
        <v>30.382128000000002</v>
      </c>
      <c r="AJ245" s="61">
        <f t="shared" si="215"/>
        <v>27.680076</v>
      </c>
      <c r="AK245" s="61">
        <f t="shared" si="215"/>
        <v>22.747356</v>
      </c>
      <c r="AL245" s="61">
        <f t="shared" si="215"/>
        <v>34.03725</v>
      </c>
      <c r="AM245" s="61">
        <f t="shared" si="215"/>
        <v>36.655500000000004</v>
      </c>
      <c r="AN245" s="61">
        <f t="shared" si="215"/>
        <v>36.655500000000004</v>
      </c>
      <c r="AO245" s="61">
        <f t="shared" si="215"/>
        <v>36.655500000000004</v>
      </c>
      <c r="AP245" s="61">
        <f t="shared" si="215"/>
        <v>36.655500000000004</v>
      </c>
      <c r="AQ245" s="61">
        <f t="shared" si="215"/>
        <v>36.655500000000004</v>
      </c>
      <c r="AR245" s="61">
        <f t="shared" si="215"/>
        <v>36.655500000000004</v>
      </c>
      <c r="AS245" s="61">
        <f t="shared" si="215"/>
        <v>36.655500000000004</v>
      </c>
      <c r="AT245" s="61">
        <f t="shared" si="215"/>
        <v>36.655500000000004</v>
      </c>
      <c r="AU245" s="61">
        <f t="shared" si="215"/>
        <v>36.655500000000004</v>
      </c>
      <c r="AV245" s="61">
        <f t="shared" si="215"/>
        <v>36.655500000000004</v>
      </c>
      <c r="AW245" s="101">
        <f>VLOOKUP($C245,'Cost RMs'!$B$5:$Q$22,+AW$4-$AW$4+2,0)</f>
        <v>40086</v>
      </c>
      <c r="AX245" s="101">
        <f>VLOOKUP($C245,'Cost RMs'!$B$5:$Q$22,+AX$4-$AW$4+2,0)</f>
        <v>56197</v>
      </c>
      <c r="AY245" s="101">
        <f>VLOOKUP($C245,'Cost RMs'!$B$5:$Q$22,+AY$4-$AW$4+2,0)</f>
        <v>64582</v>
      </c>
      <c r="AZ245" s="101">
        <f>VLOOKUP($C245,'Cost RMs'!$B$5:$Q$22,+AZ$4-$AW$4+2,0)</f>
        <v>76567</v>
      </c>
      <c r="BA245" s="101">
        <f ca="1">VLOOKUP($C245,'Cost RMs'!$B$5:$Q$22,+BA$4-$AW$4+2,0)</f>
        <v>86638</v>
      </c>
      <c r="BB245" s="101">
        <f ca="1">VLOOKUP($C245,'Cost RMs'!$B$5:$Q$22,+BB$4-$AW$4+2,0)</f>
        <v>97026</v>
      </c>
      <c r="BC245" s="101">
        <f ca="1">VLOOKUP($C245,'Cost RMs'!$B$5:$Q$22,+BC$4-$AW$4+2,0)</f>
        <v>108766</v>
      </c>
      <c r="BD245" s="101">
        <f ca="1">VLOOKUP($C245,'Cost RMs'!$B$5:$Q$22,+BD$4-$AW$4+2,0)</f>
        <v>121927</v>
      </c>
      <c r="BE245" s="101">
        <f ca="1">VLOOKUP($C245,'Cost RMs'!$B$5:$Q$22,+BE$4-$AW$4+2,0)</f>
        <v>136680</v>
      </c>
      <c r="BF245" s="101">
        <f ca="1">VLOOKUP($C245,'Cost RMs'!$B$5:$Q$22,+BF$4-$AW$4+2,0)</f>
        <v>153218</v>
      </c>
      <c r="BG245" s="101">
        <f ca="1">VLOOKUP($C245,'Cost RMs'!$B$5:$Q$22,+BG$4-$AW$4+2,0)</f>
        <v>171757</v>
      </c>
      <c r="BH245" s="101">
        <f ca="1">VLOOKUP($C245,'Cost RMs'!$B$5:$Q$22,+BH$4-$AW$4+2,0)</f>
        <v>192540</v>
      </c>
      <c r="BI245" s="101">
        <f ca="1">VLOOKUP($C245,'Cost RMs'!$B$5:$Q$22,+BI$4-$AW$4+2,0)</f>
        <v>215837</v>
      </c>
      <c r="BJ245" s="101">
        <f ca="1">VLOOKUP($C245,'Cost RMs'!$B$5:$Q$22,+BJ$4-$AW$4+2,0)</f>
        <v>241953</v>
      </c>
      <c r="BK245" s="101">
        <f ca="1">VLOOKUP($C245,'Cost RMs'!$B$5:$Q$22,+BK$4-$AW$4+2,0)</f>
        <v>271229</v>
      </c>
      <c r="BL245" s="102">
        <f t="shared" si="216"/>
        <v>0</v>
      </c>
      <c r="BM245" s="102">
        <f t="shared" si="216"/>
        <v>1707384.4472160002</v>
      </c>
      <c r="BN245" s="102">
        <f t="shared" si="216"/>
        <v>1787634.668232</v>
      </c>
      <c r="BO245" s="102">
        <f t="shared" si="216"/>
        <v>1741696.8068520001</v>
      </c>
      <c r="BP245" s="102">
        <f t="shared" ca="1" si="216"/>
        <v>2948919.2655000002</v>
      </c>
      <c r="BQ245" s="102">
        <f t="shared" ca="1" si="216"/>
        <v>3556536.5430000005</v>
      </c>
      <c r="BR245" s="102">
        <f t="shared" ca="1" si="216"/>
        <v>3986872.1130000004</v>
      </c>
      <c r="BS245" s="102">
        <f t="shared" ca="1" si="216"/>
        <v>4469295.1485000001</v>
      </c>
      <c r="BT245" s="102">
        <f t="shared" ca="1" si="216"/>
        <v>5010073.74</v>
      </c>
      <c r="BU245" s="102">
        <f t="shared" ca="1" si="216"/>
        <v>5616282.3990000002</v>
      </c>
      <c r="BV245" s="102">
        <f t="shared" ca="1" si="216"/>
        <v>6295838.7135000005</v>
      </c>
      <c r="BW245" s="102">
        <f t="shared" ca="1" si="216"/>
        <v>7057649.9700000007</v>
      </c>
      <c r="BX245" s="102">
        <f t="shared" ca="1" si="216"/>
        <v>7911613.1535000009</v>
      </c>
      <c r="BY245" s="102">
        <f t="shared" ca="1" si="216"/>
        <v>8868908.1915000007</v>
      </c>
      <c r="BZ245" s="102">
        <f t="shared" ca="1" si="216"/>
        <v>9942034.6095000003</v>
      </c>
    </row>
    <row r="246" spans="1:79" x14ac:dyDescent="0.25">
      <c r="A246" s="26" t="s">
        <v>152</v>
      </c>
      <c r="B246" s="73">
        <v>1</v>
      </c>
      <c r="C246" s="59" t="s">
        <v>147</v>
      </c>
      <c r="E246" s="71">
        <v>3.947E-3</v>
      </c>
      <c r="F246" s="71">
        <v>3.947E-3</v>
      </c>
      <c r="G246" s="71">
        <v>4.7499999999999999E-3</v>
      </c>
      <c r="H246" s="71">
        <v>4.7499999999999999E-3</v>
      </c>
      <c r="I246" s="71">
        <v>4.7499999999999999E-3</v>
      </c>
      <c r="J246" s="71">
        <v>4.7499999999999999E-3</v>
      </c>
      <c r="K246" s="71">
        <v>4.7499999999999999E-3</v>
      </c>
      <c r="L246" s="71">
        <v>4.7499999999999999E-3</v>
      </c>
      <c r="M246" s="71">
        <v>4.7499999999999999E-3</v>
      </c>
      <c r="N246" s="71">
        <v>4.7499999999999999E-3</v>
      </c>
      <c r="O246" s="71">
        <v>4.7499999999999999E-3</v>
      </c>
      <c r="P246" s="71">
        <v>4.7499999999999999E-3</v>
      </c>
      <c r="Q246" s="71">
        <v>4.7499999999999999E-3</v>
      </c>
      <c r="R246" s="71">
        <v>4.7499999999999999E-3</v>
      </c>
      <c r="S246" s="74"/>
      <c r="T246" s="74">
        <f>+T245</f>
        <v>285.60000000000002</v>
      </c>
      <c r="U246" s="74">
        <f t="shared" si="217"/>
        <v>260.2</v>
      </c>
      <c r="V246" s="74">
        <f t="shared" si="217"/>
        <v>217.2</v>
      </c>
      <c r="W246" s="74">
        <f t="shared" si="217"/>
        <v>325</v>
      </c>
      <c r="X246" s="74">
        <f t="shared" si="217"/>
        <v>350</v>
      </c>
      <c r="Y246" s="74">
        <f t="shared" si="217"/>
        <v>350</v>
      </c>
      <c r="Z246" s="74">
        <f t="shared" si="217"/>
        <v>350</v>
      </c>
      <c r="AA246" s="74">
        <f t="shared" si="217"/>
        <v>350</v>
      </c>
      <c r="AB246" s="74">
        <f t="shared" si="217"/>
        <v>350</v>
      </c>
      <c r="AC246" s="74">
        <f t="shared" si="217"/>
        <v>350</v>
      </c>
      <c r="AD246" s="74">
        <f t="shared" si="217"/>
        <v>350</v>
      </c>
      <c r="AE246" s="74">
        <f t="shared" ref="AE246:AG246" si="219">+AE245</f>
        <v>350</v>
      </c>
      <c r="AF246" s="74">
        <f t="shared" si="219"/>
        <v>350</v>
      </c>
      <c r="AG246" s="74">
        <f t="shared" si="219"/>
        <v>350</v>
      </c>
      <c r="AH246" s="61">
        <f t="shared" si="215"/>
        <v>0</v>
      </c>
      <c r="AI246" s="61">
        <f t="shared" si="215"/>
        <v>1.1272632</v>
      </c>
      <c r="AJ246" s="61">
        <f t="shared" si="215"/>
        <v>1.0270093999999999</v>
      </c>
      <c r="AK246" s="61">
        <f t="shared" si="215"/>
        <v>1.0316999999999998</v>
      </c>
      <c r="AL246" s="61">
        <f t="shared" si="215"/>
        <v>1.54375</v>
      </c>
      <c r="AM246" s="61">
        <f t="shared" si="215"/>
        <v>1.6624999999999999</v>
      </c>
      <c r="AN246" s="61">
        <f t="shared" si="215"/>
        <v>1.6624999999999999</v>
      </c>
      <c r="AO246" s="61">
        <f t="shared" si="215"/>
        <v>1.6624999999999999</v>
      </c>
      <c r="AP246" s="61">
        <f t="shared" si="215"/>
        <v>1.6624999999999999</v>
      </c>
      <c r="AQ246" s="61">
        <f t="shared" si="215"/>
        <v>1.6624999999999999</v>
      </c>
      <c r="AR246" s="61">
        <f t="shared" si="215"/>
        <v>1.6624999999999999</v>
      </c>
      <c r="AS246" s="61">
        <f t="shared" si="215"/>
        <v>1.6624999999999999</v>
      </c>
      <c r="AT246" s="61">
        <f t="shared" si="215"/>
        <v>1.6624999999999999</v>
      </c>
      <c r="AU246" s="61">
        <f t="shared" si="215"/>
        <v>1.6624999999999999</v>
      </c>
      <c r="AV246" s="61">
        <f t="shared" si="215"/>
        <v>1.6624999999999999</v>
      </c>
      <c r="AW246" s="101">
        <f>VLOOKUP($C246,'Cost RMs'!$B$5:$Q$22,+AW$4-$AW$4+2,0)</f>
        <v>25380</v>
      </c>
      <c r="AX246" s="101">
        <f>VLOOKUP($C246,'Cost RMs'!$B$5:$Q$22,+AX$4-$AW$4+2,0)</f>
        <v>33957</v>
      </c>
      <c r="AY246" s="101">
        <f>VLOOKUP($C246,'Cost RMs'!$B$5:$Q$22,+AY$4-$AW$4+2,0)</f>
        <v>50212</v>
      </c>
      <c r="AZ246" s="101">
        <f>VLOOKUP($C246,'Cost RMs'!$B$5:$Q$22,+AZ$4-$AW$4+2,0)</f>
        <v>63581</v>
      </c>
      <c r="BA246" s="101">
        <f ca="1">VLOOKUP($C246,'Cost RMs'!$B$5:$Q$22,+BA$4-$AW$4+2,0)</f>
        <v>82384</v>
      </c>
      <c r="BB246" s="101">
        <f ca="1">VLOOKUP($C246,'Cost RMs'!$B$5:$Q$22,+BB$4-$AW$4+2,0)</f>
        <v>92262</v>
      </c>
      <c r="BC246" s="101">
        <f ca="1">VLOOKUP($C246,'Cost RMs'!$B$5:$Q$22,+BC$4-$AW$4+2,0)</f>
        <v>103426</v>
      </c>
      <c r="BD246" s="101">
        <f ca="1">VLOOKUP($C246,'Cost RMs'!$B$5:$Q$22,+BD$4-$AW$4+2,0)</f>
        <v>115941</v>
      </c>
      <c r="BE246" s="101">
        <f ca="1">VLOOKUP($C246,'Cost RMs'!$B$5:$Q$22,+BE$4-$AW$4+2,0)</f>
        <v>129970</v>
      </c>
      <c r="BF246" s="101">
        <f ca="1">VLOOKUP($C246,'Cost RMs'!$B$5:$Q$22,+BF$4-$AW$4+2,0)</f>
        <v>145696</v>
      </c>
      <c r="BG246" s="101">
        <f ca="1">VLOOKUP($C246,'Cost RMs'!$B$5:$Q$22,+BG$4-$AW$4+2,0)</f>
        <v>163325</v>
      </c>
      <c r="BH246" s="101">
        <f ca="1">VLOOKUP($C246,'Cost RMs'!$B$5:$Q$22,+BH$4-$AW$4+2,0)</f>
        <v>183087</v>
      </c>
      <c r="BI246" s="101">
        <f ca="1">VLOOKUP($C246,'Cost RMs'!$B$5:$Q$22,+BI$4-$AW$4+2,0)</f>
        <v>205241</v>
      </c>
      <c r="BJ246" s="101">
        <f ca="1">VLOOKUP($C246,'Cost RMs'!$B$5:$Q$22,+BJ$4-$AW$4+2,0)</f>
        <v>230075</v>
      </c>
      <c r="BK246" s="101">
        <f ca="1">VLOOKUP($C246,'Cost RMs'!$B$5:$Q$22,+BK$4-$AW$4+2,0)</f>
        <v>257914</v>
      </c>
      <c r="BL246" s="102">
        <f t="shared" si="216"/>
        <v>0</v>
      </c>
      <c r="BM246" s="102">
        <f t="shared" si="216"/>
        <v>38278.476482400001</v>
      </c>
      <c r="BN246" s="102">
        <f t="shared" si="216"/>
        <v>51568.195992799992</v>
      </c>
      <c r="BO246" s="102">
        <f t="shared" si="216"/>
        <v>65596.517699999997</v>
      </c>
      <c r="BP246" s="102">
        <f t="shared" ca="1" si="216"/>
        <v>127180.3</v>
      </c>
      <c r="BQ246" s="102">
        <f t="shared" ca="1" si="216"/>
        <v>153385.57499999998</v>
      </c>
      <c r="BR246" s="102">
        <f t="shared" ca="1" si="216"/>
        <v>171945.72499999998</v>
      </c>
      <c r="BS246" s="102">
        <f t="shared" ca="1" si="216"/>
        <v>192751.91249999998</v>
      </c>
      <c r="BT246" s="102">
        <f t="shared" ca="1" si="216"/>
        <v>216075.12499999997</v>
      </c>
      <c r="BU246" s="102">
        <f t="shared" ca="1" si="216"/>
        <v>242219.59999999998</v>
      </c>
      <c r="BV246" s="102">
        <f t="shared" ca="1" si="216"/>
        <v>271527.8125</v>
      </c>
      <c r="BW246" s="102">
        <f t="shared" ca="1" si="216"/>
        <v>304382.13749999995</v>
      </c>
      <c r="BX246" s="102">
        <f t="shared" ca="1" si="216"/>
        <v>341213.16249999998</v>
      </c>
      <c r="BY246" s="102">
        <f t="shared" ca="1" si="216"/>
        <v>382499.68749999994</v>
      </c>
      <c r="BZ246" s="102">
        <f t="shared" ca="1" si="216"/>
        <v>428782.02499999997</v>
      </c>
    </row>
    <row r="247" spans="1:79" x14ac:dyDescent="0.25">
      <c r="A247" s="26" t="s">
        <v>152</v>
      </c>
      <c r="B247" s="73">
        <v>1</v>
      </c>
      <c r="C247" s="59" t="s">
        <v>149</v>
      </c>
      <c r="E247">
        <f>0.68*0+0.26</f>
        <v>0.26</v>
      </c>
      <c r="F247">
        <f>0.68*0+0.26</f>
        <v>0.26</v>
      </c>
      <c r="G247">
        <v>0.25</v>
      </c>
      <c r="H247">
        <v>0.25</v>
      </c>
      <c r="I247">
        <v>0.25</v>
      </c>
      <c r="J247">
        <v>0.25</v>
      </c>
      <c r="K247">
        <v>0.25</v>
      </c>
      <c r="L247">
        <v>0.25</v>
      </c>
      <c r="M247">
        <v>0.25</v>
      </c>
      <c r="N247">
        <v>0.25</v>
      </c>
      <c r="O247">
        <v>0.25</v>
      </c>
      <c r="P247">
        <v>0.25</v>
      </c>
      <c r="Q247">
        <v>0.25</v>
      </c>
      <c r="R247">
        <v>0.25</v>
      </c>
      <c r="S247" s="74"/>
      <c r="T247" s="74">
        <f>+T246</f>
        <v>285.60000000000002</v>
      </c>
      <c r="U247" s="74">
        <f t="shared" si="217"/>
        <v>260.2</v>
      </c>
      <c r="V247" s="74">
        <f t="shared" si="217"/>
        <v>217.2</v>
      </c>
      <c r="W247" s="74">
        <f t="shared" si="217"/>
        <v>325</v>
      </c>
      <c r="X247" s="74">
        <f t="shared" si="217"/>
        <v>350</v>
      </c>
      <c r="Y247" s="74">
        <f t="shared" si="217"/>
        <v>350</v>
      </c>
      <c r="Z247" s="74">
        <f t="shared" si="217"/>
        <v>350</v>
      </c>
      <c r="AA247" s="74">
        <f t="shared" si="217"/>
        <v>350</v>
      </c>
      <c r="AB247" s="74">
        <f t="shared" si="217"/>
        <v>350</v>
      </c>
      <c r="AC247" s="74">
        <f t="shared" si="217"/>
        <v>350</v>
      </c>
      <c r="AD247" s="74">
        <f t="shared" si="217"/>
        <v>350</v>
      </c>
      <c r="AE247" s="74">
        <f t="shared" ref="AE247:AG247" si="220">+AE246</f>
        <v>350</v>
      </c>
      <c r="AF247" s="74">
        <f t="shared" si="220"/>
        <v>350</v>
      </c>
      <c r="AG247" s="74">
        <f t="shared" si="220"/>
        <v>350</v>
      </c>
      <c r="AH247" s="61">
        <f t="shared" si="215"/>
        <v>0</v>
      </c>
      <c r="AI247" s="61">
        <f t="shared" si="215"/>
        <v>74.256000000000014</v>
      </c>
      <c r="AJ247" s="61">
        <f t="shared" si="215"/>
        <v>67.652000000000001</v>
      </c>
      <c r="AK247" s="61">
        <f t="shared" si="215"/>
        <v>54.3</v>
      </c>
      <c r="AL247" s="61">
        <f t="shared" si="215"/>
        <v>81.25</v>
      </c>
      <c r="AM247" s="61">
        <f t="shared" si="215"/>
        <v>87.5</v>
      </c>
      <c r="AN247" s="61">
        <f t="shared" si="215"/>
        <v>87.5</v>
      </c>
      <c r="AO247" s="61">
        <f t="shared" si="215"/>
        <v>87.5</v>
      </c>
      <c r="AP247" s="61">
        <f t="shared" si="215"/>
        <v>87.5</v>
      </c>
      <c r="AQ247" s="61">
        <f t="shared" si="215"/>
        <v>87.5</v>
      </c>
      <c r="AR247" s="61">
        <f t="shared" si="215"/>
        <v>87.5</v>
      </c>
      <c r="AS247" s="61">
        <f t="shared" si="215"/>
        <v>87.5</v>
      </c>
      <c r="AT247" s="61">
        <f t="shared" si="215"/>
        <v>87.5</v>
      </c>
      <c r="AU247" s="61">
        <f t="shared" si="215"/>
        <v>87.5</v>
      </c>
      <c r="AV247" s="61">
        <f t="shared" si="215"/>
        <v>87.5</v>
      </c>
      <c r="AW247" s="101">
        <f>VLOOKUP($C247,'Cost RMs'!$B$5:$Q$22,+AW$4-$AW$4+2,0)</f>
        <v>9377</v>
      </c>
      <c r="AX247" s="101">
        <f>VLOOKUP($C247,'Cost RMs'!$B$5:$Q$22,+AX$4-$AW$4+2,0)</f>
        <v>9969</v>
      </c>
      <c r="AY247" s="101">
        <f>VLOOKUP($C247,'Cost RMs'!$B$5:$Q$22,+AY$4-$AW$4+2,0)</f>
        <v>14915</v>
      </c>
      <c r="AZ247" s="101">
        <f>VLOOKUP($C247,'Cost RMs'!$B$5:$Q$22,+AZ$4-$AW$4+2,0)</f>
        <v>16547</v>
      </c>
      <c r="BA247" s="101">
        <f ca="1">VLOOKUP($C247,'Cost RMs'!$B$5:$Q$22,+BA$4-$AW$4+2,0)</f>
        <v>17617</v>
      </c>
      <c r="BB247" s="101">
        <f ca="1">VLOOKUP($C247,'Cost RMs'!$B$5:$Q$22,+BB$4-$AW$4+2,0)</f>
        <v>19729</v>
      </c>
      <c r="BC247" s="101">
        <f ca="1">VLOOKUP($C247,'Cost RMs'!$B$5:$Q$22,+BC$4-$AW$4+2,0)</f>
        <v>22116</v>
      </c>
      <c r="BD247" s="101">
        <f ca="1">VLOOKUP($C247,'Cost RMs'!$B$5:$Q$22,+BD$4-$AW$4+2,0)</f>
        <v>24792</v>
      </c>
      <c r="BE247" s="101">
        <f ca="1">VLOOKUP($C247,'Cost RMs'!$B$5:$Q$22,+BE$4-$AW$4+2,0)</f>
        <v>27792</v>
      </c>
      <c r="BF247" s="101">
        <f ca="1">VLOOKUP($C247,'Cost RMs'!$B$5:$Q$22,+BF$4-$AW$4+2,0)</f>
        <v>31155</v>
      </c>
      <c r="BG247" s="101">
        <f ca="1">VLOOKUP($C247,'Cost RMs'!$B$5:$Q$22,+BG$4-$AW$4+2,0)</f>
        <v>34925</v>
      </c>
      <c r="BH247" s="101">
        <f ca="1">VLOOKUP($C247,'Cost RMs'!$B$5:$Q$22,+BH$4-$AW$4+2,0)</f>
        <v>39151</v>
      </c>
      <c r="BI247" s="101">
        <f ca="1">VLOOKUP($C247,'Cost RMs'!$B$5:$Q$22,+BI$4-$AW$4+2,0)</f>
        <v>43888</v>
      </c>
      <c r="BJ247" s="101">
        <f ca="1">VLOOKUP($C247,'Cost RMs'!$B$5:$Q$22,+BJ$4-$AW$4+2,0)</f>
        <v>49198</v>
      </c>
      <c r="BK247" s="101">
        <f ca="1">VLOOKUP($C247,'Cost RMs'!$B$5:$Q$22,+BK$4-$AW$4+2,0)</f>
        <v>55151</v>
      </c>
      <c r="BL247" s="102">
        <f t="shared" si="216"/>
        <v>0</v>
      </c>
      <c r="BM247" s="102">
        <f t="shared" si="216"/>
        <v>740258.06400000013</v>
      </c>
      <c r="BN247" s="102">
        <f t="shared" si="216"/>
        <v>1009029.58</v>
      </c>
      <c r="BO247" s="102">
        <f t="shared" si="216"/>
        <v>898502.1</v>
      </c>
      <c r="BP247" s="102">
        <f t="shared" ca="1" si="216"/>
        <v>1431381.25</v>
      </c>
      <c r="BQ247" s="102">
        <f t="shared" ca="1" si="216"/>
        <v>1726287.5</v>
      </c>
      <c r="BR247" s="102">
        <f t="shared" ca="1" si="216"/>
        <v>1935150</v>
      </c>
      <c r="BS247" s="102">
        <f t="shared" ca="1" si="216"/>
        <v>2169300</v>
      </c>
      <c r="BT247" s="102">
        <f t="shared" ca="1" si="216"/>
        <v>2431800</v>
      </c>
      <c r="BU247" s="102">
        <f t="shared" ca="1" si="216"/>
        <v>2726062.5</v>
      </c>
      <c r="BV247" s="102">
        <f t="shared" ca="1" si="216"/>
        <v>3055937.5</v>
      </c>
      <c r="BW247" s="102">
        <f t="shared" ca="1" si="216"/>
        <v>3425712.5</v>
      </c>
      <c r="BX247" s="102">
        <f t="shared" ca="1" si="216"/>
        <v>3840200</v>
      </c>
      <c r="BY247" s="102">
        <f t="shared" ca="1" si="216"/>
        <v>4304825</v>
      </c>
      <c r="BZ247" s="102">
        <f t="shared" ca="1" si="216"/>
        <v>4825712.5</v>
      </c>
    </row>
    <row r="248" spans="1:79" x14ac:dyDescent="0.25">
      <c r="C248" s="166" t="s">
        <v>567</v>
      </c>
      <c r="BO248" s="102">
        <v>784535</v>
      </c>
      <c r="BP248" s="102">
        <f>+BO248*(1+Assumptions!G7)</f>
        <v>880805.28985000006</v>
      </c>
      <c r="BQ248" s="102">
        <f>+BP248*(1+Assumptions!H7)</f>
        <v>976813.06644365005</v>
      </c>
      <c r="BR248" s="102">
        <f>+BQ248*(1+Assumptions!I7)</f>
        <v>1084262.5037524516</v>
      </c>
      <c r="BS248" s="102">
        <f>+BR248*(1+Assumptions!J7)</f>
        <v>1203531.3791652215</v>
      </c>
      <c r="BT248" s="102">
        <f>+BS248*(1+Assumptions!K7)</f>
        <v>1335919.830873396</v>
      </c>
      <c r="BU248" s="102">
        <f>+BT248*(1+Assumptions!L7)</f>
        <v>1482871.0122694697</v>
      </c>
      <c r="BV248" s="102">
        <f>+BU248*(1+Assumptions!M7)</f>
        <v>1645986.8236191114</v>
      </c>
      <c r="BW248" s="102">
        <f>+BV248*(1+Assumptions!N7)</f>
        <v>1827045.3742172138</v>
      </c>
      <c r="BX248" s="102">
        <f>+BW248*(1+Assumptions!O7)</f>
        <v>2028020.3653811074</v>
      </c>
      <c r="BY248" s="102">
        <f>+BX248*(1+Assumptions!P7)</f>
        <v>2251102.6055730293</v>
      </c>
      <c r="BZ248" s="102">
        <f>+BY248*(1+Assumptions!Q7)</f>
        <v>2498723.8921860629</v>
      </c>
    </row>
    <row r="249" spans="1:79" x14ac:dyDescent="0.25">
      <c r="C249" t="s">
        <v>249</v>
      </c>
      <c r="BM249" s="102">
        <v>1073351.084</v>
      </c>
      <c r="BN249" s="102">
        <v>1288021.3008000001</v>
      </c>
      <c r="BO249" s="102">
        <v>1397077.96</v>
      </c>
      <c r="BP249" s="102">
        <f>+BO249*(1+Assumptions!G8)</f>
        <v>1676493.5519999999</v>
      </c>
      <c r="BQ249" s="102">
        <f>+BP249*(1+Assumptions!H8)</f>
        <v>2045322.1334399998</v>
      </c>
      <c r="BR249" s="102">
        <f>+BQ249*(1+Assumptions!I8)</f>
        <v>2495293.0027967999</v>
      </c>
      <c r="BS249" s="102">
        <f>+BR249*(1+Assumptions!J8)</f>
        <v>3044257.4634120958</v>
      </c>
      <c r="BT249" s="102">
        <f>+BS249*(1+Assumptions!K8)</f>
        <v>3713994.1053627566</v>
      </c>
      <c r="BU249" s="102">
        <f>+BT249*(1+Assumptions!L8)</f>
        <v>4531072.8085425626</v>
      </c>
      <c r="BV249" s="102">
        <f>+BU249*(1+Assumptions!M8)</f>
        <v>5527908.8264219267</v>
      </c>
      <c r="BW249" s="102">
        <f>+BV249*(1+Assumptions!N8)</f>
        <v>6744048.7682347503</v>
      </c>
      <c r="BX249" s="102">
        <f>+BW249*(1+Assumptions!O8)</f>
        <v>8227739.4972463949</v>
      </c>
      <c r="BY249" s="102">
        <f>+BX249*(1+Assumptions!P8)</f>
        <v>10037842.186640602</v>
      </c>
      <c r="BZ249" s="102">
        <f>+BY249*(1+Assumptions!Q8)</f>
        <v>12246167.467701534</v>
      </c>
    </row>
    <row r="250" spans="1:79" x14ac:dyDescent="0.25">
      <c r="C250" t="s">
        <v>250</v>
      </c>
      <c r="BM250" s="102">
        <f>2761130</f>
        <v>2761130</v>
      </c>
      <c r="BN250" s="102">
        <v>2761130</v>
      </c>
      <c r="BO250" s="102">
        <v>2761130</v>
      </c>
      <c r="BP250" s="102">
        <f>+BO250*(1+Assumptions!G7)</f>
        <v>3099948.2623000001</v>
      </c>
      <c r="BQ250" s="102">
        <f>+BP250*(1+Assumptions!H7)</f>
        <v>3437842.6228907001</v>
      </c>
      <c r="BR250" s="102">
        <f>+BQ250*(1+Assumptions!I7)</f>
        <v>3816005.3114086776</v>
      </c>
      <c r="BS250" s="102">
        <f>+BR250*(1+Assumptions!J7)</f>
        <v>4235765.8956636321</v>
      </c>
      <c r="BT250" s="102">
        <f>+BS250*(1+Assumptions!K7)</f>
        <v>4701700.1441866318</v>
      </c>
      <c r="BU250" s="102">
        <f>+BT250*(1+Assumptions!L7)</f>
        <v>5218887.1600471614</v>
      </c>
      <c r="BV250" s="102">
        <f>+BU250*(1+Assumptions!M7)</f>
        <v>5792964.74765235</v>
      </c>
      <c r="BW250" s="102">
        <f>+BV250*(1+Assumptions!N7)</f>
        <v>6430190.8698941087</v>
      </c>
      <c r="BX250" s="102">
        <f>+BW250*(1+Assumptions!O7)</f>
        <v>7137511.8655824615</v>
      </c>
      <c r="BY250" s="102">
        <f>+BX250*(1+Assumptions!P7)</f>
        <v>7922638.1707965331</v>
      </c>
      <c r="BZ250" s="102">
        <f>+BY250*(1+Assumptions!Q7)</f>
        <v>8794128.3695841525</v>
      </c>
    </row>
    <row r="251" spans="1:79" x14ac:dyDescent="0.25">
      <c r="C251" t="s">
        <v>251</v>
      </c>
      <c r="AI251">
        <f t="shared" ref="AI251:AS251" si="221">+AI175</f>
        <v>301.74553380000003</v>
      </c>
      <c r="AJ251">
        <f t="shared" si="221"/>
        <v>702.49725080000007</v>
      </c>
      <c r="AK251" s="348">
        <f>+AK175*0+538.124</f>
        <v>538.12400000000002</v>
      </c>
      <c r="AL251">
        <f t="shared" si="221"/>
        <v>525.54930000000002</v>
      </c>
      <c r="AM251">
        <f t="shared" si="221"/>
        <v>567.09191099999998</v>
      </c>
      <c r="AN251">
        <f t="shared" si="221"/>
        <v>607.4550210000001</v>
      </c>
      <c r="AO251">
        <f t="shared" si="221"/>
        <v>592.51114703999997</v>
      </c>
      <c r="AP251">
        <f t="shared" si="221"/>
        <v>592.51114703999997</v>
      </c>
      <c r="AQ251">
        <f t="shared" si="221"/>
        <v>592.51114703999997</v>
      </c>
      <c r="AR251">
        <f t="shared" si="221"/>
        <v>592.51114703999997</v>
      </c>
      <c r="AS251">
        <f t="shared" si="221"/>
        <v>592.51114703999997</v>
      </c>
      <c r="AT251">
        <f t="shared" ref="AT251:AV251" si="222">+AT175</f>
        <v>592.51114703999997</v>
      </c>
      <c r="AU251">
        <f t="shared" si="222"/>
        <v>592.51114703999997</v>
      </c>
      <c r="AV251">
        <f t="shared" si="222"/>
        <v>592.51114703999997</v>
      </c>
      <c r="BM251" s="102"/>
    </row>
    <row r="252" spans="1:79" x14ac:dyDescent="0.25">
      <c r="C252" t="s">
        <v>158</v>
      </c>
      <c r="AI252" s="100">
        <f>+T244+0.001</f>
        <v>285.601</v>
      </c>
      <c r="AJ252" s="100">
        <f t="shared" ref="AJ252:AV252" si="223">+U244</f>
        <v>260.2</v>
      </c>
      <c r="AK252" s="100">
        <f t="shared" si="223"/>
        <v>217.2</v>
      </c>
      <c r="AL252" s="100">
        <f t="shared" si="223"/>
        <v>325</v>
      </c>
      <c r="AM252" s="100">
        <f t="shared" si="223"/>
        <v>350</v>
      </c>
      <c r="AN252" s="100">
        <f t="shared" si="223"/>
        <v>350</v>
      </c>
      <c r="AO252" s="100">
        <f t="shared" si="223"/>
        <v>350</v>
      </c>
      <c r="AP252" s="100">
        <f t="shared" si="223"/>
        <v>350</v>
      </c>
      <c r="AQ252" s="100">
        <f t="shared" si="223"/>
        <v>350</v>
      </c>
      <c r="AR252" s="100">
        <f t="shared" si="223"/>
        <v>350</v>
      </c>
      <c r="AS252" s="100">
        <f t="shared" si="223"/>
        <v>350</v>
      </c>
      <c r="AT252" s="100">
        <f t="shared" si="223"/>
        <v>350</v>
      </c>
      <c r="AU252" s="100">
        <f t="shared" si="223"/>
        <v>350</v>
      </c>
      <c r="AV252" s="100">
        <f t="shared" si="223"/>
        <v>350</v>
      </c>
      <c r="BM252" s="102">
        <f>SUM(BM244:BM251)</f>
        <v>11350325.297298402</v>
      </c>
      <c r="BN252" s="102">
        <f t="shared" ref="BN252:BW252" si="224">SUM(BN244:BN251)</f>
        <v>10880916.6858248</v>
      </c>
      <c r="BO252" s="102">
        <f t="shared" si="224"/>
        <v>11266903.158151999</v>
      </c>
      <c r="BP252" s="102">
        <f t="shared" ca="1" si="224"/>
        <v>15716886.869650001</v>
      </c>
      <c r="BQ252" s="102">
        <f t="shared" ca="1" si="224"/>
        <v>18592318.84077435</v>
      </c>
      <c r="BR252" s="102">
        <f t="shared" ca="1" si="224"/>
        <v>20995920.905957926</v>
      </c>
      <c r="BS252" s="102">
        <f t="shared" ca="1" si="224"/>
        <v>23729559.799240947</v>
      </c>
      <c r="BT252" s="102">
        <f t="shared" ca="1" si="224"/>
        <v>26842356.595422786</v>
      </c>
      <c r="BU252" s="102">
        <f t="shared" ca="1" si="224"/>
        <v>30391602.129859198</v>
      </c>
      <c r="BV252" s="102">
        <f t="shared" ca="1" si="224"/>
        <v>34443892.673693389</v>
      </c>
      <c r="BW252" s="102">
        <f t="shared" ca="1" si="224"/>
        <v>39077117.71984607</v>
      </c>
      <c r="BX252" s="102">
        <f t="shared" ref="BX252:BZ252" ca="1" si="225">SUM(BX244:BX251)</f>
        <v>44382212.294209965</v>
      </c>
      <c r="BY252" s="102">
        <f t="shared" ca="1" si="225"/>
        <v>50466142.242010169</v>
      </c>
      <c r="BZ252" s="102">
        <f t="shared" ca="1" si="225"/>
        <v>57454366.11397174</v>
      </c>
    </row>
    <row r="253" spans="1:79" x14ac:dyDescent="0.25">
      <c r="C253" t="s">
        <v>159</v>
      </c>
      <c r="AI253" s="100">
        <f>+AI251-AI252</f>
        <v>16.144533800000033</v>
      </c>
      <c r="AJ253" s="100">
        <f t="shared" ref="AJ253:AS253" si="226">+AJ251-AJ252</f>
        <v>442.29725080000009</v>
      </c>
      <c r="AK253" s="100">
        <f t="shared" si="226"/>
        <v>320.92400000000004</v>
      </c>
      <c r="AL253" s="100">
        <f t="shared" si="226"/>
        <v>200.54930000000002</v>
      </c>
      <c r="AM253" s="100">
        <f t="shared" si="226"/>
        <v>217.09191099999998</v>
      </c>
      <c r="AN253" s="100">
        <f t="shared" si="226"/>
        <v>257.4550210000001</v>
      </c>
      <c r="AO253" s="100">
        <f t="shared" si="226"/>
        <v>242.51114703999997</v>
      </c>
      <c r="AP253" s="100">
        <f t="shared" si="226"/>
        <v>242.51114703999997</v>
      </c>
      <c r="AQ253" s="100">
        <f t="shared" si="226"/>
        <v>242.51114703999997</v>
      </c>
      <c r="AR253" s="100">
        <f t="shared" si="226"/>
        <v>242.51114703999997</v>
      </c>
      <c r="AS253" s="100">
        <f t="shared" si="226"/>
        <v>242.51114703999997</v>
      </c>
      <c r="AT253" s="100">
        <f t="shared" ref="AT253:AV253" si="227">+AT251-AT252</f>
        <v>242.51114703999997</v>
      </c>
      <c r="AU253" s="100">
        <f t="shared" si="227"/>
        <v>242.51114703999997</v>
      </c>
      <c r="AV253" s="100">
        <f t="shared" si="227"/>
        <v>242.51114703999997</v>
      </c>
    </row>
    <row r="254" spans="1:79" x14ac:dyDescent="0.25">
      <c r="C254" t="s">
        <v>252</v>
      </c>
      <c r="AI254" s="1">
        <f>+BM254</f>
        <v>39742.021439412667</v>
      </c>
      <c r="AJ254" s="1">
        <f t="shared" ref="AJ254:AS254" si="228">+BN254</f>
        <v>41817.496172464198</v>
      </c>
      <c r="AK254" s="1">
        <f t="shared" si="228"/>
        <v>51873.403122246775</v>
      </c>
      <c r="AL254" s="1">
        <f t="shared" ca="1" si="228"/>
        <v>48359.651906615385</v>
      </c>
      <c r="AM254" s="1">
        <f t="shared" ca="1" si="228"/>
        <v>53120.910973641003</v>
      </c>
      <c r="AN254" s="1">
        <f t="shared" ca="1" si="228"/>
        <v>59988.345445594074</v>
      </c>
      <c r="AO254" s="1">
        <f t="shared" ca="1" si="228"/>
        <v>67798.742283545565</v>
      </c>
      <c r="AP254" s="1">
        <f t="shared" ca="1" si="228"/>
        <v>76692.447415493676</v>
      </c>
      <c r="AQ254" s="1">
        <f t="shared" ca="1" si="228"/>
        <v>86833.148942454849</v>
      </c>
      <c r="AR254" s="1">
        <f t="shared" ca="1" si="228"/>
        <v>98411.121924838255</v>
      </c>
      <c r="AS254" s="1">
        <f t="shared" ca="1" si="228"/>
        <v>111648.90777098876</v>
      </c>
      <c r="AT254" s="1">
        <f t="shared" ref="AT254" ca="1" si="229">+BX254</f>
        <v>126806.3208405999</v>
      </c>
      <c r="AU254" s="1">
        <f t="shared" ref="AU254" ca="1" si="230">+BY254</f>
        <v>144188.97783431478</v>
      </c>
      <c r="AV254" s="1">
        <f t="shared" ref="AV254" ca="1" si="231">+BZ254</f>
        <v>164155.33175420496</v>
      </c>
      <c r="BM254" s="102">
        <f>+BM252/(Assumptions!D19+0.0001)</f>
        <v>39742.021439412667</v>
      </c>
      <c r="BN254" s="102">
        <f>+BN252/(Assumptions!E19+0.0001)</f>
        <v>41817.496172464198</v>
      </c>
      <c r="BO254" s="102">
        <f>+BO252/(Assumptions!F19)</f>
        <v>51873.403122246775</v>
      </c>
      <c r="BP254" s="102">
        <f ca="1">+BP252/(Assumptions!G19)</f>
        <v>48359.651906615385</v>
      </c>
      <c r="BQ254" s="102">
        <f ca="1">+BQ252/(Assumptions!H19)</f>
        <v>53120.910973641003</v>
      </c>
      <c r="BR254" s="102">
        <f ca="1">+BR252/(Assumptions!I19)</f>
        <v>59988.345445594074</v>
      </c>
      <c r="BS254" s="102">
        <f ca="1">+BS252/(Assumptions!J19)</f>
        <v>67798.742283545565</v>
      </c>
      <c r="BT254" s="102">
        <f ca="1">+BT252/(Assumptions!K19)</f>
        <v>76692.447415493676</v>
      </c>
      <c r="BU254" s="102">
        <f ca="1">+BU252/(Assumptions!L19)</f>
        <v>86833.148942454849</v>
      </c>
      <c r="BV254" s="102">
        <f ca="1">+BV252/(Assumptions!M19)</f>
        <v>98411.121924838255</v>
      </c>
      <c r="BW254" s="102">
        <f ca="1">+BW252/(Assumptions!N19)</f>
        <v>111648.90777098876</v>
      </c>
      <c r="BX254" s="102">
        <f ca="1">+BX252/(Assumptions!O19)</f>
        <v>126806.3208405999</v>
      </c>
      <c r="BY254" s="102">
        <f ca="1">+BY252/(Assumptions!P19)</f>
        <v>144188.97783431478</v>
      </c>
      <c r="BZ254" s="102">
        <f ca="1">+BZ252/(Assumptions!Q19)</f>
        <v>164155.33175420496</v>
      </c>
    </row>
    <row r="255" spans="1:79" x14ac:dyDescent="0.25">
      <c r="C255" t="s">
        <v>253</v>
      </c>
      <c r="AI255" s="1">
        <f>+'Cost RMs'!D11</f>
        <v>36500</v>
      </c>
      <c r="AJ255" s="1">
        <f>+'Cost RMs'!E11</f>
        <v>36530</v>
      </c>
      <c r="AK255" s="1">
        <f>+'Cost RMs'!F11</f>
        <v>40681</v>
      </c>
      <c r="AL255" s="1">
        <f>+'Cost RMs'!G11</f>
        <v>41475</v>
      </c>
      <c r="AM255" s="1">
        <f>+'Cost RMs'!H11</f>
        <v>46448</v>
      </c>
      <c r="AN255" s="1">
        <f>+'Cost RMs'!I11</f>
        <v>52068</v>
      </c>
      <c r="AO255" s="1">
        <f>+'Cost RMs'!J11</f>
        <v>58368</v>
      </c>
      <c r="AP255" s="1">
        <f>+'Cost RMs'!K11</f>
        <v>65431</v>
      </c>
      <c r="AQ255" s="1">
        <f>+'Cost RMs'!L11</f>
        <v>73348</v>
      </c>
      <c r="AR255" s="1">
        <f>+'Cost RMs'!M11</f>
        <v>82223</v>
      </c>
      <c r="AS255" s="1">
        <f>+'Cost RMs'!N11</f>
        <v>92172</v>
      </c>
      <c r="AT255" s="1">
        <f>+'Cost RMs'!O11</f>
        <v>103325</v>
      </c>
      <c r="AU255" s="1">
        <f>+'Cost RMs'!P11</f>
        <v>115827</v>
      </c>
      <c r="AV255" s="1">
        <f>+'Cost RMs'!Q11</f>
        <v>129842</v>
      </c>
    </row>
    <row r="256" spans="1:79" x14ac:dyDescent="0.25">
      <c r="C256" t="s">
        <v>254</v>
      </c>
      <c r="AI256" s="1">
        <f>+(AI252*AI254+AI253*AI255)/(AI251)</f>
        <v>39568.560960810806</v>
      </c>
      <c r="AJ256" s="1">
        <f t="shared" ref="AJ256:AS256" si="232">+(AJ252*AJ254+AJ253*AJ255)/(AJ251)</f>
        <v>38488.451086475325</v>
      </c>
      <c r="AK256" s="1">
        <f t="shared" si="232"/>
        <v>45198.527480937482</v>
      </c>
      <c r="AL256" s="1">
        <f t="shared" ca="1" si="232"/>
        <v>45732.472837752801</v>
      </c>
      <c r="AM256" s="1">
        <f t="shared" ca="1" si="232"/>
        <v>50566.413250959507</v>
      </c>
      <c r="AN256" s="1">
        <f t="shared" ca="1" si="232"/>
        <v>56631.49986439231</v>
      </c>
      <c r="AO256" s="1">
        <f t="shared" ca="1" si="232"/>
        <v>63938.797808160256</v>
      </c>
      <c r="AP256" s="1">
        <f t="shared" ca="1" si="232"/>
        <v>72083.206654867696</v>
      </c>
      <c r="AQ256" s="1">
        <f t="shared" ca="1" si="232"/>
        <v>81313.760903297516</v>
      </c>
      <c r="AR256" s="1">
        <f t="shared" ca="1" si="232"/>
        <v>91785.423765355576</v>
      </c>
      <c r="AS256" s="1">
        <f t="shared" ca="1" si="232"/>
        <v>103677.12991004685</v>
      </c>
      <c r="AT256" s="1">
        <f t="shared" ref="AT256:AV256" ca="1" si="233">+(AT252*AT254+AT253*AT255)/(AT251)</f>
        <v>117195.56148271105</v>
      </c>
      <c r="AU256" s="1">
        <f t="shared" ca="1" si="233"/>
        <v>132580.59576203892</v>
      </c>
      <c r="AV256" s="1">
        <f t="shared" ca="1" si="233"/>
        <v>150111.0973392961</v>
      </c>
    </row>
    <row r="257" spans="67:67" x14ac:dyDescent="0.25">
      <c r="BO257" s="1"/>
    </row>
  </sheetData>
  <mergeCells count="11">
    <mergeCell ref="CC231:CH231"/>
    <mergeCell ref="S3:AD3"/>
    <mergeCell ref="D3:O3"/>
    <mergeCell ref="BL242:BW242"/>
    <mergeCell ref="BL3:BW3"/>
    <mergeCell ref="AW3:BH3"/>
    <mergeCell ref="AH3:AS3"/>
    <mergeCell ref="D242:O242"/>
    <mergeCell ref="S242:AD242"/>
    <mergeCell ref="AH242:AS242"/>
    <mergeCell ref="AW242:BH242"/>
  </mergeCells>
  <phoneticPr fontId="73" type="noConversion"/>
  <printOptions horizontalCentered="1" headings="1"/>
  <pageMargins left="0.23622047244094491" right="0.15748031496062992" top="0.35433070866141736" bottom="0.35433070866141736" header="0.31496062992125984" footer="0.31496062992125984"/>
  <pageSetup paperSize="9" scale="14" fitToHeight="0" orientation="landscape" r:id="rId1"/>
  <rowBreaks count="1" manualBreakCount="1">
    <brk id="167" max="16383" man="1"/>
  </rowBreaks>
  <colBreaks count="1" manualBreakCount="1">
    <brk id="48" max="1048575" man="1"/>
  </colBreaks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Q111"/>
  <sheetViews>
    <sheetView workbookViewId="0"/>
  </sheetViews>
  <sheetFormatPr defaultRowHeight="12.75" x14ac:dyDescent="0.2"/>
  <cols>
    <col min="1" max="1" width="3.75" style="43" bestFit="1" customWidth="1"/>
    <col min="2" max="2" width="41" style="43" customWidth="1"/>
    <col min="3" max="3" width="10" style="55" bestFit="1" customWidth="1"/>
    <col min="4" max="4" width="10.75" style="42" bestFit="1" customWidth="1"/>
    <col min="5" max="16384" width="9" style="43"/>
  </cols>
  <sheetData>
    <row r="2" spans="1:17" s="92" customFormat="1" x14ac:dyDescent="0.2">
      <c r="B2" s="92" t="str">
        <f>+Assumptions!A7</f>
        <v>Inflation Rate</v>
      </c>
      <c r="H2" s="662">
        <f>+Assumptions!H7</f>
        <v>0.109</v>
      </c>
      <c r="I2" s="662">
        <f>+Assumptions!I7</f>
        <v>0.11</v>
      </c>
      <c r="J2" s="662">
        <f>+Assumptions!J7</f>
        <v>0.11</v>
      </c>
      <c r="K2" s="662">
        <f>+Assumptions!K7</f>
        <v>0.11</v>
      </c>
      <c r="L2" s="662">
        <f>+Assumptions!L7</f>
        <v>0.11</v>
      </c>
      <c r="M2" s="662">
        <f>+Assumptions!M7</f>
        <v>0.11</v>
      </c>
      <c r="N2" s="662">
        <f>+Assumptions!N7</f>
        <v>0.11</v>
      </c>
      <c r="O2" s="662">
        <f>+Assumptions!O7</f>
        <v>0.11</v>
      </c>
      <c r="P2" s="662">
        <f>+Assumptions!P7</f>
        <v>0.11</v>
      </c>
      <c r="Q2" s="662">
        <f>+Assumptions!Q7</f>
        <v>0.11</v>
      </c>
    </row>
    <row r="3" spans="1:17" s="92" customFormat="1" x14ac:dyDescent="0.2">
      <c r="B3" s="92" t="str">
        <f>+Assumptions!A8</f>
        <v>personnel expenses increase</v>
      </c>
      <c r="H3" s="662">
        <f>+Assumptions!H8</f>
        <v>0.22</v>
      </c>
      <c r="I3" s="662">
        <f>+Assumptions!I8</f>
        <v>0.22</v>
      </c>
      <c r="J3" s="662">
        <f>+Assumptions!J8</f>
        <v>0.22</v>
      </c>
      <c r="K3" s="662">
        <f>+Assumptions!K8</f>
        <v>0.22</v>
      </c>
      <c r="L3" s="662">
        <f>+Assumptions!L8</f>
        <v>0.22</v>
      </c>
      <c r="M3" s="662">
        <f>+Assumptions!M8</f>
        <v>0.22</v>
      </c>
      <c r="N3" s="662">
        <f>+Assumptions!N8</f>
        <v>0.22</v>
      </c>
      <c r="O3" s="662">
        <f>+Assumptions!O8</f>
        <v>0.22</v>
      </c>
      <c r="P3" s="662">
        <f>+Assumptions!P8</f>
        <v>0.22</v>
      </c>
      <c r="Q3" s="662">
        <f>+Assumptions!Q8</f>
        <v>0.22</v>
      </c>
    </row>
    <row r="5" spans="1:17" ht="15" x14ac:dyDescent="0.3">
      <c r="B5" s="41" t="s">
        <v>42</v>
      </c>
      <c r="C5" s="33"/>
    </row>
    <row r="6" spans="1:17" ht="15" x14ac:dyDescent="0.3">
      <c r="B6" s="44"/>
      <c r="C6" s="33"/>
    </row>
    <row r="7" spans="1:17" s="93" customFormat="1" x14ac:dyDescent="0.2">
      <c r="B7" s="95" t="s">
        <v>43</v>
      </c>
      <c r="C7" s="96">
        <v>2008</v>
      </c>
      <c r="D7" s="96">
        <f t="shared" ref="D7:N7" si="0">1+C7</f>
        <v>2009</v>
      </c>
      <c r="E7" s="96">
        <f t="shared" si="0"/>
        <v>2010</v>
      </c>
      <c r="F7" s="96">
        <f t="shared" si="0"/>
        <v>2011</v>
      </c>
      <c r="G7" s="96">
        <f t="shared" si="0"/>
        <v>2012</v>
      </c>
      <c r="H7" s="96">
        <f t="shared" si="0"/>
        <v>2013</v>
      </c>
      <c r="I7" s="96">
        <f t="shared" si="0"/>
        <v>2014</v>
      </c>
      <c r="J7" s="96">
        <f t="shared" si="0"/>
        <v>2015</v>
      </c>
      <c r="K7" s="96">
        <f t="shared" si="0"/>
        <v>2016</v>
      </c>
      <c r="L7" s="96">
        <f t="shared" si="0"/>
        <v>2017</v>
      </c>
      <c r="M7" s="96">
        <f t="shared" si="0"/>
        <v>2018</v>
      </c>
      <c r="N7" s="96">
        <f t="shared" si="0"/>
        <v>2019</v>
      </c>
      <c r="O7" s="96">
        <f t="shared" ref="O7" si="1">1+N7</f>
        <v>2020</v>
      </c>
      <c r="P7" s="96">
        <f t="shared" ref="P7" si="2">1+O7</f>
        <v>2021</v>
      </c>
      <c r="Q7" s="96">
        <f t="shared" ref="Q7" si="3">1+P7</f>
        <v>2022</v>
      </c>
    </row>
    <row r="8" spans="1:17" x14ac:dyDescent="0.2">
      <c r="B8" s="45"/>
      <c r="C8" s="46"/>
    </row>
    <row r="9" spans="1:17" x14ac:dyDescent="0.2">
      <c r="B9" s="47" t="s">
        <v>44</v>
      </c>
      <c r="C9" s="48"/>
    </row>
    <row r="10" spans="1:17" ht="15" x14ac:dyDescent="0.3">
      <c r="B10" s="27"/>
      <c r="C10" s="34"/>
    </row>
    <row r="11" spans="1:17" ht="15" x14ac:dyDescent="0.3">
      <c r="A11" s="56"/>
      <c r="B11" s="49" t="s">
        <v>45</v>
      </c>
      <c r="C11" s="50">
        <v>929</v>
      </c>
      <c r="D11" s="50">
        <v>940</v>
      </c>
      <c r="E11" s="50">
        <v>897</v>
      </c>
      <c r="F11" s="50">
        <v>1613</v>
      </c>
      <c r="G11" s="50">
        <f>1849+566</f>
        <v>2415</v>
      </c>
      <c r="H11" s="50">
        <f t="shared" ref="H11:N11" si="4">ROUND(+G11*(1+H$3),0)</f>
        <v>2946</v>
      </c>
      <c r="I11" s="50">
        <f t="shared" si="4"/>
        <v>3594</v>
      </c>
      <c r="J11" s="50">
        <f t="shared" si="4"/>
        <v>4385</v>
      </c>
      <c r="K11" s="50">
        <f t="shared" si="4"/>
        <v>5350</v>
      </c>
      <c r="L11" s="50">
        <f t="shared" si="4"/>
        <v>6527</v>
      </c>
      <c r="M11" s="50">
        <f t="shared" si="4"/>
        <v>7963</v>
      </c>
      <c r="N11" s="50">
        <f t="shared" si="4"/>
        <v>9715</v>
      </c>
      <c r="O11" s="50">
        <f t="shared" ref="O11" si="5">ROUND(+N11*(1+O$3),0)</f>
        <v>11852</v>
      </c>
      <c r="P11" s="50">
        <f t="shared" ref="P11" si="6">ROUND(+O11*(1+P$3),0)</f>
        <v>14459</v>
      </c>
      <c r="Q11" s="50">
        <f t="shared" ref="Q11" si="7">ROUND(+P11*(1+Q$3),0)</f>
        <v>17640</v>
      </c>
    </row>
    <row r="12" spans="1:17" ht="15" x14ac:dyDescent="0.3">
      <c r="B12" s="49" t="s">
        <v>46</v>
      </c>
      <c r="C12" s="50">
        <v>223</v>
      </c>
      <c r="D12" s="50">
        <v>226</v>
      </c>
      <c r="E12" s="50">
        <v>224</v>
      </c>
      <c r="F12" s="50">
        <v>400</v>
      </c>
      <c r="G12" s="50">
        <v>406</v>
      </c>
      <c r="H12" s="50">
        <f t="shared" ref="H12:N12" si="8">+H11*0.24</f>
        <v>707.04</v>
      </c>
      <c r="I12" s="50">
        <f t="shared" si="8"/>
        <v>862.56</v>
      </c>
      <c r="J12" s="50">
        <f t="shared" si="8"/>
        <v>1052.3999999999999</v>
      </c>
      <c r="K12" s="50">
        <f t="shared" si="8"/>
        <v>1284</v>
      </c>
      <c r="L12" s="50">
        <f t="shared" si="8"/>
        <v>1566.48</v>
      </c>
      <c r="M12" s="50">
        <f t="shared" si="8"/>
        <v>1911.12</v>
      </c>
      <c r="N12" s="50">
        <f t="shared" si="8"/>
        <v>2331.6</v>
      </c>
      <c r="O12" s="50">
        <f t="shared" ref="O12:Q12" si="9">+O11*0.24</f>
        <v>2844.48</v>
      </c>
      <c r="P12" s="50">
        <f t="shared" si="9"/>
        <v>3470.16</v>
      </c>
      <c r="Q12" s="50">
        <f t="shared" si="9"/>
        <v>4233.5999999999995</v>
      </c>
    </row>
    <row r="13" spans="1:17" ht="15" x14ac:dyDescent="0.3">
      <c r="A13" s="56"/>
      <c r="B13" s="27" t="s">
        <v>47</v>
      </c>
      <c r="C13" s="34">
        <v>374</v>
      </c>
      <c r="D13" s="34">
        <v>506</v>
      </c>
      <c r="E13" s="34">
        <v>636</v>
      </c>
      <c r="F13" s="34">
        <v>732</v>
      </c>
      <c r="G13" s="34">
        <v>773</v>
      </c>
      <c r="H13" s="34">
        <f t="shared" ref="H13:N13" si="10">ROUND(+G13*(1+H$2),0)</f>
        <v>857</v>
      </c>
      <c r="I13" s="34">
        <f t="shared" si="10"/>
        <v>951</v>
      </c>
      <c r="J13" s="34">
        <f t="shared" si="10"/>
        <v>1056</v>
      </c>
      <c r="K13" s="34">
        <f t="shared" si="10"/>
        <v>1172</v>
      </c>
      <c r="L13" s="34">
        <f t="shared" si="10"/>
        <v>1301</v>
      </c>
      <c r="M13" s="34">
        <f t="shared" si="10"/>
        <v>1444</v>
      </c>
      <c r="N13" s="34">
        <f t="shared" si="10"/>
        <v>1603</v>
      </c>
      <c r="O13" s="34">
        <f t="shared" ref="O13:O23" si="11">ROUND(+N13*(1+O$2),0)</f>
        <v>1779</v>
      </c>
      <c r="P13" s="34">
        <f t="shared" ref="P13:P23" si="12">ROUND(+O13*(1+P$2),0)</f>
        <v>1975</v>
      </c>
      <c r="Q13" s="34">
        <f t="shared" ref="Q13:Q23" si="13">ROUND(+P13*(1+Q$2),0)</f>
        <v>2192</v>
      </c>
    </row>
    <row r="14" spans="1:17" ht="15" x14ac:dyDescent="0.3">
      <c r="A14" s="56"/>
      <c r="B14" s="27" t="s">
        <v>48</v>
      </c>
      <c r="C14" s="34">
        <v>100</v>
      </c>
      <c r="D14" s="34">
        <v>88</v>
      </c>
      <c r="E14" s="34">
        <v>93</v>
      </c>
      <c r="F14" s="34">
        <v>179</v>
      </c>
      <c r="G14" s="34">
        <v>206</v>
      </c>
      <c r="H14" s="34">
        <f t="shared" ref="H14:N14" si="14">ROUND(+G14*(1+H$2),0)</f>
        <v>228</v>
      </c>
      <c r="I14" s="34">
        <f t="shared" si="14"/>
        <v>253</v>
      </c>
      <c r="J14" s="34">
        <f t="shared" si="14"/>
        <v>281</v>
      </c>
      <c r="K14" s="34">
        <f t="shared" si="14"/>
        <v>312</v>
      </c>
      <c r="L14" s="34">
        <f t="shared" si="14"/>
        <v>346</v>
      </c>
      <c r="M14" s="34">
        <f t="shared" si="14"/>
        <v>384</v>
      </c>
      <c r="N14" s="34">
        <f t="shared" si="14"/>
        <v>426</v>
      </c>
      <c r="O14" s="34">
        <f t="shared" si="11"/>
        <v>473</v>
      </c>
      <c r="P14" s="34">
        <f t="shared" si="12"/>
        <v>525</v>
      </c>
      <c r="Q14" s="34">
        <f t="shared" si="13"/>
        <v>583</v>
      </c>
    </row>
    <row r="15" spans="1:17" ht="15" x14ac:dyDescent="0.3">
      <c r="A15" s="56"/>
      <c r="B15" s="27" t="s">
        <v>49</v>
      </c>
      <c r="C15" s="34">
        <v>48</v>
      </c>
      <c r="D15" s="34">
        <v>34</v>
      </c>
      <c r="E15" s="34">
        <v>67</v>
      </c>
      <c r="F15" s="34">
        <v>43</v>
      </c>
      <c r="G15" s="34">
        <v>63</v>
      </c>
      <c r="H15" s="34">
        <f t="shared" ref="H15:N15" si="15">ROUND(+G15*(1+H$2),0)</f>
        <v>70</v>
      </c>
      <c r="I15" s="34">
        <f t="shared" si="15"/>
        <v>78</v>
      </c>
      <c r="J15" s="34">
        <f t="shared" si="15"/>
        <v>87</v>
      </c>
      <c r="K15" s="34">
        <f t="shared" si="15"/>
        <v>97</v>
      </c>
      <c r="L15" s="34">
        <f t="shared" si="15"/>
        <v>108</v>
      </c>
      <c r="M15" s="34">
        <f t="shared" si="15"/>
        <v>120</v>
      </c>
      <c r="N15" s="34">
        <f t="shared" si="15"/>
        <v>133</v>
      </c>
      <c r="O15" s="34">
        <f t="shared" si="11"/>
        <v>148</v>
      </c>
      <c r="P15" s="34">
        <f t="shared" si="12"/>
        <v>164</v>
      </c>
      <c r="Q15" s="34">
        <f t="shared" si="13"/>
        <v>182</v>
      </c>
    </row>
    <row r="16" spans="1:17" ht="15" x14ac:dyDescent="0.3">
      <c r="A16" s="56"/>
      <c r="B16" s="27" t="s">
        <v>50</v>
      </c>
      <c r="C16" s="34">
        <v>58</v>
      </c>
      <c r="D16" s="34">
        <v>37</v>
      </c>
      <c r="E16" s="34">
        <v>39</v>
      </c>
      <c r="F16" s="34">
        <v>45</v>
      </c>
      <c r="G16" s="34">
        <v>50</v>
      </c>
      <c r="H16" s="34">
        <f t="shared" ref="H16:N16" si="16">ROUND(+G16*(1+H$2),0)</f>
        <v>55</v>
      </c>
      <c r="I16" s="34">
        <f t="shared" si="16"/>
        <v>61</v>
      </c>
      <c r="J16" s="34">
        <f t="shared" si="16"/>
        <v>68</v>
      </c>
      <c r="K16" s="34">
        <f t="shared" si="16"/>
        <v>75</v>
      </c>
      <c r="L16" s="34">
        <f t="shared" si="16"/>
        <v>83</v>
      </c>
      <c r="M16" s="34">
        <f t="shared" si="16"/>
        <v>92</v>
      </c>
      <c r="N16" s="34">
        <f t="shared" si="16"/>
        <v>102</v>
      </c>
      <c r="O16" s="34">
        <f t="shared" si="11"/>
        <v>113</v>
      </c>
      <c r="P16" s="34">
        <f t="shared" si="12"/>
        <v>125</v>
      </c>
      <c r="Q16" s="34">
        <f t="shared" si="13"/>
        <v>139</v>
      </c>
    </row>
    <row r="17" spans="1:17" ht="15" x14ac:dyDescent="0.3">
      <c r="A17" s="56"/>
      <c r="B17" s="27" t="s">
        <v>51</v>
      </c>
      <c r="C17" s="34">
        <v>137</v>
      </c>
      <c r="D17" s="34">
        <v>20</v>
      </c>
      <c r="E17" s="34">
        <v>29</v>
      </c>
      <c r="F17" s="34">
        <v>71</v>
      </c>
      <c r="G17" s="34">
        <v>97</v>
      </c>
      <c r="H17" s="34">
        <f t="shared" ref="H17:N17" si="17">ROUND(+G17*(1+H$2),0)</f>
        <v>108</v>
      </c>
      <c r="I17" s="34">
        <f t="shared" si="17"/>
        <v>120</v>
      </c>
      <c r="J17" s="34">
        <f t="shared" si="17"/>
        <v>133</v>
      </c>
      <c r="K17" s="34">
        <f t="shared" si="17"/>
        <v>148</v>
      </c>
      <c r="L17" s="34">
        <f t="shared" si="17"/>
        <v>164</v>
      </c>
      <c r="M17" s="34">
        <f t="shared" si="17"/>
        <v>182</v>
      </c>
      <c r="N17" s="34">
        <f t="shared" si="17"/>
        <v>202</v>
      </c>
      <c r="O17" s="34">
        <f t="shared" si="11"/>
        <v>224</v>
      </c>
      <c r="P17" s="34">
        <f t="shared" si="12"/>
        <v>249</v>
      </c>
      <c r="Q17" s="34">
        <f t="shared" si="13"/>
        <v>276</v>
      </c>
    </row>
    <row r="18" spans="1:17" ht="15" x14ac:dyDescent="0.3">
      <c r="A18" s="56"/>
      <c r="B18" s="49" t="s">
        <v>52</v>
      </c>
      <c r="C18" s="50">
        <v>37</v>
      </c>
      <c r="D18" s="34"/>
      <c r="E18" s="34"/>
      <c r="F18" s="34"/>
      <c r="G18" s="34"/>
      <c r="H18" s="34">
        <f t="shared" ref="H18:N18" si="18">ROUND(+G18*(1+H$2),0)</f>
        <v>0</v>
      </c>
      <c r="I18" s="34">
        <f t="shared" si="18"/>
        <v>0</v>
      </c>
      <c r="J18" s="34">
        <f t="shared" si="18"/>
        <v>0</v>
      </c>
      <c r="K18" s="34">
        <f t="shared" si="18"/>
        <v>0</v>
      </c>
      <c r="L18" s="34">
        <f t="shared" si="18"/>
        <v>0</v>
      </c>
      <c r="M18" s="34">
        <f t="shared" si="18"/>
        <v>0</v>
      </c>
      <c r="N18" s="34">
        <f t="shared" si="18"/>
        <v>0</v>
      </c>
      <c r="O18" s="34">
        <f t="shared" si="11"/>
        <v>0</v>
      </c>
      <c r="P18" s="34">
        <f t="shared" si="12"/>
        <v>0</v>
      </c>
      <c r="Q18" s="34">
        <f t="shared" si="13"/>
        <v>0</v>
      </c>
    </row>
    <row r="19" spans="1:17" ht="15" x14ac:dyDescent="0.3">
      <c r="A19" s="56"/>
      <c r="B19" s="27" t="s">
        <v>53</v>
      </c>
      <c r="C19" s="34">
        <v>100</v>
      </c>
      <c r="D19" s="34">
        <v>64</v>
      </c>
      <c r="E19" s="34">
        <v>103</v>
      </c>
      <c r="F19" s="34">
        <v>55</v>
      </c>
      <c r="G19" s="34">
        <v>60</v>
      </c>
      <c r="H19" s="34">
        <f t="shared" ref="H19:N19" si="19">ROUND(+G19*(1+H$2),0)</f>
        <v>67</v>
      </c>
      <c r="I19" s="34">
        <f t="shared" si="19"/>
        <v>74</v>
      </c>
      <c r="J19" s="34">
        <f t="shared" si="19"/>
        <v>82</v>
      </c>
      <c r="K19" s="34">
        <f t="shared" si="19"/>
        <v>91</v>
      </c>
      <c r="L19" s="34">
        <f t="shared" si="19"/>
        <v>101</v>
      </c>
      <c r="M19" s="34">
        <f t="shared" si="19"/>
        <v>112</v>
      </c>
      <c r="N19" s="34">
        <f t="shared" si="19"/>
        <v>124</v>
      </c>
      <c r="O19" s="34">
        <f t="shared" si="11"/>
        <v>138</v>
      </c>
      <c r="P19" s="34">
        <f t="shared" si="12"/>
        <v>153</v>
      </c>
      <c r="Q19" s="34">
        <f t="shared" si="13"/>
        <v>170</v>
      </c>
    </row>
    <row r="20" spans="1:17" ht="15" x14ac:dyDescent="0.3">
      <c r="A20" s="56"/>
      <c r="B20" s="27" t="s">
        <v>54</v>
      </c>
      <c r="C20" s="34">
        <v>38</v>
      </c>
      <c r="D20" s="34">
        <v>22</v>
      </c>
      <c r="E20" s="34">
        <v>20</v>
      </c>
      <c r="F20" s="34">
        <v>54</v>
      </c>
      <c r="G20" s="34">
        <v>63</v>
      </c>
      <c r="H20" s="34">
        <f t="shared" ref="H20:N20" si="20">ROUND(+G20*(1+H$2),0)</f>
        <v>70</v>
      </c>
      <c r="I20" s="34">
        <f t="shared" si="20"/>
        <v>78</v>
      </c>
      <c r="J20" s="34">
        <f t="shared" si="20"/>
        <v>87</v>
      </c>
      <c r="K20" s="34">
        <f t="shared" si="20"/>
        <v>97</v>
      </c>
      <c r="L20" s="34">
        <f t="shared" si="20"/>
        <v>108</v>
      </c>
      <c r="M20" s="34">
        <f t="shared" si="20"/>
        <v>120</v>
      </c>
      <c r="N20" s="34">
        <f t="shared" si="20"/>
        <v>133</v>
      </c>
      <c r="O20" s="34">
        <f t="shared" si="11"/>
        <v>148</v>
      </c>
      <c r="P20" s="34">
        <f t="shared" si="12"/>
        <v>164</v>
      </c>
      <c r="Q20" s="34">
        <f t="shared" si="13"/>
        <v>182</v>
      </c>
    </row>
    <row r="21" spans="1:17" ht="15" x14ac:dyDescent="0.3">
      <c r="A21" s="56"/>
      <c r="B21" s="51" t="s">
        <v>55</v>
      </c>
      <c r="C21" s="34">
        <v>80</v>
      </c>
      <c r="D21" s="34">
        <v>29</v>
      </c>
      <c r="E21" s="34">
        <v>85</v>
      </c>
      <c r="F21" s="34">
        <v>99</v>
      </c>
      <c r="G21" s="34">
        <v>114</v>
      </c>
      <c r="H21" s="34">
        <f t="shared" ref="H21:N21" si="21">ROUND(+G21*(1+H$2),0)</f>
        <v>126</v>
      </c>
      <c r="I21" s="34">
        <f t="shared" si="21"/>
        <v>140</v>
      </c>
      <c r="J21" s="34">
        <f t="shared" si="21"/>
        <v>155</v>
      </c>
      <c r="K21" s="34">
        <f t="shared" si="21"/>
        <v>172</v>
      </c>
      <c r="L21" s="34">
        <f t="shared" si="21"/>
        <v>191</v>
      </c>
      <c r="M21" s="34">
        <f t="shared" si="21"/>
        <v>212</v>
      </c>
      <c r="N21" s="34">
        <f t="shared" si="21"/>
        <v>235</v>
      </c>
      <c r="O21" s="34">
        <f t="shared" si="11"/>
        <v>261</v>
      </c>
      <c r="P21" s="34">
        <f t="shared" si="12"/>
        <v>290</v>
      </c>
      <c r="Q21" s="34">
        <f t="shared" si="13"/>
        <v>322</v>
      </c>
    </row>
    <row r="22" spans="1:17" ht="15" x14ac:dyDescent="0.3">
      <c r="A22" s="56"/>
      <c r="B22" s="27" t="s">
        <v>56</v>
      </c>
      <c r="C22" s="34">
        <v>200</v>
      </c>
      <c r="D22" s="34">
        <v>234</v>
      </c>
      <c r="E22" s="34">
        <v>201</v>
      </c>
      <c r="F22" s="34">
        <v>305</v>
      </c>
      <c r="G22" s="34">
        <v>351</v>
      </c>
      <c r="H22" s="34">
        <f t="shared" ref="H22:N22" si="22">ROUND(+G22*(1+H$2),0)</f>
        <v>389</v>
      </c>
      <c r="I22" s="34">
        <f t="shared" si="22"/>
        <v>432</v>
      </c>
      <c r="J22" s="34">
        <f t="shared" si="22"/>
        <v>480</v>
      </c>
      <c r="K22" s="34">
        <f t="shared" si="22"/>
        <v>533</v>
      </c>
      <c r="L22" s="34">
        <f t="shared" si="22"/>
        <v>592</v>
      </c>
      <c r="M22" s="34">
        <f t="shared" si="22"/>
        <v>657</v>
      </c>
      <c r="N22" s="34">
        <f t="shared" si="22"/>
        <v>729</v>
      </c>
      <c r="O22" s="34">
        <f t="shared" si="11"/>
        <v>809</v>
      </c>
      <c r="P22" s="34">
        <f t="shared" si="12"/>
        <v>898</v>
      </c>
      <c r="Q22" s="34">
        <f t="shared" si="13"/>
        <v>997</v>
      </c>
    </row>
    <row r="23" spans="1:17" ht="15" x14ac:dyDescent="0.3">
      <c r="B23" s="27" t="s">
        <v>436</v>
      </c>
      <c r="C23" s="34">
        <f>2126-2324</f>
        <v>-198</v>
      </c>
      <c r="D23" s="34"/>
      <c r="E23" s="34"/>
      <c r="F23" s="34"/>
      <c r="G23" s="34"/>
      <c r="H23" s="34">
        <f t="shared" ref="H23:N23" si="23">ROUND(+G23*(1+H$2),0)</f>
        <v>0</v>
      </c>
      <c r="I23" s="34">
        <f t="shared" si="23"/>
        <v>0</v>
      </c>
      <c r="J23" s="34">
        <f t="shared" si="23"/>
        <v>0</v>
      </c>
      <c r="K23" s="34">
        <f t="shared" si="23"/>
        <v>0</v>
      </c>
      <c r="L23" s="34">
        <f t="shared" si="23"/>
        <v>0</v>
      </c>
      <c r="M23" s="34">
        <f t="shared" si="23"/>
        <v>0</v>
      </c>
      <c r="N23" s="34">
        <f t="shared" si="23"/>
        <v>0</v>
      </c>
      <c r="O23" s="34">
        <f t="shared" si="11"/>
        <v>0</v>
      </c>
      <c r="P23" s="34">
        <f t="shared" si="12"/>
        <v>0</v>
      </c>
      <c r="Q23" s="34">
        <f t="shared" si="13"/>
        <v>0</v>
      </c>
    </row>
    <row r="24" spans="1:17" x14ac:dyDescent="0.2">
      <c r="B24" s="29" t="s">
        <v>57</v>
      </c>
      <c r="C24" s="52">
        <f t="shared" ref="C24:N24" si="24">SUM(C10:C23)</f>
        <v>2126</v>
      </c>
      <c r="D24" s="52">
        <f t="shared" si="24"/>
        <v>2200</v>
      </c>
      <c r="E24" s="52">
        <f t="shared" si="24"/>
        <v>2394</v>
      </c>
      <c r="F24" s="52">
        <f t="shared" si="24"/>
        <v>3596</v>
      </c>
      <c r="G24" s="52">
        <f t="shared" si="24"/>
        <v>4598</v>
      </c>
      <c r="H24" s="52">
        <f t="shared" si="24"/>
        <v>5623.04</v>
      </c>
      <c r="I24" s="52">
        <f t="shared" si="24"/>
        <v>6643.5599999999995</v>
      </c>
      <c r="J24" s="52">
        <f t="shared" si="24"/>
        <v>7866.4</v>
      </c>
      <c r="K24" s="52">
        <f t="shared" si="24"/>
        <v>9331</v>
      </c>
      <c r="L24" s="52">
        <f t="shared" si="24"/>
        <v>11087.48</v>
      </c>
      <c r="M24" s="52">
        <f t="shared" si="24"/>
        <v>13197.119999999999</v>
      </c>
      <c r="N24" s="52">
        <f t="shared" si="24"/>
        <v>15733.6</v>
      </c>
      <c r="O24" s="52">
        <f t="shared" ref="O24:Q24" si="25">SUM(O10:O23)</f>
        <v>18789.48</v>
      </c>
      <c r="P24" s="52">
        <f t="shared" si="25"/>
        <v>22472.16</v>
      </c>
      <c r="Q24" s="52">
        <f t="shared" si="25"/>
        <v>26916.6</v>
      </c>
    </row>
    <row r="25" spans="1:17" ht="15" x14ac:dyDescent="0.3">
      <c r="B25" s="28"/>
      <c r="C25" s="35"/>
    </row>
    <row r="26" spans="1:17" ht="15" x14ac:dyDescent="0.3">
      <c r="B26" s="53"/>
      <c r="C26" s="35"/>
    </row>
    <row r="27" spans="1:17" x14ac:dyDescent="0.2">
      <c r="B27" s="47" t="s">
        <v>58</v>
      </c>
      <c r="C27" s="46"/>
      <c r="D27" s="96">
        <f>+D7</f>
        <v>2009</v>
      </c>
      <c r="E27" s="96">
        <f t="shared" ref="E27:N27" si="26">+E7</f>
        <v>2010</v>
      </c>
      <c r="F27" s="96">
        <f t="shared" si="26"/>
        <v>2011</v>
      </c>
      <c r="G27" s="96">
        <f t="shared" si="26"/>
        <v>2012</v>
      </c>
      <c r="H27" s="96">
        <f t="shared" si="26"/>
        <v>2013</v>
      </c>
      <c r="I27" s="96">
        <f t="shared" si="26"/>
        <v>2014</v>
      </c>
      <c r="J27" s="96">
        <f t="shared" si="26"/>
        <v>2015</v>
      </c>
      <c r="K27" s="96">
        <f t="shared" si="26"/>
        <v>2016</v>
      </c>
      <c r="L27" s="96">
        <f t="shared" si="26"/>
        <v>2017</v>
      </c>
      <c r="M27" s="96">
        <f t="shared" si="26"/>
        <v>2018</v>
      </c>
      <c r="N27" s="96">
        <f t="shared" si="26"/>
        <v>2019</v>
      </c>
      <c r="O27" s="96">
        <f t="shared" ref="O27:Q27" si="27">+O7</f>
        <v>2020</v>
      </c>
      <c r="P27" s="96">
        <f t="shared" si="27"/>
        <v>2021</v>
      </c>
      <c r="Q27" s="96">
        <f t="shared" si="27"/>
        <v>2022</v>
      </c>
    </row>
    <row r="28" spans="1:17" x14ac:dyDescent="0.2">
      <c r="B28" s="29"/>
      <c r="C28" s="52"/>
    </row>
    <row r="29" spans="1:17" ht="15" x14ac:dyDescent="0.3">
      <c r="A29" s="56"/>
      <c r="B29" s="27" t="s">
        <v>59</v>
      </c>
      <c r="C29" s="34">
        <v>39</v>
      </c>
      <c r="D29" s="34">
        <v>0</v>
      </c>
      <c r="E29" s="34">
        <v>85</v>
      </c>
      <c r="F29" s="34">
        <v>85</v>
      </c>
      <c r="G29" s="34">
        <v>85</v>
      </c>
      <c r="H29" s="34">
        <f t="shared" ref="H29:N29" si="28">ROUND(+G29*(1+H$2),0)</f>
        <v>94</v>
      </c>
      <c r="I29" s="34">
        <f t="shared" si="28"/>
        <v>104</v>
      </c>
      <c r="J29" s="34">
        <f t="shared" si="28"/>
        <v>115</v>
      </c>
      <c r="K29" s="34">
        <f t="shared" si="28"/>
        <v>128</v>
      </c>
      <c r="L29" s="34">
        <f t="shared" si="28"/>
        <v>142</v>
      </c>
      <c r="M29" s="34">
        <f t="shared" si="28"/>
        <v>158</v>
      </c>
      <c r="N29" s="34">
        <f t="shared" si="28"/>
        <v>175</v>
      </c>
      <c r="O29" s="34">
        <f t="shared" ref="O29:O34" si="29">ROUND(+N29*(1+O$2),0)</f>
        <v>194</v>
      </c>
      <c r="P29" s="34">
        <f t="shared" ref="P29:P34" si="30">ROUND(+O29*(1+P$2),0)</f>
        <v>215</v>
      </c>
      <c r="Q29" s="34">
        <f t="shared" ref="Q29:Q34" si="31">ROUND(+P29*(1+Q$2),0)</f>
        <v>239</v>
      </c>
    </row>
    <row r="30" spans="1:17" ht="15" x14ac:dyDescent="0.3">
      <c r="A30" s="56"/>
      <c r="B30" s="51" t="s">
        <v>60</v>
      </c>
      <c r="C30" s="34">
        <v>140</v>
      </c>
      <c r="D30" s="34">
        <v>0</v>
      </c>
      <c r="E30" s="34">
        <v>59</v>
      </c>
      <c r="F30" s="34">
        <v>63</v>
      </c>
      <c r="G30" s="34">
        <v>42</v>
      </c>
      <c r="H30" s="34">
        <f t="shared" ref="H30:N30" si="32">ROUND(+G30*(1+H$2),0)</f>
        <v>47</v>
      </c>
      <c r="I30" s="34">
        <f t="shared" si="32"/>
        <v>52</v>
      </c>
      <c r="J30" s="34">
        <f t="shared" si="32"/>
        <v>58</v>
      </c>
      <c r="K30" s="34">
        <f t="shared" si="32"/>
        <v>64</v>
      </c>
      <c r="L30" s="34">
        <f t="shared" si="32"/>
        <v>71</v>
      </c>
      <c r="M30" s="34">
        <f t="shared" si="32"/>
        <v>79</v>
      </c>
      <c r="N30" s="34">
        <f t="shared" si="32"/>
        <v>88</v>
      </c>
      <c r="O30" s="34">
        <f t="shared" si="29"/>
        <v>98</v>
      </c>
      <c r="P30" s="34">
        <f t="shared" si="30"/>
        <v>109</v>
      </c>
      <c r="Q30" s="34">
        <f t="shared" si="31"/>
        <v>121</v>
      </c>
    </row>
    <row r="31" spans="1:17" ht="15" x14ac:dyDescent="0.3">
      <c r="A31" s="56"/>
      <c r="B31" s="27" t="s">
        <v>61</v>
      </c>
      <c r="C31" s="34">
        <v>350</v>
      </c>
      <c r="D31" s="34">
        <v>292</v>
      </c>
      <c r="E31" s="34">
        <v>148</v>
      </c>
      <c r="F31" s="34">
        <v>376</v>
      </c>
      <c r="G31" s="34">
        <v>476</v>
      </c>
      <c r="H31" s="34">
        <f t="shared" ref="H31:N31" si="33">ROUND(+G31*(1+H$2),0)</f>
        <v>528</v>
      </c>
      <c r="I31" s="34">
        <f t="shared" si="33"/>
        <v>586</v>
      </c>
      <c r="J31" s="34">
        <f t="shared" si="33"/>
        <v>650</v>
      </c>
      <c r="K31" s="34">
        <f t="shared" si="33"/>
        <v>722</v>
      </c>
      <c r="L31" s="34">
        <f t="shared" si="33"/>
        <v>801</v>
      </c>
      <c r="M31" s="34">
        <f t="shared" si="33"/>
        <v>889</v>
      </c>
      <c r="N31" s="34">
        <f t="shared" si="33"/>
        <v>987</v>
      </c>
      <c r="O31" s="34">
        <f t="shared" si="29"/>
        <v>1096</v>
      </c>
      <c r="P31" s="34">
        <f t="shared" si="30"/>
        <v>1217</v>
      </c>
      <c r="Q31" s="34">
        <f t="shared" si="31"/>
        <v>1351</v>
      </c>
    </row>
    <row r="32" spans="1:17" ht="15" x14ac:dyDescent="0.3">
      <c r="A32" s="56"/>
      <c r="B32" s="51" t="s">
        <v>62</v>
      </c>
      <c r="C32" s="34">
        <v>411</v>
      </c>
      <c r="D32" s="34">
        <v>54</v>
      </c>
      <c r="E32" s="34">
        <v>174</v>
      </c>
      <c r="F32" s="34">
        <v>115</v>
      </c>
      <c r="G32" s="34">
        <v>152</v>
      </c>
      <c r="H32" s="34">
        <f t="shared" ref="H32:N32" si="34">ROUND(+G32*(1+H$2),0)</f>
        <v>169</v>
      </c>
      <c r="I32" s="34">
        <f t="shared" si="34"/>
        <v>188</v>
      </c>
      <c r="J32" s="34">
        <f t="shared" si="34"/>
        <v>209</v>
      </c>
      <c r="K32" s="34">
        <f t="shared" si="34"/>
        <v>232</v>
      </c>
      <c r="L32" s="34">
        <f t="shared" si="34"/>
        <v>258</v>
      </c>
      <c r="M32" s="34">
        <f t="shared" si="34"/>
        <v>286</v>
      </c>
      <c r="N32" s="34">
        <f t="shared" si="34"/>
        <v>317</v>
      </c>
      <c r="O32" s="34">
        <f t="shared" si="29"/>
        <v>352</v>
      </c>
      <c r="P32" s="34">
        <f t="shared" si="30"/>
        <v>391</v>
      </c>
      <c r="Q32" s="34">
        <f t="shared" si="31"/>
        <v>434</v>
      </c>
    </row>
    <row r="33" spans="1:17" ht="15" x14ac:dyDescent="0.3">
      <c r="A33" s="56"/>
      <c r="B33" s="51" t="s">
        <v>63</v>
      </c>
      <c r="C33" s="34">
        <v>220</v>
      </c>
      <c r="D33" s="34">
        <v>95</v>
      </c>
      <c r="E33" s="34">
        <v>203</v>
      </c>
      <c r="F33" s="34">
        <v>197</v>
      </c>
      <c r="G33" s="34">
        <v>169</v>
      </c>
      <c r="H33" s="34">
        <f t="shared" ref="H33:N33" si="35">ROUND(+G33*(1+H$2),0)</f>
        <v>187</v>
      </c>
      <c r="I33" s="34">
        <f t="shared" si="35"/>
        <v>208</v>
      </c>
      <c r="J33" s="34">
        <f t="shared" si="35"/>
        <v>231</v>
      </c>
      <c r="K33" s="34">
        <f t="shared" si="35"/>
        <v>256</v>
      </c>
      <c r="L33" s="34">
        <f t="shared" si="35"/>
        <v>284</v>
      </c>
      <c r="M33" s="34">
        <f t="shared" si="35"/>
        <v>315</v>
      </c>
      <c r="N33" s="34">
        <f t="shared" si="35"/>
        <v>350</v>
      </c>
      <c r="O33" s="34">
        <f t="shared" si="29"/>
        <v>389</v>
      </c>
      <c r="P33" s="34">
        <f t="shared" si="30"/>
        <v>432</v>
      </c>
      <c r="Q33" s="34">
        <f t="shared" si="31"/>
        <v>480</v>
      </c>
    </row>
    <row r="34" spans="1:17" ht="15" x14ac:dyDescent="0.3">
      <c r="A34" s="56"/>
      <c r="B34" s="27" t="s">
        <v>64</v>
      </c>
      <c r="C34" s="34">
        <v>5</v>
      </c>
      <c r="D34" s="34">
        <v>0</v>
      </c>
      <c r="E34" s="34">
        <v>2</v>
      </c>
      <c r="F34" s="34"/>
      <c r="G34" s="34">
        <v>10</v>
      </c>
      <c r="H34" s="34">
        <f t="shared" ref="H34:N34" si="36">ROUND(+G34*(1+H$2),0)</f>
        <v>11</v>
      </c>
      <c r="I34" s="34">
        <f t="shared" si="36"/>
        <v>12</v>
      </c>
      <c r="J34" s="34">
        <f t="shared" si="36"/>
        <v>13</v>
      </c>
      <c r="K34" s="34">
        <f t="shared" si="36"/>
        <v>14</v>
      </c>
      <c r="L34" s="34">
        <f t="shared" si="36"/>
        <v>16</v>
      </c>
      <c r="M34" s="34">
        <f t="shared" si="36"/>
        <v>18</v>
      </c>
      <c r="N34" s="34">
        <f t="shared" si="36"/>
        <v>20</v>
      </c>
      <c r="O34" s="34">
        <f t="shared" si="29"/>
        <v>22</v>
      </c>
      <c r="P34" s="34">
        <f t="shared" si="30"/>
        <v>24</v>
      </c>
      <c r="Q34" s="34">
        <f t="shared" si="31"/>
        <v>27</v>
      </c>
    </row>
    <row r="35" spans="1:17" ht="15" x14ac:dyDescent="0.3">
      <c r="A35" s="56"/>
      <c r="B35" s="27"/>
      <c r="C35" s="34"/>
      <c r="D35" s="34"/>
      <c r="E35" s="34">
        <v>1152</v>
      </c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</row>
    <row r="36" spans="1:17" ht="15" x14ac:dyDescent="0.3">
      <c r="A36" s="56"/>
      <c r="B36" s="27" t="s">
        <v>65</v>
      </c>
      <c r="C36" s="34">
        <v>77</v>
      </c>
      <c r="D36" s="34">
        <v>42</v>
      </c>
      <c r="E36" s="34"/>
      <c r="F36" s="34"/>
      <c r="G36" s="34"/>
      <c r="H36" s="34">
        <f t="shared" ref="H36:N36" si="37">ROUND(+G36*(1+H$2),0)</f>
        <v>0</v>
      </c>
      <c r="I36" s="34">
        <f t="shared" si="37"/>
        <v>0</v>
      </c>
      <c r="J36" s="34">
        <f t="shared" si="37"/>
        <v>0</v>
      </c>
      <c r="K36" s="34">
        <f t="shared" si="37"/>
        <v>0</v>
      </c>
      <c r="L36" s="34">
        <f t="shared" si="37"/>
        <v>0</v>
      </c>
      <c r="M36" s="34">
        <f t="shared" si="37"/>
        <v>0</v>
      </c>
      <c r="N36" s="34">
        <f t="shared" si="37"/>
        <v>0</v>
      </c>
      <c r="O36" s="34">
        <f t="shared" ref="O36:O37" si="38">ROUND(+N36*(1+O$2),0)</f>
        <v>0</v>
      </c>
      <c r="P36" s="34">
        <f t="shared" ref="P36:P37" si="39">ROUND(+O36*(1+P$2),0)</f>
        <v>0</v>
      </c>
      <c r="Q36" s="34">
        <f t="shared" ref="Q36:Q37" si="40">ROUND(+P36*(1+Q$2),0)</f>
        <v>0</v>
      </c>
    </row>
    <row r="37" spans="1:17" ht="15" x14ac:dyDescent="0.3">
      <c r="A37" s="56"/>
      <c r="B37" s="27" t="s">
        <v>66</v>
      </c>
      <c r="C37" s="34">
        <v>800</v>
      </c>
      <c r="D37" s="34">
        <v>631</v>
      </c>
      <c r="E37" s="34">
        <v>803</v>
      </c>
      <c r="F37" s="34">
        <v>1180</v>
      </c>
      <c r="G37" s="34">
        <v>1300</v>
      </c>
      <c r="H37" s="34">
        <f t="shared" ref="H37:N37" si="41">ROUND(+G37*(1+H$2),0)</f>
        <v>1442</v>
      </c>
      <c r="I37" s="34">
        <f t="shared" si="41"/>
        <v>1601</v>
      </c>
      <c r="J37" s="34">
        <f t="shared" si="41"/>
        <v>1777</v>
      </c>
      <c r="K37" s="34">
        <f t="shared" si="41"/>
        <v>1972</v>
      </c>
      <c r="L37" s="34">
        <f t="shared" si="41"/>
        <v>2189</v>
      </c>
      <c r="M37" s="34">
        <f t="shared" si="41"/>
        <v>2430</v>
      </c>
      <c r="N37" s="34">
        <f t="shared" si="41"/>
        <v>2697</v>
      </c>
      <c r="O37" s="34">
        <f t="shared" si="38"/>
        <v>2994</v>
      </c>
      <c r="P37" s="34">
        <f t="shared" si="39"/>
        <v>3323</v>
      </c>
      <c r="Q37" s="34">
        <f t="shared" si="40"/>
        <v>3689</v>
      </c>
    </row>
    <row r="38" spans="1:17" ht="15" x14ac:dyDescent="0.3">
      <c r="A38" s="56"/>
      <c r="B38" s="49" t="s">
        <v>67</v>
      </c>
      <c r="C38" s="50">
        <v>139</v>
      </c>
      <c r="D38" s="50">
        <v>85</v>
      </c>
      <c r="E38" s="50">
        <v>95</v>
      </c>
      <c r="F38" s="50">
        <v>124</v>
      </c>
      <c r="G38" s="50">
        <v>292</v>
      </c>
      <c r="H38" s="50">
        <f t="shared" ref="H38:M38" si="42">ROUND(+G38*(1+H$3),0)</f>
        <v>356</v>
      </c>
      <c r="I38" s="50">
        <f t="shared" si="42"/>
        <v>434</v>
      </c>
      <c r="J38" s="50">
        <f t="shared" si="42"/>
        <v>529</v>
      </c>
      <c r="K38" s="50">
        <f t="shared" si="42"/>
        <v>645</v>
      </c>
      <c r="L38" s="50">
        <f t="shared" si="42"/>
        <v>787</v>
      </c>
      <c r="M38" s="50">
        <f t="shared" si="42"/>
        <v>960</v>
      </c>
      <c r="N38" s="50">
        <f>ROUND(+M38*(1+N$3),0)</f>
        <v>1171</v>
      </c>
      <c r="O38" s="50">
        <f t="shared" ref="O38:Q38" si="43">ROUND(+N38*(1+O$3),0)</f>
        <v>1429</v>
      </c>
      <c r="P38" s="50">
        <f t="shared" si="43"/>
        <v>1743</v>
      </c>
      <c r="Q38" s="50">
        <f t="shared" si="43"/>
        <v>2126</v>
      </c>
    </row>
    <row r="39" spans="1:17" ht="15" x14ac:dyDescent="0.3">
      <c r="A39" s="56"/>
      <c r="B39" s="49" t="s">
        <v>68</v>
      </c>
      <c r="C39" s="50">
        <v>33</v>
      </c>
      <c r="D39" s="50">
        <v>21</v>
      </c>
      <c r="E39" s="50">
        <v>23</v>
      </c>
      <c r="F39" s="50">
        <v>30</v>
      </c>
      <c r="G39" s="50">
        <v>73</v>
      </c>
      <c r="H39" s="50">
        <f t="shared" ref="H39:N39" si="44">+H38*0.24</f>
        <v>85.44</v>
      </c>
      <c r="I39" s="50">
        <f t="shared" si="44"/>
        <v>104.16</v>
      </c>
      <c r="J39" s="50">
        <f t="shared" si="44"/>
        <v>126.96</v>
      </c>
      <c r="K39" s="50">
        <f t="shared" si="44"/>
        <v>154.79999999999998</v>
      </c>
      <c r="L39" s="50">
        <f t="shared" si="44"/>
        <v>188.88</v>
      </c>
      <c r="M39" s="50">
        <f t="shared" si="44"/>
        <v>230.39999999999998</v>
      </c>
      <c r="N39" s="50">
        <f t="shared" si="44"/>
        <v>281.03999999999996</v>
      </c>
      <c r="O39" s="50">
        <f t="shared" ref="O39:Q39" si="45">+O38*0.24</f>
        <v>342.96</v>
      </c>
      <c r="P39" s="50">
        <f t="shared" si="45"/>
        <v>418.32</v>
      </c>
      <c r="Q39" s="50">
        <f t="shared" si="45"/>
        <v>510.24</v>
      </c>
    </row>
    <row r="40" spans="1:17" ht="15" x14ac:dyDescent="0.3">
      <c r="A40" s="56"/>
      <c r="B40" s="27" t="s">
        <v>69</v>
      </c>
      <c r="C40" s="34">
        <v>388</v>
      </c>
      <c r="D40" s="34">
        <v>224</v>
      </c>
      <c r="E40" s="34">
        <v>989</v>
      </c>
      <c r="F40" s="34">
        <v>580</v>
      </c>
      <c r="G40" s="34">
        <v>863</v>
      </c>
      <c r="H40" s="34">
        <f>+turnover!H136*0.02*0.5</f>
        <v>1101.5733682800001</v>
      </c>
      <c r="I40" s="34">
        <f>+turnover!I136*0.02*0.5</f>
        <v>1697.9859735300001</v>
      </c>
      <c r="J40" s="34">
        <f>+turnover!J136*0.02*0.5</f>
        <v>2412.3436207101004</v>
      </c>
      <c r="K40" s="34">
        <f>+turnover!K136*0.02*0.5</f>
        <v>2732.1931286149506</v>
      </c>
      <c r="L40" s="34">
        <f>+turnover!L136*0.02*0.5</f>
        <v>3096.1758971785953</v>
      </c>
      <c r="M40" s="34">
        <f>+turnover!M136*0.02*0.5</f>
        <v>3507.1229247228425</v>
      </c>
      <c r="N40" s="34">
        <f>+turnover!N136*0.02*0.5</f>
        <v>3971.5575706506424</v>
      </c>
      <c r="O40" s="34">
        <f>+turnover!O136*0.02*0.5</f>
        <v>4501.2626635315728</v>
      </c>
      <c r="P40" s="34">
        <f>+turnover!P136*0.02*0.5</f>
        <v>5100.2582162586714</v>
      </c>
      <c r="Q40" s="34">
        <f>+turnover!Q136*0.02*0.5</f>
        <v>5775.9787682856931</v>
      </c>
    </row>
    <row r="41" spans="1:17" ht="15" x14ac:dyDescent="0.3">
      <c r="A41" s="56"/>
      <c r="B41" s="27" t="s">
        <v>70</v>
      </c>
      <c r="C41" s="34">
        <v>2</v>
      </c>
      <c r="D41" s="34">
        <v>3</v>
      </c>
      <c r="E41" s="34">
        <v>65</v>
      </c>
      <c r="F41" s="34">
        <v>50</v>
      </c>
      <c r="G41" s="34">
        <v>28</v>
      </c>
      <c r="H41" s="34">
        <f t="shared" ref="H41:N41" si="46">ROUND(+G41*(1+H$2),0)</f>
        <v>31</v>
      </c>
      <c r="I41" s="34">
        <f t="shared" si="46"/>
        <v>34</v>
      </c>
      <c r="J41" s="34">
        <f t="shared" si="46"/>
        <v>38</v>
      </c>
      <c r="K41" s="34">
        <f t="shared" si="46"/>
        <v>42</v>
      </c>
      <c r="L41" s="34">
        <f t="shared" si="46"/>
        <v>47</v>
      </c>
      <c r="M41" s="34">
        <f t="shared" si="46"/>
        <v>52</v>
      </c>
      <c r="N41" s="34">
        <f t="shared" si="46"/>
        <v>58</v>
      </c>
      <c r="O41" s="34">
        <f t="shared" ref="O41:O42" si="47">ROUND(+N41*(1+O$2),0)</f>
        <v>64</v>
      </c>
      <c r="P41" s="34">
        <f t="shared" ref="P41:P42" si="48">ROUND(+O41*(1+P$2),0)</f>
        <v>71</v>
      </c>
      <c r="Q41" s="34">
        <f t="shared" ref="Q41:Q42" si="49">ROUND(+P41*(1+Q$2),0)</f>
        <v>79</v>
      </c>
    </row>
    <row r="42" spans="1:17" ht="15" x14ac:dyDescent="0.3">
      <c r="B42" s="27" t="s">
        <v>71</v>
      </c>
      <c r="C42" s="34">
        <f>20+36</f>
        <v>56</v>
      </c>
      <c r="D42" s="34">
        <f>2190-1447</f>
        <v>743</v>
      </c>
      <c r="E42" s="34">
        <f>9+47</f>
        <v>56</v>
      </c>
      <c r="F42" s="34">
        <f>103+1537</f>
        <v>1640</v>
      </c>
      <c r="G42" s="34">
        <v>6</v>
      </c>
      <c r="H42" s="34">
        <f t="shared" ref="H42:N42" si="50">ROUND(+G42*(1+H$2),0)</f>
        <v>7</v>
      </c>
      <c r="I42" s="34">
        <f t="shared" si="50"/>
        <v>8</v>
      </c>
      <c r="J42" s="34">
        <f t="shared" si="50"/>
        <v>9</v>
      </c>
      <c r="K42" s="34">
        <f t="shared" si="50"/>
        <v>10</v>
      </c>
      <c r="L42" s="34">
        <f t="shared" si="50"/>
        <v>11</v>
      </c>
      <c r="M42" s="34">
        <f t="shared" si="50"/>
        <v>12</v>
      </c>
      <c r="N42" s="34">
        <f t="shared" si="50"/>
        <v>13</v>
      </c>
      <c r="O42" s="34">
        <f t="shared" si="47"/>
        <v>14</v>
      </c>
      <c r="P42" s="34">
        <f t="shared" si="48"/>
        <v>16</v>
      </c>
      <c r="Q42" s="34">
        <f t="shared" si="49"/>
        <v>18</v>
      </c>
    </row>
    <row r="43" spans="1:17" x14ac:dyDescent="0.2">
      <c r="B43" s="29" t="s">
        <v>57</v>
      </c>
      <c r="C43" s="52">
        <f t="shared" ref="C43:N43" si="51">SUM(C29:C42)</f>
        <v>2660</v>
      </c>
      <c r="D43" s="121">
        <f t="shared" si="51"/>
        <v>2190</v>
      </c>
      <c r="E43" s="121">
        <f t="shared" si="51"/>
        <v>3854</v>
      </c>
      <c r="F43" s="121">
        <f t="shared" si="51"/>
        <v>4440</v>
      </c>
      <c r="G43" s="121">
        <f t="shared" si="51"/>
        <v>3496</v>
      </c>
      <c r="H43" s="121">
        <f t="shared" si="51"/>
        <v>4059.0133682800001</v>
      </c>
      <c r="I43" s="121">
        <f t="shared" si="51"/>
        <v>5029.1459735299995</v>
      </c>
      <c r="J43" s="121">
        <f t="shared" si="51"/>
        <v>6168.3036207101004</v>
      </c>
      <c r="K43" s="121">
        <f t="shared" si="51"/>
        <v>6971.9931286149513</v>
      </c>
      <c r="L43" s="121">
        <f t="shared" si="51"/>
        <v>7891.0558971785958</v>
      </c>
      <c r="M43" s="121">
        <f t="shared" si="51"/>
        <v>8936.5229247228417</v>
      </c>
      <c r="N43" s="121">
        <f t="shared" si="51"/>
        <v>10128.597570650643</v>
      </c>
      <c r="O43" s="121">
        <f t="shared" ref="O43:Q43" si="52">SUM(O29:O42)</f>
        <v>11496.222663531573</v>
      </c>
      <c r="P43" s="121">
        <f t="shared" si="52"/>
        <v>13059.578216258671</v>
      </c>
      <c r="Q43" s="121">
        <f t="shared" si="52"/>
        <v>14850.218768285693</v>
      </c>
    </row>
    <row r="44" spans="1:17" ht="15" x14ac:dyDescent="0.3">
      <c r="B44" s="28"/>
      <c r="C44" s="35"/>
    </row>
    <row r="45" spans="1:17" ht="15" x14ac:dyDescent="0.3">
      <c r="B45" s="53"/>
      <c r="C45" s="35"/>
      <c r="D45" s="43"/>
    </row>
    <row r="46" spans="1:17" s="93" customFormat="1" x14ac:dyDescent="0.2">
      <c r="B46" s="47" t="s">
        <v>72</v>
      </c>
      <c r="C46" s="52"/>
      <c r="D46" s="94"/>
      <c r="E46" s="93">
        <f>+E7</f>
        <v>2010</v>
      </c>
      <c r="F46" s="93">
        <f t="shared" ref="F46:N46" si="53">+F7</f>
        <v>2011</v>
      </c>
      <c r="G46" s="93">
        <f t="shared" si="53"/>
        <v>2012</v>
      </c>
      <c r="H46" s="93">
        <f t="shared" si="53"/>
        <v>2013</v>
      </c>
      <c r="I46" s="93">
        <f t="shared" si="53"/>
        <v>2014</v>
      </c>
      <c r="J46" s="93">
        <f t="shared" si="53"/>
        <v>2015</v>
      </c>
      <c r="K46" s="93">
        <f t="shared" si="53"/>
        <v>2016</v>
      </c>
      <c r="L46" s="93">
        <f t="shared" si="53"/>
        <v>2017</v>
      </c>
      <c r="M46" s="93">
        <f t="shared" si="53"/>
        <v>2018</v>
      </c>
      <c r="N46" s="93">
        <f t="shared" si="53"/>
        <v>2019</v>
      </c>
      <c r="O46" s="93">
        <f t="shared" ref="O46:Q46" si="54">+O7</f>
        <v>2020</v>
      </c>
      <c r="P46" s="93">
        <f t="shared" si="54"/>
        <v>2021</v>
      </c>
      <c r="Q46" s="93">
        <f t="shared" si="54"/>
        <v>2022</v>
      </c>
    </row>
    <row r="47" spans="1:17" ht="15" x14ac:dyDescent="0.3">
      <c r="B47" s="27"/>
      <c r="C47" s="34"/>
    </row>
    <row r="48" spans="1:17" ht="15" x14ac:dyDescent="0.3">
      <c r="A48" s="56"/>
      <c r="B48" s="27" t="s">
        <v>73</v>
      </c>
      <c r="C48" s="34">
        <v>94</v>
      </c>
      <c r="D48" s="34">
        <v>62</v>
      </c>
      <c r="E48" s="34">
        <v>91</v>
      </c>
      <c r="F48" s="34">
        <v>153</v>
      </c>
      <c r="G48" s="34">
        <f>171+71</f>
        <v>242</v>
      </c>
      <c r="H48" s="34">
        <f t="shared" ref="H48:N48" si="55">ROUND(+G48*(1+H$2),0)</f>
        <v>268</v>
      </c>
      <c r="I48" s="34">
        <f t="shared" si="55"/>
        <v>297</v>
      </c>
      <c r="J48" s="34">
        <f t="shared" si="55"/>
        <v>330</v>
      </c>
      <c r="K48" s="34">
        <f t="shared" si="55"/>
        <v>366</v>
      </c>
      <c r="L48" s="34">
        <f t="shared" si="55"/>
        <v>406</v>
      </c>
      <c r="M48" s="34">
        <f t="shared" si="55"/>
        <v>451</v>
      </c>
      <c r="N48" s="34">
        <f t="shared" si="55"/>
        <v>501</v>
      </c>
      <c r="O48" s="34">
        <f t="shared" ref="O48" si="56">ROUND(+N48*(1+O$2),0)</f>
        <v>556</v>
      </c>
      <c r="P48" s="34">
        <f t="shared" ref="P48" si="57">ROUND(+O48*(1+P$2),0)</f>
        <v>617</v>
      </c>
      <c r="Q48" s="34">
        <f t="shared" ref="Q48" si="58">ROUND(+P48*(1+Q$2),0)</f>
        <v>685</v>
      </c>
    </row>
    <row r="49" spans="1:17" ht="15" x14ac:dyDescent="0.3">
      <c r="A49" s="56"/>
      <c r="B49" s="49" t="s">
        <v>74</v>
      </c>
      <c r="C49" s="50">
        <v>150</v>
      </c>
      <c r="D49" s="50">
        <v>138</v>
      </c>
      <c r="E49" s="50">
        <v>161</v>
      </c>
      <c r="F49" s="50">
        <v>226</v>
      </c>
      <c r="G49" s="50">
        <v>267</v>
      </c>
      <c r="H49" s="50">
        <f t="shared" ref="H49:N49" si="59">ROUND(+G49*(1+H$3),0)</f>
        <v>326</v>
      </c>
      <c r="I49" s="50">
        <f t="shared" si="59"/>
        <v>398</v>
      </c>
      <c r="J49" s="50">
        <f t="shared" si="59"/>
        <v>486</v>
      </c>
      <c r="K49" s="50">
        <f t="shared" si="59"/>
        <v>593</v>
      </c>
      <c r="L49" s="50">
        <f t="shared" si="59"/>
        <v>723</v>
      </c>
      <c r="M49" s="50">
        <f t="shared" si="59"/>
        <v>882</v>
      </c>
      <c r="N49" s="50">
        <f t="shared" si="59"/>
        <v>1076</v>
      </c>
      <c r="O49" s="50">
        <f t="shared" ref="O49" si="60">ROUND(+N49*(1+O$3),0)</f>
        <v>1313</v>
      </c>
      <c r="P49" s="50">
        <f t="shared" ref="P49" si="61">ROUND(+O49*(1+P$3),0)</f>
        <v>1602</v>
      </c>
      <c r="Q49" s="50">
        <f t="shared" ref="Q49" si="62">ROUND(+P49*(1+Q$3),0)</f>
        <v>1954</v>
      </c>
    </row>
    <row r="50" spans="1:17" ht="15" x14ac:dyDescent="0.3">
      <c r="A50" s="56"/>
      <c r="B50" s="27" t="s">
        <v>75</v>
      </c>
      <c r="C50" s="34">
        <v>18</v>
      </c>
      <c r="D50" s="34">
        <v>26</v>
      </c>
      <c r="E50" s="34">
        <v>72</v>
      </c>
      <c r="F50" s="34">
        <v>28</v>
      </c>
      <c r="G50" s="34">
        <v>36</v>
      </c>
      <c r="H50" s="34">
        <f t="shared" ref="H50:N50" si="63">ROUND(+G50*(1+H$2),0)</f>
        <v>40</v>
      </c>
      <c r="I50" s="34">
        <f t="shared" si="63"/>
        <v>44</v>
      </c>
      <c r="J50" s="34">
        <f t="shared" si="63"/>
        <v>49</v>
      </c>
      <c r="K50" s="34">
        <f t="shared" si="63"/>
        <v>54</v>
      </c>
      <c r="L50" s="34">
        <f t="shared" si="63"/>
        <v>60</v>
      </c>
      <c r="M50" s="34">
        <f t="shared" si="63"/>
        <v>67</v>
      </c>
      <c r="N50" s="34">
        <f t="shared" si="63"/>
        <v>74</v>
      </c>
      <c r="O50" s="34">
        <f t="shared" ref="O50" si="64">ROUND(+N50*(1+O$2),0)</f>
        <v>82</v>
      </c>
      <c r="P50" s="34">
        <f t="shared" ref="P50" si="65">ROUND(+O50*(1+P$2),0)</f>
        <v>91</v>
      </c>
      <c r="Q50" s="34">
        <f t="shared" ref="Q50" si="66">ROUND(+P50*(1+Q$2),0)</f>
        <v>101</v>
      </c>
    </row>
    <row r="51" spans="1:17" ht="15" x14ac:dyDescent="0.3">
      <c r="A51" s="56"/>
      <c r="B51" s="49" t="s">
        <v>76</v>
      </c>
      <c r="C51" s="50">
        <v>3</v>
      </c>
      <c r="D51" s="34">
        <f>3*0</f>
        <v>0</v>
      </c>
      <c r="E51" s="34">
        <v>8</v>
      </c>
      <c r="F51" s="34">
        <v>33</v>
      </c>
      <c r="G51" s="34">
        <v>36</v>
      </c>
      <c r="H51" s="34"/>
      <c r="I51" s="34"/>
      <c r="J51" s="34"/>
      <c r="K51" s="34"/>
      <c r="L51" s="34"/>
      <c r="M51" s="34"/>
      <c r="N51" s="34"/>
      <c r="O51" s="34"/>
      <c r="P51" s="34"/>
      <c r="Q51" s="34"/>
    </row>
    <row r="52" spans="1:17" ht="15" x14ac:dyDescent="0.3">
      <c r="A52" s="56"/>
      <c r="B52" s="27" t="s">
        <v>77</v>
      </c>
      <c r="C52" s="34">
        <v>39</v>
      </c>
      <c r="D52" s="34">
        <v>19</v>
      </c>
      <c r="E52" s="34">
        <v>39</v>
      </c>
      <c r="F52" s="34">
        <v>47</v>
      </c>
      <c r="G52" s="34">
        <v>55</v>
      </c>
      <c r="H52" s="34">
        <f t="shared" ref="H52:N52" si="67">ROUND(+G52*(1+H$2),0)</f>
        <v>61</v>
      </c>
      <c r="I52" s="34">
        <f t="shared" si="67"/>
        <v>68</v>
      </c>
      <c r="J52" s="34">
        <f t="shared" si="67"/>
        <v>75</v>
      </c>
      <c r="K52" s="34">
        <f t="shared" si="67"/>
        <v>83</v>
      </c>
      <c r="L52" s="34">
        <f t="shared" si="67"/>
        <v>92</v>
      </c>
      <c r="M52" s="34">
        <f t="shared" si="67"/>
        <v>102</v>
      </c>
      <c r="N52" s="34">
        <f t="shared" si="67"/>
        <v>113</v>
      </c>
      <c r="O52" s="34">
        <f t="shared" ref="O52" si="68">ROUND(+N52*(1+O$2),0)</f>
        <v>125</v>
      </c>
      <c r="P52" s="34">
        <f t="shared" ref="P52" si="69">ROUND(+O52*(1+P$2),0)</f>
        <v>139</v>
      </c>
      <c r="Q52" s="34">
        <f t="shared" ref="Q52" si="70">ROUND(+P52*(1+Q$2),0)</f>
        <v>154</v>
      </c>
    </row>
    <row r="53" spans="1:17" ht="15" x14ac:dyDescent="0.3">
      <c r="A53" s="56"/>
      <c r="B53" s="49" t="s">
        <v>78</v>
      </c>
      <c r="C53" s="50">
        <v>15</v>
      </c>
      <c r="D53" s="50">
        <v>22</v>
      </c>
      <c r="E53" s="50">
        <v>32</v>
      </c>
      <c r="F53" s="50">
        <v>41</v>
      </c>
      <c r="G53" s="50">
        <v>22</v>
      </c>
      <c r="H53" s="50">
        <f t="shared" ref="H53:N53" si="71">ROUND(+G53*(1+H$3),0)</f>
        <v>27</v>
      </c>
      <c r="I53" s="50">
        <f t="shared" si="71"/>
        <v>33</v>
      </c>
      <c r="J53" s="50">
        <f t="shared" si="71"/>
        <v>40</v>
      </c>
      <c r="K53" s="50">
        <f t="shared" si="71"/>
        <v>49</v>
      </c>
      <c r="L53" s="50">
        <f t="shared" si="71"/>
        <v>60</v>
      </c>
      <c r="M53" s="50">
        <f t="shared" si="71"/>
        <v>73</v>
      </c>
      <c r="N53" s="50">
        <f t="shared" si="71"/>
        <v>89</v>
      </c>
      <c r="O53" s="50">
        <f t="shared" ref="O53:O54" si="72">ROUND(+N53*(1+O$3),0)</f>
        <v>109</v>
      </c>
      <c r="P53" s="50">
        <f t="shared" ref="P53:P54" si="73">ROUND(+O53*(1+P$3),0)</f>
        <v>133</v>
      </c>
      <c r="Q53" s="50">
        <f t="shared" ref="Q53:Q54" si="74">ROUND(+P53*(1+Q$3),0)</f>
        <v>162</v>
      </c>
    </row>
    <row r="54" spans="1:17" ht="15" x14ac:dyDescent="0.3">
      <c r="A54" s="56"/>
      <c r="B54" s="51" t="s">
        <v>723</v>
      </c>
      <c r="C54" s="34">
        <v>60</v>
      </c>
      <c r="D54" s="34">
        <v>187</v>
      </c>
      <c r="E54" s="34">
        <v>60</v>
      </c>
      <c r="F54" s="34">
        <v>66</v>
      </c>
      <c r="G54" s="34">
        <v>67</v>
      </c>
      <c r="H54" s="34">
        <f t="shared" ref="H54:N54" si="75">ROUND(+G54*(1+H$3),0)</f>
        <v>82</v>
      </c>
      <c r="I54" s="34">
        <f t="shared" si="75"/>
        <v>100</v>
      </c>
      <c r="J54" s="34">
        <f t="shared" si="75"/>
        <v>122</v>
      </c>
      <c r="K54" s="34">
        <f t="shared" si="75"/>
        <v>149</v>
      </c>
      <c r="L54" s="34">
        <f t="shared" si="75"/>
        <v>182</v>
      </c>
      <c r="M54" s="34">
        <f t="shared" si="75"/>
        <v>222</v>
      </c>
      <c r="N54" s="34">
        <f t="shared" si="75"/>
        <v>271</v>
      </c>
      <c r="O54" s="34">
        <f t="shared" si="72"/>
        <v>331</v>
      </c>
      <c r="P54" s="34">
        <f t="shared" si="73"/>
        <v>404</v>
      </c>
      <c r="Q54" s="34">
        <f t="shared" si="74"/>
        <v>493</v>
      </c>
    </row>
    <row r="55" spans="1:17" ht="15" x14ac:dyDescent="0.3">
      <c r="A55" s="56"/>
      <c r="B55" s="27" t="s">
        <v>49</v>
      </c>
      <c r="C55" s="34">
        <v>6</v>
      </c>
      <c r="D55" s="34">
        <v>4</v>
      </c>
      <c r="E55" s="34">
        <v>6</v>
      </c>
      <c r="F55" s="34">
        <v>6</v>
      </c>
      <c r="G55" s="34">
        <v>7</v>
      </c>
      <c r="H55" s="34">
        <f t="shared" ref="H55:N55" si="76">ROUND(+G55*(1+H$2),0)</f>
        <v>8</v>
      </c>
      <c r="I55" s="34">
        <f t="shared" si="76"/>
        <v>9</v>
      </c>
      <c r="J55" s="34">
        <f t="shared" si="76"/>
        <v>10</v>
      </c>
      <c r="K55" s="34">
        <f t="shared" si="76"/>
        <v>11</v>
      </c>
      <c r="L55" s="34">
        <f t="shared" si="76"/>
        <v>12</v>
      </c>
      <c r="M55" s="34">
        <f t="shared" si="76"/>
        <v>13</v>
      </c>
      <c r="N55" s="34">
        <f t="shared" si="76"/>
        <v>14</v>
      </c>
      <c r="O55" s="34">
        <f t="shared" ref="O55" si="77">ROUND(+N55*(1+O$2),0)</f>
        <v>16</v>
      </c>
      <c r="P55" s="34">
        <f t="shared" ref="P55" si="78">ROUND(+O55*(1+P$2),0)</f>
        <v>18</v>
      </c>
      <c r="Q55" s="34">
        <f t="shared" ref="Q55" si="79">ROUND(+P55*(1+Q$2),0)</f>
        <v>20</v>
      </c>
    </row>
    <row r="56" spans="1:17" ht="15" x14ac:dyDescent="0.3">
      <c r="A56" s="56"/>
      <c r="B56" s="27" t="s">
        <v>79</v>
      </c>
      <c r="C56" s="34">
        <v>4</v>
      </c>
      <c r="D56" s="34">
        <v>8</v>
      </c>
      <c r="E56" s="34">
        <v>11</v>
      </c>
      <c r="F56" s="34">
        <v>14</v>
      </c>
      <c r="G56" s="34">
        <v>15</v>
      </c>
      <c r="H56" s="34">
        <f t="shared" ref="H56:N56" si="80">ROUND(+G56*(1+H$3),0)</f>
        <v>18</v>
      </c>
      <c r="I56" s="34">
        <f t="shared" si="80"/>
        <v>22</v>
      </c>
      <c r="J56" s="34">
        <f t="shared" si="80"/>
        <v>27</v>
      </c>
      <c r="K56" s="34">
        <f t="shared" si="80"/>
        <v>33</v>
      </c>
      <c r="L56" s="34">
        <f t="shared" si="80"/>
        <v>40</v>
      </c>
      <c r="M56" s="34">
        <f t="shared" si="80"/>
        <v>49</v>
      </c>
      <c r="N56" s="34">
        <f t="shared" si="80"/>
        <v>60</v>
      </c>
      <c r="O56" s="34">
        <f t="shared" ref="O56" si="81">ROUND(+N56*(1+O$3),0)</f>
        <v>73</v>
      </c>
      <c r="P56" s="34">
        <f t="shared" ref="P56" si="82">ROUND(+O56*(1+P$3),0)</f>
        <v>89</v>
      </c>
      <c r="Q56" s="34">
        <f t="shared" ref="Q56" si="83">ROUND(+P56*(1+Q$3),0)</f>
        <v>109</v>
      </c>
    </row>
    <row r="57" spans="1:17" ht="15" x14ac:dyDescent="0.3">
      <c r="A57" s="56"/>
      <c r="B57" s="49" t="s">
        <v>80</v>
      </c>
      <c r="C57" s="50">
        <v>41</v>
      </c>
      <c r="D57" s="50">
        <v>68</v>
      </c>
      <c r="E57" s="50">
        <v>95</v>
      </c>
      <c r="F57" s="50">
        <v>128</v>
      </c>
      <c r="G57" s="50">
        <v>130</v>
      </c>
      <c r="H57" s="50">
        <f t="shared" ref="H57:N57" si="84">ROUND(+G57*(1+H$2),0)</f>
        <v>144</v>
      </c>
      <c r="I57" s="50">
        <f t="shared" si="84"/>
        <v>160</v>
      </c>
      <c r="J57" s="50">
        <f t="shared" si="84"/>
        <v>178</v>
      </c>
      <c r="K57" s="50">
        <f t="shared" si="84"/>
        <v>198</v>
      </c>
      <c r="L57" s="50">
        <f t="shared" si="84"/>
        <v>220</v>
      </c>
      <c r="M57" s="50">
        <f t="shared" si="84"/>
        <v>244</v>
      </c>
      <c r="N57" s="50">
        <f t="shared" si="84"/>
        <v>271</v>
      </c>
      <c r="O57" s="50">
        <f t="shared" ref="O57:O60" si="85">ROUND(+N57*(1+O$2),0)</f>
        <v>301</v>
      </c>
      <c r="P57" s="50">
        <f t="shared" ref="P57:P60" si="86">ROUND(+O57*(1+P$2),0)</f>
        <v>334</v>
      </c>
      <c r="Q57" s="50">
        <f t="shared" ref="Q57:Q60" si="87">ROUND(+P57*(1+Q$2),0)</f>
        <v>371</v>
      </c>
    </row>
    <row r="58" spans="1:17" ht="15" x14ac:dyDescent="0.3">
      <c r="A58" s="56"/>
      <c r="B58" s="27" t="s">
        <v>81</v>
      </c>
      <c r="C58" s="34">
        <v>100</v>
      </c>
      <c r="D58" s="34">
        <v>14</v>
      </c>
      <c r="E58" s="34">
        <v>224</v>
      </c>
      <c r="F58" s="34">
        <v>42</v>
      </c>
      <c r="G58" s="34">
        <v>38</v>
      </c>
      <c r="H58" s="34">
        <f t="shared" ref="H58:N58" si="88">ROUND(+G58*(1+H$2),0)</f>
        <v>42</v>
      </c>
      <c r="I58" s="34">
        <f t="shared" si="88"/>
        <v>47</v>
      </c>
      <c r="J58" s="34">
        <f t="shared" si="88"/>
        <v>52</v>
      </c>
      <c r="K58" s="34">
        <f t="shared" si="88"/>
        <v>58</v>
      </c>
      <c r="L58" s="34">
        <f t="shared" si="88"/>
        <v>64</v>
      </c>
      <c r="M58" s="34">
        <f t="shared" si="88"/>
        <v>71</v>
      </c>
      <c r="N58" s="34">
        <f t="shared" si="88"/>
        <v>79</v>
      </c>
      <c r="O58" s="34">
        <f t="shared" si="85"/>
        <v>88</v>
      </c>
      <c r="P58" s="34">
        <f t="shared" si="86"/>
        <v>98</v>
      </c>
      <c r="Q58" s="34">
        <f t="shared" si="87"/>
        <v>109</v>
      </c>
    </row>
    <row r="59" spans="1:17" ht="15.75" x14ac:dyDescent="0.3">
      <c r="A59" s="56"/>
      <c r="B59" s="722" t="s">
        <v>725</v>
      </c>
      <c r="C59" s="34">
        <v>1544</v>
      </c>
      <c r="D59" s="34">
        <v>784</v>
      </c>
      <c r="E59" s="34">
        <v>825</v>
      </c>
      <c r="F59" s="34">
        <v>1214</v>
      </c>
      <c r="G59" s="34">
        <v>1443</v>
      </c>
      <c r="H59" s="34">
        <f t="shared" ref="H59:N59" si="89">ROUND(+G59*(1+H$2),0)</f>
        <v>1600</v>
      </c>
      <c r="I59" s="34">
        <f t="shared" si="89"/>
        <v>1776</v>
      </c>
      <c r="J59" s="34">
        <f t="shared" si="89"/>
        <v>1971</v>
      </c>
      <c r="K59" s="34">
        <f t="shared" si="89"/>
        <v>2188</v>
      </c>
      <c r="L59" s="34">
        <f t="shared" si="89"/>
        <v>2429</v>
      </c>
      <c r="M59" s="34">
        <f t="shared" si="89"/>
        <v>2696</v>
      </c>
      <c r="N59" s="34">
        <f t="shared" si="89"/>
        <v>2993</v>
      </c>
      <c r="O59" s="34">
        <f t="shared" si="85"/>
        <v>3322</v>
      </c>
      <c r="P59" s="34">
        <f t="shared" si="86"/>
        <v>3687</v>
      </c>
      <c r="Q59" s="34">
        <f t="shared" si="87"/>
        <v>4093</v>
      </c>
    </row>
    <row r="60" spans="1:17" ht="15" x14ac:dyDescent="0.3">
      <c r="A60" s="56"/>
      <c r="B60" s="51" t="s">
        <v>82</v>
      </c>
      <c r="C60" s="34">
        <v>393</v>
      </c>
      <c r="D60" s="34">
        <v>275</v>
      </c>
      <c r="E60" s="34">
        <v>356</v>
      </c>
      <c r="F60" s="34">
        <v>531</v>
      </c>
      <c r="G60" s="34">
        <v>594</v>
      </c>
      <c r="H60" s="34">
        <f t="shared" ref="H60:N60" si="90">ROUND(+G60*(1+H$2),0)</f>
        <v>659</v>
      </c>
      <c r="I60" s="34">
        <f t="shared" si="90"/>
        <v>731</v>
      </c>
      <c r="J60" s="34">
        <f t="shared" si="90"/>
        <v>811</v>
      </c>
      <c r="K60" s="34">
        <f t="shared" si="90"/>
        <v>900</v>
      </c>
      <c r="L60" s="34">
        <f t="shared" si="90"/>
        <v>999</v>
      </c>
      <c r="M60" s="34">
        <f t="shared" si="90"/>
        <v>1109</v>
      </c>
      <c r="N60" s="34">
        <f t="shared" si="90"/>
        <v>1231</v>
      </c>
      <c r="O60" s="34">
        <f t="shared" si="85"/>
        <v>1366</v>
      </c>
      <c r="P60" s="34">
        <f t="shared" si="86"/>
        <v>1516</v>
      </c>
      <c r="Q60" s="34">
        <f t="shared" si="87"/>
        <v>1683</v>
      </c>
    </row>
    <row r="61" spans="1:17" ht="15.75" x14ac:dyDescent="0.25">
      <c r="A61" s="56"/>
      <c r="B61" s="97" t="s">
        <v>83</v>
      </c>
      <c r="C61" s="98">
        <v>84</v>
      </c>
      <c r="D61" s="98">
        <v>216</v>
      </c>
      <c r="E61" s="98">
        <v>251</v>
      </c>
      <c r="F61" s="98">
        <v>207</v>
      </c>
      <c r="G61" s="98">
        <v>170</v>
      </c>
      <c r="H61" s="98">
        <f>+G61</f>
        <v>170</v>
      </c>
      <c r="I61" s="98">
        <f t="shared" ref="I61:N61" si="91">+H61</f>
        <v>170</v>
      </c>
      <c r="J61" s="98">
        <f t="shared" si="91"/>
        <v>170</v>
      </c>
      <c r="K61" s="98">
        <f t="shared" si="91"/>
        <v>170</v>
      </c>
      <c r="L61" s="98">
        <f t="shared" si="91"/>
        <v>170</v>
      </c>
      <c r="M61" s="98">
        <f t="shared" si="91"/>
        <v>170</v>
      </c>
      <c r="N61" s="98">
        <f t="shared" si="91"/>
        <v>170</v>
      </c>
      <c r="O61" s="98">
        <f t="shared" ref="O61" si="92">+N61</f>
        <v>170</v>
      </c>
      <c r="P61" s="98">
        <f t="shared" ref="P61" si="93">+O61</f>
        <v>170</v>
      </c>
      <c r="Q61" s="98">
        <f t="shared" ref="Q61" si="94">+P61</f>
        <v>170</v>
      </c>
    </row>
    <row r="62" spans="1:17" ht="15" x14ac:dyDescent="0.3">
      <c r="A62" s="56"/>
      <c r="B62" s="27" t="s">
        <v>84</v>
      </c>
      <c r="C62" s="34">
        <v>20</v>
      </c>
      <c r="D62" s="34">
        <v>10</v>
      </c>
      <c r="E62" s="34">
        <v>27</v>
      </c>
      <c r="F62" s="34">
        <v>15</v>
      </c>
      <c r="G62" s="34">
        <v>25</v>
      </c>
      <c r="H62" s="34">
        <f t="shared" ref="H62:N62" si="95">ROUND(+G62*(1+H$2),0)</f>
        <v>28</v>
      </c>
      <c r="I62" s="34">
        <f t="shared" si="95"/>
        <v>31</v>
      </c>
      <c r="J62" s="34">
        <f t="shared" si="95"/>
        <v>34</v>
      </c>
      <c r="K62" s="34">
        <f t="shared" si="95"/>
        <v>38</v>
      </c>
      <c r="L62" s="34">
        <f t="shared" si="95"/>
        <v>42</v>
      </c>
      <c r="M62" s="34">
        <f t="shared" si="95"/>
        <v>47</v>
      </c>
      <c r="N62" s="34">
        <f t="shared" si="95"/>
        <v>52</v>
      </c>
      <c r="O62" s="34">
        <f t="shared" ref="O62" si="96">ROUND(+N62*(1+O$2),0)</f>
        <v>58</v>
      </c>
      <c r="P62" s="34">
        <f t="shared" ref="P62" si="97">ROUND(+O62*(1+P$2),0)</f>
        <v>64</v>
      </c>
      <c r="Q62" s="34">
        <f t="shared" ref="Q62" si="98">ROUND(+P62*(1+Q$2),0)</f>
        <v>71</v>
      </c>
    </row>
    <row r="63" spans="1:17" ht="15.75" x14ac:dyDescent="0.25">
      <c r="A63" s="56"/>
      <c r="B63" s="97" t="s">
        <v>85</v>
      </c>
      <c r="C63" s="98">
        <v>210</v>
      </c>
      <c r="D63" s="98">
        <v>82</v>
      </c>
      <c r="E63" s="98">
        <v>89</v>
      </c>
      <c r="F63" s="98">
        <v>86</v>
      </c>
      <c r="G63" s="98">
        <v>100</v>
      </c>
      <c r="H63" s="98">
        <f t="shared" ref="H63:N63" si="99">+G63*(1+$A63)</f>
        <v>100</v>
      </c>
      <c r="I63" s="98">
        <f t="shared" si="99"/>
        <v>100</v>
      </c>
      <c r="J63" s="98">
        <f t="shared" si="99"/>
        <v>100</v>
      </c>
      <c r="K63" s="98">
        <f t="shared" si="99"/>
        <v>100</v>
      </c>
      <c r="L63" s="98">
        <f t="shared" si="99"/>
        <v>100</v>
      </c>
      <c r="M63" s="98">
        <f t="shared" si="99"/>
        <v>100</v>
      </c>
      <c r="N63" s="98">
        <f t="shared" si="99"/>
        <v>100</v>
      </c>
      <c r="O63" s="98">
        <f t="shared" ref="O63" si="100">+N63*(1+$A63)</f>
        <v>100</v>
      </c>
      <c r="P63" s="98">
        <f t="shared" ref="P63" si="101">+O63*(1+$A63)</f>
        <v>100</v>
      </c>
      <c r="Q63" s="98">
        <f t="shared" ref="Q63" si="102">+P63*(1+$A63)</f>
        <v>100</v>
      </c>
    </row>
    <row r="64" spans="1:17" ht="15" x14ac:dyDescent="0.3">
      <c r="A64" s="56"/>
      <c r="B64" s="27" t="s">
        <v>726</v>
      </c>
      <c r="C64" s="34">
        <v>400</v>
      </c>
      <c r="D64" s="34">
        <v>485</v>
      </c>
      <c r="E64" s="34">
        <v>479</v>
      </c>
      <c r="F64" s="34">
        <v>674</v>
      </c>
      <c r="G64" s="34">
        <v>789</v>
      </c>
      <c r="H64" s="34">
        <f t="shared" ref="H64:N64" si="103">ROUND(+G64*(1+H$2),0)</f>
        <v>875</v>
      </c>
      <c r="I64" s="34">
        <f t="shared" si="103"/>
        <v>971</v>
      </c>
      <c r="J64" s="34">
        <f t="shared" si="103"/>
        <v>1078</v>
      </c>
      <c r="K64" s="34">
        <f t="shared" si="103"/>
        <v>1197</v>
      </c>
      <c r="L64" s="34">
        <f t="shared" si="103"/>
        <v>1329</v>
      </c>
      <c r="M64" s="34">
        <f t="shared" si="103"/>
        <v>1475</v>
      </c>
      <c r="N64" s="34">
        <f t="shared" si="103"/>
        <v>1637</v>
      </c>
      <c r="O64" s="34">
        <f t="shared" ref="O64" si="104">ROUND(+N64*(1+O$2),0)</f>
        <v>1817</v>
      </c>
      <c r="P64" s="34">
        <f t="shared" ref="P64" si="105">ROUND(+O64*(1+P$2),0)</f>
        <v>2017</v>
      </c>
      <c r="Q64" s="34">
        <f t="shared" ref="Q64" si="106">ROUND(+P64*(1+Q$2),0)</f>
        <v>2239</v>
      </c>
    </row>
    <row r="65" spans="1:17" ht="15.75" x14ac:dyDescent="0.25">
      <c r="A65" s="56"/>
      <c r="B65" s="97" t="s">
        <v>86</v>
      </c>
      <c r="C65" s="98">
        <v>500</v>
      </c>
      <c r="D65" s="98">
        <v>425</v>
      </c>
      <c r="E65" s="98">
        <v>1716</v>
      </c>
      <c r="F65" s="98">
        <v>1600</v>
      </c>
      <c r="G65" s="98">
        <v>375</v>
      </c>
      <c r="H65" s="98">
        <f t="shared" ref="H65:N65" si="107">+G65</f>
        <v>375</v>
      </c>
      <c r="I65" s="98">
        <f t="shared" si="107"/>
        <v>375</v>
      </c>
      <c r="J65" s="98">
        <f t="shared" si="107"/>
        <v>375</v>
      </c>
      <c r="K65" s="98">
        <f t="shared" si="107"/>
        <v>375</v>
      </c>
      <c r="L65" s="98">
        <f t="shared" si="107"/>
        <v>375</v>
      </c>
      <c r="M65" s="98">
        <f t="shared" si="107"/>
        <v>375</v>
      </c>
      <c r="N65" s="98">
        <f t="shared" si="107"/>
        <v>375</v>
      </c>
      <c r="O65" s="98">
        <f t="shared" ref="O65" si="108">+N65</f>
        <v>375</v>
      </c>
      <c r="P65" s="98">
        <f t="shared" ref="P65" si="109">+O65</f>
        <v>375</v>
      </c>
      <c r="Q65" s="98">
        <f t="shared" ref="Q65" si="110">+P65</f>
        <v>375</v>
      </c>
    </row>
    <row r="66" spans="1:17" ht="15" x14ac:dyDescent="0.3">
      <c r="A66" s="56"/>
      <c r="B66" s="51" t="s">
        <v>87</v>
      </c>
      <c r="C66" s="34">
        <v>43</v>
      </c>
      <c r="D66" s="34">
        <v>51</v>
      </c>
      <c r="E66" s="34">
        <v>68</v>
      </c>
      <c r="F66" s="34">
        <v>75</v>
      </c>
      <c r="G66" s="34">
        <v>91</v>
      </c>
      <c r="H66" s="34">
        <f t="shared" ref="H66:N66" si="111">ROUND(+G66*(1+H$2),0)</f>
        <v>101</v>
      </c>
      <c r="I66" s="34">
        <f t="shared" si="111"/>
        <v>112</v>
      </c>
      <c r="J66" s="34">
        <f t="shared" si="111"/>
        <v>124</v>
      </c>
      <c r="K66" s="34">
        <f t="shared" si="111"/>
        <v>138</v>
      </c>
      <c r="L66" s="34">
        <f t="shared" si="111"/>
        <v>153</v>
      </c>
      <c r="M66" s="34">
        <f t="shared" si="111"/>
        <v>170</v>
      </c>
      <c r="N66" s="34">
        <f t="shared" si="111"/>
        <v>189</v>
      </c>
      <c r="O66" s="34">
        <f t="shared" ref="O66:O68" si="112">ROUND(+N66*(1+O$2),0)</f>
        <v>210</v>
      </c>
      <c r="P66" s="34">
        <f t="shared" ref="P66:P68" si="113">ROUND(+O66*(1+P$2),0)</f>
        <v>233</v>
      </c>
      <c r="Q66" s="34">
        <f t="shared" ref="Q66:Q68" si="114">ROUND(+P66*(1+Q$2),0)</f>
        <v>259</v>
      </c>
    </row>
    <row r="67" spans="1:17" ht="15" x14ac:dyDescent="0.3">
      <c r="A67" s="56"/>
      <c r="B67" s="27" t="s">
        <v>88</v>
      </c>
      <c r="C67" s="34">
        <v>19</v>
      </c>
      <c r="D67" s="34">
        <v>16</v>
      </c>
      <c r="E67" s="34">
        <v>152</v>
      </c>
      <c r="F67" s="34">
        <v>0</v>
      </c>
      <c r="G67" s="34">
        <v>50</v>
      </c>
      <c r="H67" s="34">
        <f t="shared" ref="H67:N67" si="115">ROUND(+G67*(1+H$2),0)</f>
        <v>55</v>
      </c>
      <c r="I67" s="34">
        <f t="shared" si="115"/>
        <v>61</v>
      </c>
      <c r="J67" s="34">
        <f t="shared" si="115"/>
        <v>68</v>
      </c>
      <c r="K67" s="34">
        <f t="shared" si="115"/>
        <v>75</v>
      </c>
      <c r="L67" s="34">
        <f t="shared" si="115"/>
        <v>83</v>
      </c>
      <c r="M67" s="34">
        <f t="shared" si="115"/>
        <v>92</v>
      </c>
      <c r="N67" s="34">
        <f t="shared" si="115"/>
        <v>102</v>
      </c>
      <c r="O67" s="34">
        <f t="shared" si="112"/>
        <v>113</v>
      </c>
      <c r="P67" s="34">
        <f t="shared" si="113"/>
        <v>125</v>
      </c>
      <c r="Q67" s="34">
        <f t="shared" si="114"/>
        <v>139</v>
      </c>
    </row>
    <row r="68" spans="1:17" ht="15" x14ac:dyDescent="0.3">
      <c r="A68" s="56"/>
      <c r="B68" s="27" t="s">
        <v>89</v>
      </c>
      <c r="C68" s="34">
        <v>50</v>
      </c>
      <c r="D68" s="34">
        <v>64</v>
      </c>
      <c r="E68" s="34">
        <v>67</v>
      </c>
      <c r="F68" s="34">
        <v>0</v>
      </c>
      <c r="G68" s="34"/>
      <c r="H68" s="34">
        <f t="shared" ref="H68:N68" si="116">ROUND(+G68*(1+H$2),0)</f>
        <v>0</v>
      </c>
      <c r="I68" s="34">
        <f t="shared" si="116"/>
        <v>0</v>
      </c>
      <c r="J68" s="34">
        <f t="shared" si="116"/>
        <v>0</v>
      </c>
      <c r="K68" s="34">
        <f t="shared" si="116"/>
        <v>0</v>
      </c>
      <c r="L68" s="34">
        <f t="shared" si="116"/>
        <v>0</v>
      </c>
      <c r="M68" s="34">
        <f t="shared" si="116"/>
        <v>0</v>
      </c>
      <c r="N68" s="34">
        <f t="shared" si="116"/>
        <v>0</v>
      </c>
      <c r="O68" s="34">
        <f t="shared" si="112"/>
        <v>0</v>
      </c>
      <c r="P68" s="34">
        <f t="shared" si="113"/>
        <v>0</v>
      </c>
      <c r="Q68" s="34">
        <f t="shared" si="114"/>
        <v>0</v>
      </c>
    </row>
    <row r="69" spans="1:17" ht="15.75" x14ac:dyDescent="0.25">
      <c r="A69" s="56"/>
      <c r="B69" s="97" t="s">
        <v>722</v>
      </c>
      <c r="C69" s="98">
        <v>2890</v>
      </c>
      <c r="D69" s="98">
        <v>605</v>
      </c>
      <c r="E69" s="98">
        <v>1637</v>
      </c>
      <c r="F69" s="98">
        <v>1248</v>
      </c>
      <c r="G69" s="98">
        <v>1500</v>
      </c>
      <c r="H69" s="98">
        <f t="shared" ref="H69:N69" si="117">+G69</f>
        <v>1500</v>
      </c>
      <c r="I69" s="98">
        <f t="shared" si="117"/>
        <v>1500</v>
      </c>
      <c r="J69" s="98">
        <f t="shared" si="117"/>
        <v>1500</v>
      </c>
      <c r="K69" s="98">
        <f t="shared" si="117"/>
        <v>1500</v>
      </c>
      <c r="L69" s="98">
        <f t="shared" si="117"/>
        <v>1500</v>
      </c>
      <c r="M69" s="98">
        <f t="shared" si="117"/>
        <v>1500</v>
      </c>
      <c r="N69" s="98">
        <f t="shared" si="117"/>
        <v>1500</v>
      </c>
      <c r="O69" s="98">
        <f t="shared" ref="O69" si="118">+N69</f>
        <v>1500</v>
      </c>
      <c r="P69" s="98">
        <f t="shared" ref="P69" si="119">+O69</f>
        <v>1500</v>
      </c>
      <c r="Q69" s="98">
        <f t="shared" ref="Q69" si="120">+P69</f>
        <v>1500</v>
      </c>
    </row>
    <row r="70" spans="1:17" ht="15" x14ac:dyDescent="0.3">
      <c r="A70" s="56"/>
      <c r="B70" s="27" t="s">
        <v>90</v>
      </c>
      <c r="C70" s="34">
        <v>116</v>
      </c>
      <c r="D70" s="34">
        <v>80</v>
      </c>
      <c r="E70" s="34">
        <v>105</v>
      </c>
      <c r="F70" s="34">
        <v>164</v>
      </c>
      <c r="G70" s="34">
        <v>184</v>
      </c>
      <c r="H70" s="34">
        <f t="shared" ref="H70:N70" si="121">ROUND(+G70*(1+H$2),0)</f>
        <v>204</v>
      </c>
      <c r="I70" s="34">
        <f t="shared" si="121"/>
        <v>226</v>
      </c>
      <c r="J70" s="34">
        <f t="shared" si="121"/>
        <v>251</v>
      </c>
      <c r="K70" s="34">
        <f t="shared" si="121"/>
        <v>279</v>
      </c>
      <c r="L70" s="34">
        <f t="shared" si="121"/>
        <v>310</v>
      </c>
      <c r="M70" s="34">
        <f t="shared" si="121"/>
        <v>344</v>
      </c>
      <c r="N70" s="34">
        <f t="shared" si="121"/>
        <v>382</v>
      </c>
      <c r="O70" s="34">
        <f t="shared" ref="O70:O74" si="122">ROUND(+N70*(1+O$2),0)</f>
        <v>424</v>
      </c>
      <c r="P70" s="34">
        <f t="shared" ref="P70:P74" si="123">ROUND(+O70*(1+P$2),0)</f>
        <v>471</v>
      </c>
      <c r="Q70" s="34">
        <f t="shared" ref="Q70:Q74" si="124">ROUND(+P70*(1+Q$2),0)</f>
        <v>523</v>
      </c>
    </row>
    <row r="71" spans="1:17" ht="15" x14ac:dyDescent="0.3">
      <c r="A71" s="56"/>
      <c r="B71" s="27" t="s">
        <v>91</v>
      </c>
      <c r="C71" s="34">
        <v>40</v>
      </c>
      <c r="D71" s="34">
        <v>8</v>
      </c>
      <c r="E71" s="34">
        <v>18</v>
      </c>
      <c r="F71" s="34">
        <v>8</v>
      </c>
      <c r="G71" s="34">
        <v>9</v>
      </c>
      <c r="H71" s="34">
        <f t="shared" ref="H71:N72" si="125">ROUND(+G71*(1+H$2),0)</f>
        <v>10</v>
      </c>
      <c r="I71" s="34">
        <f t="shared" si="125"/>
        <v>11</v>
      </c>
      <c r="J71" s="34">
        <f t="shared" si="125"/>
        <v>12</v>
      </c>
      <c r="K71" s="34">
        <f t="shared" si="125"/>
        <v>13</v>
      </c>
      <c r="L71" s="34">
        <f t="shared" si="125"/>
        <v>14</v>
      </c>
      <c r="M71" s="34">
        <f t="shared" si="125"/>
        <v>16</v>
      </c>
      <c r="N71" s="34">
        <f t="shared" si="125"/>
        <v>18</v>
      </c>
      <c r="O71" s="34">
        <f t="shared" si="122"/>
        <v>20</v>
      </c>
      <c r="P71" s="34">
        <f t="shared" si="123"/>
        <v>22</v>
      </c>
      <c r="Q71" s="34">
        <f t="shared" si="124"/>
        <v>24</v>
      </c>
    </row>
    <row r="72" spans="1:17" ht="15.75" x14ac:dyDescent="0.3">
      <c r="A72" s="56"/>
      <c r="B72" s="722" t="s">
        <v>724</v>
      </c>
      <c r="C72" s="34"/>
      <c r="D72" s="34"/>
      <c r="E72" s="34">
        <v>12</v>
      </c>
      <c r="F72" s="34">
        <v>93</v>
      </c>
      <c r="G72" s="34">
        <v>150</v>
      </c>
      <c r="H72" s="34">
        <f t="shared" si="125"/>
        <v>166</v>
      </c>
      <c r="I72" s="34">
        <f t="shared" si="125"/>
        <v>184</v>
      </c>
      <c r="J72" s="34">
        <f t="shared" si="125"/>
        <v>204</v>
      </c>
      <c r="K72" s="34">
        <f t="shared" si="125"/>
        <v>226</v>
      </c>
      <c r="L72" s="34">
        <f t="shared" si="125"/>
        <v>251</v>
      </c>
      <c r="M72" s="34">
        <f t="shared" si="125"/>
        <v>279</v>
      </c>
      <c r="N72" s="34">
        <f t="shared" si="125"/>
        <v>310</v>
      </c>
      <c r="O72" s="34">
        <f t="shared" si="122"/>
        <v>344</v>
      </c>
      <c r="P72" s="34">
        <f t="shared" si="123"/>
        <v>382</v>
      </c>
      <c r="Q72" s="34">
        <f t="shared" si="124"/>
        <v>424</v>
      </c>
    </row>
    <row r="73" spans="1:17" ht="15" x14ac:dyDescent="0.3">
      <c r="A73" s="56"/>
      <c r="B73" s="27" t="s">
        <v>92</v>
      </c>
      <c r="C73" s="34">
        <v>54</v>
      </c>
      <c r="D73" s="34">
        <v>7</v>
      </c>
      <c r="E73" s="34">
        <v>19</v>
      </c>
      <c r="F73" s="34">
        <v>0</v>
      </c>
      <c r="G73" s="34"/>
      <c r="H73" s="34">
        <f t="shared" ref="H73:N73" si="126">ROUND(+G73*(1+H$2),0)</f>
        <v>0</v>
      </c>
      <c r="I73" s="34">
        <f t="shared" si="126"/>
        <v>0</v>
      </c>
      <c r="J73" s="34">
        <f t="shared" si="126"/>
        <v>0</v>
      </c>
      <c r="K73" s="34">
        <f t="shared" si="126"/>
        <v>0</v>
      </c>
      <c r="L73" s="34">
        <f t="shared" si="126"/>
        <v>0</v>
      </c>
      <c r="M73" s="34">
        <f t="shared" si="126"/>
        <v>0</v>
      </c>
      <c r="N73" s="34">
        <f t="shared" si="126"/>
        <v>0</v>
      </c>
      <c r="O73" s="34">
        <f t="shared" si="122"/>
        <v>0</v>
      </c>
      <c r="P73" s="34">
        <f t="shared" si="123"/>
        <v>0</v>
      </c>
      <c r="Q73" s="34">
        <f t="shared" si="124"/>
        <v>0</v>
      </c>
    </row>
    <row r="74" spans="1:17" ht="15" x14ac:dyDescent="0.3">
      <c r="A74" s="56"/>
      <c r="B74" s="27" t="s">
        <v>93</v>
      </c>
      <c r="C74" s="34">
        <v>322</v>
      </c>
      <c r="D74" s="34">
        <f>8959-7781-796</f>
        <v>382</v>
      </c>
      <c r="E74" s="34">
        <v>600</v>
      </c>
      <c r="F74" s="34">
        <v>553</v>
      </c>
      <c r="G74" s="34">
        <v>130</v>
      </c>
      <c r="H74" s="34">
        <f t="shared" ref="H74:N74" si="127">ROUND(+G74*(1+H$2),0)</f>
        <v>144</v>
      </c>
      <c r="I74" s="34">
        <f t="shared" si="127"/>
        <v>160</v>
      </c>
      <c r="J74" s="34">
        <f t="shared" si="127"/>
        <v>178</v>
      </c>
      <c r="K74" s="34">
        <f t="shared" si="127"/>
        <v>198</v>
      </c>
      <c r="L74" s="34">
        <f t="shared" si="127"/>
        <v>220</v>
      </c>
      <c r="M74" s="34">
        <f t="shared" si="127"/>
        <v>244</v>
      </c>
      <c r="N74" s="34">
        <f t="shared" si="127"/>
        <v>271</v>
      </c>
      <c r="O74" s="34">
        <f t="shared" si="122"/>
        <v>301</v>
      </c>
      <c r="P74" s="34">
        <f t="shared" si="123"/>
        <v>334</v>
      </c>
      <c r="Q74" s="34">
        <f t="shared" si="124"/>
        <v>371</v>
      </c>
    </row>
    <row r="75" spans="1:17" ht="15" x14ac:dyDescent="0.3">
      <c r="A75" s="56"/>
      <c r="B75" s="27" t="s">
        <v>507</v>
      </c>
      <c r="C75" s="34"/>
      <c r="D75" s="34">
        <f>367+255+174</f>
        <v>796</v>
      </c>
      <c r="E75" s="34">
        <v>59.049999999999834</v>
      </c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</row>
    <row r="76" spans="1:17" ht="15" x14ac:dyDescent="0.3">
      <c r="A76" s="56"/>
      <c r="B76" s="27" t="s">
        <v>94</v>
      </c>
      <c r="C76" s="34">
        <v>400</v>
      </c>
      <c r="D76" s="34">
        <v>61</v>
      </c>
      <c r="E76" s="34">
        <v>16</v>
      </c>
      <c r="F76" s="34">
        <v>6</v>
      </c>
      <c r="G76" s="34">
        <v>100</v>
      </c>
      <c r="H76" s="34">
        <f t="shared" ref="H76:N76" si="128">ROUND(+G76*(1+H$2),0)</f>
        <v>111</v>
      </c>
      <c r="I76" s="34">
        <f t="shared" si="128"/>
        <v>123</v>
      </c>
      <c r="J76" s="34">
        <f t="shared" si="128"/>
        <v>137</v>
      </c>
      <c r="K76" s="34">
        <f t="shared" si="128"/>
        <v>152</v>
      </c>
      <c r="L76" s="34">
        <f t="shared" si="128"/>
        <v>169</v>
      </c>
      <c r="M76" s="34">
        <f t="shared" si="128"/>
        <v>188</v>
      </c>
      <c r="N76" s="34">
        <f t="shared" si="128"/>
        <v>209</v>
      </c>
      <c r="O76" s="34">
        <f t="shared" ref="O76:O77" si="129">ROUND(+N76*(1+O$2),0)</f>
        <v>232</v>
      </c>
      <c r="P76" s="34">
        <f t="shared" ref="P76:P77" si="130">ROUND(+O76*(1+P$2),0)</f>
        <v>258</v>
      </c>
      <c r="Q76" s="34">
        <f t="shared" ref="Q76:Q77" si="131">ROUND(+P76*(1+Q$2),0)</f>
        <v>286</v>
      </c>
    </row>
    <row r="77" spans="1:17" ht="15" x14ac:dyDescent="0.3">
      <c r="A77" s="56"/>
      <c r="B77" s="27" t="s">
        <v>95</v>
      </c>
      <c r="C77" s="34">
        <v>127</v>
      </c>
      <c r="D77" s="34">
        <v>152</v>
      </c>
      <c r="E77" s="34">
        <v>152</v>
      </c>
      <c r="F77" s="34">
        <v>186</v>
      </c>
      <c r="G77" s="34">
        <v>297</v>
      </c>
      <c r="H77" s="34">
        <f t="shared" ref="H77:N77" si="132">ROUND(+G77*(1+H$2),0)</f>
        <v>329</v>
      </c>
      <c r="I77" s="34">
        <f t="shared" si="132"/>
        <v>365</v>
      </c>
      <c r="J77" s="34">
        <f t="shared" si="132"/>
        <v>405</v>
      </c>
      <c r="K77" s="34">
        <f t="shared" si="132"/>
        <v>450</v>
      </c>
      <c r="L77" s="34">
        <f t="shared" si="132"/>
        <v>500</v>
      </c>
      <c r="M77" s="34">
        <f t="shared" si="132"/>
        <v>555</v>
      </c>
      <c r="N77" s="34">
        <f t="shared" si="132"/>
        <v>616</v>
      </c>
      <c r="O77" s="34">
        <f t="shared" si="129"/>
        <v>684</v>
      </c>
      <c r="P77" s="34">
        <f t="shared" si="130"/>
        <v>759</v>
      </c>
      <c r="Q77" s="34">
        <f t="shared" si="131"/>
        <v>842</v>
      </c>
    </row>
    <row r="78" spans="1:17" ht="15.75" x14ac:dyDescent="0.25">
      <c r="A78" s="56"/>
      <c r="B78" s="97" t="s">
        <v>96</v>
      </c>
      <c r="C78" s="98">
        <v>800</v>
      </c>
      <c r="D78" s="98">
        <v>57</v>
      </c>
      <c r="E78" s="98">
        <v>47</v>
      </c>
      <c r="F78" s="98">
        <v>109</v>
      </c>
      <c r="G78" s="98">
        <v>125</v>
      </c>
      <c r="H78" s="98">
        <f t="shared" ref="H78:N78" si="133">+G78*(1+$A78)</f>
        <v>125</v>
      </c>
      <c r="I78" s="98">
        <f t="shared" si="133"/>
        <v>125</v>
      </c>
      <c r="J78" s="98">
        <f t="shared" si="133"/>
        <v>125</v>
      </c>
      <c r="K78" s="98">
        <f t="shared" si="133"/>
        <v>125</v>
      </c>
      <c r="L78" s="98">
        <f t="shared" si="133"/>
        <v>125</v>
      </c>
      <c r="M78" s="98">
        <f t="shared" si="133"/>
        <v>125</v>
      </c>
      <c r="N78" s="98">
        <f t="shared" si="133"/>
        <v>125</v>
      </c>
      <c r="O78" s="98">
        <f t="shared" ref="O78" si="134">+N78*(1+$A78)</f>
        <v>125</v>
      </c>
      <c r="P78" s="98">
        <f t="shared" ref="P78" si="135">+O78*(1+$A78)</f>
        <v>125</v>
      </c>
      <c r="Q78" s="98">
        <f t="shared" ref="Q78" si="136">+P78*(1+$A78)</f>
        <v>125</v>
      </c>
    </row>
    <row r="79" spans="1:17" ht="15" x14ac:dyDescent="0.3">
      <c r="A79" s="56"/>
      <c r="B79" s="51" t="s">
        <v>97</v>
      </c>
      <c r="C79" s="34">
        <v>81</v>
      </c>
      <c r="D79" s="34">
        <v>108</v>
      </c>
      <c r="E79" s="34">
        <v>134</v>
      </c>
      <c r="F79" s="34">
        <v>142</v>
      </c>
      <c r="G79" s="34">
        <v>187</v>
      </c>
      <c r="H79" s="34">
        <f t="shared" ref="H79:N79" si="137">ROUND(+G79*(1+H$2),0)</f>
        <v>207</v>
      </c>
      <c r="I79" s="34">
        <f t="shared" si="137"/>
        <v>230</v>
      </c>
      <c r="J79" s="34">
        <f t="shared" si="137"/>
        <v>255</v>
      </c>
      <c r="K79" s="34">
        <f t="shared" si="137"/>
        <v>283</v>
      </c>
      <c r="L79" s="34">
        <f t="shared" si="137"/>
        <v>314</v>
      </c>
      <c r="M79" s="34">
        <f t="shared" si="137"/>
        <v>349</v>
      </c>
      <c r="N79" s="34">
        <f t="shared" si="137"/>
        <v>387</v>
      </c>
      <c r="O79" s="34">
        <f t="shared" ref="O79" si="138">ROUND(+N79*(1+O$2),0)</f>
        <v>430</v>
      </c>
      <c r="P79" s="34">
        <f t="shared" ref="P79" si="139">ROUND(+O79*(1+P$2),0)</f>
        <v>477</v>
      </c>
      <c r="Q79" s="34">
        <f t="shared" ref="Q79" si="140">ROUND(+P79*(1+Q$2),0)</f>
        <v>529</v>
      </c>
    </row>
    <row r="80" spans="1:17" ht="15" x14ac:dyDescent="0.3">
      <c r="A80" s="56"/>
      <c r="B80" s="51" t="s">
        <v>568</v>
      </c>
      <c r="C80" s="34"/>
      <c r="D80" s="34"/>
      <c r="E80" s="34">
        <v>526</v>
      </c>
      <c r="F80" s="34">
        <v>396</v>
      </c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</row>
    <row r="81" spans="1:17" ht="16.5" x14ac:dyDescent="0.3">
      <c r="A81" s="56"/>
      <c r="B81" s="51" t="s">
        <v>610</v>
      </c>
      <c r="C81" s="34"/>
      <c r="D81" s="34"/>
      <c r="E81" s="34"/>
      <c r="F81" s="34"/>
      <c r="G81" s="34">
        <v>314</v>
      </c>
      <c r="H81" s="98">
        <f>+ROUND(291*0.00085*Assumptions!G6,0)</f>
        <v>467</v>
      </c>
      <c r="I81" s="98">
        <f>+ROUND(291*0.00085*Assumptions!H6,0)</f>
        <v>514</v>
      </c>
      <c r="J81" s="98">
        <f>+ROUND(291*0.00085*Assumptions!I6,0)</f>
        <v>566</v>
      </c>
      <c r="K81" s="98">
        <f>+ROUND(291*0.00085*Assumptions!J6,0)</f>
        <v>622</v>
      </c>
      <c r="L81" s="98">
        <f>+ROUND(291*0.00085*Assumptions!K6,0)</f>
        <v>684</v>
      </c>
      <c r="M81" s="98">
        <f>+ROUND(291*0.00085*Assumptions!L6,0)</f>
        <v>753</v>
      </c>
      <c r="N81" s="98">
        <f>+ROUND(291*0.00085*Assumptions!M6,0)</f>
        <v>828</v>
      </c>
      <c r="O81" s="98">
        <f>+ROUND(291*0.00085*Assumptions!N6,0)</f>
        <v>911</v>
      </c>
      <c r="P81" s="98">
        <f>+ROUND(291*0.00085*Assumptions!O6,0)</f>
        <v>1002</v>
      </c>
      <c r="Q81" s="98">
        <f>+ROUND(291*0.00085*Assumptions!P6,0)</f>
        <v>1102</v>
      </c>
    </row>
    <row r="82" spans="1:17" ht="15.75" x14ac:dyDescent="0.25">
      <c r="A82" s="56"/>
      <c r="B82" s="97" t="s">
        <v>98</v>
      </c>
      <c r="C82" s="98">
        <v>300</v>
      </c>
      <c r="D82" s="98">
        <v>62.8</v>
      </c>
      <c r="E82" s="98">
        <v>294</v>
      </c>
      <c r="F82" s="98">
        <v>253</v>
      </c>
      <c r="G82" s="98">
        <f t="shared" ref="G82:N82" si="141">+F82*(1+$A82)</f>
        <v>253</v>
      </c>
      <c r="H82" s="98">
        <f t="shared" si="141"/>
        <v>253</v>
      </c>
      <c r="I82" s="98">
        <f t="shared" si="141"/>
        <v>253</v>
      </c>
      <c r="J82" s="98">
        <f t="shared" si="141"/>
        <v>253</v>
      </c>
      <c r="K82" s="98">
        <f t="shared" si="141"/>
        <v>253</v>
      </c>
      <c r="L82" s="98">
        <f t="shared" si="141"/>
        <v>253</v>
      </c>
      <c r="M82" s="98">
        <f t="shared" si="141"/>
        <v>253</v>
      </c>
      <c r="N82" s="98">
        <f t="shared" si="141"/>
        <v>253</v>
      </c>
      <c r="O82" s="98">
        <f t="shared" ref="O82" si="142">+N82*(1+$A82)</f>
        <v>253</v>
      </c>
      <c r="P82" s="98">
        <f t="shared" ref="P82" si="143">+O82*(1+$A82)</f>
        <v>253</v>
      </c>
      <c r="Q82" s="98">
        <f t="shared" ref="Q82" si="144">+P82*(1+$A82)</f>
        <v>253</v>
      </c>
    </row>
    <row r="83" spans="1:17" x14ac:dyDescent="0.2">
      <c r="B83" s="29" t="s">
        <v>99</v>
      </c>
      <c r="C83" s="52">
        <f t="shared" ref="C83:N83" si="145">SUM(C48:C82)</f>
        <v>8923</v>
      </c>
      <c r="D83" s="52">
        <f t="shared" si="145"/>
        <v>5274.8</v>
      </c>
      <c r="E83" s="52">
        <f t="shared" si="145"/>
        <v>8448.0499999999993</v>
      </c>
      <c r="F83" s="52">
        <f t="shared" si="145"/>
        <v>8344</v>
      </c>
      <c r="G83" s="52">
        <f t="shared" si="145"/>
        <v>7801</v>
      </c>
      <c r="H83" s="52">
        <f t="shared" si="145"/>
        <v>8495</v>
      </c>
      <c r="I83" s="52">
        <f t="shared" si="145"/>
        <v>9196</v>
      </c>
      <c r="J83" s="52">
        <f t="shared" si="145"/>
        <v>9986</v>
      </c>
      <c r="K83" s="52">
        <f t="shared" si="145"/>
        <v>10876</v>
      </c>
      <c r="L83" s="52">
        <f t="shared" si="145"/>
        <v>11879</v>
      </c>
      <c r="M83" s="52">
        <f t="shared" si="145"/>
        <v>13014</v>
      </c>
      <c r="N83" s="52">
        <f t="shared" si="145"/>
        <v>14296</v>
      </c>
      <c r="O83" s="52">
        <f t="shared" ref="O83:Q83" si="146">SUM(O48:O82)</f>
        <v>15749</v>
      </c>
      <c r="P83" s="52">
        <f t="shared" si="146"/>
        <v>17395</v>
      </c>
      <c r="Q83" s="52">
        <f t="shared" si="146"/>
        <v>19266</v>
      </c>
    </row>
    <row r="84" spans="1:17" ht="15" x14ac:dyDescent="0.3">
      <c r="B84" s="27" t="s">
        <v>100</v>
      </c>
      <c r="C84" s="34">
        <v>4917</v>
      </c>
      <c r="D84" s="34">
        <f>(+tax!D10+tax!D19)</f>
        <v>3684.2249999999999</v>
      </c>
      <c r="E84" s="34">
        <f>(+tax!E10+tax!E19)</f>
        <v>7273.606993381657</v>
      </c>
      <c r="F84" s="34">
        <f>(+tax!F10+tax!F19)</f>
        <v>8161.7550000000001</v>
      </c>
      <c r="G84" s="34">
        <f ca="1">(+tax!G10+tax!G19)</f>
        <v>8132.9322397858432</v>
      </c>
      <c r="H84" s="34">
        <f ca="1">(+tax!H10+tax!H19)</f>
        <v>10014.354978316216</v>
      </c>
      <c r="I84" s="34">
        <f ca="1">(+tax!I10+tax!I19)</f>
        <v>13423.323049229468</v>
      </c>
      <c r="J84" s="34">
        <f ca="1">(+tax!J10+tax!J19)</f>
        <v>16233.400634500988</v>
      </c>
      <c r="K84" s="34">
        <f ca="1">(+tax!K10+tax!K19)</f>
        <v>17674.576275620995</v>
      </c>
      <c r="L84" s="34">
        <f ca="1">(+tax!L10+tax!L19)</f>
        <v>19348.626989217908</v>
      </c>
      <c r="M84" s="34">
        <f ca="1">(+tax!M10+tax!M19)</f>
        <v>21278.077408346766</v>
      </c>
      <c r="N84" s="34">
        <f ca="1">(+tax!N10+tax!N19)</f>
        <v>23501.691615929158</v>
      </c>
      <c r="O84" s="34">
        <f ca="1">(+tax!O10+tax!O19)</f>
        <v>26081.305496167784</v>
      </c>
      <c r="P84" s="34">
        <f ca="1">(+tax!P10+tax!P19)</f>
        <v>29081.742665432372</v>
      </c>
      <c r="Q84" s="34">
        <f ca="1">(+tax!Q10+tax!Q19)</f>
        <v>32581.858816945842</v>
      </c>
    </row>
    <row r="85" spans="1:17" ht="15" x14ac:dyDescent="0.3">
      <c r="B85" s="30"/>
      <c r="C85" s="36">
        <f>768-9</f>
        <v>759</v>
      </c>
    </row>
    <row r="86" spans="1:17" ht="15" x14ac:dyDescent="0.3">
      <c r="B86" s="27" t="s">
        <v>101</v>
      </c>
      <c r="C86" s="34">
        <v>59</v>
      </c>
      <c r="D86" s="34"/>
      <c r="E86" s="34">
        <f>+D86</f>
        <v>0</v>
      </c>
      <c r="F86" s="34">
        <v>18</v>
      </c>
      <c r="G86" s="34"/>
      <c r="H86" s="34">
        <f t="shared" ref="H86:N86" si="147">+G86</f>
        <v>0</v>
      </c>
      <c r="I86" s="34">
        <f t="shared" si="147"/>
        <v>0</v>
      </c>
      <c r="J86" s="34">
        <f t="shared" si="147"/>
        <v>0</v>
      </c>
      <c r="K86" s="34">
        <f t="shared" si="147"/>
        <v>0</v>
      </c>
      <c r="L86" s="34">
        <f t="shared" si="147"/>
        <v>0</v>
      </c>
      <c r="M86" s="34">
        <f t="shared" si="147"/>
        <v>0</v>
      </c>
      <c r="N86" s="34">
        <f t="shared" si="147"/>
        <v>0</v>
      </c>
      <c r="O86" s="34">
        <f t="shared" ref="O86" si="148">+N86</f>
        <v>0</v>
      </c>
      <c r="P86" s="34">
        <f t="shared" ref="P86" si="149">+O86</f>
        <v>0</v>
      </c>
      <c r="Q86" s="34">
        <f t="shared" ref="Q86" si="150">+P86</f>
        <v>0</v>
      </c>
    </row>
    <row r="87" spans="1:17" x14ac:dyDescent="0.2">
      <c r="B87" s="29" t="s">
        <v>57</v>
      </c>
      <c r="C87" s="52">
        <f t="shared" ref="C87:N87" si="151">SUM(C83:C86)</f>
        <v>14658</v>
      </c>
      <c r="D87" s="52">
        <f t="shared" si="151"/>
        <v>8959.0249999999996</v>
      </c>
      <c r="E87" s="52">
        <f t="shared" si="151"/>
        <v>15721.656993381657</v>
      </c>
      <c r="F87" s="52">
        <f t="shared" si="151"/>
        <v>16523.755000000001</v>
      </c>
      <c r="G87" s="52">
        <f t="shared" ca="1" si="151"/>
        <v>15933.932239785843</v>
      </c>
      <c r="H87" s="52">
        <f t="shared" ca="1" si="151"/>
        <v>18509.354978316216</v>
      </c>
      <c r="I87" s="52">
        <f t="shared" ca="1" si="151"/>
        <v>22619.323049229468</v>
      </c>
      <c r="J87" s="52">
        <f t="shared" ca="1" si="151"/>
        <v>26219.400634500988</v>
      </c>
      <c r="K87" s="52">
        <f t="shared" ca="1" si="151"/>
        <v>28550.576275620995</v>
      </c>
      <c r="L87" s="52">
        <f t="shared" ca="1" si="151"/>
        <v>31227.626989217908</v>
      </c>
      <c r="M87" s="52">
        <f t="shared" ca="1" si="151"/>
        <v>34292.07740834677</v>
      </c>
      <c r="N87" s="52">
        <f t="shared" ca="1" si="151"/>
        <v>37797.691615929158</v>
      </c>
      <c r="O87" s="52">
        <f t="shared" ref="O87:Q87" ca="1" si="152">SUM(O83:O86)</f>
        <v>41830.305496167784</v>
      </c>
      <c r="P87" s="52">
        <f t="shared" ca="1" si="152"/>
        <v>46476.742665432372</v>
      </c>
      <c r="Q87" s="52">
        <f t="shared" ca="1" si="152"/>
        <v>51847.858816945838</v>
      </c>
    </row>
    <row r="88" spans="1:17" x14ac:dyDescent="0.2">
      <c r="B88" s="41"/>
      <c r="C88" s="54"/>
    </row>
    <row r="89" spans="1:17" ht="15" x14ac:dyDescent="0.3">
      <c r="B89" s="28"/>
      <c r="C89" s="35"/>
    </row>
    <row r="90" spans="1:17" ht="15" x14ac:dyDescent="0.3">
      <c r="B90" s="53" t="s">
        <v>219</v>
      </c>
      <c r="C90" s="35"/>
    </row>
    <row r="91" spans="1:17" ht="15" x14ac:dyDescent="0.25">
      <c r="B91" s="118" t="s">
        <v>220</v>
      </c>
      <c r="C91" s="117">
        <f t="shared" ref="C91:M91" si="153">+C11+C12+C38+C39+C49+C53*0</f>
        <v>1474</v>
      </c>
      <c r="D91" s="117">
        <f t="shared" si="153"/>
        <v>1410</v>
      </c>
      <c r="E91" s="117">
        <f t="shared" si="153"/>
        <v>1400</v>
      </c>
      <c r="F91" s="117">
        <f t="shared" si="153"/>
        <v>2393</v>
      </c>
      <c r="G91" s="117">
        <f t="shared" si="153"/>
        <v>3453</v>
      </c>
      <c r="H91" s="117">
        <f t="shared" si="153"/>
        <v>4420.4799999999996</v>
      </c>
      <c r="I91" s="117">
        <f t="shared" si="153"/>
        <v>5392.7199999999993</v>
      </c>
      <c r="J91" s="117">
        <f t="shared" si="153"/>
        <v>6579.36</v>
      </c>
      <c r="K91" s="117">
        <f t="shared" si="153"/>
        <v>8026.8</v>
      </c>
      <c r="L91" s="117">
        <f t="shared" si="153"/>
        <v>9792.3599999999988</v>
      </c>
      <c r="M91" s="117">
        <f t="shared" si="153"/>
        <v>11946.519999999999</v>
      </c>
      <c r="N91" s="117">
        <f>+N11+N12+N38+N39+N49+N53*0</f>
        <v>14574.64</v>
      </c>
      <c r="O91" s="117">
        <f t="shared" ref="O91:Q91" si="154">+O11+O12+O38+O39+O49+O53*0</f>
        <v>17781.439999999999</v>
      </c>
      <c r="P91" s="117">
        <f t="shared" si="154"/>
        <v>21692.48</v>
      </c>
      <c r="Q91" s="117">
        <f t="shared" si="154"/>
        <v>26463.84</v>
      </c>
    </row>
    <row r="92" spans="1:17" ht="15" x14ac:dyDescent="0.25">
      <c r="B92" s="118" t="s">
        <v>12</v>
      </c>
      <c r="C92" s="117">
        <f>+C18+C51</f>
        <v>40</v>
      </c>
      <c r="D92" s="117">
        <f t="shared" ref="D92:N92" si="155">+D18+D51</f>
        <v>0</v>
      </c>
      <c r="E92" s="117">
        <f t="shared" si="155"/>
        <v>8</v>
      </c>
      <c r="F92" s="117">
        <f t="shared" si="155"/>
        <v>33</v>
      </c>
      <c r="G92" s="117">
        <f t="shared" si="155"/>
        <v>36</v>
      </c>
      <c r="H92" s="117">
        <f t="shared" si="155"/>
        <v>0</v>
      </c>
      <c r="I92" s="117">
        <f t="shared" si="155"/>
        <v>0</v>
      </c>
      <c r="J92" s="117">
        <f t="shared" si="155"/>
        <v>0</v>
      </c>
      <c r="K92" s="117">
        <f t="shared" si="155"/>
        <v>0</v>
      </c>
      <c r="L92" s="117">
        <f t="shared" si="155"/>
        <v>0</v>
      </c>
      <c r="M92" s="117">
        <f t="shared" si="155"/>
        <v>0</v>
      </c>
      <c r="N92" s="117">
        <f t="shared" si="155"/>
        <v>0</v>
      </c>
      <c r="O92" s="117">
        <f t="shared" ref="O92:Q92" si="156">+O18+O51</f>
        <v>0</v>
      </c>
      <c r="P92" s="117">
        <f t="shared" si="156"/>
        <v>0</v>
      </c>
      <c r="Q92" s="117">
        <f t="shared" si="156"/>
        <v>0</v>
      </c>
    </row>
    <row r="93" spans="1:17" x14ac:dyDescent="0.2">
      <c r="B93" s="42" t="s">
        <v>11</v>
      </c>
      <c r="C93" s="116">
        <f>+C87+C43+C24-C91-C92</f>
        <v>17930</v>
      </c>
      <c r="D93" s="116">
        <f t="shared" ref="D93:N93" si="157">+D87+D43+D24-D91-D92</f>
        <v>11939.025</v>
      </c>
      <c r="E93" s="116">
        <f t="shared" si="157"/>
        <v>20561.656993381657</v>
      </c>
      <c r="F93" s="116">
        <f t="shared" si="157"/>
        <v>22133.755000000001</v>
      </c>
      <c r="G93" s="116">
        <f t="shared" ca="1" si="157"/>
        <v>20538.932239785841</v>
      </c>
      <c r="H93" s="116">
        <f t="shared" ca="1" si="157"/>
        <v>23770.928346596218</v>
      </c>
      <c r="I93" s="116">
        <f t="shared" ca="1" si="157"/>
        <v>28899.309022759466</v>
      </c>
      <c r="J93" s="116">
        <f t="shared" ca="1" si="157"/>
        <v>33674.744255211088</v>
      </c>
      <c r="K93" s="116">
        <f t="shared" ca="1" si="157"/>
        <v>36826.769404235944</v>
      </c>
      <c r="L93" s="116">
        <f t="shared" ca="1" si="157"/>
        <v>40413.802886396501</v>
      </c>
      <c r="M93" s="116">
        <f t="shared" ca="1" si="157"/>
        <v>44479.20033306961</v>
      </c>
      <c r="N93" s="116">
        <f t="shared" ca="1" si="157"/>
        <v>49085.2491865798</v>
      </c>
      <c r="O93" s="116">
        <f t="shared" ref="O93:Q93" ca="1" si="158">+O87+O43+O24-O91-O92</f>
        <v>54334.568159699353</v>
      </c>
      <c r="P93" s="116">
        <f t="shared" ca="1" si="158"/>
        <v>60316.000881691041</v>
      </c>
      <c r="Q93" s="116">
        <f t="shared" ca="1" si="158"/>
        <v>67150.837585231522</v>
      </c>
    </row>
    <row r="94" spans="1:17" x14ac:dyDescent="0.2">
      <c r="B94" s="42" t="s">
        <v>114</v>
      </c>
      <c r="C94" s="116">
        <f>+C93+C92+C91</f>
        <v>19444</v>
      </c>
      <c r="D94" s="116">
        <f t="shared" ref="D94:N94" si="159">+D93+D92+D91</f>
        <v>13349.025</v>
      </c>
      <c r="E94" s="116">
        <f t="shared" si="159"/>
        <v>21969.656993381657</v>
      </c>
      <c r="F94" s="116">
        <f t="shared" si="159"/>
        <v>24559.755000000001</v>
      </c>
      <c r="G94" s="116">
        <f t="shared" ca="1" si="159"/>
        <v>24027.932239785841</v>
      </c>
      <c r="H94" s="116">
        <f t="shared" ca="1" si="159"/>
        <v>28191.408346596218</v>
      </c>
      <c r="I94" s="116">
        <f t="shared" ca="1" si="159"/>
        <v>34292.029022759467</v>
      </c>
      <c r="J94" s="116">
        <f t="shared" ca="1" si="159"/>
        <v>40254.104255211088</v>
      </c>
      <c r="K94" s="116">
        <f t="shared" ca="1" si="159"/>
        <v>44853.569404235946</v>
      </c>
      <c r="L94" s="116">
        <f t="shared" ca="1" si="159"/>
        <v>50206.162886396502</v>
      </c>
      <c r="M94" s="116">
        <f t="shared" ca="1" si="159"/>
        <v>56425.720333069607</v>
      </c>
      <c r="N94" s="116">
        <f t="shared" ca="1" si="159"/>
        <v>63659.8891865798</v>
      </c>
      <c r="O94" s="116">
        <f t="shared" ref="O94:Q94" ca="1" si="160">+O93+O92+O91</f>
        <v>72116.008159699355</v>
      </c>
      <c r="P94" s="116">
        <f t="shared" ca="1" si="160"/>
        <v>82008.480881691037</v>
      </c>
      <c r="Q94" s="116">
        <f t="shared" ca="1" si="160"/>
        <v>93614.677585231519</v>
      </c>
    </row>
    <row r="95" spans="1:17" x14ac:dyDescent="0.2">
      <c r="B95" s="42"/>
      <c r="C95" s="43"/>
      <c r="D95" s="43"/>
    </row>
    <row r="96" spans="1:17" x14ac:dyDescent="0.2">
      <c r="B96" s="42"/>
      <c r="C96" s="43"/>
      <c r="D96" s="43"/>
    </row>
    <row r="97" spans="2:17" x14ac:dyDescent="0.2">
      <c r="B97" s="42"/>
      <c r="C97" s="43"/>
      <c r="D97" s="116">
        <f>+D11+D38+D49</f>
        <v>1163</v>
      </c>
    </row>
    <row r="101" spans="2:17" x14ac:dyDescent="0.2">
      <c r="H101" s="724">
        <f>+turnover!H7</f>
        <v>110157.336828</v>
      </c>
      <c r="I101" s="724">
        <f>+turnover!I7</f>
        <v>169798.59735300002</v>
      </c>
      <c r="J101" s="724">
        <f>+turnover!J7</f>
        <v>241234.36207101002</v>
      </c>
      <c r="K101" s="724">
        <f>+turnover!K7</f>
        <v>273219.31286149507</v>
      </c>
      <c r="L101" s="724">
        <f>+turnover!L7</f>
        <v>309617.58971785952</v>
      </c>
      <c r="M101" s="724">
        <f>+turnover!M7</f>
        <v>350712.29247228423</v>
      </c>
      <c r="N101" s="724">
        <f>+turnover!N7</f>
        <v>397155.75706506422</v>
      </c>
      <c r="O101" s="724">
        <f>+turnover!O7</f>
        <v>450126.26635315729</v>
      </c>
      <c r="P101" s="724">
        <f>+turnover!P7</f>
        <v>510025.82162586716</v>
      </c>
      <c r="Q101" s="724">
        <f>+turnover!Q7</f>
        <v>577597.87682856934</v>
      </c>
    </row>
    <row r="102" spans="2:17" x14ac:dyDescent="0.2">
      <c r="H102" s="43">
        <f>+turnover!H108*1000</f>
        <v>160358</v>
      </c>
      <c r="I102" s="43">
        <f>+turnover!I108*1000</f>
        <v>215933</v>
      </c>
      <c r="J102" s="43">
        <f>+turnover!J108*1000</f>
        <v>269207</v>
      </c>
      <c r="K102" s="43">
        <f>+turnover!K108*1000</f>
        <v>269207</v>
      </c>
      <c r="L102" s="43">
        <f>+turnover!L108*1000</f>
        <v>269207</v>
      </c>
      <c r="M102" s="43">
        <f>+turnover!M108*1000</f>
        <v>269207</v>
      </c>
      <c r="N102" s="43">
        <f>+turnover!N108*1000</f>
        <v>269207</v>
      </c>
      <c r="O102" s="43">
        <f>+turnover!O108*1000</f>
        <v>269207</v>
      </c>
      <c r="P102" s="43">
        <f>+turnover!P108*1000</f>
        <v>269207</v>
      </c>
      <c r="Q102" s="43">
        <f>+turnover!Q108*1000</f>
        <v>269207</v>
      </c>
    </row>
    <row r="104" spans="2:17" ht="15" x14ac:dyDescent="0.3">
      <c r="B104" s="27" t="s">
        <v>59</v>
      </c>
      <c r="C104" s="723">
        <v>2E-3</v>
      </c>
      <c r="H104" s="725">
        <f>+H$101*$C104</f>
        <v>220.314673656</v>
      </c>
      <c r="I104" s="725">
        <f t="shared" ref="I104:Q104" si="161">+I$101*$C104</f>
        <v>339.59719470600004</v>
      </c>
      <c r="J104" s="725">
        <f t="shared" si="161"/>
        <v>482.46872414202005</v>
      </c>
      <c r="K104" s="725">
        <f t="shared" si="161"/>
        <v>546.4386257229902</v>
      </c>
      <c r="L104" s="725">
        <f t="shared" si="161"/>
        <v>619.23517943571903</v>
      </c>
      <c r="M104" s="725">
        <f t="shared" si="161"/>
        <v>701.42458494456844</v>
      </c>
      <c r="N104" s="725">
        <f t="shared" si="161"/>
        <v>794.31151413012844</v>
      </c>
      <c r="O104" s="725">
        <f t="shared" si="161"/>
        <v>900.25253270631458</v>
      </c>
      <c r="P104" s="725">
        <f t="shared" si="161"/>
        <v>1020.0516432517344</v>
      </c>
      <c r="Q104" s="725">
        <f t="shared" si="161"/>
        <v>1155.1957536571388</v>
      </c>
    </row>
    <row r="105" spans="2:17" ht="15" x14ac:dyDescent="0.3">
      <c r="B105" s="51" t="s">
        <v>60</v>
      </c>
      <c r="C105" s="723">
        <v>5.0000000000000001E-4</v>
      </c>
      <c r="H105" s="725">
        <f t="shared" ref="H105:Q108" si="162">+H$101*$C105</f>
        <v>55.078668413999999</v>
      </c>
      <c r="I105" s="725">
        <f t="shared" si="162"/>
        <v>84.89929867650001</v>
      </c>
      <c r="J105" s="725">
        <f t="shared" si="162"/>
        <v>120.61718103550501</v>
      </c>
      <c r="K105" s="725">
        <f t="shared" si="162"/>
        <v>136.60965643074755</v>
      </c>
      <c r="L105" s="725">
        <f t="shared" si="162"/>
        <v>154.80879485892976</v>
      </c>
      <c r="M105" s="725">
        <f t="shared" si="162"/>
        <v>175.35614623614211</v>
      </c>
      <c r="N105" s="725">
        <f t="shared" si="162"/>
        <v>198.57787853253211</v>
      </c>
      <c r="O105" s="725">
        <f t="shared" si="162"/>
        <v>225.06313317657865</v>
      </c>
      <c r="P105" s="725">
        <f t="shared" si="162"/>
        <v>255.0129108129336</v>
      </c>
      <c r="Q105" s="725">
        <f t="shared" si="162"/>
        <v>288.79893841428469</v>
      </c>
    </row>
    <row r="106" spans="2:17" ht="15" x14ac:dyDescent="0.3">
      <c r="B106" s="27" t="s">
        <v>61</v>
      </c>
      <c r="C106" s="723">
        <v>5.171875</v>
      </c>
      <c r="H106" s="725">
        <f>+H$102*$C106/1000</f>
        <v>829.35153124999999</v>
      </c>
      <c r="I106" s="725">
        <f t="shared" ref="I106:Q106" si="163">+I$102*$C106/1000</f>
        <v>1116.7784843750001</v>
      </c>
      <c r="J106" s="725">
        <f t="shared" si="163"/>
        <v>1392.3049531250001</v>
      </c>
      <c r="K106" s="725">
        <f t="shared" si="163"/>
        <v>1392.3049531250001</v>
      </c>
      <c r="L106" s="725">
        <f t="shared" si="163"/>
        <v>1392.3049531250001</v>
      </c>
      <c r="M106" s="725">
        <f t="shared" si="163"/>
        <v>1392.3049531250001</v>
      </c>
      <c r="N106" s="725">
        <f t="shared" si="163"/>
        <v>1392.3049531250001</v>
      </c>
      <c r="O106" s="725">
        <f t="shared" si="163"/>
        <v>1392.3049531250001</v>
      </c>
      <c r="P106" s="725">
        <f t="shared" si="163"/>
        <v>1392.3049531250001</v>
      </c>
      <c r="Q106" s="725">
        <f t="shared" si="163"/>
        <v>1392.3049531250001</v>
      </c>
    </row>
    <row r="107" spans="2:17" ht="15" x14ac:dyDescent="0.3">
      <c r="B107" s="51" t="s">
        <v>62</v>
      </c>
      <c r="C107" s="723">
        <v>1.8E-3</v>
      </c>
      <c r="H107" s="725">
        <f t="shared" si="162"/>
        <v>198.28320629039999</v>
      </c>
      <c r="I107" s="725">
        <f t="shared" si="162"/>
        <v>305.63747523540002</v>
      </c>
      <c r="J107" s="725">
        <f t="shared" si="162"/>
        <v>434.22185172781803</v>
      </c>
      <c r="K107" s="725">
        <f t="shared" si="162"/>
        <v>491.7947631506911</v>
      </c>
      <c r="L107" s="725">
        <f t="shared" si="162"/>
        <v>557.3116614921471</v>
      </c>
      <c r="M107" s="725">
        <f t="shared" si="162"/>
        <v>631.2821264501116</v>
      </c>
      <c r="N107" s="725">
        <f t="shared" si="162"/>
        <v>714.88036271711553</v>
      </c>
      <c r="O107" s="725">
        <f t="shared" si="162"/>
        <v>810.22727943568304</v>
      </c>
      <c r="P107" s="725">
        <f t="shared" si="162"/>
        <v>918.04647892656089</v>
      </c>
      <c r="Q107" s="725">
        <f t="shared" si="162"/>
        <v>1039.6761782914248</v>
      </c>
    </row>
    <row r="108" spans="2:17" ht="15" x14ac:dyDescent="0.3">
      <c r="B108" s="51" t="s">
        <v>63</v>
      </c>
      <c r="C108" s="723">
        <v>2E-3</v>
      </c>
      <c r="H108" s="725">
        <f t="shared" si="162"/>
        <v>220.314673656</v>
      </c>
      <c r="I108" s="725">
        <f t="shared" si="162"/>
        <v>339.59719470600004</v>
      </c>
      <c r="J108" s="725">
        <f t="shared" si="162"/>
        <v>482.46872414202005</v>
      </c>
      <c r="K108" s="725">
        <f t="shared" si="162"/>
        <v>546.4386257229902</v>
      </c>
      <c r="L108" s="725">
        <f t="shared" si="162"/>
        <v>619.23517943571903</v>
      </c>
      <c r="M108" s="725">
        <f t="shared" si="162"/>
        <v>701.42458494456844</v>
      </c>
      <c r="N108" s="725">
        <f t="shared" si="162"/>
        <v>794.31151413012844</v>
      </c>
      <c r="O108" s="725">
        <f t="shared" si="162"/>
        <v>900.25253270631458</v>
      </c>
      <c r="P108" s="725">
        <f t="shared" si="162"/>
        <v>1020.0516432517344</v>
      </c>
      <c r="Q108" s="725">
        <f t="shared" si="162"/>
        <v>1155.1957536571388</v>
      </c>
    </row>
    <row r="109" spans="2:17" x14ac:dyDescent="0.2">
      <c r="H109" s="725">
        <f>SUM(H104:H108)</f>
        <v>1523.3427532663998</v>
      </c>
      <c r="I109" s="725">
        <f t="shared" ref="I109:Q109" si="164">SUM(I104:I108)</f>
        <v>2186.5096476989002</v>
      </c>
      <c r="J109" s="725">
        <f t="shared" si="164"/>
        <v>2912.0814341723635</v>
      </c>
      <c r="K109" s="725">
        <f t="shared" si="164"/>
        <v>3113.5866241524195</v>
      </c>
      <c r="L109" s="725">
        <f t="shared" si="164"/>
        <v>3342.8957683475155</v>
      </c>
      <c r="M109" s="725">
        <f t="shared" si="164"/>
        <v>3601.7923957003909</v>
      </c>
      <c r="N109" s="725">
        <f t="shared" si="164"/>
        <v>3894.3862226349047</v>
      </c>
      <c r="O109" s="725">
        <f t="shared" si="164"/>
        <v>4228.1004311498909</v>
      </c>
      <c r="P109" s="725">
        <f t="shared" si="164"/>
        <v>4605.4676293679631</v>
      </c>
      <c r="Q109" s="725">
        <f t="shared" si="164"/>
        <v>5031.1715771449872</v>
      </c>
    </row>
    <row r="110" spans="2:17" x14ac:dyDescent="0.2">
      <c r="H110" s="116">
        <f>SUM(H29:H33)</f>
        <v>1025</v>
      </c>
      <c r="I110" s="116">
        <f t="shared" ref="I110:Q110" si="165">SUM(I29:I33)</f>
        <v>1138</v>
      </c>
      <c r="J110" s="116">
        <f t="shared" si="165"/>
        <v>1263</v>
      </c>
      <c r="K110" s="116">
        <f t="shared" si="165"/>
        <v>1402</v>
      </c>
      <c r="L110" s="116">
        <f t="shared" si="165"/>
        <v>1556</v>
      </c>
      <c r="M110" s="116">
        <f t="shared" si="165"/>
        <v>1727</v>
      </c>
      <c r="N110" s="116">
        <f t="shared" si="165"/>
        <v>1917</v>
      </c>
      <c r="O110" s="116">
        <f t="shared" si="165"/>
        <v>2129</v>
      </c>
      <c r="P110" s="116">
        <f t="shared" si="165"/>
        <v>2364</v>
      </c>
      <c r="Q110" s="116">
        <f t="shared" si="165"/>
        <v>2625</v>
      </c>
    </row>
    <row r="111" spans="2:17" x14ac:dyDescent="0.2">
      <c r="H111" s="116">
        <f>+H109-H110</f>
        <v>498.34275326639977</v>
      </c>
      <c r="I111" s="116">
        <f t="shared" ref="I111:Q111" si="166">+I109-I110</f>
        <v>1048.5096476989002</v>
      </c>
      <c r="J111" s="116">
        <f t="shared" si="166"/>
        <v>1649.0814341723635</v>
      </c>
      <c r="K111" s="116">
        <f t="shared" si="166"/>
        <v>1711.5866241524195</v>
      </c>
      <c r="L111" s="116">
        <f t="shared" si="166"/>
        <v>1786.8957683475155</v>
      </c>
      <c r="M111" s="116">
        <f t="shared" si="166"/>
        <v>1874.7923957003909</v>
      </c>
      <c r="N111" s="116">
        <f t="shared" si="166"/>
        <v>1977.3862226349047</v>
      </c>
      <c r="O111" s="116">
        <f t="shared" si="166"/>
        <v>2099.1004311498909</v>
      </c>
      <c r="P111" s="116">
        <f t="shared" si="166"/>
        <v>2241.4676293679631</v>
      </c>
      <c r="Q111" s="116">
        <f t="shared" si="166"/>
        <v>2406.1715771449872</v>
      </c>
    </row>
  </sheetData>
  <phoneticPr fontId="73" type="noConversion"/>
  <printOptions horizontalCentered="1" headings="1"/>
  <pageMargins left="0.5" right="0.5" top="0.5" bottom="0.5" header="0.3" footer="0.3"/>
  <pageSetup scale="52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2:Q71"/>
  <sheetViews>
    <sheetView workbookViewId="0"/>
  </sheetViews>
  <sheetFormatPr defaultRowHeight="15.75" x14ac:dyDescent="0.25"/>
  <cols>
    <col min="1" max="1" width="23.625" customWidth="1"/>
  </cols>
  <sheetData>
    <row r="2" spans="1:17" x14ac:dyDescent="0.25">
      <c r="A2" s="26" t="s">
        <v>36</v>
      </c>
    </row>
    <row r="3" spans="1:17" x14ac:dyDescent="0.25">
      <c r="C3">
        <f>+PL!C2</f>
        <v>2008</v>
      </c>
      <c r="D3">
        <f t="shared" ref="D3:N3" si="0">1+C3</f>
        <v>2009</v>
      </c>
      <c r="E3">
        <f t="shared" si="0"/>
        <v>2010</v>
      </c>
      <c r="F3">
        <f t="shared" si="0"/>
        <v>2011</v>
      </c>
      <c r="G3">
        <f t="shared" si="0"/>
        <v>2012</v>
      </c>
      <c r="H3">
        <f t="shared" si="0"/>
        <v>2013</v>
      </c>
      <c r="I3">
        <f t="shared" si="0"/>
        <v>2014</v>
      </c>
      <c r="J3">
        <f t="shared" si="0"/>
        <v>2015</v>
      </c>
      <c r="K3">
        <f t="shared" si="0"/>
        <v>2016</v>
      </c>
      <c r="L3">
        <f t="shared" si="0"/>
        <v>2017</v>
      </c>
      <c r="M3">
        <f t="shared" si="0"/>
        <v>2018</v>
      </c>
      <c r="N3">
        <f t="shared" si="0"/>
        <v>2019</v>
      </c>
      <c r="O3">
        <f t="shared" ref="O3" si="1">1+N3</f>
        <v>2020</v>
      </c>
      <c r="P3">
        <f t="shared" ref="P3" si="2">1+O3</f>
        <v>2021</v>
      </c>
      <c r="Q3">
        <f t="shared" ref="Q3" si="3">1+P3</f>
        <v>2022</v>
      </c>
    </row>
    <row r="5" spans="1:17" x14ac:dyDescent="0.25">
      <c r="A5" s="31" t="s">
        <v>108</v>
      </c>
      <c r="C5" s="99">
        <f>+turnover!C8</f>
        <v>134129.84226</v>
      </c>
      <c r="D5" s="99">
        <f>+turnover!D165</f>
        <v>74235</v>
      </c>
      <c r="E5" s="99">
        <f>+turnover!E8</f>
        <v>167560.19981090448</v>
      </c>
      <c r="F5" s="99">
        <f>+PL!F6</f>
        <v>165793</v>
      </c>
      <c r="G5" s="99">
        <f ca="1">+PL!G6</f>
        <v>184112.34970816696</v>
      </c>
      <c r="H5" s="99">
        <f ca="1">+PL!H6</f>
        <v>214935.45988046331</v>
      </c>
      <c r="I5" s="99">
        <f ca="1">+PL!I6</f>
        <v>286720.0965422705</v>
      </c>
      <c r="J5" s="99">
        <f ca="1">+PL!J6</f>
        <v>365762.0691850282</v>
      </c>
      <c r="K5" s="99">
        <f ca="1">+PL!K6</f>
        <v>414283.97964417131</v>
      </c>
      <c r="L5" s="99">
        <f ca="1">+PL!L6</f>
        <v>469632.46360265452</v>
      </c>
      <c r="M5" s="99">
        <f ca="1">+PL!M6</f>
        <v>532478.08200490766</v>
      </c>
      <c r="N5" s="99">
        <f ca="1">+PL!N6</f>
        <v>603928.38007726171</v>
      </c>
      <c r="O5" s="99">
        <f ca="1">+PL!O6</f>
        <v>685345.09736836527</v>
      </c>
      <c r="P5" s="99">
        <f ca="1">+PL!P6</f>
        <v>777712.83720306773</v>
      </c>
      <c r="Q5" s="99">
        <f ca="1">+PL!Q6</f>
        <v>883589.61938773829</v>
      </c>
    </row>
    <row r="6" spans="1:17" x14ac:dyDescent="0.25">
      <c r="A6" s="26" t="s">
        <v>105</v>
      </c>
      <c r="B6" s="300">
        <f>1%*(1+Sensitivity!D21)</f>
        <v>0.01</v>
      </c>
      <c r="C6" s="1">
        <v>1341.2984226000001</v>
      </c>
      <c r="D6" s="1">
        <v>742.35</v>
      </c>
      <c r="E6" s="1">
        <v>1675.6019981090449</v>
      </c>
      <c r="F6" s="1">
        <v>1657.93</v>
      </c>
      <c r="G6" s="1">
        <f t="shared" ref="G6:Q6" ca="1" si="4">+G$5*$B6</f>
        <v>1841.1234970816697</v>
      </c>
      <c r="H6" s="1">
        <f t="shared" ca="1" si="4"/>
        <v>2149.354598804633</v>
      </c>
      <c r="I6" s="1">
        <f t="shared" ca="1" si="4"/>
        <v>2867.2009654227049</v>
      </c>
      <c r="J6" s="1">
        <f t="shared" ca="1" si="4"/>
        <v>3657.6206918502821</v>
      </c>
      <c r="K6" s="1">
        <f t="shared" ca="1" si="4"/>
        <v>4142.8397964417136</v>
      </c>
      <c r="L6" s="1">
        <f t="shared" ca="1" si="4"/>
        <v>4696.3246360265457</v>
      </c>
      <c r="M6" s="1">
        <f t="shared" ca="1" si="4"/>
        <v>5324.7808200490763</v>
      </c>
      <c r="N6" s="1">
        <f t="shared" ca="1" si="4"/>
        <v>6039.2838007726168</v>
      </c>
      <c r="O6" s="1">
        <f t="shared" ca="1" si="4"/>
        <v>6853.4509736836526</v>
      </c>
      <c r="P6" s="1">
        <f t="shared" ca="1" si="4"/>
        <v>7777.1283720306774</v>
      </c>
      <c r="Q6" s="1">
        <f t="shared" ca="1" si="4"/>
        <v>8835.8961938773828</v>
      </c>
    </row>
    <row r="7" spans="1:17" x14ac:dyDescent="0.25">
      <c r="A7" s="26" t="s">
        <v>256</v>
      </c>
      <c r="B7" s="301">
        <f>1.5%*(1+Sensitivity!D21)</f>
        <v>1.4999999999999999E-2</v>
      </c>
      <c r="C7" s="1">
        <v>2011.9476339</v>
      </c>
      <c r="D7" s="1">
        <v>1113.5249999999999</v>
      </c>
      <c r="E7" s="1">
        <v>2513.4029971635673</v>
      </c>
      <c r="F7" s="1">
        <v>2486.895</v>
      </c>
      <c r="G7" s="1">
        <f t="shared" ref="G7:Q8" ca="1" si="5">+G$5*$B7</f>
        <v>2761.6852456225042</v>
      </c>
      <c r="H7" s="1">
        <f t="shared" ca="1" si="5"/>
        <v>3224.0318982069498</v>
      </c>
      <c r="I7" s="1">
        <f t="shared" ca="1" si="5"/>
        <v>4300.8014481340579</v>
      </c>
      <c r="J7" s="1">
        <f t="shared" ca="1" si="5"/>
        <v>5486.4310377754227</v>
      </c>
      <c r="K7" s="1">
        <f t="shared" ca="1" si="5"/>
        <v>6214.259694662569</v>
      </c>
      <c r="L7" s="1">
        <f t="shared" ca="1" si="5"/>
        <v>7044.4869540398176</v>
      </c>
      <c r="M7" s="1">
        <f t="shared" ca="1" si="5"/>
        <v>7987.1712300736144</v>
      </c>
      <c r="N7" s="1">
        <f t="shared" ca="1" si="5"/>
        <v>9058.9257011589252</v>
      </c>
      <c r="O7" s="1">
        <f t="shared" ca="1" si="5"/>
        <v>10280.176460525479</v>
      </c>
      <c r="P7" s="1">
        <f t="shared" ca="1" si="5"/>
        <v>11665.692558046016</v>
      </c>
      <c r="Q7" s="1">
        <f t="shared" ca="1" si="5"/>
        <v>13253.844290816074</v>
      </c>
    </row>
    <row r="8" spans="1:17" x14ac:dyDescent="0.25">
      <c r="A8" s="26" t="s">
        <v>106</v>
      </c>
      <c r="B8" s="300">
        <f>1%*(1+Sensitivity!D21)</f>
        <v>0.01</v>
      </c>
      <c r="C8" s="1">
        <v>1341.2984226000001</v>
      </c>
      <c r="D8" s="1">
        <v>742.35</v>
      </c>
      <c r="E8" s="1">
        <v>1675.6019981090449</v>
      </c>
      <c r="F8" s="1">
        <v>1657.93</v>
      </c>
      <c r="G8" s="1">
        <f t="shared" ca="1" si="5"/>
        <v>1841.1234970816697</v>
      </c>
      <c r="H8" s="1">
        <f t="shared" ca="1" si="5"/>
        <v>2149.354598804633</v>
      </c>
      <c r="I8" s="1">
        <f t="shared" ca="1" si="5"/>
        <v>2867.2009654227049</v>
      </c>
      <c r="J8" s="1">
        <f t="shared" ca="1" si="5"/>
        <v>3657.6206918502821</v>
      </c>
      <c r="K8" s="1">
        <f t="shared" ca="1" si="5"/>
        <v>4142.8397964417136</v>
      </c>
      <c r="L8" s="1">
        <f t="shared" ca="1" si="5"/>
        <v>4696.3246360265457</v>
      </c>
      <c r="M8" s="1">
        <f t="shared" ca="1" si="5"/>
        <v>5324.7808200490763</v>
      </c>
      <c r="N8" s="1">
        <f t="shared" ca="1" si="5"/>
        <v>6039.2838007726168</v>
      </c>
      <c r="O8" s="1">
        <f t="shared" ca="1" si="5"/>
        <v>6853.4509736836526</v>
      </c>
      <c r="P8" s="1">
        <f t="shared" ca="1" si="5"/>
        <v>7777.1283720306774</v>
      </c>
      <c r="Q8" s="1">
        <f t="shared" ca="1" si="5"/>
        <v>8835.8961938773828</v>
      </c>
    </row>
    <row r="9" spans="1:17" x14ac:dyDescent="0.25">
      <c r="A9" s="26"/>
      <c r="C9" s="1"/>
      <c r="D9" s="1"/>
      <c r="E9" s="1">
        <v>270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5">
      <c r="A10" s="32" t="s">
        <v>109</v>
      </c>
      <c r="B10" s="15"/>
      <c r="C10" s="460">
        <v>4694.5444791</v>
      </c>
      <c r="D10" s="460">
        <v>2598.2249999999999</v>
      </c>
      <c r="E10" s="460">
        <v>6134.606993381657</v>
      </c>
      <c r="F10" s="460">
        <v>5802.7550000000001</v>
      </c>
      <c r="G10" s="460">
        <f ca="1">SUM(G6:G9)</f>
        <v>6443.9322397858432</v>
      </c>
      <c r="H10" s="460">
        <f t="shared" ref="H10:N10" ca="1" si="6">SUM(H6:H9)</f>
        <v>7522.7410958162163</v>
      </c>
      <c r="I10" s="460">
        <f t="shared" ca="1" si="6"/>
        <v>10035.203378979468</v>
      </c>
      <c r="J10" s="460">
        <f t="shared" ca="1" si="6"/>
        <v>12801.672421475989</v>
      </c>
      <c r="K10" s="460">
        <f t="shared" ca="1" si="6"/>
        <v>14499.939287545996</v>
      </c>
      <c r="L10" s="460">
        <f t="shared" ca="1" si="6"/>
        <v>16437.136226092909</v>
      </c>
      <c r="M10" s="460">
        <f t="shared" ca="1" si="6"/>
        <v>18636.732870171767</v>
      </c>
      <c r="N10" s="460">
        <f t="shared" ca="1" si="6"/>
        <v>21137.493302704159</v>
      </c>
      <c r="O10" s="460">
        <f t="shared" ref="O10:Q10" ca="1" si="7">SUM(O6:O9)</f>
        <v>23987.078407892783</v>
      </c>
      <c r="P10" s="460">
        <f t="shared" ca="1" si="7"/>
        <v>27219.949302107372</v>
      </c>
      <c r="Q10" s="460">
        <f t="shared" ca="1" si="7"/>
        <v>30925.636678570841</v>
      </c>
    </row>
    <row r="12" spans="1:17" x14ac:dyDescent="0.25">
      <c r="A12" s="31" t="s">
        <v>110</v>
      </c>
    </row>
    <row r="13" spans="1:17" x14ac:dyDescent="0.25">
      <c r="A13" s="26" t="s">
        <v>102</v>
      </c>
      <c r="B13" s="37"/>
      <c r="C13" s="1">
        <v>95</v>
      </c>
      <c r="D13" s="1">
        <v>198</v>
      </c>
      <c r="E13" s="1">
        <v>223</v>
      </c>
      <c r="F13" s="1">
        <v>278</v>
      </c>
      <c r="G13" s="1">
        <v>294</v>
      </c>
      <c r="H13" s="1">
        <v>211</v>
      </c>
      <c r="I13" s="1">
        <v>121</v>
      </c>
      <c r="J13" s="1">
        <v>121</v>
      </c>
      <c r="K13" s="1">
        <v>121</v>
      </c>
      <c r="L13" s="1">
        <v>121</v>
      </c>
      <c r="M13" s="1">
        <v>121</v>
      </c>
      <c r="N13" s="1">
        <v>121</v>
      </c>
      <c r="O13" s="1">
        <v>121</v>
      </c>
      <c r="P13" s="1">
        <v>121</v>
      </c>
      <c r="Q13" s="1">
        <v>121</v>
      </c>
    </row>
    <row r="14" spans="1:17" x14ac:dyDescent="0.25">
      <c r="A14" s="26" t="s">
        <v>103</v>
      </c>
      <c r="B14" s="37"/>
      <c r="C14" s="1">
        <v>250</v>
      </c>
      <c r="D14" s="1">
        <v>284</v>
      </c>
      <c r="E14" s="1">
        <v>193</v>
      </c>
      <c r="F14" s="1">
        <v>708</v>
      </c>
      <c r="G14" s="1">
        <v>391</v>
      </c>
      <c r="H14" s="1">
        <f>+(BS!H6+BS!G6)/2*0.035</f>
        <v>1526.6138825</v>
      </c>
      <c r="I14" s="1">
        <f>+(BS!I6+BS!H6)/2*0.035</f>
        <v>2513.1196702499997</v>
      </c>
      <c r="J14" s="1">
        <f>+(BS!J6+BS!I6)/2*0.035</f>
        <v>2556.7282130249996</v>
      </c>
      <c r="K14" s="1">
        <f>+(BS!K6+BS!J6)/2*0.035</f>
        <v>2299.6369880749994</v>
      </c>
      <c r="L14" s="1">
        <f>+(BS!L6+BS!K6)/2*0.035</f>
        <v>2036.4907631249996</v>
      </c>
      <c r="M14" s="1">
        <f>+(BS!M6+BS!L6)/2*0.035</f>
        <v>1766.3445381749993</v>
      </c>
      <c r="N14" s="1">
        <f>+(BS!N6+BS!M6)/2*0.035</f>
        <v>1489.1983132249998</v>
      </c>
      <c r="O14" s="1">
        <f>+(BS!O6+BS!N6)/2*0.035</f>
        <v>1219.2270882749999</v>
      </c>
      <c r="P14" s="1">
        <f>+(BS!P6+BS!O6)/2*0.035</f>
        <v>986.79336332499986</v>
      </c>
      <c r="Q14" s="1">
        <f>+(BS!Q6+BS!P6)/2*0.035</f>
        <v>781.22213837499964</v>
      </c>
    </row>
    <row r="15" spans="1:17" x14ac:dyDescent="0.25">
      <c r="A15" s="26" t="s">
        <v>104</v>
      </c>
      <c r="B15" s="37"/>
      <c r="C15" s="1">
        <v>471</v>
      </c>
      <c r="D15" s="1">
        <v>603</v>
      </c>
      <c r="E15" s="1">
        <v>693</v>
      </c>
      <c r="F15" s="1">
        <v>834</v>
      </c>
      <c r="G15" s="1">
        <v>1002</v>
      </c>
      <c r="H15" s="1">
        <v>752</v>
      </c>
      <c r="I15" s="1">
        <f>+H15</f>
        <v>752</v>
      </c>
      <c r="J15" s="1">
        <f t="shared" ref="J15:Q15" si="8">+I15</f>
        <v>752</v>
      </c>
      <c r="K15" s="1">
        <f t="shared" si="8"/>
        <v>752</v>
      </c>
      <c r="L15" s="1">
        <f t="shared" si="8"/>
        <v>752</v>
      </c>
      <c r="M15" s="1">
        <f t="shared" si="8"/>
        <v>752</v>
      </c>
      <c r="N15" s="1">
        <f t="shared" si="8"/>
        <v>752</v>
      </c>
      <c r="O15" s="1">
        <f t="shared" si="8"/>
        <v>752</v>
      </c>
      <c r="P15" s="1">
        <f t="shared" si="8"/>
        <v>752</v>
      </c>
      <c r="Q15" s="1">
        <f t="shared" si="8"/>
        <v>752</v>
      </c>
    </row>
    <row r="16" spans="1:17" x14ac:dyDescent="0.25">
      <c r="A16" s="26" t="s">
        <v>107</v>
      </c>
      <c r="B16" s="37"/>
      <c r="C16" s="1">
        <v>2</v>
      </c>
      <c r="D16" s="1">
        <v>1</v>
      </c>
      <c r="E16" s="1">
        <v>30</v>
      </c>
      <c r="F16" s="1">
        <v>4</v>
      </c>
      <c r="G16" s="1">
        <v>2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  <c r="M16" s="1">
        <v>2</v>
      </c>
      <c r="N16" s="1">
        <v>2</v>
      </c>
      <c r="O16" s="1">
        <v>2</v>
      </c>
      <c r="P16" s="1">
        <v>2</v>
      </c>
      <c r="Q16" s="1">
        <v>2</v>
      </c>
    </row>
    <row r="17" spans="1:17" x14ac:dyDescent="0.25">
      <c r="A17" s="26" t="s">
        <v>611</v>
      </c>
      <c r="B17" s="37"/>
      <c r="C17" s="1"/>
      <c r="D17" s="1"/>
      <c r="E17" s="1"/>
      <c r="F17" s="1">
        <v>73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A18" s="26" t="s">
        <v>612</v>
      </c>
      <c r="B18" s="37"/>
      <c r="C18" s="1"/>
      <c r="D18" s="1"/>
      <c r="E18" s="1"/>
      <c r="F18" s="1">
        <v>462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s="32" t="s">
        <v>57</v>
      </c>
      <c r="B19" s="15"/>
      <c r="C19" s="460">
        <v>818</v>
      </c>
      <c r="D19" s="460">
        <v>1086</v>
      </c>
      <c r="E19" s="460">
        <v>1139</v>
      </c>
      <c r="F19" s="460">
        <v>2359</v>
      </c>
      <c r="G19" s="460">
        <f t="shared" ref="G19:N19" si="9">SUM(G13:G18)</f>
        <v>1689</v>
      </c>
      <c r="H19" s="460">
        <f t="shared" si="9"/>
        <v>2491.6138824999998</v>
      </c>
      <c r="I19" s="460">
        <f t="shared" si="9"/>
        <v>3388.1196702499997</v>
      </c>
      <c r="J19" s="460">
        <f t="shared" si="9"/>
        <v>3431.7282130249996</v>
      </c>
      <c r="K19" s="460">
        <f t="shared" si="9"/>
        <v>3174.6369880749994</v>
      </c>
      <c r="L19" s="460">
        <f t="shared" si="9"/>
        <v>2911.4907631249998</v>
      </c>
      <c r="M19" s="460">
        <f t="shared" si="9"/>
        <v>2641.3445381749993</v>
      </c>
      <c r="N19" s="460">
        <f t="shared" si="9"/>
        <v>2364.1983132249998</v>
      </c>
      <c r="O19" s="460">
        <f t="shared" ref="O19:Q19" si="10">SUM(O13:O18)</f>
        <v>2094.2270882749999</v>
      </c>
      <c r="P19" s="460">
        <f t="shared" si="10"/>
        <v>1861.793363325</v>
      </c>
      <c r="Q19" s="460">
        <f t="shared" si="10"/>
        <v>1656.2221383749998</v>
      </c>
    </row>
    <row r="20" spans="1:17" x14ac:dyDescent="0.25">
      <c r="C20" s="1"/>
      <c r="D20" s="1"/>
      <c r="E20" s="1"/>
      <c r="F20" s="1"/>
      <c r="G20" s="1"/>
    </row>
    <row r="21" spans="1:17" x14ac:dyDescent="0.25">
      <c r="A21" s="37" t="s">
        <v>14</v>
      </c>
      <c r="C21" s="1"/>
      <c r="D21" s="1"/>
      <c r="E21" s="1"/>
      <c r="F21" s="1"/>
      <c r="G21" s="1"/>
    </row>
    <row r="22" spans="1:17" x14ac:dyDescent="0.25">
      <c r="A22" s="26" t="s">
        <v>13</v>
      </c>
      <c r="C22" s="1">
        <v>39834.000000000007</v>
      </c>
      <c r="D22" s="1">
        <v>1493</v>
      </c>
      <c r="E22" s="1">
        <v>16201.999796232016</v>
      </c>
      <c r="F22" s="1">
        <v>12494.656249999998</v>
      </c>
      <c r="G22" s="1">
        <f ca="1">+PL!G34</f>
        <v>16028.817637371139</v>
      </c>
      <c r="H22" s="1">
        <f ca="1">+PL!H34</f>
        <v>12725.280495911276</v>
      </c>
      <c r="I22" s="1">
        <f ca="1">+PL!I34</f>
        <v>16120.134252243381</v>
      </c>
      <c r="J22" s="1">
        <f ca="1">+PL!J34</f>
        <v>31715.420617349235</v>
      </c>
      <c r="K22" s="1">
        <f ca="1">+PL!K34</f>
        <v>39925.029388030795</v>
      </c>
      <c r="L22" s="1">
        <f ca="1">+PL!L34</f>
        <v>49002.938737039622</v>
      </c>
      <c r="M22" s="1">
        <f ca="1">+PL!M34</f>
        <v>58854.988076421432</v>
      </c>
      <c r="N22" s="1">
        <f ca="1">+PL!N34</f>
        <v>69463.64116556212</v>
      </c>
      <c r="O22" s="1">
        <f ca="1">+PL!O34</f>
        <v>81596.783106249437</v>
      </c>
      <c r="P22" s="1">
        <f ca="1">+PL!P34</f>
        <v>93002.481555689432</v>
      </c>
      <c r="Q22" s="1">
        <f ca="1">+PL!Q34</f>
        <v>102973.94201100487</v>
      </c>
    </row>
    <row r="23" spans="1:17" x14ac:dyDescent="0.25">
      <c r="A23" s="26" t="s">
        <v>173</v>
      </c>
      <c r="B23" s="7"/>
      <c r="C23" s="1"/>
      <c r="D23" s="1"/>
      <c r="E23" s="1">
        <v>1637</v>
      </c>
      <c r="F23" s="1"/>
      <c r="G23" s="1">
        <f>+'operating expenses'!G69</f>
        <v>1500</v>
      </c>
      <c r="H23" s="1">
        <f>+'operating expenses'!H69</f>
        <v>1500</v>
      </c>
      <c r="I23" s="1">
        <f>+'operating expenses'!I69</f>
        <v>1500</v>
      </c>
      <c r="J23" s="1">
        <f>+'operating expenses'!J69</f>
        <v>1500</v>
      </c>
      <c r="K23" s="1">
        <f>+'operating expenses'!K69</f>
        <v>1500</v>
      </c>
      <c r="L23" s="1">
        <f>+'operating expenses'!L69</f>
        <v>1500</v>
      </c>
      <c r="M23" s="1">
        <f>+'operating expenses'!M69</f>
        <v>1500</v>
      </c>
      <c r="N23" s="1">
        <f>+'operating expenses'!N69</f>
        <v>1500</v>
      </c>
      <c r="O23" s="1">
        <f>+'operating expenses'!O69</f>
        <v>1500</v>
      </c>
      <c r="P23" s="1">
        <f>+'operating expenses'!P69</f>
        <v>1500</v>
      </c>
      <c r="Q23" s="1">
        <f>+'operating expenses'!Q69</f>
        <v>1500</v>
      </c>
    </row>
    <row r="24" spans="1:17" x14ac:dyDescent="0.25">
      <c r="A24" s="26" t="s">
        <v>174</v>
      </c>
      <c r="C24" s="120">
        <v>-1687.8461538461256</v>
      </c>
      <c r="D24" s="1"/>
      <c r="E24" s="1">
        <v>-3540.9999999999914</v>
      </c>
      <c r="F24" s="1">
        <v>-1953.8461538461538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s="26" t="s">
        <v>175</v>
      </c>
      <c r="C25" s="120">
        <v>38146.15384615388</v>
      </c>
      <c r="D25" s="1">
        <v>1493</v>
      </c>
      <c r="E25" s="1">
        <v>14297.999796232025</v>
      </c>
      <c r="F25" s="1">
        <v>10540.810096153844</v>
      </c>
      <c r="G25" s="1">
        <f t="shared" ref="G25:H25" ca="1" si="11">SUM(G22:G24)</f>
        <v>17528.817637371139</v>
      </c>
      <c r="H25" s="1">
        <f t="shared" ca="1" si="11"/>
        <v>14225.280495911276</v>
      </c>
      <c r="I25" s="1">
        <f t="shared" ref="I25:N25" ca="1" si="12">SUM(I22:I24)</f>
        <v>17620.134252243381</v>
      </c>
      <c r="J25" s="1">
        <f t="shared" ca="1" si="12"/>
        <v>33215.420617349235</v>
      </c>
      <c r="K25" s="1">
        <f t="shared" ca="1" si="12"/>
        <v>41425.029388030795</v>
      </c>
      <c r="L25" s="1">
        <f t="shared" ca="1" si="12"/>
        <v>50502.938737039622</v>
      </c>
      <c r="M25" s="1">
        <f t="shared" ca="1" si="12"/>
        <v>60354.988076421432</v>
      </c>
      <c r="N25" s="1">
        <f t="shared" ca="1" si="12"/>
        <v>70963.64116556212</v>
      </c>
      <c r="O25" s="1">
        <f t="shared" ref="O25:Q25" ca="1" si="13">SUM(O22:O24)</f>
        <v>83096.783106249437</v>
      </c>
      <c r="P25" s="1">
        <f t="shared" ca="1" si="13"/>
        <v>94502.481555689432</v>
      </c>
      <c r="Q25" s="1">
        <f t="shared" ca="1" si="13"/>
        <v>104473.94201100487</v>
      </c>
    </row>
    <row r="26" spans="1:17" x14ac:dyDescent="0.25">
      <c r="A26" s="26" t="s">
        <v>117</v>
      </c>
      <c r="B26" s="321">
        <f>12.5%*(1+Sensitivity!D21)</f>
        <v>0.125</v>
      </c>
      <c r="C26" s="120">
        <v>-4768.269230769235</v>
      </c>
      <c r="D26" s="369">
        <v>-569</v>
      </c>
      <c r="E26" s="1">
        <v>-1787.2499745290031</v>
      </c>
      <c r="F26" s="1">
        <v>-1317.6012620192305</v>
      </c>
      <c r="G26" s="1">
        <f t="shared" ref="G26:H26" ca="1" si="14">-G25*$B$26</f>
        <v>-2191.1022046713924</v>
      </c>
      <c r="H26" s="1">
        <f t="shared" ca="1" si="14"/>
        <v>-1778.1600619889095</v>
      </c>
      <c r="I26" s="1">
        <f t="shared" ref="I26:N26" ca="1" si="15">-I25*$B$26</f>
        <v>-2202.5167815304226</v>
      </c>
      <c r="J26" s="1">
        <f t="shared" ca="1" si="15"/>
        <v>-4151.9275771686544</v>
      </c>
      <c r="K26" s="1">
        <f t="shared" ca="1" si="15"/>
        <v>-5178.1286735038493</v>
      </c>
      <c r="L26" s="1">
        <f t="shared" ca="1" si="15"/>
        <v>-6312.8673421299527</v>
      </c>
      <c r="M26" s="1">
        <f t="shared" ca="1" si="15"/>
        <v>-7544.373509552679</v>
      </c>
      <c r="N26" s="1">
        <f t="shared" ca="1" si="15"/>
        <v>-8870.4551456952649</v>
      </c>
      <c r="O26" s="1">
        <f t="shared" ref="O26:Q26" ca="1" si="16">-O25*$B$26</f>
        <v>-10387.09788828118</v>
      </c>
      <c r="P26" s="1">
        <f t="shared" ca="1" si="16"/>
        <v>-11812.810194461179</v>
      </c>
      <c r="Q26" s="1">
        <f t="shared" ca="1" si="16"/>
        <v>-13059.242751375608</v>
      </c>
    </row>
    <row r="27" spans="1:17" x14ac:dyDescent="0.25">
      <c r="C27" s="1"/>
    </row>
    <row r="28" spans="1:17" x14ac:dyDescent="0.25">
      <c r="F28" s="166"/>
    </row>
    <row r="29" spans="1:17" x14ac:dyDescent="0.25">
      <c r="F29" s="1"/>
    </row>
    <row r="47" ht="0.75" customHeight="1" x14ac:dyDescent="0.25"/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</sheetData>
  <phoneticPr fontId="2" type="noConversion"/>
  <printOptions headings="1"/>
  <pageMargins left="0.59055118110236204" right="0.59055118110236204" top="0.59055118110236204" bottom="0.59055118110236204" header="0.511811023622047" footer="0.31496062992126"/>
  <pageSetup paperSize="9" scale="87" orientation="landscape" r:id="rId1"/>
  <headerFooter alignWithMargins="0">
    <oddFooter>&amp;L&amp;F -&amp;A&amp;C&amp;P/&amp;N&amp;R&amp;D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Q23"/>
  <sheetViews>
    <sheetView workbookViewId="0"/>
  </sheetViews>
  <sheetFormatPr defaultRowHeight="15.75" x14ac:dyDescent="0.25"/>
  <cols>
    <col min="1" max="1" width="20.5" customWidth="1"/>
  </cols>
  <sheetData>
    <row r="2" spans="1:17" x14ac:dyDescent="0.25">
      <c r="B2">
        <v>2007</v>
      </c>
      <c r="C2">
        <v>2008</v>
      </c>
      <c r="D2">
        <v>2009</v>
      </c>
      <c r="E2">
        <v>2010</v>
      </c>
      <c r="F2">
        <v>2011</v>
      </c>
      <c r="G2">
        <v>2012</v>
      </c>
      <c r="H2">
        <v>2013</v>
      </c>
      <c r="I2">
        <v>2014</v>
      </c>
      <c r="J2">
        <v>2015</v>
      </c>
      <c r="K2">
        <v>2016</v>
      </c>
      <c r="L2">
        <v>2017</v>
      </c>
      <c r="M2">
        <v>2018</v>
      </c>
      <c r="N2">
        <v>2019</v>
      </c>
      <c r="O2">
        <v>2020</v>
      </c>
      <c r="P2">
        <v>2021</v>
      </c>
      <c r="Q2">
        <v>2022</v>
      </c>
    </row>
    <row r="3" spans="1:17" x14ac:dyDescent="0.25">
      <c r="A3" t="s">
        <v>197</v>
      </c>
      <c r="B3" s="1">
        <v>13741</v>
      </c>
      <c r="C3" s="1">
        <f>+B13</f>
        <v>13741</v>
      </c>
      <c r="D3" s="1">
        <f t="shared" ref="D3:G3" si="0">+C13</f>
        <v>50412</v>
      </c>
      <c r="E3" s="1">
        <f t="shared" si="0"/>
        <v>40141</v>
      </c>
      <c r="F3" s="1">
        <f t="shared" si="0"/>
        <v>66761</v>
      </c>
      <c r="G3" s="1">
        <f t="shared" si="0"/>
        <v>63394.607510221897</v>
      </c>
      <c r="H3" s="1">
        <f t="shared" ref="H3:L3" ca="1" si="1">+G13</f>
        <v>72054.622942921647</v>
      </c>
      <c r="I3" s="1">
        <f t="shared" ca="1" si="1"/>
        <v>83001.74337684401</v>
      </c>
      <c r="J3" s="1">
        <f t="shared" ca="1" si="1"/>
        <v>96919.360847556964</v>
      </c>
      <c r="K3" s="1">
        <f t="shared" ca="1" si="1"/>
        <v>116132.28340530976</v>
      </c>
      <c r="L3" s="1">
        <f t="shared" ca="1" si="1"/>
        <v>134341.08829572838</v>
      </c>
      <c r="M3" s="1">
        <f t="shared" ref="M3:N3" ca="1" si="2">+L13</f>
        <v>156183.01926192187</v>
      </c>
      <c r="N3" s="1">
        <f t="shared" ca="1" si="2"/>
        <v>181879.59099184483</v>
      </c>
      <c r="O3" s="1">
        <f t="shared" ref="O3" ca="1" si="3">+N13</f>
        <v>211686.40827159042</v>
      </c>
      <c r="P3" s="1">
        <f t="shared" ref="P3" ca="1" si="4">+O13</f>
        <v>246540.18187763856</v>
      </c>
      <c r="Q3" s="1">
        <f t="shared" ref="Q3" ca="1" si="5">+P13</f>
        <v>285004.04210808582</v>
      </c>
    </row>
    <row r="4" spans="1:17" x14ac:dyDescent="0.25">
      <c r="A4" t="s">
        <v>679</v>
      </c>
      <c r="B4" s="1"/>
      <c r="C4" s="1">
        <f>+BS!C24</f>
        <v>34875</v>
      </c>
      <c r="D4" s="1">
        <f>+BS!D24</f>
        <v>870</v>
      </c>
      <c r="E4" s="1">
        <f>+BS!E24</f>
        <v>14345</v>
      </c>
      <c r="F4" s="1">
        <f>+BS!F24</f>
        <v>11124.372687499997</v>
      </c>
      <c r="G4" s="1">
        <f ca="1">+BS!G24</f>
        <v>13837.715432699748</v>
      </c>
      <c r="H4" s="1">
        <f ca="1">+BS!H24</f>
        <v>10947.120433922366</v>
      </c>
      <c r="I4" s="1">
        <f ca="1">+BS!I24</f>
        <v>13917.617470712958</v>
      </c>
      <c r="J4" s="1">
        <f ca="1">+BS!J24</f>
        <v>27563.49304018058</v>
      </c>
      <c r="K4" s="1">
        <f ca="1">+BS!K24</f>
        <v>34746.900714526942</v>
      </c>
      <c r="L4" s="1">
        <f ca="1">+BS!L24</f>
        <v>42690.071394909668</v>
      </c>
      <c r="M4" s="1">
        <f ca="1">+BS!M24</f>
        <v>51310.614566868753</v>
      </c>
      <c r="N4" s="1">
        <f ca="1">+BS!N24</f>
        <v>60593.186019866858</v>
      </c>
      <c r="O4" s="1">
        <f ca="1">+BS!O24</f>
        <v>71209.685217968261</v>
      </c>
      <c r="P4" s="1">
        <f ca="1">+BS!P24</f>
        <v>81189.671361228247</v>
      </c>
      <c r="Q4" s="1">
        <f ca="1">+BS!Q24</f>
        <v>89914.699259629255</v>
      </c>
    </row>
    <row r="5" spans="1:17" x14ac:dyDescent="0.25">
      <c r="A5" t="s">
        <v>685</v>
      </c>
      <c r="B5" s="1"/>
      <c r="C5" s="1"/>
      <c r="D5" s="1">
        <f>+CF!D23</f>
        <v>2265</v>
      </c>
      <c r="E5" s="1">
        <f>+CF!E23</f>
        <v>3705</v>
      </c>
      <c r="F5" s="1">
        <f>+CF!F23</f>
        <v>166</v>
      </c>
      <c r="G5" s="1">
        <f>+CF!G23</f>
        <v>2211.2999999999997</v>
      </c>
      <c r="H5" s="1">
        <f>+CF!H23</f>
        <v>0</v>
      </c>
      <c r="I5" s="1">
        <f>+CF!I23</f>
        <v>0</v>
      </c>
      <c r="J5" s="1">
        <f>+CF!J23</f>
        <v>0</v>
      </c>
      <c r="K5" s="1">
        <f>+CF!K23</f>
        <v>0</v>
      </c>
      <c r="L5" s="1">
        <f>+CF!L23</f>
        <v>0</v>
      </c>
      <c r="M5" s="1">
        <f>+CF!M23</f>
        <v>0</v>
      </c>
      <c r="N5" s="1">
        <f>+CF!N23</f>
        <v>0</v>
      </c>
      <c r="O5" s="1">
        <f>+CF!O23</f>
        <v>0</v>
      </c>
      <c r="P5" s="1">
        <f>+CF!P23</f>
        <v>0</v>
      </c>
      <c r="Q5" s="1">
        <f>+CF!Q23</f>
        <v>0</v>
      </c>
    </row>
    <row r="6" spans="1:17" x14ac:dyDescent="0.25">
      <c r="A6" t="s">
        <v>680</v>
      </c>
      <c r="B6" s="1"/>
      <c r="C6" s="1">
        <v>-1140</v>
      </c>
      <c r="D6" s="1">
        <v>-14023</v>
      </c>
      <c r="E6" s="1">
        <v>-2609</v>
      </c>
      <c r="F6" s="1">
        <v>-14755</v>
      </c>
      <c r="G6" s="1">
        <f>+CF!G25</f>
        <v>-7389</v>
      </c>
      <c r="H6" s="1">
        <f ca="1">+CF!H25</f>
        <v>0</v>
      </c>
      <c r="I6" s="1">
        <f ca="1">+CF!I25</f>
        <v>0</v>
      </c>
      <c r="J6" s="1">
        <f ca="1">+CF!J25</f>
        <v>-8350.5704824277746</v>
      </c>
      <c r="K6" s="1">
        <f ca="1">+CF!K25</f>
        <v>-16538.095824108346</v>
      </c>
      <c r="L6" s="1">
        <f ca="1">+CF!L25</f>
        <v>-20848.140428716164</v>
      </c>
      <c r="M6" s="1">
        <f ca="1">+CF!M25</f>
        <v>-25614.042836945799</v>
      </c>
      <c r="N6" s="1">
        <f ca="1">+CF!N25</f>
        <v>-30786.368740121252</v>
      </c>
      <c r="O6" s="1">
        <f ca="1">+CF!O25</f>
        <v>-36355.911611920114</v>
      </c>
      <c r="P6" s="1">
        <f ca="1">+CF!P25</f>
        <v>-42725.811130780952</v>
      </c>
      <c r="Q6" s="1">
        <f ca="1">+CF!Q25</f>
        <v>-48713.802816736948</v>
      </c>
    </row>
    <row r="7" spans="1:17" x14ac:dyDescent="0.25">
      <c r="A7" t="s">
        <v>681</v>
      </c>
      <c r="B7" s="1"/>
      <c r="C7" s="1"/>
      <c r="D7" s="1">
        <v>747</v>
      </c>
      <c r="E7" s="1">
        <v>317</v>
      </c>
      <c r="F7" s="1">
        <v>934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t="s">
        <v>686</v>
      </c>
      <c r="B8" s="1"/>
      <c r="C8" s="1"/>
      <c r="D8" s="1">
        <v>-101</v>
      </c>
      <c r="E8" s="1">
        <v>-21</v>
      </c>
      <c r="F8" s="1">
        <f>-190-147</f>
        <v>-337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5">
      <c r="A9" t="s">
        <v>682</v>
      </c>
      <c r="B9" s="1"/>
      <c r="C9" s="1"/>
      <c r="D9" s="1"/>
      <c r="E9" s="1">
        <f>+CF!E24</f>
        <v>10946</v>
      </c>
      <c r="F9" s="1">
        <f>-497-156</f>
        <v>-653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5">
      <c r="A10" t="s">
        <v>683</v>
      </c>
      <c r="B10" s="1"/>
      <c r="C10" s="1"/>
      <c r="D10" s="1"/>
      <c r="E10" s="1">
        <v>-41</v>
      </c>
      <c r="F10" s="1">
        <v>57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5">
      <c r="A11" t="s">
        <v>71</v>
      </c>
      <c r="B11" s="1"/>
      <c r="C11" s="1">
        <f>1796+1140</f>
        <v>2936</v>
      </c>
      <c r="D11" s="1">
        <v>-29</v>
      </c>
      <c r="E11" s="1">
        <v>-22</v>
      </c>
      <c r="F11" s="1">
        <v>97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 t="s">
        <v>199</v>
      </c>
      <c r="B12" s="1">
        <f>SUM(B3:B11)</f>
        <v>13741</v>
      </c>
      <c r="C12" s="1">
        <f>SUM(C3:C11)</f>
        <v>50412</v>
      </c>
      <c r="D12" s="1">
        <f t="shared" ref="D12:G12" si="6">SUM(D3:D11)</f>
        <v>40141</v>
      </c>
      <c r="E12" s="1">
        <f t="shared" si="6"/>
        <v>66761</v>
      </c>
      <c r="F12" s="1">
        <f t="shared" si="6"/>
        <v>63394.372687499999</v>
      </c>
      <c r="G12" s="1">
        <f t="shared" ca="1" si="6"/>
        <v>72054.622942921647</v>
      </c>
      <c r="H12" s="1">
        <f t="shared" ref="H12" ca="1" si="7">SUM(H3:H11)</f>
        <v>83001.74337684401</v>
      </c>
      <c r="I12" s="1">
        <f t="shared" ref="I12" ca="1" si="8">SUM(I3:I11)</f>
        <v>96919.360847556964</v>
      </c>
      <c r="J12" s="1">
        <f t="shared" ref="J12" ca="1" si="9">SUM(J3:J11)</f>
        <v>116132.28340530976</v>
      </c>
      <c r="K12" s="1">
        <f t="shared" ref="K12" ca="1" si="10">SUM(K3:K11)</f>
        <v>134341.08829572838</v>
      </c>
      <c r="L12" s="1">
        <f t="shared" ref="L12" ca="1" si="11">SUM(L3:L11)</f>
        <v>156183.01926192187</v>
      </c>
      <c r="M12" s="1">
        <f t="shared" ref="M12" ca="1" si="12">SUM(M3:M11)</f>
        <v>181879.59099184483</v>
      </c>
      <c r="N12" s="1">
        <f t="shared" ref="N12:Q12" ca="1" si="13">SUM(N3:N11)</f>
        <v>211686.40827159042</v>
      </c>
      <c r="O12" s="1">
        <f t="shared" ca="1" si="13"/>
        <v>246540.18187763856</v>
      </c>
      <c r="P12" s="1">
        <f t="shared" ca="1" si="13"/>
        <v>285004.04210808582</v>
      </c>
      <c r="Q12" s="1">
        <f t="shared" ca="1" si="13"/>
        <v>326204.93855097808</v>
      </c>
    </row>
    <row r="13" spans="1:17" x14ac:dyDescent="0.25">
      <c r="B13" s="1">
        <f>+BS!B25</f>
        <v>13741</v>
      </c>
      <c r="C13" s="1">
        <f>+BS!C25</f>
        <v>50412</v>
      </c>
      <c r="D13" s="1">
        <f>+BS!D25</f>
        <v>40141</v>
      </c>
      <c r="E13" s="1">
        <f>+BS!E25</f>
        <v>66761</v>
      </c>
      <c r="F13" s="1">
        <f>+BS!F25</f>
        <v>63394.607510221897</v>
      </c>
      <c r="G13" s="1">
        <f ca="1">+BS!G25</f>
        <v>72054.622942921647</v>
      </c>
      <c r="H13" s="1">
        <f ca="1">+BS!H25</f>
        <v>83001.74337684401</v>
      </c>
      <c r="I13" s="1">
        <f ca="1">+BS!I25</f>
        <v>96919.360847556964</v>
      </c>
      <c r="J13" s="1">
        <f ca="1">+BS!J25</f>
        <v>116132.28340530976</v>
      </c>
      <c r="K13" s="1">
        <f ca="1">+BS!K25</f>
        <v>134341.08829572838</v>
      </c>
      <c r="L13" s="1">
        <f ca="1">+BS!L25</f>
        <v>156183.01926192187</v>
      </c>
      <c r="M13" s="1">
        <f ca="1">+BS!M25</f>
        <v>181879.59099184483</v>
      </c>
      <c r="N13" s="1">
        <f ca="1">+BS!N25</f>
        <v>211686.40827159042</v>
      </c>
      <c r="O13" s="1">
        <f ca="1">+BS!O25</f>
        <v>246540.18187763856</v>
      </c>
      <c r="P13" s="1">
        <f ca="1">+BS!P25</f>
        <v>285004.04210808582</v>
      </c>
      <c r="Q13" s="1">
        <f ca="1">+BS!Q25</f>
        <v>326204.93855097814</v>
      </c>
    </row>
    <row r="14" spans="1:17" x14ac:dyDescent="0.25">
      <c r="A14" t="s">
        <v>684</v>
      </c>
      <c r="B14" s="1"/>
      <c r="C14" s="1">
        <f>+C12-C13</f>
        <v>0</v>
      </c>
      <c r="D14" s="1">
        <f t="shared" ref="D14:G14" si="14">+D12-D13</f>
        <v>0</v>
      </c>
      <c r="E14" s="1">
        <f t="shared" si="14"/>
        <v>0</v>
      </c>
      <c r="F14" s="1">
        <f t="shared" si="14"/>
        <v>-0.23482272189721698</v>
      </c>
      <c r="G14" s="1">
        <f t="shared" ca="1" si="14"/>
        <v>0</v>
      </c>
      <c r="H14" s="1">
        <f t="shared" ref="H14" ca="1" si="15">+H12-H13</f>
        <v>0</v>
      </c>
      <c r="I14" s="1">
        <f t="shared" ref="I14" ca="1" si="16">+I12-I13</f>
        <v>0</v>
      </c>
      <c r="J14" s="1">
        <f t="shared" ref="J14" ca="1" si="17">+J12-J13</f>
        <v>0</v>
      </c>
      <c r="K14" s="1">
        <f t="shared" ref="K14" ca="1" si="18">+K12-K13</f>
        <v>0</v>
      </c>
      <c r="L14" s="1">
        <f t="shared" ref="L14" ca="1" si="19">+L12-L13</f>
        <v>0</v>
      </c>
      <c r="M14" s="1">
        <f t="shared" ref="M14" ca="1" si="20">+M12-M13</f>
        <v>0</v>
      </c>
      <c r="N14" s="1">
        <f t="shared" ref="N14:Q14" ca="1" si="21">+N12-N13</f>
        <v>0</v>
      </c>
      <c r="O14" s="1">
        <f t="shared" ca="1" si="21"/>
        <v>0</v>
      </c>
      <c r="P14" s="1">
        <f t="shared" ca="1" si="21"/>
        <v>0</v>
      </c>
      <c r="Q14" s="1">
        <f t="shared" ca="1" si="21"/>
        <v>0</v>
      </c>
    </row>
    <row r="16" spans="1:17" x14ac:dyDescent="0.25">
      <c r="D16" s="1">
        <f>+C13-D13</f>
        <v>10271</v>
      </c>
      <c r="E16" s="1">
        <f>+D13-E13</f>
        <v>-26620</v>
      </c>
      <c r="F16" s="1">
        <f t="shared" ref="F16:I16" si="22">+E13-F13</f>
        <v>3366.3924897781035</v>
      </c>
      <c r="G16" s="1">
        <f t="shared" ca="1" si="22"/>
        <v>-8660.0154326997508</v>
      </c>
      <c r="H16" s="1">
        <f t="shared" ca="1" si="22"/>
        <v>-10947.120433922362</v>
      </c>
      <c r="I16" s="1">
        <f t="shared" ca="1" si="22"/>
        <v>-13917.617470712954</v>
      </c>
    </row>
    <row r="18" spans="4:9" x14ac:dyDescent="0.25">
      <c r="D18" s="1">
        <f>+D6</f>
        <v>-14023</v>
      </c>
      <c r="E18" s="1">
        <f>+E6</f>
        <v>-2609</v>
      </c>
      <c r="F18" s="1">
        <f t="shared" ref="F18:I18" si="23">+F6</f>
        <v>-14755</v>
      </c>
      <c r="G18" s="1">
        <f t="shared" si="23"/>
        <v>-7389</v>
      </c>
      <c r="H18" s="1">
        <f t="shared" ca="1" si="23"/>
        <v>0</v>
      </c>
      <c r="I18" s="1">
        <f t="shared" ca="1" si="23"/>
        <v>0</v>
      </c>
    </row>
    <row r="19" spans="4:9" x14ac:dyDescent="0.25">
      <c r="D19" s="1">
        <f>+D7+D8</f>
        <v>646</v>
      </c>
      <c r="E19" s="1">
        <f>+E7+E8</f>
        <v>296</v>
      </c>
      <c r="F19" s="1">
        <f t="shared" ref="F19:I19" si="24">+F7+F8</f>
        <v>597</v>
      </c>
      <c r="G19" s="1">
        <f t="shared" si="24"/>
        <v>0</v>
      </c>
      <c r="H19" s="1">
        <f t="shared" si="24"/>
        <v>0</v>
      </c>
      <c r="I19" s="1">
        <f t="shared" si="24"/>
        <v>0</v>
      </c>
    </row>
    <row r="20" spans="4:9" x14ac:dyDescent="0.25">
      <c r="D20" s="1">
        <f>+D5</f>
        <v>2265</v>
      </c>
      <c r="E20" s="1">
        <f>+E5</f>
        <v>3705</v>
      </c>
      <c r="F20" s="1">
        <f t="shared" ref="F20:I20" si="25">+F5</f>
        <v>166</v>
      </c>
      <c r="G20" s="1">
        <f t="shared" si="25"/>
        <v>2211.2999999999997</v>
      </c>
      <c r="H20" s="1">
        <f t="shared" si="25"/>
        <v>0</v>
      </c>
      <c r="I20" s="1">
        <f t="shared" si="25"/>
        <v>0</v>
      </c>
    </row>
    <row r="21" spans="4:9" x14ac:dyDescent="0.25">
      <c r="D21" s="1">
        <f>+D11</f>
        <v>-29</v>
      </c>
      <c r="E21" s="1">
        <f>+E11</f>
        <v>-22</v>
      </c>
      <c r="F21" s="1">
        <f t="shared" ref="F21:I21" si="26">+F11</f>
        <v>97</v>
      </c>
      <c r="G21" s="1">
        <f t="shared" si="26"/>
        <v>0</v>
      </c>
      <c r="H21" s="1">
        <f t="shared" si="26"/>
        <v>0</v>
      </c>
      <c r="I21" s="1">
        <f t="shared" si="26"/>
        <v>0</v>
      </c>
    </row>
    <row r="22" spans="4:9" x14ac:dyDescent="0.25">
      <c r="D22" s="1"/>
      <c r="E22" s="1">
        <f>+E9</f>
        <v>10946</v>
      </c>
      <c r="F22" s="1"/>
      <c r="G22" s="1"/>
      <c r="H22" s="1"/>
      <c r="I22" s="1"/>
    </row>
    <row r="23" spans="4:9" x14ac:dyDescent="0.25">
      <c r="D23" s="1">
        <f>+D4</f>
        <v>870</v>
      </c>
      <c r="E23" s="1">
        <f>+E4</f>
        <v>14345</v>
      </c>
      <c r="F23" s="1">
        <f t="shared" ref="F23:I23" si="27">+F4</f>
        <v>11124.372687499997</v>
      </c>
      <c r="G23" s="1">
        <f t="shared" ca="1" si="27"/>
        <v>13837.715432699748</v>
      </c>
      <c r="H23" s="1">
        <f t="shared" ca="1" si="27"/>
        <v>10947.120433922366</v>
      </c>
      <c r="I23" s="1">
        <f t="shared" ca="1" si="27"/>
        <v>13917.617470712958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3:N30"/>
  <sheetViews>
    <sheetView workbookViewId="0"/>
  </sheetViews>
  <sheetFormatPr defaultRowHeight="15.75" x14ac:dyDescent="0.25"/>
  <cols>
    <col min="2" max="2" width="19.875" bestFit="1" customWidth="1"/>
  </cols>
  <sheetData>
    <row r="3" spans="2:14" x14ac:dyDescent="0.25">
      <c r="B3" s="127"/>
      <c r="C3" s="127">
        <f>+Assumptions!F2</f>
        <v>2011</v>
      </c>
      <c r="D3" s="127">
        <f>+Assumptions!G2</f>
        <v>2012</v>
      </c>
      <c r="E3" s="127">
        <f>+Assumptions!H2</f>
        <v>2013</v>
      </c>
      <c r="F3" s="127">
        <f>+Assumptions!I2</f>
        <v>2014</v>
      </c>
      <c r="G3" s="127">
        <f>+Assumptions!J2</f>
        <v>2015</v>
      </c>
      <c r="H3" s="127">
        <f>+Assumptions!K2</f>
        <v>2016</v>
      </c>
      <c r="I3" s="127">
        <f>+Assumptions!L2</f>
        <v>2017</v>
      </c>
      <c r="J3" s="127">
        <f>+Assumptions!M2</f>
        <v>2018</v>
      </c>
      <c r="K3" s="127">
        <f>+Assumptions!N2</f>
        <v>2019</v>
      </c>
      <c r="L3" s="127">
        <f>+Assumptions!O2</f>
        <v>2020</v>
      </c>
      <c r="M3" s="127">
        <f>+Assumptions!P2</f>
        <v>2021</v>
      </c>
      <c r="N3" s="127">
        <f>+Assumptions!Q2</f>
        <v>2022</v>
      </c>
    </row>
    <row r="4" spans="2:14" x14ac:dyDescent="0.25">
      <c r="B4" s="410"/>
      <c r="C4" s="410"/>
      <c r="D4" s="410"/>
      <c r="E4" s="410"/>
      <c r="F4" s="410"/>
      <c r="G4" s="410"/>
      <c r="H4" s="410"/>
      <c r="I4" s="410"/>
      <c r="J4" s="410"/>
      <c r="K4" s="410"/>
      <c r="L4" s="410"/>
      <c r="M4" s="410"/>
      <c r="N4" s="410"/>
    </row>
    <row r="5" spans="2:14" x14ac:dyDescent="0.25">
      <c r="B5" s="427" t="s">
        <v>569</v>
      </c>
      <c r="C5" s="411">
        <f>+turnover!F136</f>
        <v>65978</v>
      </c>
      <c r="D5" s="411">
        <f>+turnover!G136</f>
        <v>87885</v>
      </c>
      <c r="E5" s="411">
        <f>+turnover!H136</f>
        <v>110157.336828</v>
      </c>
      <c r="F5" s="411">
        <f>+turnover!I136</f>
        <v>169798.59735300002</v>
      </c>
      <c r="G5" s="411">
        <f>+turnover!J136</f>
        <v>241234.36207101002</v>
      </c>
      <c r="H5" s="411">
        <f>+turnover!K136</f>
        <v>273219.31286149507</v>
      </c>
      <c r="I5" s="411">
        <f>+turnover!L136</f>
        <v>309617.58971785952</v>
      </c>
      <c r="J5" s="411">
        <f>+turnover!M136</f>
        <v>350712.29247228423</v>
      </c>
      <c r="K5" s="411">
        <f>+turnover!N136</f>
        <v>397155.75706506422</v>
      </c>
      <c r="L5" s="411">
        <f>+turnover!O136</f>
        <v>450126.26635315729</v>
      </c>
      <c r="M5" s="411">
        <f>+turnover!P136</f>
        <v>510025.82162586716</v>
      </c>
      <c r="N5" s="411">
        <f>+turnover!Q136</f>
        <v>577597.87682856934</v>
      </c>
    </row>
    <row r="6" spans="2:14" x14ac:dyDescent="0.25">
      <c r="B6" s="427" t="s">
        <v>570</v>
      </c>
      <c r="C6" s="411">
        <f>+turnover!F165-turnover!F136+(+BS!E11-BS!F11)</f>
        <v>84066</v>
      </c>
      <c r="D6" s="411">
        <f ca="1">+turnover!G165-turnover!G136+(+BS!F11-BS!G11)</f>
        <v>92385.766861222015</v>
      </c>
      <c r="E6" s="411">
        <f ca="1">+turnover!H165-turnover!H136+(+BS!G11-BS!H11)</f>
        <v>77931.104913718154</v>
      </c>
      <c r="F6" s="411">
        <f ca="1">+turnover!I165-turnover!I136+(+BS!H11-BS!I11)</f>
        <v>100984.70147212781</v>
      </c>
      <c r="G6" s="411">
        <f ca="1">+turnover!J165-turnover!J136+(+BS!I11-BS!J11)</f>
        <v>116508.69800488913</v>
      </c>
      <c r="H6" s="411">
        <f ca="1">+turnover!K165-turnover!K136+(+BS!J11-BS!K11)</f>
        <v>119858.91886120118</v>
      </c>
      <c r="I6" s="411">
        <f ca="1">+turnover!L165-turnover!L136+(+BS!K11-BS!L11)</f>
        <v>136291.71879103952</v>
      </c>
      <c r="J6" s="411">
        <f ca="1">+turnover!M165-turnover!M136+(+BS!L11-BS!M11)</f>
        <v>155198.27571196802</v>
      </c>
      <c r="K6" s="411">
        <f ca="1">+turnover!N165-turnover!N136+(+BS!M11-BS!N11)</f>
        <v>176988.35467589548</v>
      </c>
      <c r="L6" s="411">
        <f ca="1">+turnover!O165-turnover!O136+(+BS!N11-BS!O11)</f>
        <v>194445.93287755962</v>
      </c>
      <c r="M6" s="411">
        <f ca="1">+turnover!P165-turnover!P136+(+BS!O11-BS!P11)</f>
        <v>221149.28437167819</v>
      </c>
      <c r="N6" s="411">
        <f ca="1">+turnover!Q165-turnover!Q136+(+BS!P11-BS!Q11)</f>
        <v>251088.30055168056</v>
      </c>
    </row>
    <row r="7" spans="2:14" x14ac:dyDescent="0.25">
      <c r="B7" s="428" t="s">
        <v>571</v>
      </c>
      <c r="C7" s="429">
        <f>+C6+C5</f>
        <v>150044</v>
      </c>
      <c r="D7" s="429">
        <f t="shared" ref="D7:K7" ca="1" si="0">+D6+D5</f>
        <v>180270.76686122201</v>
      </c>
      <c r="E7" s="429">
        <f t="shared" ca="1" si="0"/>
        <v>188088.44174171815</v>
      </c>
      <c r="F7" s="429">
        <f t="shared" ca="1" si="0"/>
        <v>270783.29882512783</v>
      </c>
      <c r="G7" s="429">
        <f t="shared" ca="1" si="0"/>
        <v>357743.06007589912</v>
      </c>
      <c r="H7" s="429">
        <f t="shared" ca="1" si="0"/>
        <v>393078.23172269622</v>
      </c>
      <c r="I7" s="429">
        <f t="shared" ca="1" si="0"/>
        <v>445909.30850889906</v>
      </c>
      <c r="J7" s="429">
        <f t="shared" ca="1" si="0"/>
        <v>505910.56818425225</v>
      </c>
      <c r="K7" s="429">
        <f t="shared" ca="1" si="0"/>
        <v>574144.11174095969</v>
      </c>
      <c r="L7" s="429">
        <f t="shared" ref="L7:N7" ca="1" si="1">+L6+L5</f>
        <v>644572.19923071691</v>
      </c>
      <c r="M7" s="429">
        <f t="shared" ca="1" si="1"/>
        <v>731175.10599754541</v>
      </c>
      <c r="N7" s="429">
        <f t="shared" ca="1" si="1"/>
        <v>828686.17738024984</v>
      </c>
    </row>
    <row r="8" spans="2:14" x14ac:dyDescent="0.25">
      <c r="B8" s="410"/>
      <c r="C8" s="410"/>
      <c r="D8" s="410"/>
      <c r="E8" s="410"/>
      <c r="F8" s="410"/>
      <c r="G8" s="410"/>
      <c r="H8" s="410"/>
      <c r="I8" s="410"/>
      <c r="J8" s="410"/>
      <c r="K8" s="410"/>
      <c r="L8" s="410"/>
      <c r="M8" s="410"/>
      <c r="N8" s="410"/>
    </row>
    <row r="9" spans="2:14" x14ac:dyDescent="0.25">
      <c r="B9" s="410"/>
      <c r="C9" s="410"/>
      <c r="D9" s="410"/>
      <c r="E9" s="410"/>
      <c r="F9" s="410"/>
      <c r="G9" s="410"/>
      <c r="H9" s="410"/>
      <c r="I9" s="410"/>
      <c r="J9" s="410"/>
      <c r="K9" s="410"/>
      <c r="L9" s="410"/>
      <c r="M9" s="410"/>
      <c r="N9" s="410"/>
    </row>
    <row r="10" spans="2:14" x14ac:dyDescent="0.25">
      <c r="B10" s="427" t="s">
        <v>572</v>
      </c>
      <c r="C10" s="411">
        <f ca="1">+cogs!G16-C11</f>
        <v>-92441.094243271786</v>
      </c>
      <c r="D10" s="411">
        <f ca="1">+cogs!H16-D11</f>
        <v>-95061.00621865</v>
      </c>
      <c r="E10" s="411">
        <f ca="1">+cogs!I16-E11</f>
        <v>-114378.48610284041</v>
      </c>
      <c r="F10" s="411">
        <f ca="1">+cogs!J16-F11</f>
        <v>-155181.25734006698</v>
      </c>
      <c r="G10" s="411">
        <f ca="1">+cogs!K16-G11</f>
        <v>-199794.46793332876</v>
      </c>
      <c r="H10" s="411">
        <f ca="1">+cogs!L16-H11</f>
        <v>-224211.45642822681</v>
      </c>
      <c r="I10" s="411">
        <f ca="1">+cogs!M16-I11</f>
        <v>-251642.18906920205</v>
      </c>
      <c r="J10" s="411">
        <f ca="1">+cogs!N16-J11</f>
        <v>-282465.95016558334</v>
      </c>
      <c r="K10" s="411">
        <f ca="1">+cogs!O16-K11</f>
        <v>-317109.8854303126</v>
      </c>
      <c r="L10" s="411">
        <f ca="1">+cogs!P16-L11</f>
        <v>-356056.72376145341</v>
      </c>
      <c r="M10" s="411">
        <f ca="1">+cogs!Q16-M11</f>
        <v>-399853.35029680398</v>
      </c>
      <c r="N10" s="411">
        <f ca="1">+cogs!R16-N11</f>
        <v>-449117.28459588211</v>
      </c>
    </row>
    <row r="11" spans="2:14" x14ac:dyDescent="0.25">
      <c r="B11" s="427" t="s">
        <v>577</v>
      </c>
      <c r="C11" s="411">
        <f>-+(bom!BO178+bom!BO179)/1000</f>
        <v>-10138.842029442601</v>
      </c>
      <c r="D11" s="411">
        <f ca="1">-+(bom!BP178+bom!BP179)/1000</f>
        <v>-10764.59361236</v>
      </c>
      <c r="E11" s="411">
        <f ca="1">-+(bom!BQ178+bom!BQ179)/1000</f>
        <v>-13156.396759115401</v>
      </c>
      <c r="F11" s="411">
        <f ca="1">-+(bom!BR178+bom!BR179)/1000</f>
        <v>-15615.364551200684</v>
      </c>
      <c r="G11" s="411">
        <f ca="1">-+(bom!BS178+bom!BS179)/1000</f>
        <v>-17421.80113773112</v>
      </c>
      <c r="H11" s="411">
        <f ca="1">-+(bom!BT178+bom!BT179)/1000</f>
        <v>-19529.829749320961</v>
      </c>
      <c r="I11" s="411">
        <f ca="1">-+(bom!BU178+bom!BU179)/1000</f>
        <v>-21892.903950503842</v>
      </c>
      <c r="J11" s="411">
        <f ca="1">-+(bom!BV178+bom!BV179)/1000</f>
        <v>-24541.921639177523</v>
      </c>
      <c r="K11" s="411">
        <f ca="1">-+(bom!BW178+bom!BW179)/1000</f>
        <v>-27511.531160674724</v>
      </c>
      <c r="L11" s="411">
        <f ca="1">-+(bom!BX178+bom!BX179)/1000</f>
        <v>-30840.379729545919</v>
      </c>
      <c r="M11" s="411">
        <f ca="1">-+(bom!BY178+bom!BY179)/1000</f>
        <v>-34572.060898883283</v>
      </c>
      <c r="N11" s="411">
        <f ca="1">-+(bom!BZ178+bom!BZ179)/1000</f>
        <v>-38755.251625619843</v>
      </c>
    </row>
    <row r="12" spans="2:14" x14ac:dyDescent="0.25">
      <c r="B12" s="427" t="s">
        <v>579</v>
      </c>
      <c r="C12" s="411">
        <f>-'operating expenses'!F93</f>
        <v>-22133.755000000001</v>
      </c>
      <c r="D12" s="411">
        <f ca="1">-'operating expenses'!G93</f>
        <v>-20538.932239785841</v>
      </c>
      <c r="E12" s="411">
        <f ca="1">-'operating expenses'!H93</f>
        <v>-23770.928346596218</v>
      </c>
      <c r="F12" s="411">
        <f ca="1">-'operating expenses'!I93</f>
        <v>-28899.309022759466</v>
      </c>
      <c r="G12" s="411">
        <f ca="1">-'operating expenses'!J93</f>
        <v>-33674.744255211088</v>
      </c>
      <c r="H12" s="411">
        <f ca="1">-'operating expenses'!K93</f>
        <v>-36826.769404235944</v>
      </c>
      <c r="I12" s="411">
        <f ca="1">-'operating expenses'!L93</f>
        <v>-40413.802886396501</v>
      </c>
      <c r="J12" s="411">
        <f ca="1">-'operating expenses'!M93</f>
        <v>-44479.20033306961</v>
      </c>
      <c r="K12" s="411">
        <f ca="1">-'operating expenses'!N93</f>
        <v>-49085.2491865798</v>
      </c>
      <c r="L12" s="411">
        <f ca="1">-'operating expenses'!O93</f>
        <v>-54334.568159699353</v>
      </c>
      <c r="M12" s="411">
        <f ca="1">-'operating expenses'!P93</f>
        <v>-60316.000881691041</v>
      </c>
      <c r="N12" s="411">
        <f ca="1">-'operating expenses'!Q93</f>
        <v>-67150.837585231522</v>
      </c>
    </row>
    <row r="13" spans="2:14" x14ac:dyDescent="0.25">
      <c r="B13" s="427" t="s">
        <v>574</v>
      </c>
      <c r="C13" s="411">
        <f>+PL!F16</f>
        <v>-5802.7550000000001</v>
      </c>
      <c r="D13" s="411">
        <f ca="1">+PL!G16</f>
        <v>-6443.9322397858432</v>
      </c>
      <c r="E13" s="411">
        <f ca="1">+PL!H16</f>
        <v>-7522.7410958162163</v>
      </c>
      <c r="F13" s="411">
        <f ca="1">+PL!I16</f>
        <v>-10035.203378979468</v>
      </c>
      <c r="G13" s="411">
        <f ca="1">+PL!J16</f>
        <v>-12801.672421475989</v>
      </c>
      <c r="H13" s="411">
        <f ca="1">+PL!K16</f>
        <v>-14499.939287545996</v>
      </c>
      <c r="I13" s="411">
        <f ca="1">+PL!L16</f>
        <v>-16437.136226092909</v>
      </c>
      <c r="J13" s="411">
        <f ca="1">+PL!M16</f>
        <v>-18636.732870171767</v>
      </c>
      <c r="K13" s="411">
        <f ca="1">+PL!N16</f>
        <v>-21137.493302704159</v>
      </c>
      <c r="L13" s="411">
        <f ca="1">+PL!O16</f>
        <v>-23987.078407892783</v>
      </c>
      <c r="M13" s="411">
        <f ca="1">+PL!P16</f>
        <v>-27219.949302107372</v>
      </c>
      <c r="N13" s="411">
        <f ca="1">+PL!Q16</f>
        <v>-30925.636678570841</v>
      </c>
    </row>
    <row r="14" spans="2:14" x14ac:dyDescent="0.25">
      <c r="B14" s="427" t="s">
        <v>14</v>
      </c>
      <c r="C14" s="411">
        <f>+PL!F35</f>
        <v>-1370.3085624999997</v>
      </c>
      <c r="D14" s="411">
        <f ca="1">+PL!G35</f>
        <v>-2191.1022046713924</v>
      </c>
      <c r="E14" s="411">
        <f ca="1">+PL!H35</f>
        <v>-1778.1600619889095</v>
      </c>
      <c r="F14" s="411">
        <f ca="1">+PL!I35</f>
        <v>-2202.5167815304226</v>
      </c>
      <c r="G14" s="411">
        <f ca="1">+PL!J35</f>
        <v>-4151.9275771686544</v>
      </c>
      <c r="H14" s="411">
        <f ca="1">+PL!K35</f>
        <v>-5178.1286735038493</v>
      </c>
      <c r="I14" s="411">
        <f ca="1">+PL!L35</f>
        <v>-6312.8673421299527</v>
      </c>
      <c r="J14" s="411">
        <f ca="1">+PL!M35</f>
        <v>-7544.373509552679</v>
      </c>
      <c r="K14" s="411">
        <f ca="1">+PL!N35</f>
        <v>-8870.4551456952649</v>
      </c>
      <c r="L14" s="411">
        <f ca="1">+PL!O35</f>
        <v>-10387.09788828118</v>
      </c>
      <c r="M14" s="411">
        <f ca="1">+PL!P35</f>
        <v>-11812.810194461179</v>
      </c>
      <c r="N14" s="411">
        <f ca="1">+PL!Q35</f>
        <v>-13059.242751375608</v>
      </c>
    </row>
    <row r="15" spans="2:14" x14ac:dyDescent="0.25">
      <c r="B15" s="427" t="s">
        <v>575</v>
      </c>
      <c r="C15" s="411">
        <f>(-+'operating expenses'!F91+cogs!G18)*1.25*80/125</f>
        <v>-14486.2</v>
      </c>
      <c r="D15" s="411">
        <f>(-+'operating expenses'!G91+cogs!H18)*1.25*80/125</f>
        <v>-21310.400000000001</v>
      </c>
      <c r="E15" s="411">
        <f>(-+'operating expenses'!H91+cogs!I18)*1.25*80/125</f>
        <v>-26165.184000000001</v>
      </c>
      <c r="F15" s="411">
        <f>(-+'operating expenses'!I91+cogs!J18)*1.25*80/125</f>
        <v>-31921.376</v>
      </c>
      <c r="G15" s="411">
        <f>(-+'operating expenses'!J91+cogs!K18)*1.25*80/125</f>
        <v>-38944.288</v>
      </c>
      <c r="H15" s="411">
        <f>(-+'operating expenses'!K91+cogs!L18)*1.25*80/125</f>
        <v>-47512.639999999999</v>
      </c>
      <c r="I15" s="411">
        <f>(-+'operating expenses'!L91+cogs!M18)*1.25*80/125</f>
        <v>-57965.088000000003</v>
      </c>
      <c r="J15" s="411">
        <f>(-+'operating expenses'!M91+cogs!N18)*1.25*80/125</f>
        <v>-70717.216</v>
      </c>
      <c r="K15" s="411">
        <f>(-+'operating expenses'!N91+cogs!O18)*1.25*80/125</f>
        <v>-86274.911999999997</v>
      </c>
      <c r="L15" s="411">
        <f>(-+'operating expenses'!O91+cogs!P18)*1.25*80/125</f>
        <v>-105255.552</v>
      </c>
      <c r="M15" s="411">
        <f>(-+'operating expenses'!P91+cogs!Q18)*1.25*80/125</f>
        <v>-128410.784</v>
      </c>
      <c r="N15" s="411">
        <f>(-+'operating expenses'!Q91+cogs!R18)*1.25*80/125</f>
        <v>-156661.47200000001</v>
      </c>
    </row>
    <row r="16" spans="2:14" x14ac:dyDescent="0.25">
      <c r="B16" s="427" t="s">
        <v>576</v>
      </c>
      <c r="C16" s="411">
        <f>+C15/80*45</f>
        <v>-8148.4875000000011</v>
      </c>
      <c r="D16" s="411">
        <f t="shared" ref="D16:K16" si="2">+D15/80*45</f>
        <v>-11987.1</v>
      </c>
      <c r="E16" s="411">
        <f t="shared" si="2"/>
        <v>-14717.915999999999</v>
      </c>
      <c r="F16" s="411">
        <f t="shared" si="2"/>
        <v>-17955.774000000001</v>
      </c>
      <c r="G16" s="411">
        <f t="shared" si="2"/>
        <v>-21906.162</v>
      </c>
      <c r="H16" s="411">
        <f t="shared" si="2"/>
        <v>-26725.86</v>
      </c>
      <c r="I16" s="411">
        <f t="shared" si="2"/>
        <v>-32605.362000000005</v>
      </c>
      <c r="J16" s="411">
        <f t="shared" si="2"/>
        <v>-39778.434000000001</v>
      </c>
      <c r="K16" s="411">
        <f t="shared" si="2"/>
        <v>-48529.637999999999</v>
      </c>
      <c r="L16" s="411">
        <f t="shared" ref="L16:N16" si="3">+L15/80*45</f>
        <v>-59206.247999999992</v>
      </c>
      <c r="M16" s="411">
        <f t="shared" si="3"/>
        <v>-72231.066000000006</v>
      </c>
      <c r="N16" s="411">
        <f t="shared" si="3"/>
        <v>-88122.078000000009</v>
      </c>
    </row>
    <row r="17" spans="2:14" ht="8.25" customHeight="1" x14ac:dyDescent="0.25">
      <c r="B17" s="410"/>
      <c r="C17" s="410"/>
      <c r="D17" s="410"/>
      <c r="E17" s="410"/>
      <c r="F17" s="410"/>
      <c r="G17" s="410"/>
      <c r="H17" s="410"/>
      <c r="I17" s="410"/>
      <c r="J17" s="410"/>
      <c r="K17" s="410"/>
      <c r="L17" s="410"/>
      <c r="M17" s="410"/>
      <c r="N17" s="410"/>
    </row>
    <row r="18" spans="2:14" x14ac:dyDescent="0.25">
      <c r="B18" s="428" t="s">
        <v>581</v>
      </c>
      <c r="C18" s="429">
        <f ca="1">SUM(C10:C17)</f>
        <v>-154521.44233521441</v>
      </c>
      <c r="D18" s="429">
        <f t="shared" ref="D18:K18" ca="1" si="4">SUM(D10:D17)</f>
        <v>-168297.06651525307</v>
      </c>
      <c r="E18" s="429">
        <f t="shared" ca="1" si="4"/>
        <v>-201489.81236635719</v>
      </c>
      <c r="F18" s="429">
        <f t="shared" ca="1" si="4"/>
        <v>-261810.80107453701</v>
      </c>
      <c r="G18" s="429">
        <f t="shared" ca="1" si="4"/>
        <v>-328695.06332491565</v>
      </c>
      <c r="H18" s="429">
        <f t="shared" ca="1" si="4"/>
        <v>-374484.62354283355</v>
      </c>
      <c r="I18" s="429">
        <f t="shared" ca="1" si="4"/>
        <v>-427269.34947432525</v>
      </c>
      <c r="J18" s="429">
        <f t="shared" ca="1" si="4"/>
        <v>-488163.82851755497</v>
      </c>
      <c r="K18" s="429">
        <f t="shared" ca="1" si="4"/>
        <v>-558519.16422596655</v>
      </c>
      <c r="L18" s="429">
        <f t="shared" ref="L18:N18" ca="1" si="5">SUM(L10:L17)</f>
        <v>-640067.64794687263</v>
      </c>
      <c r="M18" s="429">
        <f t="shared" ca="1" si="5"/>
        <v>-734416.02157394681</v>
      </c>
      <c r="N18" s="429">
        <f t="shared" ca="1" si="5"/>
        <v>-843791.80323667987</v>
      </c>
    </row>
    <row r="19" spans="2:14" ht="7.5" customHeight="1" x14ac:dyDescent="0.25">
      <c r="B19" s="410"/>
      <c r="C19" s="410"/>
      <c r="D19" s="410"/>
      <c r="E19" s="410"/>
      <c r="F19" s="410"/>
      <c r="G19" s="410"/>
      <c r="H19" s="410"/>
      <c r="I19" s="410"/>
      <c r="J19" s="410"/>
      <c r="K19" s="410"/>
      <c r="L19" s="410"/>
      <c r="M19" s="410"/>
      <c r="N19" s="410"/>
    </row>
    <row r="20" spans="2:14" x14ac:dyDescent="0.25">
      <c r="B20" s="387" t="s">
        <v>580</v>
      </c>
      <c r="C20" s="130">
        <f ca="1">+C18+C7</f>
        <v>-4477.4423352144076</v>
      </c>
      <c r="D20" s="130">
        <f t="shared" ref="D20:K20" ca="1" si="6">+D18+D7</f>
        <v>11973.700345968944</v>
      </c>
      <c r="E20" s="130">
        <f t="shared" ca="1" si="6"/>
        <v>-13401.370624639036</v>
      </c>
      <c r="F20" s="130">
        <f t="shared" ca="1" si="6"/>
        <v>8972.4977505908173</v>
      </c>
      <c r="G20" s="130">
        <f t="shared" ca="1" si="6"/>
        <v>29047.996750983468</v>
      </c>
      <c r="H20" s="130">
        <f t="shared" ca="1" si="6"/>
        <v>18593.608179862669</v>
      </c>
      <c r="I20" s="130">
        <f t="shared" ca="1" si="6"/>
        <v>18639.959034573811</v>
      </c>
      <c r="J20" s="130">
        <f t="shared" ca="1" si="6"/>
        <v>17746.739666697278</v>
      </c>
      <c r="K20" s="130">
        <f t="shared" ca="1" si="6"/>
        <v>15624.947514993139</v>
      </c>
      <c r="L20" s="130">
        <f t="shared" ref="L20:N20" ca="1" si="7">+L18+L7</f>
        <v>4504.551283844281</v>
      </c>
      <c r="M20" s="130">
        <f t="shared" ca="1" si="7"/>
        <v>-3240.9155764013994</v>
      </c>
      <c r="N20" s="130">
        <f t="shared" ca="1" si="7"/>
        <v>-15105.625856430037</v>
      </c>
    </row>
    <row r="21" spans="2:14" ht="24.75" customHeight="1" x14ac:dyDescent="0.25">
      <c r="B21" s="410"/>
      <c r="C21" s="410"/>
      <c r="D21" s="410"/>
      <c r="E21" s="410"/>
      <c r="F21" s="410"/>
      <c r="G21" s="410"/>
      <c r="H21" s="410"/>
      <c r="I21" s="410"/>
      <c r="J21" s="410"/>
      <c r="K21" s="410"/>
      <c r="L21" s="410"/>
      <c r="M21" s="410"/>
      <c r="N21" s="410"/>
    </row>
    <row r="22" spans="2:14" x14ac:dyDescent="0.25">
      <c r="B22" s="428" t="s">
        <v>578</v>
      </c>
      <c r="C22" s="410"/>
      <c r="D22" s="410"/>
      <c r="E22" s="410"/>
      <c r="F22" s="410"/>
      <c r="G22" s="410"/>
      <c r="H22" s="410"/>
      <c r="I22" s="410"/>
      <c r="J22" s="410"/>
      <c r="K22" s="410"/>
      <c r="L22" s="410"/>
      <c r="M22" s="410"/>
      <c r="N22" s="410"/>
    </row>
    <row r="23" spans="2:14" x14ac:dyDescent="0.25">
      <c r="B23" s="410" t="str">
        <f>+B11</f>
        <v>gas &amp; electricity</v>
      </c>
      <c r="C23" s="411">
        <f>+C11</f>
        <v>-10138.842029442601</v>
      </c>
      <c r="D23" s="411">
        <f t="shared" ref="D23:K23" ca="1" si="8">+D11</f>
        <v>-10764.59361236</v>
      </c>
      <c r="E23" s="411">
        <f t="shared" ca="1" si="8"/>
        <v>-13156.396759115401</v>
      </c>
      <c r="F23" s="411">
        <f t="shared" ca="1" si="8"/>
        <v>-15615.364551200684</v>
      </c>
      <c r="G23" s="411">
        <f t="shared" ca="1" si="8"/>
        <v>-17421.80113773112</v>
      </c>
      <c r="H23" s="411">
        <f t="shared" ca="1" si="8"/>
        <v>-19529.829749320961</v>
      </c>
      <c r="I23" s="411">
        <f t="shared" ca="1" si="8"/>
        <v>-21892.903950503842</v>
      </c>
      <c r="J23" s="411">
        <f t="shared" ca="1" si="8"/>
        <v>-24541.921639177523</v>
      </c>
      <c r="K23" s="411">
        <f t="shared" ca="1" si="8"/>
        <v>-27511.531160674724</v>
      </c>
      <c r="L23" s="411">
        <f t="shared" ref="L23:N23" ca="1" si="9">+L11</f>
        <v>-30840.379729545919</v>
      </c>
      <c r="M23" s="411">
        <f t="shared" ca="1" si="9"/>
        <v>-34572.060898883283</v>
      </c>
      <c r="N23" s="411">
        <f t="shared" ca="1" si="9"/>
        <v>-38755.251625619843</v>
      </c>
    </row>
    <row r="24" spans="2:14" x14ac:dyDescent="0.25">
      <c r="B24" s="427" t="s">
        <v>36</v>
      </c>
      <c r="C24" s="411">
        <f>+C13+C14+C16</f>
        <v>-15321.551062500001</v>
      </c>
      <c r="D24" s="411">
        <f t="shared" ref="D24:K24" ca="1" si="10">+D13+D14+D16</f>
        <v>-20622.134444457239</v>
      </c>
      <c r="E24" s="411">
        <f t="shared" ca="1" si="10"/>
        <v>-24018.817157805126</v>
      </c>
      <c r="F24" s="411">
        <f t="shared" ca="1" si="10"/>
        <v>-30193.494160509894</v>
      </c>
      <c r="G24" s="411">
        <f t="shared" ca="1" si="10"/>
        <v>-38859.761998644644</v>
      </c>
      <c r="H24" s="411">
        <f t="shared" ca="1" si="10"/>
        <v>-46403.927961049849</v>
      </c>
      <c r="I24" s="411">
        <f t="shared" ca="1" si="10"/>
        <v>-55355.365568222871</v>
      </c>
      <c r="J24" s="411">
        <f t="shared" ca="1" si="10"/>
        <v>-65959.540379724451</v>
      </c>
      <c r="K24" s="411">
        <f t="shared" ca="1" si="10"/>
        <v>-78537.586448399423</v>
      </c>
      <c r="L24" s="411">
        <f t="shared" ref="L24:N24" ca="1" si="11">+L13+L14+L16</f>
        <v>-93580.424296173951</v>
      </c>
      <c r="M24" s="411">
        <f t="shared" ca="1" si="11"/>
        <v>-111263.82549656855</v>
      </c>
      <c r="N24" s="411">
        <f t="shared" ca="1" si="11"/>
        <v>-132106.95742994646</v>
      </c>
    </row>
    <row r="25" spans="2:14" x14ac:dyDescent="0.25">
      <c r="B25" s="427" t="str">
        <f>+B12</f>
        <v>other payments</v>
      </c>
      <c r="C25" s="411">
        <f>+C12</f>
        <v>-22133.755000000001</v>
      </c>
      <c r="D25" s="411">
        <f t="shared" ref="D25:K25" ca="1" si="12">+D12</f>
        <v>-20538.932239785841</v>
      </c>
      <c r="E25" s="411">
        <f t="shared" ca="1" si="12"/>
        <v>-23770.928346596218</v>
      </c>
      <c r="F25" s="411">
        <f t="shared" ca="1" si="12"/>
        <v>-28899.309022759466</v>
      </c>
      <c r="G25" s="411">
        <f t="shared" ca="1" si="12"/>
        <v>-33674.744255211088</v>
      </c>
      <c r="H25" s="411">
        <f t="shared" ca="1" si="12"/>
        <v>-36826.769404235944</v>
      </c>
      <c r="I25" s="411">
        <f t="shared" ca="1" si="12"/>
        <v>-40413.802886396501</v>
      </c>
      <c r="J25" s="411">
        <f t="shared" ca="1" si="12"/>
        <v>-44479.20033306961</v>
      </c>
      <c r="K25" s="411">
        <f t="shared" ca="1" si="12"/>
        <v>-49085.2491865798</v>
      </c>
      <c r="L25" s="411">
        <f t="shared" ref="L25:N25" ca="1" si="13">+L12</f>
        <v>-54334.568159699353</v>
      </c>
      <c r="M25" s="411">
        <f t="shared" ca="1" si="13"/>
        <v>-60316.000881691041</v>
      </c>
      <c r="N25" s="411">
        <f t="shared" ca="1" si="13"/>
        <v>-67150.837585231522</v>
      </c>
    </row>
    <row r="26" spans="2:14" x14ac:dyDescent="0.25">
      <c r="B26" s="427" t="s">
        <v>575</v>
      </c>
      <c r="C26" s="411">
        <f>+C15</f>
        <v>-14486.2</v>
      </c>
      <c r="D26" s="411">
        <f t="shared" ref="D26:K26" si="14">+D15</f>
        <v>-21310.400000000001</v>
      </c>
      <c r="E26" s="411">
        <f t="shared" si="14"/>
        <v>-26165.184000000001</v>
      </c>
      <c r="F26" s="411">
        <f t="shared" si="14"/>
        <v>-31921.376</v>
      </c>
      <c r="G26" s="411">
        <f t="shared" si="14"/>
        <v>-38944.288</v>
      </c>
      <c r="H26" s="411">
        <f t="shared" si="14"/>
        <v>-47512.639999999999</v>
      </c>
      <c r="I26" s="411">
        <f t="shared" si="14"/>
        <v>-57965.088000000003</v>
      </c>
      <c r="J26" s="411">
        <f t="shared" si="14"/>
        <v>-70717.216</v>
      </c>
      <c r="K26" s="411">
        <f t="shared" si="14"/>
        <v>-86274.911999999997</v>
      </c>
      <c r="L26" s="411">
        <f t="shared" ref="L26:N26" si="15">+L15</f>
        <v>-105255.552</v>
      </c>
      <c r="M26" s="411">
        <f t="shared" si="15"/>
        <v>-128410.784</v>
      </c>
      <c r="N26" s="411">
        <f t="shared" si="15"/>
        <v>-156661.47200000001</v>
      </c>
    </row>
    <row r="27" spans="2:14" x14ac:dyDescent="0.25">
      <c r="B27" s="428" t="s">
        <v>501</v>
      </c>
      <c r="C27" s="429">
        <f>SUM(C23:C26)</f>
        <v>-62080.348091942607</v>
      </c>
      <c r="D27" s="429">
        <f t="shared" ref="D27:K27" ca="1" si="16">SUM(D23:D26)</f>
        <v>-73236.060296603071</v>
      </c>
      <c r="E27" s="429">
        <f t="shared" ca="1" si="16"/>
        <v>-87111.326263516734</v>
      </c>
      <c r="F27" s="429">
        <f t="shared" ca="1" si="16"/>
        <v>-106629.54373447005</v>
      </c>
      <c r="G27" s="429">
        <f t="shared" ca="1" si="16"/>
        <v>-128900.59539158686</v>
      </c>
      <c r="H27" s="429">
        <f t="shared" ca="1" si="16"/>
        <v>-150273.16711460677</v>
      </c>
      <c r="I27" s="429">
        <f t="shared" ca="1" si="16"/>
        <v>-175627.1604051232</v>
      </c>
      <c r="J27" s="429">
        <f t="shared" ca="1" si="16"/>
        <v>-205697.87835197157</v>
      </c>
      <c r="K27" s="429">
        <f t="shared" ca="1" si="16"/>
        <v>-241409.27879565395</v>
      </c>
      <c r="L27" s="429">
        <f t="shared" ref="L27:N27" ca="1" si="17">SUM(L23:L26)</f>
        <v>-284010.92418541922</v>
      </c>
      <c r="M27" s="429">
        <f t="shared" ca="1" si="17"/>
        <v>-334562.67127714289</v>
      </c>
      <c r="N27" s="429">
        <f t="shared" ca="1" si="17"/>
        <v>-394674.51864079782</v>
      </c>
    </row>
    <row r="28" spans="2:14" x14ac:dyDescent="0.25">
      <c r="B28" s="428" t="s">
        <v>569</v>
      </c>
      <c r="C28" s="429">
        <f>+C5</f>
        <v>65978</v>
      </c>
      <c r="D28" s="429">
        <f t="shared" ref="D28:K28" si="18">+D5</f>
        <v>87885</v>
      </c>
      <c r="E28" s="429">
        <f t="shared" si="18"/>
        <v>110157.336828</v>
      </c>
      <c r="F28" s="429">
        <f t="shared" si="18"/>
        <v>169798.59735300002</v>
      </c>
      <c r="G28" s="429">
        <f t="shared" si="18"/>
        <v>241234.36207101002</v>
      </c>
      <c r="H28" s="429">
        <f t="shared" si="18"/>
        <v>273219.31286149507</v>
      </c>
      <c r="I28" s="429">
        <f t="shared" si="18"/>
        <v>309617.58971785952</v>
      </c>
      <c r="J28" s="429">
        <f t="shared" si="18"/>
        <v>350712.29247228423</v>
      </c>
      <c r="K28" s="429">
        <f t="shared" si="18"/>
        <v>397155.75706506422</v>
      </c>
      <c r="L28" s="429">
        <f t="shared" ref="L28:N28" si="19">+L5</f>
        <v>450126.26635315729</v>
      </c>
      <c r="M28" s="429">
        <f t="shared" si="19"/>
        <v>510025.82162586716</v>
      </c>
      <c r="N28" s="429">
        <f t="shared" si="19"/>
        <v>577597.87682856934</v>
      </c>
    </row>
    <row r="29" spans="2:14" x14ac:dyDescent="0.25">
      <c r="B29" s="410"/>
      <c r="C29" s="410"/>
      <c r="D29" s="410"/>
      <c r="E29" s="410"/>
      <c r="F29" s="410"/>
      <c r="G29" s="410"/>
      <c r="H29" s="410"/>
      <c r="I29" s="410"/>
      <c r="J29" s="410"/>
      <c r="K29" s="410"/>
      <c r="L29" s="410"/>
      <c r="M29" s="410"/>
      <c r="N29" s="410"/>
    </row>
    <row r="30" spans="2:14" x14ac:dyDescent="0.25">
      <c r="B30" s="430" t="s">
        <v>580</v>
      </c>
      <c r="C30" s="431">
        <f>+C28+C27</f>
        <v>3897.6519080573926</v>
      </c>
      <c r="D30" s="431">
        <f t="shared" ref="D30:K30" ca="1" si="20">+D28+D27</f>
        <v>14648.939703396929</v>
      </c>
      <c r="E30" s="431">
        <f t="shared" ca="1" si="20"/>
        <v>23046.010564483266</v>
      </c>
      <c r="F30" s="431">
        <f t="shared" ca="1" si="20"/>
        <v>63169.053618529972</v>
      </c>
      <c r="G30" s="431">
        <f t="shared" ca="1" si="20"/>
        <v>112333.76667942316</v>
      </c>
      <c r="H30" s="431">
        <f t="shared" ca="1" si="20"/>
        <v>122946.1457468883</v>
      </c>
      <c r="I30" s="431">
        <f t="shared" ca="1" si="20"/>
        <v>133990.42931273632</v>
      </c>
      <c r="J30" s="431">
        <f t="shared" ca="1" si="20"/>
        <v>145014.41412031266</v>
      </c>
      <c r="K30" s="431">
        <f t="shared" ca="1" si="20"/>
        <v>155746.47826941026</v>
      </c>
      <c r="L30" s="431">
        <f t="shared" ref="L30:N30" ca="1" si="21">+L28+L27</f>
        <v>166115.34216773807</v>
      </c>
      <c r="M30" s="431">
        <f t="shared" ca="1" si="21"/>
        <v>175463.15034872427</v>
      </c>
      <c r="N30" s="431">
        <f t="shared" ca="1" si="21"/>
        <v>182923.35818777152</v>
      </c>
    </row>
  </sheetData>
  <phoneticPr fontId="90" type="noConversion"/>
  <conditionalFormatting sqref="C30:N30">
    <cfRule type="cellIs" dxfId="0" priority="1" operator="greaterThan">
      <formula>0</formula>
    </cfRule>
  </conditionalFormatting>
  <pageMargins left="0.7" right="0.7" top="0.75" bottom="0.75" header="0.3" footer="0.3"/>
  <pageSetup orientation="landscape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H72"/>
  <sheetViews>
    <sheetView workbookViewId="0"/>
  </sheetViews>
  <sheetFormatPr defaultRowHeight="15.75" x14ac:dyDescent="0.25"/>
  <sheetData>
    <row r="72" spans="8:8" x14ac:dyDescent="0.25">
      <c r="H7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89"/>
  <sheetViews>
    <sheetView zoomScale="115" zoomScaleNormal="115" workbookViewId="0">
      <selection activeCell="D15" sqref="D15"/>
    </sheetView>
  </sheetViews>
  <sheetFormatPr defaultRowHeight="14.25" x14ac:dyDescent="0.2"/>
  <cols>
    <col min="1" max="1" width="2.375" style="351" customWidth="1"/>
    <col min="2" max="2" width="42.625" style="351" bestFit="1" customWidth="1"/>
    <col min="3" max="3" width="4.5" style="351" bestFit="1" customWidth="1"/>
    <col min="4" max="4" width="9.875" style="351" bestFit="1" customWidth="1"/>
    <col min="5" max="5" width="10.125" style="351" bestFit="1" customWidth="1"/>
    <col min="6" max="6" width="10.875" style="351" bestFit="1" customWidth="1"/>
    <col min="7" max="7" width="11.125" style="351" bestFit="1" customWidth="1"/>
    <col min="8" max="8" width="10.875" style="351" bestFit="1" customWidth="1"/>
    <col min="9" max="10" width="11.125" style="351" bestFit="1" customWidth="1"/>
    <col min="11" max="11" width="10.875" style="351" bestFit="1" customWidth="1"/>
    <col min="12" max="14" width="11.125" style="351" bestFit="1" customWidth="1"/>
    <col min="15" max="15" width="11.625" style="351" bestFit="1" customWidth="1"/>
    <col min="16" max="16" width="20.875" style="351" bestFit="1" customWidth="1"/>
    <col min="17" max="16384" width="9" style="351"/>
  </cols>
  <sheetData>
    <row r="1" spans="1:17" ht="15" thickBot="1" x14ac:dyDescent="0.25">
      <c r="P1" s="357" t="s">
        <v>483</v>
      </c>
    </row>
    <row r="2" spans="1:17" ht="15.75" customHeight="1" x14ac:dyDescent="0.2">
      <c r="B2" s="442"/>
      <c r="C2" s="443"/>
      <c r="D2" s="742" t="s">
        <v>484</v>
      </c>
      <c r="E2" s="742"/>
      <c r="F2" s="742"/>
      <c r="G2" s="742"/>
      <c r="H2" s="742" t="s">
        <v>485</v>
      </c>
      <c r="I2" s="742"/>
      <c r="J2" s="742"/>
      <c r="K2" s="742"/>
      <c r="L2" s="742"/>
      <c r="M2" s="742"/>
      <c r="N2" s="742"/>
      <c r="O2" s="742"/>
      <c r="P2" s="740" t="s">
        <v>466</v>
      </c>
    </row>
    <row r="3" spans="1:17" s="353" customFormat="1" x14ac:dyDescent="0.2">
      <c r="A3" s="351"/>
      <c r="B3" s="444" t="s">
        <v>486</v>
      </c>
      <c r="C3" s="437"/>
      <c r="D3" s="358">
        <v>2007</v>
      </c>
      <c r="E3" s="358">
        <v>2008</v>
      </c>
      <c r="F3" s="358">
        <v>2009</v>
      </c>
      <c r="G3" s="358">
        <v>2010</v>
      </c>
      <c r="H3" s="358">
        <v>2011</v>
      </c>
      <c r="I3" s="358">
        <v>2012</v>
      </c>
      <c r="J3" s="358">
        <v>2013</v>
      </c>
      <c r="K3" s="358">
        <v>2014</v>
      </c>
      <c r="L3" s="358">
        <v>2015</v>
      </c>
      <c r="M3" s="358">
        <v>2016</v>
      </c>
      <c r="N3" s="358">
        <v>2017</v>
      </c>
      <c r="O3" s="358">
        <v>2018</v>
      </c>
      <c r="P3" s="741"/>
      <c r="Q3" s="351"/>
    </row>
    <row r="4" spans="1:17" x14ac:dyDescent="0.2">
      <c r="B4" s="453" t="s">
        <v>467</v>
      </c>
      <c r="C4" s="438"/>
      <c r="D4" s="452">
        <f>'PL USD'!B6</f>
        <v>74.032449544914925</v>
      </c>
      <c r="E4" s="452">
        <f>'PL USD'!C6</f>
        <v>92997.878144892398</v>
      </c>
      <c r="F4" s="452">
        <f>'PL USD'!D6</f>
        <v>50651.61026200874</v>
      </c>
      <c r="G4" s="452">
        <f>'PL USD'!E6</f>
        <v>110387.40157480315</v>
      </c>
      <c r="H4" s="452">
        <f>'PL USD'!F6</f>
        <v>96728.704784130678</v>
      </c>
      <c r="I4" s="452">
        <f ca="1">'PL USD'!G6</f>
        <v>97413.941644532781</v>
      </c>
      <c r="J4" s="452">
        <f ca="1">'PL USD'!H6</f>
        <v>103384.05958656245</v>
      </c>
      <c r="K4" s="452">
        <f ca="1">'PL USD'!I6</f>
        <v>125375.00395394224</v>
      </c>
      <c r="L4" s="452">
        <f ca="1">'PL USD'!J6</f>
        <v>145398.12496671884</v>
      </c>
      <c r="M4" s="452">
        <f ca="1">'PL USD'!K6</f>
        <v>149715.09652865503</v>
      </c>
      <c r="N4" s="452">
        <f ca="1">'PL USD'!L6</f>
        <v>154288.25960406917</v>
      </c>
      <c r="O4" s="452">
        <f ca="1">'PL USD'!M6</f>
        <v>159031.74371259668</v>
      </c>
      <c r="P4" s="454">
        <f ca="1">((O4/G4)-1)/7</f>
        <v>6.2952761228476248E-2</v>
      </c>
    </row>
    <row r="5" spans="1:17" x14ac:dyDescent="0.2">
      <c r="B5" s="453" t="s">
        <v>0</v>
      </c>
      <c r="C5" s="438"/>
      <c r="D5" s="452">
        <f>'PL USD'!B8</f>
        <v>-61.870993272655319</v>
      </c>
      <c r="E5" s="452">
        <f>'PL USD'!C8</f>
        <v>-50024.237647772054</v>
      </c>
      <c r="F5" s="452">
        <f>'PL USD'!D8</f>
        <v>-39389.328602620088</v>
      </c>
      <c r="G5" s="452">
        <f>'PL USD'!E8</f>
        <v>-86584.140604967775</v>
      </c>
      <c r="H5" s="452">
        <f>'PL USD'!F8</f>
        <v>-75578.763127187864</v>
      </c>
      <c r="I5" s="452">
        <f ca="1">'PL USD'!G8</f>
        <v>-76313.015783603158</v>
      </c>
      <c r="J5" s="452">
        <f ca="1">'PL USD'!H8</f>
        <v>-82477.577134177875</v>
      </c>
      <c r="K5" s="452">
        <f ca="1">'PL USD'!I8</f>
        <v>-97370.511124783618</v>
      </c>
      <c r="L5" s="452">
        <f ca="1">'PL USD'!J8</f>
        <v>-110749.07638806796</v>
      </c>
      <c r="M5" s="452">
        <f ca="1">'PL USD'!K8</f>
        <v>-114380.64454698599</v>
      </c>
      <c r="N5" s="452">
        <f ca="1">'PL USD'!L8</f>
        <v>-118256.30345026458</v>
      </c>
      <c r="O5" s="452">
        <f ca="1">'PL USD'!M8</f>
        <v>-122400.60817101006</v>
      </c>
      <c r="P5" s="454">
        <f ca="1">((O5/G5)-1)/7</f>
        <v>5.9094404448321765E-2</v>
      </c>
    </row>
    <row r="6" spans="1:17" x14ac:dyDescent="0.2">
      <c r="B6" s="453" t="s">
        <v>468</v>
      </c>
      <c r="C6" s="438"/>
      <c r="D6" s="452">
        <f>'PL USD'!B17</f>
        <v>-7.8623664424218447</v>
      </c>
      <c r="E6" s="452">
        <f>'PL USD'!C17</f>
        <v>-14734.768111548954</v>
      </c>
      <c r="F6" s="452">
        <f>'PL USD'!D17</f>
        <v>-9100.0272925764202</v>
      </c>
      <c r="G6" s="452">
        <f>'PL USD'!E17</f>
        <v>-13839.154011578996</v>
      </c>
      <c r="H6" s="452">
        <f>'PL USD'!F17</f>
        <v>-14328.911901983663</v>
      </c>
      <c r="I6" s="452">
        <f ca="1">'PL USD'!G17</f>
        <v>-12713.191661262352</v>
      </c>
      <c r="J6" s="452">
        <f ca="1">'PL USD'!H17</f>
        <v>-13560.080974793755</v>
      </c>
      <c r="K6" s="452">
        <f ca="1">'PL USD'!I17</f>
        <v>-14994.984049481598</v>
      </c>
      <c r="L6" s="452">
        <f ca="1">'PL USD'!J17</f>
        <v>-16001.854139669456</v>
      </c>
      <c r="M6" s="452">
        <f ca="1">'PL USD'!K17</f>
        <v>-16209.307631875243</v>
      </c>
      <c r="N6" s="452">
        <f ca="1">'PL USD'!L17</f>
        <v>-16494.220679970775</v>
      </c>
      <c r="O6" s="452">
        <f ca="1">'PL USD'!M17</f>
        <v>-16852.300588636579</v>
      </c>
      <c r="P6" s="454">
        <f ca="1">((O6/G6)-1)/7</f>
        <v>3.1103744538725126E-2</v>
      </c>
    </row>
    <row r="7" spans="1:17" s="356" customFormat="1" ht="15" thickBot="1" x14ac:dyDescent="0.25">
      <c r="A7" s="351"/>
      <c r="B7" s="455" t="s">
        <v>469</v>
      </c>
      <c r="C7" s="456"/>
      <c r="D7" s="457">
        <f>'PL USD'!B36</f>
        <v>5.0531436485951806</v>
      </c>
      <c r="E7" s="457">
        <f>'PL USD'!C36</f>
        <v>26195.059108820853</v>
      </c>
      <c r="F7" s="457">
        <f>'PL USD'!D36</f>
        <v>534.25218340611855</v>
      </c>
      <c r="G7" s="457">
        <f>'PL USD'!E36</f>
        <v>8473.8644552578535</v>
      </c>
      <c r="H7" s="457">
        <f>'PL USD'!F36</f>
        <v>6111.0546601516844</v>
      </c>
      <c r="I7" s="457">
        <f ca="1">'PL USD'!G36</f>
        <v>7043.7647792062153</v>
      </c>
      <c r="J7" s="457">
        <f ca="1">'PL USD'!H36</f>
        <v>5265.5701942868709</v>
      </c>
      <c r="K7" s="457">
        <f ca="1">'PL USD'!I36</f>
        <v>6085.8006343578509</v>
      </c>
      <c r="L7" s="457">
        <f ca="1">'PL USD'!J36</f>
        <v>10957.068934198589</v>
      </c>
      <c r="M7" s="457">
        <f ca="1">'PL USD'!K36</f>
        <v>12556.931598019084</v>
      </c>
      <c r="N7" s="457">
        <f ca="1">'PL USD'!L36</f>
        <v>14024.960641278914</v>
      </c>
      <c r="O7" s="457">
        <f ca="1">'PL USD'!M36</f>
        <v>15324.605427531744</v>
      </c>
      <c r="P7" s="454">
        <f ca="1">((O7/G7)-1)/7</f>
        <v>0.11549362005031415</v>
      </c>
      <c r="Q7" s="351"/>
    </row>
    <row r="8" spans="1:17" x14ac:dyDescent="0.2">
      <c r="B8" s="351" t="s">
        <v>585</v>
      </c>
      <c r="D8" s="354"/>
      <c r="E8" s="354"/>
      <c r="F8" s="354"/>
      <c r="G8" s="354"/>
      <c r="H8" s="354"/>
      <c r="I8" s="354"/>
      <c r="J8" s="354"/>
      <c r="K8" s="354"/>
      <c r="L8" s="354"/>
      <c r="M8" s="354"/>
      <c r="N8" s="354"/>
      <c r="O8" s="354"/>
      <c r="P8" s="355"/>
    </row>
    <row r="9" spans="1:17" ht="15" thickBot="1" x14ac:dyDescent="0.25">
      <c r="D9" s="354"/>
      <c r="E9" s="354"/>
      <c r="F9" s="354"/>
      <c r="G9" s="354"/>
      <c r="H9" s="354"/>
      <c r="I9" s="354"/>
      <c r="J9" s="354"/>
      <c r="K9" s="354"/>
      <c r="L9" s="354"/>
      <c r="M9" s="354"/>
      <c r="N9" s="354"/>
      <c r="O9" s="354"/>
      <c r="P9" s="357" t="s">
        <v>483</v>
      </c>
    </row>
    <row r="10" spans="1:17" ht="15.75" customHeight="1" x14ac:dyDescent="0.2">
      <c r="B10" s="442"/>
      <c r="C10" s="443"/>
      <c r="D10" s="742" t="s">
        <v>484</v>
      </c>
      <c r="E10" s="742"/>
      <c r="F10" s="742"/>
      <c r="G10" s="742"/>
      <c r="H10" s="742" t="s">
        <v>485</v>
      </c>
      <c r="I10" s="742"/>
      <c r="J10" s="742"/>
      <c r="K10" s="742"/>
      <c r="L10" s="742"/>
      <c r="M10" s="742"/>
      <c r="N10" s="742"/>
      <c r="O10" s="742"/>
      <c r="P10" s="740" t="s">
        <v>466</v>
      </c>
    </row>
    <row r="11" spans="1:17" s="352" customFormat="1" x14ac:dyDescent="0.2">
      <c r="A11" s="351"/>
      <c r="B11" s="444" t="s">
        <v>487</v>
      </c>
      <c r="C11" s="437"/>
      <c r="D11" s="358">
        <v>2007</v>
      </c>
      <c r="E11" s="358">
        <v>2008</v>
      </c>
      <c r="F11" s="358">
        <v>2009</v>
      </c>
      <c r="G11" s="358">
        <v>2010</v>
      </c>
      <c r="H11" s="358">
        <v>2011</v>
      </c>
      <c r="I11" s="358">
        <v>2012</v>
      </c>
      <c r="J11" s="358">
        <v>2013</v>
      </c>
      <c r="K11" s="358">
        <v>2014</v>
      </c>
      <c r="L11" s="358">
        <v>2015</v>
      </c>
      <c r="M11" s="358">
        <v>2016</v>
      </c>
      <c r="N11" s="358">
        <v>2017</v>
      </c>
      <c r="O11" s="358">
        <v>2018</v>
      </c>
      <c r="P11" s="741"/>
      <c r="Q11" s="351"/>
    </row>
    <row r="12" spans="1:17" x14ac:dyDescent="0.2">
      <c r="B12" s="453" t="s">
        <v>470</v>
      </c>
      <c r="C12" s="438"/>
      <c r="D12" s="452">
        <f>'BS USD'!B8*1000</f>
        <v>7283735.6549267899</v>
      </c>
      <c r="E12" s="452">
        <f>'BS USD'!C8*1000</f>
        <v>7185510.760836618</v>
      </c>
      <c r="F12" s="452">
        <f>'BS USD'!D8*1000</f>
        <v>8975163.7554585151</v>
      </c>
      <c r="G12" s="452">
        <f>'BS USD'!E8*1000</f>
        <v>12933543.307086615</v>
      </c>
      <c r="H12" s="452">
        <f>'BS USD'!F8*1000</f>
        <v>14181142.79463244</v>
      </c>
      <c r="I12" s="452">
        <f>'BS USD'!G8*1000</f>
        <v>12756534.391534394</v>
      </c>
      <c r="J12" s="452">
        <f>'BS USD'!H8*1000</f>
        <v>34015021.164021157</v>
      </c>
      <c r="K12" s="452">
        <f>'BS USD'!I8*1000</f>
        <v>35192447.986357071</v>
      </c>
      <c r="L12" s="452">
        <f>'BS USD'!J8*1000</f>
        <v>29102177.115507685</v>
      </c>
      <c r="M12" s="452">
        <f>'BS USD'!K8*1000</f>
        <v>23775619.657633174</v>
      </c>
      <c r="N12" s="452">
        <f>'BS USD'!L8*1000</f>
        <v>19111307.371528659</v>
      </c>
      <c r="O12" s="452">
        <f>'BS USD'!M8*1000</f>
        <v>15038826.449261645</v>
      </c>
      <c r="P12" s="454">
        <f>((O12/G12)-1)/7</f>
        <v>2.3253854528143263E-2</v>
      </c>
    </row>
    <row r="13" spans="1:17" s="356" customFormat="1" x14ac:dyDescent="0.2">
      <c r="A13" s="351"/>
      <c r="B13" s="453" t="s">
        <v>471</v>
      </c>
      <c r="C13" s="438"/>
      <c r="D13" s="452">
        <f>'BS USD'!B15*1000</f>
        <v>58388603.086664028</v>
      </c>
      <c r="E13" s="452">
        <f>'BS USD'!C15*1000</f>
        <v>86769475.57266961</v>
      </c>
      <c r="F13" s="452">
        <f>'BS USD'!D15*1000</f>
        <v>108795715.0655022</v>
      </c>
      <c r="G13" s="452">
        <f>'BS USD'!E15*1000</f>
        <v>109123779.52755907</v>
      </c>
      <c r="H13" s="452">
        <f>'BS USD'!F15*1000</f>
        <v>105896732.78882828</v>
      </c>
      <c r="I13" s="452">
        <f ca="1">'BS USD'!G15*1000</f>
        <v>92167715.792034358</v>
      </c>
      <c r="J13" s="452">
        <f ca="1">'BS USD'!H15*1000</f>
        <v>96555667.463940471</v>
      </c>
      <c r="K13" s="452">
        <f ca="1">'BS USD'!I15*1000</f>
        <v>97096142.054585084</v>
      </c>
      <c r="L13" s="452">
        <f ca="1">'BS USD'!J15*1000</f>
        <v>100559934.14090125</v>
      </c>
      <c r="M13" s="452">
        <f ca="1">'BS USD'!K15*1000</f>
        <v>106299901.67596476</v>
      </c>
      <c r="N13" s="452">
        <f ca="1">'BS USD'!L15*1000</f>
        <v>110733547.67405689</v>
      </c>
      <c r="O13" s="452">
        <f ca="1">'BS USD'!M15*1000</f>
        <v>114941943.09573478</v>
      </c>
      <c r="P13" s="454">
        <f ca="1">((O13/G13)-1)/7</f>
        <v>7.616728705911362E-3</v>
      </c>
      <c r="Q13" s="351"/>
    </row>
    <row r="14" spans="1:17" x14ac:dyDescent="0.2">
      <c r="B14" s="453" t="s">
        <v>472</v>
      </c>
      <c r="C14" s="438"/>
      <c r="D14" s="452">
        <f>'BS USD'!B25*1000</f>
        <v>10875346.26038781</v>
      </c>
      <c r="E14" s="452">
        <f>'BS USD'!C25*1000</f>
        <v>38202485.60169749</v>
      </c>
      <c r="F14" s="452">
        <f>'BS USD'!D25*1000</f>
        <v>27388782.751091704</v>
      </c>
      <c r="G14" s="452">
        <f>'BS USD'!E25*1000</f>
        <v>42054173.22834646</v>
      </c>
      <c r="H14" s="452">
        <f>'BS USD'!F25*1000</f>
        <v>36986352.106313825</v>
      </c>
      <c r="I14" s="452">
        <f ca="1">'BS USD'!G25*1000</f>
        <v>38124139.123238966</v>
      </c>
      <c r="J14" s="452">
        <f ca="1">'BS USD'!H25*1000</f>
        <v>39923878.488140456</v>
      </c>
      <c r="K14" s="452">
        <f ca="1">'BS USD'!I25*1000</f>
        <v>42380235.623576447</v>
      </c>
      <c r="L14" s="452">
        <f ca="1">'BS USD'!J25*1000</f>
        <v>46165028.245981961</v>
      </c>
      <c r="M14" s="452">
        <f ca="1">'BS USD'!K25*1000</f>
        <v>48548556.03934893</v>
      </c>
      <c r="N14" s="452">
        <f ca="1">'BS USD'!L25*1000</f>
        <v>51310776.169040218</v>
      </c>
      <c r="O14" s="452">
        <f ca="1">'BS USD'!M25*1000</f>
        <v>54320787.049598008</v>
      </c>
      <c r="P14" s="454">
        <f ca="1">((O14/G14)-1)/7</f>
        <v>4.1669429417167905E-2</v>
      </c>
    </row>
    <row r="15" spans="1:17" s="356" customFormat="1" x14ac:dyDescent="0.2">
      <c r="A15" s="351"/>
      <c r="B15" s="453" t="s">
        <v>473</v>
      </c>
      <c r="C15" s="438"/>
      <c r="D15" s="452">
        <f>'BS USD'!B31*1000</f>
        <v>54796992.481203005</v>
      </c>
      <c r="E15" s="452">
        <f>'BS USD'!C31*1000</f>
        <v>55776231.163992688</v>
      </c>
      <c r="F15" s="452">
        <f>'BS USD'!D31*1000</f>
        <v>90383460.698689952</v>
      </c>
      <c r="G15" s="452">
        <f>'BS USD'!E31*1000</f>
        <v>80002519.685039371</v>
      </c>
      <c r="H15" s="452">
        <f>'BS USD'!F31*1000</f>
        <v>83091586.444963068</v>
      </c>
      <c r="I15" s="452">
        <f ca="1">'BS USD'!G31*1000</f>
        <v>66799363.270296395</v>
      </c>
      <c r="J15" s="452">
        <f ca="1">'BS USD'!H31*1000</f>
        <v>90647092.33166191</v>
      </c>
      <c r="K15" s="452">
        <f ca="1">'BS USD'!I31*1000</f>
        <v>89908610.955402747</v>
      </c>
      <c r="L15" s="452">
        <f ca="1">'BS USD'!J31*1000</f>
        <v>83497316.226824299</v>
      </c>
      <c r="M15" s="452">
        <f ca="1">'BS USD'!K31*1000</f>
        <v>81527177.309155643</v>
      </c>
      <c r="N15" s="452">
        <f ca="1">'BS USD'!L31*1000</f>
        <v>78534271.617369533</v>
      </c>
      <c r="O15" s="452">
        <f ca="1">'BS USD'!M31*1000</f>
        <v>75660157.714329541</v>
      </c>
      <c r="P15" s="454">
        <f ca="1">((O15/G15)-1)/7</f>
        <v>-7.7539735851985024E-3</v>
      </c>
      <c r="Q15" s="351"/>
    </row>
    <row r="16" spans="1:17" s="353" customFormat="1" ht="15" thickBot="1" x14ac:dyDescent="0.25">
      <c r="A16" s="351"/>
      <c r="B16" s="455" t="s">
        <v>109</v>
      </c>
      <c r="C16" s="456"/>
      <c r="D16" s="457">
        <f>SUM(D14+D15)</f>
        <v>65672338.741590813</v>
      </c>
      <c r="E16" s="457">
        <f t="shared" ref="E16:O16" si="0">SUM(E14+E15)</f>
        <v>93978716.765690178</v>
      </c>
      <c r="F16" s="457">
        <f t="shared" si="0"/>
        <v>117772243.44978166</v>
      </c>
      <c r="G16" s="457">
        <f t="shared" si="0"/>
        <v>122056692.91338584</v>
      </c>
      <c r="H16" s="457">
        <f t="shared" si="0"/>
        <v>120077938.55127689</v>
      </c>
      <c r="I16" s="457">
        <f t="shared" ca="1" si="0"/>
        <v>104923502.39353536</v>
      </c>
      <c r="J16" s="457">
        <f t="shared" ca="1" si="0"/>
        <v>130570970.81980237</v>
      </c>
      <c r="K16" s="457">
        <f t="shared" ca="1" si="0"/>
        <v>132288846.57897919</v>
      </c>
      <c r="L16" s="457">
        <f t="shared" ca="1" si="0"/>
        <v>129662344.47280626</v>
      </c>
      <c r="M16" s="457">
        <f t="shared" ca="1" si="0"/>
        <v>130075733.34850457</v>
      </c>
      <c r="N16" s="457">
        <f t="shared" ca="1" si="0"/>
        <v>129845047.78640975</v>
      </c>
      <c r="O16" s="457">
        <f t="shared" ca="1" si="0"/>
        <v>129980944.76392755</v>
      </c>
      <c r="P16" s="458">
        <f ca="1">((M16/F16)-1)/7</f>
        <v>1.4924071772927856E-2</v>
      </c>
      <c r="Q16" s="351"/>
    </row>
    <row r="17" spans="1:24" x14ac:dyDescent="0.2">
      <c r="B17" s="351" t="s">
        <v>585</v>
      </c>
      <c r="D17" s="354"/>
      <c r="E17" s="354"/>
      <c r="F17" s="354"/>
      <c r="G17" s="354"/>
      <c r="H17" s="354"/>
      <c r="I17" s="354"/>
      <c r="J17" s="354"/>
      <c r="K17" s="354"/>
      <c r="L17" s="354"/>
      <c r="M17" s="354"/>
      <c r="N17" s="354"/>
      <c r="O17" s="354"/>
      <c r="P17" s="355"/>
    </row>
    <row r="18" spans="1:24" ht="15" thickBot="1" x14ac:dyDescent="0.25">
      <c r="D18" s="354"/>
      <c r="E18" s="354"/>
      <c r="F18" s="354"/>
      <c r="G18" s="354"/>
      <c r="H18" s="354"/>
      <c r="I18" s="354"/>
      <c r="J18" s="354"/>
      <c r="K18" s="354"/>
      <c r="L18" s="354"/>
      <c r="M18" s="354"/>
      <c r="N18" s="354"/>
      <c r="O18" s="354"/>
      <c r="P18" s="357" t="s">
        <v>483</v>
      </c>
    </row>
    <row r="19" spans="1:24" ht="14.25" customHeight="1" x14ac:dyDescent="0.2">
      <c r="B19" s="442"/>
      <c r="C19" s="443"/>
      <c r="D19" s="742" t="s">
        <v>484</v>
      </c>
      <c r="E19" s="742"/>
      <c r="F19" s="742"/>
      <c r="G19" s="742"/>
      <c r="H19" s="742" t="s">
        <v>485</v>
      </c>
      <c r="I19" s="742"/>
      <c r="J19" s="742"/>
      <c r="K19" s="742"/>
      <c r="L19" s="742"/>
      <c r="M19" s="742"/>
      <c r="N19" s="742"/>
      <c r="O19" s="743"/>
    </row>
    <row r="20" spans="1:24" s="352" customFormat="1" x14ac:dyDescent="0.2">
      <c r="A20" s="351"/>
      <c r="B20" s="444" t="s">
        <v>488</v>
      </c>
      <c r="C20" s="437"/>
      <c r="D20" s="358">
        <v>2007</v>
      </c>
      <c r="E20" s="358">
        <v>2008</v>
      </c>
      <c r="F20" s="358">
        <v>2009</v>
      </c>
      <c r="G20" s="358">
        <v>2010</v>
      </c>
      <c r="H20" s="358">
        <v>2011</v>
      </c>
      <c r="I20" s="358">
        <v>2012</v>
      </c>
      <c r="J20" s="358">
        <v>2013</v>
      </c>
      <c r="K20" s="358">
        <v>2014</v>
      </c>
      <c r="L20" s="358">
        <v>2015</v>
      </c>
      <c r="M20" s="358">
        <v>2016</v>
      </c>
      <c r="N20" s="358">
        <v>2017</v>
      </c>
      <c r="O20" s="361">
        <v>2018</v>
      </c>
      <c r="P20" s="351"/>
      <c r="Q20" s="351"/>
      <c r="R20" s="351"/>
      <c r="S20" s="351"/>
      <c r="T20" s="351"/>
      <c r="U20" s="351"/>
      <c r="V20" s="351"/>
      <c r="W20" s="351"/>
    </row>
    <row r="21" spans="1:24" s="360" customFormat="1" x14ac:dyDescent="0.2">
      <c r="A21" s="351"/>
      <c r="B21" s="453" t="s">
        <v>474</v>
      </c>
      <c r="C21" s="438"/>
      <c r="D21" s="438"/>
      <c r="E21" s="452">
        <f>'CF USD'!C13*1000</f>
        <v>-6401055.9723441657</v>
      </c>
      <c r="F21" s="452">
        <f>'CF USD'!D13*1000</f>
        <v>-839263.80615801946</v>
      </c>
      <c r="G21" s="452">
        <f>'CF USD'!E13*1000</f>
        <v>11324270.75447046</v>
      </c>
      <c r="H21" s="452">
        <f>'CF USD'!F13*1000</f>
        <v>2257258.2287718719</v>
      </c>
      <c r="I21" s="452">
        <f ca="1">'CF USD'!G13*1000</f>
        <v>7450311.0005957773</v>
      </c>
      <c r="J21" s="452">
        <f ca="1">'CF USD'!H13*1000</f>
        <v>2441315.0114868283</v>
      </c>
      <c r="K21" s="452">
        <f ca="1">'CF USD'!I13*1000</f>
        <v>9772057.634372415</v>
      </c>
      <c r="L21" s="452">
        <f ca="1">'CF USD'!J13*1000</f>
        <v>15216338.888099376</v>
      </c>
      <c r="M21" s="452">
        <f ca="1">'CF USD'!K13*1000</f>
        <v>16191550.979869038</v>
      </c>
      <c r="N21" s="452">
        <f ca="1">'CF USD'!L13*1000</f>
        <v>17053024.801107664</v>
      </c>
      <c r="O21" s="452">
        <f ca="1">'CF USD'!M13*1000</f>
        <v>17765607.532430734</v>
      </c>
      <c r="P21" s="351"/>
      <c r="Q21" s="351"/>
      <c r="R21" s="351"/>
      <c r="S21" s="351"/>
      <c r="T21" s="351"/>
      <c r="U21" s="351"/>
      <c r="V21" s="351"/>
      <c r="W21" s="351"/>
    </row>
    <row r="22" spans="1:24" s="353" customFormat="1" x14ac:dyDescent="0.2">
      <c r="A22" s="351"/>
      <c r="B22" s="453" t="s">
        <v>475</v>
      </c>
      <c r="C22" s="438"/>
      <c r="D22" s="452"/>
      <c r="E22" s="452">
        <f>'CF USD'!C17*1000</f>
        <v>242133.08358639816</v>
      </c>
      <c r="F22" s="452">
        <f>'CF USD'!D17*1000</f>
        <v>-3108624.4541484723</v>
      </c>
      <c r="G22" s="452">
        <f>'CF USD'!E17*1000</f>
        <v>-5585511.8110236218</v>
      </c>
      <c r="H22" s="452">
        <f>'CF USD'!F17*1000</f>
        <v>-2744457.4095682609</v>
      </c>
      <c r="I22" s="452">
        <f>'CF USD'!G17*1000</f>
        <v>-1165000</v>
      </c>
      <c r="J22" s="452">
        <f>'CF USD'!H17*1000</f>
        <v>-23678000.962000962</v>
      </c>
      <c r="K22" s="452">
        <f>'CF USD'!I17*1000</f>
        <v>-7567546.3290917845</v>
      </c>
      <c r="L22" s="452">
        <f>'CF USD'!J17*1000</f>
        <v>-795042.11735616694</v>
      </c>
      <c r="M22" s="452">
        <f>'CF USD'!K17*1000</f>
        <v>-722765.56123287894</v>
      </c>
      <c r="N22" s="452">
        <f>'CF USD'!L17*1000</f>
        <v>-657059.60112079896</v>
      </c>
      <c r="O22" s="452">
        <f>'CF USD'!M17*1000</f>
        <v>-597326.91010981717</v>
      </c>
      <c r="P22" s="351"/>
    </row>
    <row r="23" spans="1:24" s="360" customFormat="1" x14ac:dyDescent="0.2">
      <c r="A23" s="351"/>
      <c r="B23" s="453" t="s">
        <v>476</v>
      </c>
      <c r="C23" s="438"/>
      <c r="D23" s="452"/>
      <c r="E23" s="452">
        <f>'CF USD'!C24*1000</f>
        <v>947256.74446802062</v>
      </c>
      <c r="F23" s="452">
        <f>'CF USD'!D24*1000</f>
        <v>923853.71179039311</v>
      </c>
      <c r="G23" s="452">
        <f>'CF USD'!E24*1000</f>
        <v>-7028031.4960629912</v>
      </c>
      <c r="H23" s="452">
        <f>'CF USD'!F24*1000</f>
        <v>-3090431.7386231041</v>
      </c>
      <c r="I23" s="452">
        <f>'CF USD'!G24*1000</f>
        <v>-2739523.8095238092</v>
      </c>
      <c r="J23" s="452">
        <f ca="1">'CF USD'!H24*1000</f>
        <v>22715999.999999996</v>
      </c>
      <c r="K23" s="452">
        <f ca="1">'CF USD'!I24*1000</f>
        <v>1284000</v>
      </c>
      <c r="L23" s="452">
        <f ca="1">'CF USD'!J24*1000</f>
        <v>-7862727.6187406424</v>
      </c>
      <c r="M23" s="452">
        <f ca="1">'CF USD'!K24*1000</f>
        <v>-10776583.055017401</v>
      </c>
      <c r="N23" s="452">
        <f ca="1">'CF USD'!L24*1000</f>
        <v>-11649235.417101322</v>
      </c>
      <c r="O23" s="452">
        <f ca="1">'CF USD'!M24*1000</f>
        <v>-12449978.531606667</v>
      </c>
      <c r="P23" s="351"/>
    </row>
    <row r="24" spans="1:24" s="360" customFormat="1" x14ac:dyDescent="0.2">
      <c r="A24" s="351"/>
      <c r="B24" s="445" t="s">
        <v>477</v>
      </c>
      <c r="C24" s="438"/>
      <c r="D24" s="452"/>
      <c r="E24" s="452">
        <f>'CF USD'!C20*1000</f>
        <v>0</v>
      </c>
      <c r="F24" s="452">
        <f>'CF USD'!D20*1000</f>
        <v>146697.59825327512</v>
      </c>
      <c r="G24" s="452">
        <f>'CF USD'!E20*1000</f>
        <v>0</v>
      </c>
      <c r="H24" s="452">
        <f>'CF USD'!F20*1000</f>
        <v>0</v>
      </c>
      <c r="I24" s="452">
        <f>'CF USD'!G20*1000</f>
        <v>0</v>
      </c>
      <c r="J24" s="452">
        <f>'CF USD'!H20*1000</f>
        <v>22715999.999999996</v>
      </c>
      <c r="K24" s="452">
        <f>'CF USD'!I20*1000</f>
        <v>1284000</v>
      </c>
      <c r="L24" s="452">
        <f>'CF USD'!J20*1000</f>
        <v>0</v>
      </c>
      <c r="M24" s="452">
        <f>'CF USD'!K20*1000</f>
        <v>0</v>
      </c>
      <c r="N24" s="452">
        <f>'CF USD'!L20*1000</f>
        <v>0</v>
      </c>
      <c r="O24" s="452">
        <f>'CF USD'!M20*1000</f>
        <v>0</v>
      </c>
      <c r="P24" s="351"/>
    </row>
    <row r="25" spans="1:24" x14ac:dyDescent="0.2">
      <c r="B25" s="445" t="s">
        <v>415</v>
      </c>
      <c r="C25" s="438"/>
      <c r="D25" s="452"/>
      <c r="E25" s="452">
        <f>'CF USD'!C22*1000</f>
        <v>947256.74446802062</v>
      </c>
      <c r="F25" s="452">
        <f>'CF USD'!D22*1000</f>
        <v>1545442.1397379914</v>
      </c>
      <c r="G25" s="452">
        <f>'CF USD'!E22*1000</f>
        <v>2333858.2677165354</v>
      </c>
      <c r="H25" s="452">
        <f>'CF USD'!F22*1000</f>
        <v>96849.474912485399</v>
      </c>
      <c r="I25" s="452">
        <f>'CF USD'!G22*1000</f>
        <v>1170000</v>
      </c>
      <c r="J25" s="452">
        <f>'CF USD'!H22*1000</f>
        <v>0</v>
      </c>
      <c r="K25" s="452">
        <f>'CF USD'!I22*1000</f>
        <v>0</v>
      </c>
      <c r="L25" s="452">
        <f>'CF USD'!J22*1000</f>
        <v>0</v>
      </c>
      <c r="M25" s="452">
        <f>'CF USD'!K22*1000</f>
        <v>0</v>
      </c>
      <c r="N25" s="452">
        <f>'CF USD'!L22*1000</f>
        <v>0</v>
      </c>
      <c r="O25" s="452">
        <f>'CF USD'!M22*1000</f>
        <v>0</v>
      </c>
    </row>
    <row r="26" spans="1:24" x14ac:dyDescent="0.2">
      <c r="B26" s="445" t="s">
        <v>478</v>
      </c>
      <c r="C26" s="438"/>
      <c r="D26" s="452"/>
      <c r="E26" s="452">
        <f>'CF USD'!C21*1000</f>
        <v>0</v>
      </c>
      <c r="F26" s="452">
        <f>'CF USD'!D21*1000</f>
        <v>0</v>
      </c>
      <c r="G26" s="452">
        <f>'CF USD'!E21*1000</f>
        <v>-135433.07086614173</v>
      </c>
      <c r="H26" s="452">
        <f>'CF USD'!F21*1000</f>
        <v>0</v>
      </c>
      <c r="I26" s="452">
        <f>'CF USD'!G21*1000</f>
        <v>0</v>
      </c>
      <c r="J26" s="452">
        <f>'CF USD'!H21*1000</f>
        <v>0</v>
      </c>
      <c r="K26" s="452">
        <f>'CF USD'!I21*1000</f>
        <v>0</v>
      </c>
      <c r="L26" s="452">
        <f>'CF USD'!J21*1000</f>
        <v>-4543200</v>
      </c>
      <c r="M26" s="452">
        <f>'CF USD'!K21*1000</f>
        <v>-4800000.0000000009</v>
      </c>
      <c r="N26" s="452">
        <f>'CF USD'!L21*1000</f>
        <v>-4800000</v>
      </c>
      <c r="O26" s="452">
        <f>'CF USD'!M21*1000</f>
        <v>-4800000</v>
      </c>
    </row>
    <row r="27" spans="1:24" s="356" customFormat="1" x14ac:dyDescent="0.2">
      <c r="A27" s="351"/>
      <c r="B27" s="445" t="s">
        <v>479</v>
      </c>
      <c r="C27" s="438"/>
      <c r="D27" s="452"/>
      <c r="E27" s="452">
        <f>'CF USD'!C23*1000</f>
        <v>0</v>
      </c>
      <c r="F27" s="452">
        <f>'CF USD'!D23*1000</f>
        <v>-768286.02620087343</v>
      </c>
      <c r="G27" s="452">
        <f>'CF USD'!E23*1000</f>
        <v>-9226456.6929133851</v>
      </c>
      <c r="H27" s="452">
        <f>'CF USD'!F23*1000</f>
        <v>-3187281.2135355892</v>
      </c>
      <c r="I27" s="452">
        <f>'CF USD'!G23*1000</f>
        <v>-3909523.8095238092</v>
      </c>
      <c r="J27" s="452">
        <f ca="1">'CF USD'!H23*1000</f>
        <v>0</v>
      </c>
      <c r="K27" s="452">
        <f ca="1">'CF USD'!I23*1000</f>
        <v>0</v>
      </c>
      <c r="L27" s="452">
        <f ca="1">'CF USD'!J23*1000</f>
        <v>-3319527.6187406429</v>
      </c>
      <c r="M27" s="452">
        <f ca="1">'CF USD'!K23*1000</f>
        <v>-5976583.0550174005</v>
      </c>
      <c r="N27" s="452">
        <f ca="1">'CF USD'!L23*1000</f>
        <v>-6849235.4171013217</v>
      </c>
      <c r="O27" s="452">
        <f ca="1">'CF USD'!M23*1000</f>
        <v>-7649978.5316066658</v>
      </c>
      <c r="P27" s="351"/>
    </row>
    <row r="28" spans="1:24" s="356" customFormat="1" ht="15" thickBot="1" x14ac:dyDescent="0.25">
      <c r="A28" s="351"/>
      <c r="B28" s="459" t="s">
        <v>480</v>
      </c>
      <c r="C28" s="456"/>
      <c r="D28" s="457"/>
      <c r="E28" s="457">
        <f>'CF USD'!C26*1000</f>
        <v>-5211666.1442897469</v>
      </c>
      <c r="F28" s="457">
        <f>'CF USD'!D26*1000</f>
        <v>-3024034.5485160989</v>
      </c>
      <c r="G28" s="457">
        <f>'CF USD'!E26*1000</f>
        <v>-1289272.552616152</v>
      </c>
      <c r="H28" s="457">
        <f>'CF USD'!F26*1000</f>
        <v>-3577630.9194194931</v>
      </c>
      <c r="I28" s="457">
        <f ca="1">'CF USD'!G26*1000</f>
        <v>3545787.1910719676</v>
      </c>
      <c r="J28" s="457">
        <f ca="1">'CF USD'!H26*1000</f>
        <v>1479314.0494858625</v>
      </c>
      <c r="K28" s="457">
        <f ca="1">'CF USD'!I26*1000</f>
        <v>3488511.3052806309</v>
      </c>
      <c r="L28" s="457">
        <f ca="1">'CF USD'!J26*1000</f>
        <v>6558569.1520025665</v>
      </c>
      <c r="M28" s="457">
        <f ca="1">'CF USD'!K26*1000</f>
        <v>4692202.3636187585</v>
      </c>
      <c r="N28" s="457">
        <f ca="1">'CF USD'!L26*1000</f>
        <v>4746729.7828855412</v>
      </c>
      <c r="O28" s="457">
        <f ca="1">'CF USD'!M26*1000</f>
        <v>4718302.0907142507</v>
      </c>
      <c r="P28" s="351"/>
      <c r="Q28" s="351"/>
      <c r="R28" s="351"/>
      <c r="S28" s="351"/>
      <c r="T28" s="351"/>
      <c r="U28" s="351"/>
      <c r="V28" s="351"/>
      <c r="W28" s="351"/>
    </row>
    <row r="29" spans="1:24" ht="15" thickBot="1" x14ac:dyDescent="0.25">
      <c r="B29" s="350"/>
      <c r="D29" s="354"/>
      <c r="E29" s="354"/>
      <c r="F29" s="354"/>
      <c r="G29" s="354"/>
      <c r="H29" s="354"/>
      <c r="I29" s="354"/>
      <c r="J29" s="354"/>
      <c r="K29" s="354"/>
      <c r="L29" s="354"/>
      <c r="M29" s="354"/>
      <c r="N29" s="354"/>
      <c r="O29" s="354"/>
      <c r="P29" s="359"/>
    </row>
    <row r="30" spans="1:24" ht="14.25" customHeight="1" x14ac:dyDescent="0.2">
      <c r="B30" s="442"/>
      <c r="C30" s="443"/>
      <c r="D30" s="742" t="s">
        <v>484</v>
      </c>
      <c r="E30" s="742"/>
      <c r="F30" s="742"/>
      <c r="G30" s="742"/>
      <c r="H30" s="742" t="s">
        <v>485</v>
      </c>
      <c r="I30" s="742"/>
      <c r="J30" s="742"/>
      <c r="K30" s="742"/>
      <c r="L30" s="742"/>
      <c r="M30" s="742"/>
      <c r="N30" s="742"/>
      <c r="O30" s="743"/>
    </row>
    <row r="31" spans="1:24" s="353" customFormat="1" x14ac:dyDescent="0.2">
      <c r="A31" s="351"/>
      <c r="B31" s="444" t="s">
        <v>465</v>
      </c>
      <c r="C31" s="437"/>
      <c r="D31" s="358">
        <v>2007</v>
      </c>
      <c r="E31" s="358">
        <v>2008</v>
      </c>
      <c r="F31" s="358">
        <v>2009</v>
      </c>
      <c r="G31" s="358">
        <v>2010</v>
      </c>
      <c r="H31" s="358">
        <v>2011</v>
      </c>
      <c r="I31" s="358">
        <v>2012</v>
      </c>
      <c r="J31" s="358">
        <v>2013</v>
      </c>
      <c r="K31" s="358">
        <v>2014</v>
      </c>
      <c r="L31" s="358">
        <v>2015</v>
      </c>
      <c r="M31" s="358">
        <v>2016</v>
      </c>
      <c r="N31" s="358">
        <v>2017</v>
      </c>
      <c r="O31" s="361">
        <v>2018</v>
      </c>
      <c r="P31" s="351"/>
      <c r="Q31" s="351"/>
      <c r="R31" s="351"/>
      <c r="S31" s="351"/>
      <c r="T31" s="351"/>
      <c r="U31" s="351"/>
      <c r="V31" s="351"/>
      <c r="W31" s="351"/>
      <c r="X31" s="351"/>
    </row>
    <row r="32" spans="1:24" x14ac:dyDescent="0.2">
      <c r="B32" s="445" t="s">
        <v>481</v>
      </c>
      <c r="C32" s="438"/>
      <c r="D32" s="439">
        <f>-D5/D4</f>
        <v>0.83572803078896718</v>
      </c>
      <c r="E32" s="439">
        <f t="shared" ref="E32:M32" si="1">-E5/E4</f>
        <v>0.5379073011734028</v>
      </c>
      <c r="F32" s="439">
        <f t="shared" si="1"/>
        <v>0.7776520509193775</v>
      </c>
      <c r="G32" s="439">
        <f t="shared" si="1"/>
        <v>0.78436614477508748</v>
      </c>
      <c r="H32" s="439">
        <f t="shared" si="1"/>
        <v>0.78134782530022384</v>
      </c>
      <c r="I32" s="439">
        <f t="shared" ca="1" si="1"/>
        <v>0.78338905597385933</v>
      </c>
      <c r="J32" s="439">
        <f t="shared" ca="1" si="1"/>
        <v>0.79777847246480216</v>
      </c>
      <c r="K32" s="439">
        <f t="shared" ca="1" si="1"/>
        <v>0.77663416194629709</v>
      </c>
      <c r="L32" s="439">
        <f t="shared" ca="1" si="1"/>
        <v>0.76169535482949358</v>
      </c>
      <c r="M32" s="439">
        <f t="shared" ca="1" si="1"/>
        <v>0.76398871723062256</v>
      </c>
      <c r="N32" s="439">
        <f ca="1">-N5/N4</f>
        <v>0.76646339620221959</v>
      </c>
      <c r="O32" s="446">
        <f ca="1">-O5/O4</f>
        <v>0.76966148589940209</v>
      </c>
    </row>
    <row r="33" spans="2:15" x14ac:dyDescent="0.2">
      <c r="B33" s="445" t="s">
        <v>482</v>
      </c>
      <c r="C33" s="438"/>
      <c r="D33" s="439">
        <f t="shared" ref="D33:M33" si="2">-D6/D4</f>
        <v>0.10620162497327347</v>
      </c>
      <c r="E33" s="439">
        <f t="shared" si="2"/>
        <v>0.15844198174706647</v>
      </c>
      <c r="F33" s="439">
        <f t="shared" si="2"/>
        <v>0.17965919040883679</v>
      </c>
      <c r="G33" s="439">
        <f t="shared" si="2"/>
        <v>0.12536896252785698</v>
      </c>
      <c r="H33" s="439">
        <f t="shared" si="2"/>
        <v>0.1481350539528207</v>
      </c>
      <c r="I33" s="439">
        <f t="shared" ca="1" si="2"/>
        <v>0.13050690123651168</v>
      </c>
      <c r="J33" s="439">
        <f t="shared" ca="1" si="2"/>
        <v>0.13116220265504308</v>
      </c>
      <c r="K33" s="439">
        <f t="shared" ca="1" si="2"/>
        <v>0.11960106541643784</v>
      </c>
      <c r="L33" s="439">
        <f t="shared" ca="1" si="2"/>
        <v>0.11005543670753822</v>
      </c>
      <c r="M33" s="439">
        <f t="shared" ca="1" si="2"/>
        <v>0.10826768981692389</v>
      </c>
      <c r="N33" s="439">
        <f ca="1">-N6/N4</f>
        <v>0.10690522222687486</v>
      </c>
      <c r="O33" s="446">
        <f ca="1">-O6/O4</f>
        <v>0.10596815576072774</v>
      </c>
    </row>
    <row r="34" spans="2:15" x14ac:dyDescent="0.2">
      <c r="B34" s="445" t="s">
        <v>427</v>
      </c>
      <c r="C34" s="438"/>
      <c r="D34" s="440">
        <f t="shared" ref="D34:M34" si="3">D7/D14</f>
        <v>4.6464209300633229E-7</v>
      </c>
      <c r="E34" s="440">
        <f t="shared" si="3"/>
        <v>6.856899150995793E-4</v>
      </c>
      <c r="F34" s="440">
        <f t="shared" si="3"/>
        <v>1.9506240502229821E-5</v>
      </c>
      <c r="G34" s="440">
        <f t="shared" si="3"/>
        <v>2.0149877657197826E-4</v>
      </c>
      <c r="H34" s="440">
        <f t="shared" si="3"/>
        <v>1.6522458453285761E-4</v>
      </c>
      <c r="I34" s="440">
        <f t="shared" ca="1" si="3"/>
        <v>1.8475865793157322E-4</v>
      </c>
      <c r="J34" s="440">
        <f t="shared" ca="1" si="3"/>
        <v>1.3189024698216704E-4</v>
      </c>
      <c r="K34" s="440">
        <f t="shared" ca="1" si="3"/>
        <v>1.4359997165688891E-4</v>
      </c>
      <c r="L34" s="440">
        <f t="shared" ca="1" si="3"/>
        <v>2.3734565645266886E-4</v>
      </c>
      <c r="M34" s="440">
        <f t="shared" ca="1" si="3"/>
        <v>2.5864686043065025E-4</v>
      </c>
      <c r="N34" s="440">
        <f ca="1">N7/N14</f>
        <v>2.7333362869184707E-4</v>
      </c>
      <c r="O34" s="447">
        <f ca="1">O7/O14</f>
        <v>2.8211309629110298E-4</v>
      </c>
    </row>
    <row r="35" spans="2:15" x14ac:dyDescent="0.2">
      <c r="B35" s="445" t="s">
        <v>428</v>
      </c>
      <c r="C35" s="438"/>
      <c r="D35" s="440">
        <f t="shared" ref="D35:M35" si="4">D7/D16</f>
        <v>7.6944779878761727E-8</v>
      </c>
      <c r="E35" s="440">
        <f t="shared" si="4"/>
        <v>2.7873395179603226E-4</v>
      </c>
      <c r="F35" s="440">
        <f t="shared" si="4"/>
        <v>4.5363166036140331E-6</v>
      </c>
      <c r="G35" s="440">
        <f t="shared" si="4"/>
        <v>6.9425643551321656E-5</v>
      </c>
      <c r="H35" s="440">
        <f t="shared" si="4"/>
        <v>5.0892401500897518E-5</v>
      </c>
      <c r="I35" s="440">
        <f t="shared" ca="1" si="4"/>
        <v>6.7132383293756713E-5</v>
      </c>
      <c r="J35" s="440">
        <f t="shared" ca="1" si="4"/>
        <v>4.0327265403837337E-5</v>
      </c>
      <c r="K35" s="440">
        <f t="shared" ca="1" si="4"/>
        <v>4.6003883106838497E-5</v>
      </c>
      <c r="L35" s="440">
        <f t="shared" ca="1" si="4"/>
        <v>8.4504633775896174E-5</v>
      </c>
      <c r="M35" s="440">
        <f t="shared" ca="1" si="4"/>
        <v>9.6535543369769098E-5</v>
      </c>
      <c r="N35" s="440">
        <f ca="1">N7/N16</f>
        <v>1.0801305772053356E-4</v>
      </c>
      <c r="O35" s="447">
        <f ca="1">O7/O16</f>
        <v>1.178988616782592E-4</v>
      </c>
    </row>
    <row r="36" spans="2:15" x14ac:dyDescent="0.2">
      <c r="B36" s="445" t="s">
        <v>423</v>
      </c>
      <c r="C36" s="438"/>
      <c r="D36" s="441">
        <f t="shared" ref="D36:M36" si="5">D15/D14</f>
        <v>5.0386434757295691</v>
      </c>
      <c r="E36" s="441">
        <f t="shared" si="5"/>
        <v>1.4600157629930322</v>
      </c>
      <c r="F36" s="441">
        <f t="shared" si="5"/>
        <v>3.3000174385291845</v>
      </c>
      <c r="G36" s="441">
        <f t="shared" si="5"/>
        <v>1.9023681490690671</v>
      </c>
      <c r="H36" s="441">
        <f t="shared" si="5"/>
        <v>2.2465472184476059</v>
      </c>
      <c r="I36" s="441">
        <f t="shared" ca="1" si="5"/>
        <v>1.7521540107269766</v>
      </c>
      <c r="J36" s="441">
        <f t="shared" ca="1" si="5"/>
        <v>2.2704981520918359</v>
      </c>
      <c r="K36" s="441">
        <f t="shared" ca="1" si="5"/>
        <v>2.1214750138242722</v>
      </c>
      <c r="L36" s="441">
        <f t="shared" ca="1" si="5"/>
        <v>1.8086703160219901</v>
      </c>
      <c r="M36" s="441">
        <f t="shared" ca="1" si="5"/>
        <v>1.6792914961894505</v>
      </c>
      <c r="N36" s="441">
        <f ca="1">N15/N14</f>
        <v>1.5305609753133176</v>
      </c>
      <c r="O36" s="448">
        <f ca="1">O15/O14</f>
        <v>1.3928398652480396</v>
      </c>
    </row>
    <row r="37" spans="2:15" x14ac:dyDescent="0.2">
      <c r="B37" s="445" t="s">
        <v>412</v>
      </c>
      <c r="C37" s="438"/>
      <c r="D37" s="441"/>
      <c r="E37" s="441"/>
      <c r="F37" s="441"/>
      <c r="G37" s="441"/>
      <c r="H37" s="441"/>
      <c r="I37" s="441"/>
      <c r="J37" s="438"/>
      <c r="K37" s="441">
        <f ca="1">'CF USD'!I76</f>
        <v>2.387930640516557</v>
      </c>
      <c r="L37" s="441">
        <f ca="1">'CF USD'!J76</f>
        <v>2.6406805822427692</v>
      </c>
      <c r="M37" s="441">
        <f ca="1">'CF USD'!K76</f>
        <v>2.7901059961780592</v>
      </c>
      <c r="N37" s="441">
        <f ca="1">'CF USD'!L76</f>
        <v>3.0584082002547599</v>
      </c>
      <c r="O37" s="448">
        <f ca="1">'CF USD'!M76</f>
        <v>3.33053235294933</v>
      </c>
    </row>
    <row r="38" spans="2:15" ht="15" thickBot="1" x14ac:dyDescent="0.25">
      <c r="B38" s="449" t="s">
        <v>426</v>
      </c>
      <c r="C38" s="483">
        <f ca="1">SUM('CF USD'!I59:M59)/-SUM('CF USD'!I61:M61)</f>
        <v>2.9060246428321403</v>
      </c>
      <c r="D38" s="450"/>
      <c r="E38" s="450"/>
      <c r="F38" s="450"/>
      <c r="G38" s="450"/>
      <c r="H38" s="450"/>
      <c r="I38" s="450"/>
      <c r="J38" s="450"/>
      <c r="K38" s="450"/>
      <c r="L38" s="450"/>
      <c r="M38" s="450"/>
      <c r="N38" s="450"/>
      <c r="O38" s="451"/>
    </row>
    <row r="39" spans="2:15" x14ac:dyDescent="0.2">
      <c r="B39" s="350"/>
      <c r="D39" s="354"/>
      <c r="E39" s="354"/>
      <c r="F39" s="354"/>
      <c r="G39" s="354"/>
      <c r="H39" s="354"/>
      <c r="I39" s="354"/>
      <c r="J39" s="354"/>
      <c r="K39" s="354"/>
      <c r="L39" s="354"/>
      <c r="M39" s="354"/>
      <c r="N39" s="354"/>
      <c r="O39" s="354"/>
    </row>
    <row r="40" spans="2:15" ht="15" x14ac:dyDescent="0.25">
      <c r="B40" s="496" t="s">
        <v>603</v>
      </c>
      <c r="D40" s="354"/>
      <c r="E40" s="354"/>
      <c r="F40" s="354"/>
      <c r="G40" s="354"/>
      <c r="H40" s="354"/>
      <c r="I40" s="354"/>
      <c r="J40" s="354"/>
      <c r="K40" s="354"/>
      <c r="L40" s="354"/>
      <c r="M40" s="354"/>
      <c r="N40" s="354"/>
      <c r="O40" s="354"/>
    </row>
    <row r="41" spans="2:15" x14ac:dyDescent="0.2">
      <c r="B41" s="350"/>
      <c r="D41" s="354"/>
      <c r="E41" s="354"/>
      <c r="F41" s="354"/>
      <c r="G41" s="354"/>
      <c r="H41" s="354"/>
      <c r="I41" s="354"/>
      <c r="J41" s="354"/>
      <c r="K41" s="354"/>
      <c r="L41" s="354"/>
      <c r="M41" s="354"/>
      <c r="N41" s="354"/>
      <c r="O41" s="354"/>
    </row>
    <row r="42" spans="2:15" ht="15" x14ac:dyDescent="0.25">
      <c r="B42" s="493"/>
      <c r="C42" s="493"/>
      <c r="D42" s="493"/>
      <c r="E42" s="494">
        <v>2008</v>
      </c>
      <c r="F42" s="494">
        <v>2009</v>
      </c>
      <c r="G42" s="494">
        <v>2010</v>
      </c>
      <c r="H42" s="494">
        <v>2011</v>
      </c>
      <c r="I42" s="494">
        <v>2012</v>
      </c>
      <c r="J42" s="494">
        <v>2013</v>
      </c>
      <c r="K42" s="494">
        <v>2014</v>
      </c>
      <c r="L42" s="494">
        <v>2015</v>
      </c>
      <c r="M42" s="494">
        <v>2016</v>
      </c>
      <c r="N42" s="494">
        <v>2017</v>
      </c>
      <c r="O42" s="494">
        <v>2018</v>
      </c>
    </row>
    <row r="43" spans="2:15" x14ac:dyDescent="0.2">
      <c r="B43" s="438" t="s">
        <v>599</v>
      </c>
      <c r="C43" s="438"/>
      <c r="D43" s="438"/>
      <c r="E43" s="497">
        <f>'CF USD'!C31</f>
        <v>-4798.662203701685</v>
      </c>
      <c r="F43" s="497">
        <f>'CF USD'!D31</f>
        <v>-4143.0301817038726</v>
      </c>
      <c r="G43" s="497">
        <f>'CF USD'!E31</f>
        <v>5576.8691796673083</v>
      </c>
      <c r="H43" s="497">
        <f>'CF USD'!F31</f>
        <v>-1963.8619579259109</v>
      </c>
      <c r="I43" s="497">
        <f ca="1">'CF USD'!G31</f>
        <v>3545.7871910719655</v>
      </c>
      <c r="J43" s="497">
        <f ca="1">'CF USD'!H31</f>
        <v>1479.3140494858671</v>
      </c>
      <c r="K43" s="497">
        <f ca="1">'CF USD'!I31</f>
        <v>3488.5113052806309</v>
      </c>
      <c r="L43" s="497">
        <f ca="1">'CF USD'!J31</f>
        <v>6558.5691520025666</v>
      </c>
      <c r="M43" s="497">
        <f ca="1">'CF USD'!K31</f>
        <v>4692.2023636187596</v>
      </c>
      <c r="N43" s="497">
        <f ca="1">'CF USD'!L31</f>
        <v>4746.7297828855399</v>
      </c>
      <c r="O43" s="497">
        <f ca="1">'CF USD'!M31</f>
        <v>4718.3020907142545</v>
      </c>
    </row>
    <row r="44" spans="2:15" x14ac:dyDescent="0.2">
      <c r="B44" s="438" t="s">
        <v>600</v>
      </c>
      <c r="C44" s="498">
        <v>0.5</v>
      </c>
      <c r="D44" s="438"/>
      <c r="E44" s="500"/>
      <c r="F44" s="500"/>
      <c r="G44" s="500"/>
      <c r="H44" s="500"/>
      <c r="I44" s="500"/>
      <c r="J44" s="500"/>
      <c r="K44" s="500">
        <f ca="1">IF(K43&gt;0,-K43*$C$44,0)</f>
        <v>-1744.2556526403155</v>
      </c>
      <c r="L44" s="500">
        <f ca="1">IF(L43&gt;0,-L43*$C$44,0)</f>
        <v>-3279.2845760012833</v>
      </c>
      <c r="M44" s="500">
        <f ca="1">IF(M43&gt;0,-M43*$C$44,0)</f>
        <v>-2346.1011818093798</v>
      </c>
      <c r="N44" s="500">
        <f ca="1">IF(N43&gt;0,-N43*$C$44,0)</f>
        <v>-2373.3648914427699</v>
      </c>
      <c r="O44" s="500">
        <f ca="1">IF(O43&gt;0,-O43*$C$44,0)</f>
        <v>-2359.1510453571273</v>
      </c>
    </row>
    <row r="45" spans="2:15" x14ac:dyDescent="0.2">
      <c r="B45" s="438" t="s">
        <v>601</v>
      </c>
      <c r="C45" s="438"/>
      <c r="D45" s="438"/>
      <c r="E45" s="500"/>
      <c r="F45" s="500"/>
      <c r="G45" s="500"/>
      <c r="H45" s="500"/>
      <c r="I45" s="500"/>
      <c r="J45" s="500"/>
      <c r="K45" s="500">
        <f ca="1">SUM($K$44:K44)</f>
        <v>-1744.2556526403155</v>
      </c>
      <c r="L45" s="500">
        <f ca="1">SUM($K$44:L44)</f>
        <v>-5023.5402286415992</v>
      </c>
      <c r="M45" s="500">
        <f ca="1">SUM($K$44:M44)</f>
        <v>-7369.6414104509786</v>
      </c>
      <c r="N45" s="500">
        <f ca="1">SUM($K$44:N44)</f>
        <v>-9743.006301893749</v>
      </c>
      <c r="O45" s="500">
        <f ca="1">SUM($K$44:O44)</f>
        <v>-12102.157347250875</v>
      </c>
    </row>
    <row r="46" spans="2:15" x14ac:dyDescent="0.2">
      <c r="B46" s="492" t="s">
        <v>602</v>
      </c>
      <c r="C46" s="492"/>
      <c r="D46" s="492"/>
      <c r="E46" s="501">
        <f>MAX(E54+E45,0)</f>
        <v>11.367080933616249</v>
      </c>
      <c r="F46" s="501">
        <f>MAX(F54+F45,0)</f>
        <v>156.93231441048036</v>
      </c>
      <c r="G46" s="501">
        <f t="shared" ref="G46:O46" si="6">MAX(G54+G45,0)</f>
        <v>9.4488188976377945</v>
      </c>
      <c r="H46" s="501">
        <f t="shared" si="6"/>
        <v>0</v>
      </c>
      <c r="I46" s="501">
        <f t="shared" si="6"/>
        <v>0</v>
      </c>
      <c r="J46" s="501">
        <f t="shared" si="6"/>
        <v>22715.999999999996</v>
      </c>
      <c r="K46" s="501">
        <f t="shared" ca="1" si="6"/>
        <v>22255.744347359683</v>
      </c>
      <c r="L46" s="501">
        <f t="shared" ca="1" si="6"/>
        <v>14433.2597713584</v>
      </c>
      <c r="M46" s="501">
        <f t="shared" ca="1" si="6"/>
        <v>7287.1585895490225</v>
      </c>
      <c r="N46" s="501">
        <f t="shared" ca="1" si="6"/>
        <v>113.7936981062503</v>
      </c>
      <c r="O46" s="501">
        <f t="shared" ca="1" si="6"/>
        <v>0</v>
      </c>
    </row>
    <row r="47" spans="2:15" x14ac:dyDescent="0.2">
      <c r="E47" s="354"/>
      <c r="F47" s="354"/>
      <c r="G47" s="354"/>
      <c r="H47" s="354"/>
      <c r="I47" s="354"/>
      <c r="J47" s="354"/>
      <c r="K47" s="354"/>
      <c r="L47" s="354"/>
      <c r="M47" s="354"/>
      <c r="N47" s="354"/>
      <c r="O47" s="354"/>
    </row>
    <row r="48" spans="2:15" ht="15" x14ac:dyDescent="0.25">
      <c r="B48" s="496" t="s">
        <v>598</v>
      </c>
      <c r="D48" s="354"/>
      <c r="E48" s="354"/>
      <c r="F48" s="354"/>
      <c r="G48" s="354"/>
      <c r="H48" s="354"/>
      <c r="I48" s="354"/>
      <c r="J48" s="354"/>
      <c r="K48" s="354"/>
      <c r="L48" s="354"/>
      <c r="M48" s="354"/>
      <c r="N48" s="354"/>
      <c r="O48" s="354"/>
    </row>
    <row r="49" spans="2:15" x14ac:dyDescent="0.2">
      <c r="B49" s="495"/>
      <c r="D49" s="354"/>
      <c r="E49" s="354"/>
      <c r="F49" s="354"/>
      <c r="G49" s="354"/>
      <c r="H49" s="354"/>
      <c r="I49" s="354"/>
      <c r="J49" s="354"/>
      <c r="K49" s="354"/>
      <c r="L49" s="354"/>
      <c r="M49" s="354"/>
      <c r="N49" s="354"/>
      <c r="O49" s="354"/>
    </row>
    <row r="50" spans="2:15" ht="15" x14ac:dyDescent="0.25">
      <c r="B50" s="493"/>
      <c r="C50" s="493"/>
      <c r="D50" s="493"/>
      <c r="E50" s="494">
        <v>2008</v>
      </c>
      <c r="F50" s="494">
        <v>2009</v>
      </c>
      <c r="G50" s="494">
        <v>2010</v>
      </c>
      <c r="H50" s="494">
        <v>2011</v>
      </c>
      <c r="I50" s="494">
        <v>2012</v>
      </c>
      <c r="J50" s="494">
        <v>2013</v>
      </c>
      <c r="K50" s="494">
        <v>2014</v>
      </c>
      <c r="L50" s="494">
        <v>2015</v>
      </c>
      <c r="M50" s="494">
        <v>2016</v>
      </c>
      <c r="N50" s="494">
        <v>2017</v>
      </c>
      <c r="O50" s="494">
        <v>2018</v>
      </c>
    </row>
    <row r="51" spans="2:15" x14ac:dyDescent="0.2">
      <c r="B51" s="438" t="s">
        <v>596</v>
      </c>
      <c r="C51" s="438"/>
      <c r="D51" s="438"/>
      <c r="E51" s="441">
        <f>'BS USD'!C14</f>
        <v>1241.2852379508943</v>
      </c>
      <c r="F51" s="441">
        <f>'BS USD'!D14</f>
        <v>2236.6266375545852</v>
      </c>
      <c r="G51" s="441">
        <f>'BS USD'!E14</f>
        <v>2093.8582677165355</v>
      </c>
      <c r="H51" s="441">
        <f>'BS USD'!F14</f>
        <v>325.55425904317389</v>
      </c>
      <c r="I51" s="441">
        <f>'BS USD'!G14</f>
        <v>295.23809523809524</v>
      </c>
      <c r="J51" s="441">
        <f>'BS USD'!H14</f>
        <v>268.39826839826844</v>
      </c>
      <c r="K51" s="441">
        <f>'BS USD'!I14</f>
        <v>243.99842581660764</v>
      </c>
      <c r="L51" s="441">
        <f>'BS USD'!J14</f>
        <v>221.81675074237057</v>
      </c>
      <c r="M51" s="441">
        <f>'BS USD'!K14</f>
        <v>201.65159158397321</v>
      </c>
      <c r="N51" s="441">
        <f>'BS USD'!L14</f>
        <v>183.31962871270292</v>
      </c>
      <c r="O51" s="441">
        <f>'BS USD'!M14</f>
        <v>166.65420792063901</v>
      </c>
    </row>
    <row r="52" spans="2:15" x14ac:dyDescent="0.2">
      <c r="B52" s="438" t="s">
        <v>594</v>
      </c>
      <c r="C52" s="438"/>
      <c r="D52" s="438"/>
      <c r="E52" s="441">
        <f>'BS USD'!C13</f>
        <v>0</v>
      </c>
      <c r="F52" s="441">
        <f>'BS USD'!D13</f>
        <v>0</v>
      </c>
      <c r="G52" s="441">
        <f>'BS USD'!E13</f>
        <v>0</v>
      </c>
      <c r="H52" s="441">
        <f>'BS USD'!F13</f>
        <v>0</v>
      </c>
      <c r="I52" s="441">
        <f ca="1">'BS USD'!G13</f>
        <v>0</v>
      </c>
      <c r="J52" s="441">
        <f ca="1">'BS USD'!H13</f>
        <v>752.78100048443127</v>
      </c>
      <c r="K52" s="441">
        <f ca="1">'BS USD'!I13</f>
        <v>4172.8576693573868</v>
      </c>
      <c r="L52" s="441">
        <f ca="1">'BS USD'!J13</f>
        <v>10352.076124145646</v>
      </c>
      <c r="M52" s="441">
        <f ca="1">'BS USD'!K13</f>
        <v>14103.180658296618</v>
      </c>
      <c r="N52" s="441">
        <f ca="1">'BS USD'!L13</f>
        <v>17567.803108609736</v>
      </c>
      <c r="O52" s="441">
        <f ca="1">'BS USD'!M13</f>
        <v>20689.032189450376</v>
      </c>
    </row>
    <row r="53" spans="2:15" x14ac:dyDescent="0.2">
      <c r="B53" s="438"/>
      <c r="C53" s="438"/>
      <c r="D53" s="438"/>
      <c r="E53" s="441"/>
      <c r="F53" s="441"/>
      <c r="G53" s="441"/>
      <c r="H53" s="441"/>
      <c r="I53" s="441"/>
      <c r="J53" s="441"/>
      <c r="K53" s="441"/>
      <c r="L53" s="441"/>
      <c r="M53" s="441"/>
      <c r="N53" s="441"/>
      <c r="O53" s="441"/>
    </row>
    <row r="54" spans="2:15" x14ac:dyDescent="0.2">
      <c r="B54" s="438" t="s">
        <v>597</v>
      </c>
      <c r="C54" s="438"/>
      <c r="D54" s="438"/>
      <c r="E54" s="441">
        <f>'BS USD'!C28</f>
        <v>11.367080933616249</v>
      </c>
      <c r="F54" s="441">
        <f>'BS USD'!D28</f>
        <v>156.93231441048036</v>
      </c>
      <c r="G54" s="441">
        <f>'BS USD'!E28</f>
        <v>9.4488188976377945</v>
      </c>
      <c r="H54" s="441">
        <f>'BS USD'!F28</f>
        <v>0</v>
      </c>
      <c r="I54" s="441">
        <f>'BS USD'!G28</f>
        <v>0</v>
      </c>
      <c r="J54" s="441">
        <f>'BS USD'!H28</f>
        <v>22715.999999999996</v>
      </c>
      <c r="K54" s="441">
        <f>'BS USD'!I28</f>
        <v>24000</v>
      </c>
      <c r="L54" s="441">
        <f>'BS USD'!J28</f>
        <v>19456.8</v>
      </c>
      <c r="M54" s="441">
        <f>'BS USD'!K28</f>
        <v>14656.800000000001</v>
      </c>
      <c r="N54" s="441">
        <f>'BS USD'!L28</f>
        <v>9856.7999999999993</v>
      </c>
      <c r="O54" s="441">
        <f>'BS USD'!M28</f>
        <v>5056.8</v>
      </c>
    </row>
    <row r="55" spans="2:15" x14ac:dyDescent="0.2">
      <c r="B55" s="438" t="s">
        <v>595</v>
      </c>
      <c r="C55" s="438"/>
      <c r="D55" s="438"/>
      <c r="E55" s="441">
        <f>'BS USD'!C27</f>
        <v>5780.0201909705547</v>
      </c>
      <c r="F55" s="441">
        <f>'BS USD'!D27</f>
        <v>9347.0251091703067</v>
      </c>
      <c r="G55" s="441">
        <f>'BS USD'!E27</f>
        <v>3052.5984251968503</v>
      </c>
      <c r="H55" s="441">
        <f>'BS USD'!F27</f>
        <v>4791.1318553092178</v>
      </c>
      <c r="I55" s="441">
        <f ca="1">'BS USD'!G27</f>
        <v>799.18635390157942</v>
      </c>
      <c r="J55" s="441">
        <f ca="1">'BS USD'!H27</f>
        <v>0</v>
      </c>
      <c r="K55" s="441">
        <f ca="1">'BS USD'!I27</f>
        <v>0</v>
      </c>
      <c r="L55" s="441">
        <f ca="1">'BS USD'!J27</f>
        <v>0</v>
      </c>
      <c r="M55" s="441">
        <f ca="1">'BS USD'!K27</f>
        <v>0</v>
      </c>
      <c r="N55" s="441">
        <f ca="1">'BS USD'!L27</f>
        <v>0</v>
      </c>
      <c r="O55" s="441">
        <f ca="1">'BS USD'!M27</f>
        <v>0</v>
      </c>
    </row>
    <row r="56" spans="2:15" x14ac:dyDescent="0.2">
      <c r="B56" s="438"/>
      <c r="C56" s="438"/>
      <c r="D56" s="438"/>
      <c r="E56" s="441"/>
      <c r="F56" s="441"/>
      <c r="G56" s="441"/>
      <c r="H56" s="441"/>
      <c r="I56" s="441"/>
      <c r="J56" s="441"/>
      <c r="K56" s="441"/>
      <c r="L56" s="441"/>
      <c r="M56" s="441"/>
      <c r="N56" s="441"/>
      <c r="O56" s="441"/>
    </row>
    <row r="57" spans="2:15" x14ac:dyDescent="0.2">
      <c r="B57" s="438" t="s">
        <v>584</v>
      </c>
      <c r="C57" s="438"/>
      <c r="D57" s="438"/>
      <c r="E57" s="441">
        <f>E54+E55-E51-E52</f>
        <v>4550.102033953277</v>
      </c>
      <c r="F57" s="441">
        <f t="shared" ref="F57:O57" si="7">F54+F55-F51-F52</f>
        <v>7267.3307860262012</v>
      </c>
      <c r="G57" s="441">
        <f t="shared" si="7"/>
        <v>968.18897637795271</v>
      </c>
      <c r="H57" s="441">
        <f t="shared" si="7"/>
        <v>4465.5775962660437</v>
      </c>
      <c r="I57" s="441">
        <f t="shared" ca="1" si="7"/>
        <v>503.94825866348418</v>
      </c>
      <c r="J57" s="441">
        <f t="shared" ca="1" si="7"/>
        <v>21694.820731117296</v>
      </c>
      <c r="K57" s="441">
        <f t="shared" ca="1" si="7"/>
        <v>19583.143904826007</v>
      </c>
      <c r="L57" s="441">
        <f t="shared" ca="1" si="7"/>
        <v>8882.9071251119822</v>
      </c>
      <c r="M57" s="441">
        <f t="shared" ca="1" si="7"/>
        <v>351.96775011940917</v>
      </c>
      <c r="N57" s="441">
        <f t="shared" ca="1" si="7"/>
        <v>-7894.3227373224399</v>
      </c>
      <c r="O57" s="441">
        <f t="shared" ca="1" si="7"/>
        <v>-15798.886397371014</v>
      </c>
    </row>
    <row r="59" spans="2:15" x14ac:dyDescent="0.2">
      <c r="B59" s="351" t="s">
        <v>604</v>
      </c>
    </row>
    <row r="60" spans="2:15" x14ac:dyDescent="0.2">
      <c r="N60" s="355">
        <f>1545/1700-1</f>
        <v>-9.1176470588235303E-2</v>
      </c>
    </row>
    <row r="61" spans="2:15" ht="15" x14ac:dyDescent="0.25">
      <c r="B61" s="493"/>
      <c r="C61" s="493"/>
      <c r="D61" s="493"/>
      <c r="E61" s="494">
        <v>2008</v>
      </c>
      <c r="F61" s="494">
        <v>2009</v>
      </c>
      <c r="G61" s="494">
        <v>2010</v>
      </c>
      <c r="H61" s="494">
        <v>2011</v>
      </c>
      <c r="I61" s="494" t="s">
        <v>605</v>
      </c>
      <c r="J61" s="494"/>
      <c r="K61" s="494">
        <v>2011</v>
      </c>
      <c r="L61" s="494" t="s">
        <v>605</v>
      </c>
      <c r="M61" s="494"/>
      <c r="N61" s="494">
        <v>2011</v>
      </c>
      <c r="O61" s="494" t="s">
        <v>605</v>
      </c>
    </row>
    <row r="62" spans="2:15" x14ac:dyDescent="0.2">
      <c r="B62" s="354" t="s">
        <v>6</v>
      </c>
      <c r="H62" s="354">
        <f>'PL USD'!F4</f>
        <v>96728.704784130678</v>
      </c>
      <c r="I62" s="354">
        <f ca="1">SUM('PL USD'!F4:M4)</f>
        <v>1026227.5273738005</v>
      </c>
      <c r="K62" s="354">
        <v>103545.02430361265</v>
      </c>
      <c r="L62" s="354">
        <v>895619.25252168882</v>
      </c>
      <c r="N62" s="355">
        <f>H62/K62-1</f>
        <v>-6.5829522619023195E-2</v>
      </c>
      <c r="O62" s="355">
        <f ca="1">I62/L62-1</f>
        <v>0.14583013315577298</v>
      </c>
    </row>
    <row r="63" spans="2:15" x14ac:dyDescent="0.2">
      <c r="B63" s="354" t="s">
        <v>312</v>
      </c>
      <c r="H63" s="354">
        <f>'PL USD'!F5</f>
        <v>0</v>
      </c>
      <c r="I63" s="354">
        <f>SUM('PL USD'!F5:M5)</f>
        <v>5107.4074074074078</v>
      </c>
      <c r="K63" s="354">
        <v>0</v>
      </c>
      <c r="L63" s="354">
        <v>0</v>
      </c>
      <c r="N63" s="355"/>
      <c r="O63" s="355"/>
    </row>
    <row r="64" spans="2:15" x14ac:dyDescent="0.2">
      <c r="B64" s="354" t="s">
        <v>7</v>
      </c>
      <c r="H64" s="354">
        <f>'PL USD'!F6</f>
        <v>96728.704784130678</v>
      </c>
      <c r="I64" s="354">
        <f ca="1">SUM('PL USD'!F6:M6)</f>
        <v>1031334.9347812079</v>
      </c>
      <c r="K64" s="354">
        <v>103545.02430361265</v>
      </c>
      <c r="L64" s="354">
        <v>895619.25252168882</v>
      </c>
      <c r="N64" s="355">
        <f t="shared" ref="N64:O94" si="8">H64/K64-1</f>
        <v>-6.5829522619023195E-2</v>
      </c>
      <c r="O64" s="355">
        <f t="shared" ca="1" si="8"/>
        <v>0.15153278793125602</v>
      </c>
    </row>
    <row r="65" spans="2:15" x14ac:dyDescent="0.2">
      <c r="B65" s="354" t="s">
        <v>313</v>
      </c>
      <c r="H65" s="354">
        <f>'PL USD'!F7</f>
        <v>-0.1237341996986564</v>
      </c>
      <c r="I65" s="354">
        <f ca="1">SUM('PL USD'!F7:M7)</f>
        <v>0.40803376511948086</v>
      </c>
      <c r="K65" s="354">
        <v>-6.198512849814497E-2</v>
      </c>
      <c r="L65" s="354">
        <v>0.1678533580959074</v>
      </c>
      <c r="N65" s="355"/>
      <c r="O65" s="355"/>
    </row>
    <row r="66" spans="2:15" x14ac:dyDescent="0.2">
      <c r="B66" s="354" t="s">
        <v>0</v>
      </c>
      <c r="H66" s="354">
        <f>'PL USD'!F8</f>
        <v>-75578.763127187864</v>
      </c>
      <c r="I66" s="354">
        <f ca="1">SUM('PL USD'!F8:M8)</f>
        <v>-797526.49972608115</v>
      </c>
      <c r="K66" s="354">
        <v>-87227.755280887475</v>
      </c>
      <c r="L66" s="354">
        <v>-750469.91433840035</v>
      </c>
      <c r="N66" s="355">
        <f t="shared" si="8"/>
        <v>-0.13354685233143937</v>
      </c>
      <c r="O66" s="355">
        <f t="shared" ca="1" si="8"/>
        <v>6.2702827240136649E-2</v>
      </c>
    </row>
    <row r="67" spans="2:15" x14ac:dyDescent="0.2">
      <c r="B67" s="354" t="s">
        <v>314</v>
      </c>
      <c r="H67" s="354">
        <f>'PL USD'!F9</f>
        <v>-0.12710615825120841</v>
      </c>
      <c r="I67" s="354">
        <f ca="1">SUM('PL USD'!F9:M9)</f>
        <v>0.383076808420033</v>
      </c>
      <c r="K67" s="354">
        <v>1.1462297726277493E-2</v>
      </c>
      <c r="L67" s="354">
        <v>0.21985296625993589</v>
      </c>
      <c r="N67" s="355"/>
      <c r="O67" s="355"/>
    </row>
    <row r="68" spans="2:15" x14ac:dyDescent="0.2">
      <c r="B68" s="354" t="s">
        <v>8</v>
      </c>
      <c r="H68" s="354">
        <f>'PL USD'!F10</f>
        <v>21149.941656942814</v>
      </c>
      <c r="I68" s="354">
        <f ca="1">SUM('PL USD'!F10:M10)</f>
        <v>233808.43505512679</v>
      </c>
      <c r="K68" s="354">
        <v>16317.269022725173</v>
      </c>
      <c r="L68" s="354">
        <v>145149.33818328835</v>
      </c>
      <c r="N68" s="355">
        <f t="shared" si="8"/>
        <v>0.29616920745053266</v>
      </c>
      <c r="O68" s="355">
        <f t="shared" ca="1" si="8"/>
        <v>0.61081295982130857</v>
      </c>
    </row>
    <row r="69" spans="2:15" x14ac:dyDescent="0.2">
      <c r="B69" s="354" t="s">
        <v>315</v>
      </c>
      <c r="H69" s="354">
        <f>'PL USD'!F11</f>
        <v>-0.11146873179498284</v>
      </c>
      <c r="I69" s="354">
        <f ca="1">SUM('PL USD'!F11:M11)</f>
        <v>0.50992918943220344</v>
      </c>
      <c r="K69" s="354">
        <v>-0.32428482041865814</v>
      </c>
      <c r="L69" s="354">
        <v>2.8660152096277924E-2</v>
      </c>
      <c r="N69" s="355">
        <f t="shared" si="8"/>
        <v>-0.6562628751753643</v>
      </c>
      <c r="O69" s="355">
        <f t="shared" ca="1" si="8"/>
        <v>16.792270875576673</v>
      </c>
    </row>
    <row r="70" spans="2:15" x14ac:dyDescent="0.2">
      <c r="B70" s="354" t="s">
        <v>586</v>
      </c>
      <c r="H70" s="354">
        <f>'PL USD'!F12</f>
        <v>0.21865217469977616</v>
      </c>
      <c r="I70" s="354">
        <f ca="1">SUM('PL USD'!F12:M12)</f>
        <v>1.7990415301530798</v>
      </c>
      <c r="K70" s="354">
        <v>0.15758622041441608</v>
      </c>
      <c r="L70" s="354">
        <v>1.2903366012172675</v>
      </c>
      <c r="N70" s="355">
        <f t="shared" si="8"/>
        <v>0.38750821058319973</v>
      </c>
      <c r="O70" s="355">
        <f t="shared" ca="1" si="8"/>
        <v>0.39424203611361119</v>
      </c>
    </row>
    <row r="71" spans="2:15" x14ac:dyDescent="0.2">
      <c r="B71" s="354" t="s">
        <v>9</v>
      </c>
      <c r="H71" s="354">
        <f>'PL USD'!F13</f>
        <v>-2590.4317386231037</v>
      </c>
      <c r="I71" s="354">
        <f>SUM('PL USD'!F13:M13)</f>
        <v>-18824.713827493593</v>
      </c>
      <c r="K71" s="354">
        <v>-2280.9167344066577</v>
      </c>
      <c r="L71" s="354">
        <v>-19768.691749101457</v>
      </c>
      <c r="N71" s="355">
        <f t="shared" si="8"/>
        <v>0.13569763400283041</v>
      </c>
      <c r="O71" s="355">
        <f t="shared" si="8"/>
        <v>-4.7751157921250398E-2</v>
      </c>
    </row>
    <row r="72" spans="2:15" x14ac:dyDescent="0.2">
      <c r="B72" s="354" t="s">
        <v>10</v>
      </c>
      <c r="H72" s="354">
        <f>'PL USD'!F14</f>
        <v>-2098.0163360560091</v>
      </c>
      <c r="I72" s="354">
        <f>SUM('PL USD'!F14:M14)</f>
        <v>-24223.743449604619</v>
      </c>
      <c r="K72" s="354">
        <v>-1958.0295144154743</v>
      </c>
      <c r="L72" s="354">
        <v>-19232.324829829551</v>
      </c>
      <c r="N72" s="355">
        <f t="shared" si="8"/>
        <v>7.1493723976027379E-2</v>
      </c>
      <c r="O72" s="355">
        <f t="shared" si="8"/>
        <v>0.2595327743234308</v>
      </c>
    </row>
    <row r="73" spans="2:15" x14ac:dyDescent="0.2">
      <c r="B73" s="354" t="s">
        <v>93</v>
      </c>
      <c r="H73" s="354">
        <f>'PL USD'!F15</f>
        <v>-6254.9591598599764</v>
      </c>
      <c r="I73" s="354">
        <f ca="1">SUM('PL USD'!F15:M15)</f>
        <v>-42009.671633232931</v>
      </c>
      <c r="K73" s="354">
        <v>-6002.2081215194776</v>
      </c>
      <c r="L73" s="354">
        <v>-42155.321637459907</v>
      </c>
      <c r="N73" s="355">
        <f t="shared" si="8"/>
        <v>4.2109675843181815E-2</v>
      </c>
      <c r="O73" s="355">
        <f t="shared" ca="1" si="8"/>
        <v>-3.4550798942913907E-3</v>
      </c>
    </row>
    <row r="74" spans="2:15" x14ac:dyDescent="0.2">
      <c r="B74" s="354" t="s">
        <v>321</v>
      </c>
      <c r="H74" s="354">
        <f>'PL USD'!F16</f>
        <v>-3385.5046674445744</v>
      </c>
      <c r="I74" s="354">
        <f ca="1">SUM('PL USD'!F16:M16)</f>
        <v>-36096.72271734228</v>
      </c>
      <c r="K74" s="354">
        <v>-3624.0758506264428</v>
      </c>
      <c r="L74" s="354">
        <v>-31346.67383825911</v>
      </c>
      <c r="N74" s="355">
        <f t="shared" si="8"/>
        <v>-6.5829522619022973E-2</v>
      </c>
      <c r="O74" s="355">
        <f t="shared" ca="1" si="8"/>
        <v>0.15153278793125602</v>
      </c>
    </row>
    <row r="75" spans="2:15" x14ac:dyDescent="0.2">
      <c r="B75" s="354" t="s">
        <v>320</v>
      </c>
      <c r="H75" s="354">
        <f>'PL USD'!F17</f>
        <v>-14328.911901983663</v>
      </c>
      <c r="I75" s="354">
        <f ca="1">SUM('PL USD'!F17:M17)</f>
        <v>-121154.85162767343</v>
      </c>
      <c r="K75" s="354">
        <v>-13865.230220968053</v>
      </c>
      <c r="L75" s="354">
        <v>-112503.01205465003</v>
      </c>
      <c r="N75" s="355">
        <f t="shared" si="8"/>
        <v>3.3442047021649657E-2</v>
      </c>
      <c r="O75" s="355">
        <f t="shared" ca="1" si="8"/>
        <v>7.6903181657222097E-2</v>
      </c>
    </row>
    <row r="76" spans="2:15" x14ac:dyDescent="0.2">
      <c r="B76" s="354" t="s">
        <v>319</v>
      </c>
      <c r="H76" s="354">
        <f>'PL USD'!F18</f>
        <v>1696.6161026837808</v>
      </c>
      <c r="I76" s="354">
        <f>SUM('PL USD'!F18:M18)</f>
        <v>6608.1986683945415</v>
      </c>
      <c r="K76" s="354">
        <v>647.06857713664056</v>
      </c>
      <c r="L76" s="354">
        <v>5372.3698330413572</v>
      </c>
      <c r="N76" s="355">
        <f t="shared" si="8"/>
        <v>1.6220035443407244</v>
      </c>
      <c r="O76" s="355">
        <f t="shared" si="8"/>
        <v>0.23003420720452672</v>
      </c>
    </row>
    <row r="77" spans="2:15" x14ac:dyDescent="0.2">
      <c r="B77" s="354"/>
      <c r="H77" s="354">
        <f>'PL USD'!F19</f>
        <v>0</v>
      </c>
      <c r="I77" s="354">
        <f>SUM('PL USD'!F19:M19)</f>
        <v>0</v>
      </c>
      <c r="K77" s="354">
        <v>0</v>
      </c>
      <c r="L77" s="354">
        <v>0</v>
      </c>
      <c r="N77" s="355" t="e">
        <f t="shared" si="8"/>
        <v>#DIV/0!</v>
      </c>
      <c r="O77" s="355" t="e">
        <f t="shared" si="8"/>
        <v>#DIV/0!</v>
      </c>
    </row>
    <row r="78" spans="2:15" x14ac:dyDescent="0.2">
      <c r="B78" s="354" t="s">
        <v>5</v>
      </c>
      <c r="H78" s="354">
        <f>'PL USD'!F20</f>
        <v>8517.6458576429322</v>
      </c>
      <c r="I78" s="354">
        <f ca="1">SUM('PL USD'!F20:M20)</f>
        <v>119261.78209584791</v>
      </c>
      <c r="K78" s="354">
        <v>3099.1073788937611</v>
      </c>
      <c r="L78" s="354">
        <v>38018.695961679667</v>
      </c>
      <c r="N78" s="355">
        <f t="shared" si="8"/>
        <v>1.7484190821046481</v>
      </c>
      <c r="O78" s="355">
        <f t="shared" ca="1" si="8"/>
        <v>2.1369245861577131</v>
      </c>
    </row>
    <row r="79" spans="2:15" x14ac:dyDescent="0.2">
      <c r="B79" s="354" t="s">
        <v>316</v>
      </c>
      <c r="H79" s="354">
        <f>'PL USD'!F21</f>
        <v>0</v>
      </c>
      <c r="I79" s="354">
        <f>SUM('PL USD'!F21:M21)</f>
        <v>0</v>
      </c>
      <c r="K79" s="354">
        <v>0</v>
      </c>
      <c r="L79" s="354">
        <v>0</v>
      </c>
      <c r="N79" s="355" t="e">
        <f t="shared" si="8"/>
        <v>#DIV/0!</v>
      </c>
      <c r="O79" s="355" t="e">
        <f t="shared" si="8"/>
        <v>#DIV/0!</v>
      </c>
    </row>
    <row r="80" spans="2:15" x14ac:dyDescent="0.2">
      <c r="B80" s="354" t="s">
        <v>322</v>
      </c>
      <c r="H80" s="354">
        <f>'PL USD'!F22</f>
        <v>-1087.2746499416571</v>
      </c>
      <c r="I80" s="354">
        <f>SUM('PL USD'!F22:M22)</f>
        <v>-20096.299180022412</v>
      </c>
      <c r="K80" s="354">
        <v>-1689.2299479514211</v>
      </c>
      <c r="L80" s="354">
        <v>-21443.702318317362</v>
      </c>
      <c r="N80" s="355">
        <f t="shared" si="8"/>
        <v>-0.35634893801153178</v>
      </c>
      <c r="O80" s="355">
        <f t="shared" si="8"/>
        <v>-6.2834445204174916E-2</v>
      </c>
    </row>
    <row r="81" spans="2:15" x14ac:dyDescent="0.2">
      <c r="B81" s="354" t="s">
        <v>76</v>
      </c>
      <c r="H81" s="354">
        <f>'PL USD'!F23</f>
        <v>0</v>
      </c>
      <c r="I81" s="354">
        <f>SUM('PL USD'!F23:M23)</f>
        <v>0</v>
      </c>
      <c r="K81" s="354">
        <v>0</v>
      </c>
      <c r="L81" s="354">
        <v>0</v>
      </c>
      <c r="N81" s="355" t="e">
        <f t="shared" si="8"/>
        <v>#DIV/0!</v>
      </c>
      <c r="O81" s="355" t="e">
        <f t="shared" si="8"/>
        <v>#DIV/0!</v>
      </c>
    </row>
    <row r="82" spans="2:15" x14ac:dyDescent="0.2">
      <c r="B82" s="354" t="s">
        <v>323</v>
      </c>
      <c r="H82" s="354">
        <f>'PL USD'!F24</f>
        <v>-1087.2746499416571</v>
      </c>
      <c r="I82" s="354">
        <f>SUM('PL USD'!F24:M24)</f>
        <v>-20096.299180022412</v>
      </c>
      <c r="K82" s="354">
        <v>-1689.2299479514211</v>
      </c>
      <c r="L82" s="354">
        <v>-21443.702318317362</v>
      </c>
      <c r="N82" s="355">
        <f t="shared" si="8"/>
        <v>-0.35634893801153178</v>
      </c>
      <c r="O82" s="355">
        <f t="shared" si="8"/>
        <v>-6.2834445204174916E-2</v>
      </c>
    </row>
    <row r="83" spans="2:15" x14ac:dyDescent="0.2">
      <c r="B83" s="354"/>
      <c r="H83" s="354">
        <f>'PL USD'!F25</f>
        <v>0</v>
      </c>
      <c r="I83" s="354">
        <f>SUM('PL USD'!F25:M25)</f>
        <v>0</v>
      </c>
      <c r="K83" s="354">
        <v>0</v>
      </c>
      <c r="L83" s="354">
        <v>0</v>
      </c>
      <c r="N83" s="355" t="e">
        <f t="shared" si="8"/>
        <v>#DIV/0!</v>
      </c>
      <c r="O83" s="355" t="e">
        <f t="shared" si="8"/>
        <v>#DIV/0!</v>
      </c>
    </row>
    <row r="84" spans="2:15" x14ac:dyDescent="0.2">
      <c r="B84" s="354" t="s">
        <v>1</v>
      </c>
      <c r="H84" s="354">
        <f>'PL USD'!F26</f>
        <v>7430.3712077012751</v>
      </c>
      <c r="I84" s="354">
        <f ca="1">SUM('PL USD'!F26:M26)</f>
        <v>99165.482915825487</v>
      </c>
      <c r="K84" s="354">
        <v>1409.87743094234</v>
      </c>
      <c r="L84" s="354">
        <v>16574.993643362304</v>
      </c>
      <c r="N84" s="355">
        <f t="shared" si="8"/>
        <v>4.2702249462458104</v>
      </c>
      <c r="O84" s="355">
        <f t="shared" ca="1" si="8"/>
        <v>4.9828368595204706</v>
      </c>
    </row>
    <row r="85" spans="2:15" x14ac:dyDescent="0.2">
      <c r="B85" s="354" t="s">
        <v>317</v>
      </c>
      <c r="H85" s="354">
        <f>'PL USD'!F27</f>
        <v>0</v>
      </c>
      <c r="I85" s="354">
        <f>SUM('PL USD'!F27:M27)</f>
        <v>0</v>
      </c>
      <c r="K85" s="354">
        <v>0</v>
      </c>
      <c r="L85" s="354">
        <v>0</v>
      </c>
      <c r="N85" s="355" t="e">
        <f t="shared" si="8"/>
        <v>#DIV/0!</v>
      </c>
      <c r="O85" s="355" t="e">
        <f t="shared" si="8"/>
        <v>#DIV/0!</v>
      </c>
    </row>
    <row r="86" spans="2:15" x14ac:dyDescent="0.2">
      <c r="B86" s="354" t="s">
        <v>324</v>
      </c>
      <c r="H86" s="354">
        <f>'PL USD'!F28</f>
        <v>-519.83663943990666</v>
      </c>
      <c r="I86" s="354">
        <f ca="1">SUM('PL USD'!F28:M28)</f>
        <v>-10169.576582828846</v>
      </c>
      <c r="K86" s="354">
        <v>-832.28872199911802</v>
      </c>
      <c r="L86" s="354">
        <v>-23404.01834900567</v>
      </c>
      <c r="N86" s="355">
        <f t="shared" si="8"/>
        <v>-0.37541309199614803</v>
      </c>
      <c r="O86" s="355">
        <f t="shared" ca="1" si="8"/>
        <v>-0.5654773282443224</v>
      </c>
    </row>
    <row r="87" spans="2:15" s="512" customFormat="1" x14ac:dyDescent="0.2">
      <c r="B87" s="516" t="s">
        <v>606</v>
      </c>
      <c r="H87" s="517">
        <f>'CF USD'!F51*1000</f>
        <v>-706307.08661417325</v>
      </c>
      <c r="I87" s="517">
        <f ca="1">SUM('CF USD'!F51:M51)*1000</f>
        <v>-2748913.4866141733</v>
      </c>
      <c r="K87" s="517">
        <v>-1000.7949261735196</v>
      </c>
      <c r="L87" s="517">
        <v>-19980.913026218041</v>
      </c>
      <c r="N87" s="514">
        <f>H87/K87-1</f>
        <v>704.74607059080199</v>
      </c>
      <c r="O87" s="514">
        <f ca="1">I87/L87-1</f>
        <v>136.57697073237719</v>
      </c>
    </row>
    <row r="88" spans="2:15" x14ac:dyDescent="0.2">
      <c r="B88" s="515" t="s">
        <v>607</v>
      </c>
      <c r="H88" s="354">
        <f>'PL USD'!F28-Summary!H87</f>
        <v>705787.24997473333</v>
      </c>
      <c r="I88" s="354">
        <f ca="1">SUM('PL USD'!F28:M28)-Summary!I87</f>
        <v>2738743.9100313443</v>
      </c>
      <c r="K88" s="354">
        <v>168.50620417440155</v>
      </c>
      <c r="L88" s="354">
        <v>-3423.1053227876291</v>
      </c>
      <c r="N88" s="355">
        <f>H88/K88-1</f>
        <v>4187.4941473386552</v>
      </c>
      <c r="O88" s="355">
        <f ca="1">I88/L88-1</f>
        <v>-801.07585270587867</v>
      </c>
    </row>
    <row r="89" spans="2:15" x14ac:dyDescent="0.2">
      <c r="B89" s="354"/>
      <c r="H89" s="354"/>
      <c r="I89" s="354"/>
      <c r="K89" s="354"/>
      <c r="L89" s="354"/>
      <c r="N89" s="355"/>
      <c r="O89" s="355"/>
    </row>
    <row r="90" spans="2:15" x14ac:dyDescent="0.2">
      <c r="B90" s="354"/>
      <c r="H90" s="354"/>
      <c r="I90" s="354"/>
      <c r="K90" s="354"/>
      <c r="L90" s="354"/>
      <c r="N90" s="355"/>
      <c r="O90" s="355"/>
    </row>
    <row r="91" spans="2:15" x14ac:dyDescent="0.2">
      <c r="B91" s="354"/>
      <c r="H91" s="354"/>
      <c r="I91" s="354"/>
      <c r="K91" s="354"/>
      <c r="L91" s="354"/>
      <c r="N91" s="355"/>
      <c r="O91" s="355"/>
    </row>
    <row r="92" spans="2:15" x14ac:dyDescent="0.2">
      <c r="B92" s="354" t="s">
        <v>13</v>
      </c>
      <c r="H92" s="354">
        <f>'PL USD'!F34</f>
        <v>6910.5345682613688</v>
      </c>
      <c r="I92" s="354">
        <f ca="1">SUM('PL USD'!F34:M34)</f>
        <v>88995.906332996659</v>
      </c>
      <c r="K92" s="354">
        <v>577.58870894322195</v>
      </c>
      <c r="L92" s="354">
        <v>-6829.0247056433636</v>
      </c>
      <c r="N92" s="355">
        <f t="shared" si="8"/>
        <v>10.964455781874863</v>
      </c>
      <c r="O92" s="355">
        <f t="shared" ca="1" si="8"/>
        <v>-14.032008254334224</v>
      </c>
    </row>
    <row r="93" spans="2:15" x14ac:dyDescent="0.2">
      <c r="B93" s="354" t="s">
        <v>14</v>
      </c>
      <c r="H93" s="354">
        <f>'PL USD'!F35</f>
        <v>-799.47990810968474</v>
      </c>
      <c r="I93" s="354">
        <f ca="1">SUM('PL USD'!F35:M35)</f>
        <v>-11626.149463965698</v>
      </c>
      <c r="K93" s="354">
        <v>-75.086532162617303</v>
      </c>
      <c r="L93" s="354">
        <v>887.77321173364282</v>
      </c>
      <c r="N93" s="355">
        <f t="shared" si="8"/>
        <v>9.647447486031524</v>
      </c>
      <c r="O93" s="355">
        <f t="shared" ca="1" si="8"/>
        <v>-14.095855236792021</v>
      </c>
    </row>
    <row r="94" spans="2:15" x14ac:dyDescent="0.2">
      <c r="B94" s="354" t="s">
        <v>318</v>
      </c>
      <c r="H94" s="354">
        <f>'PL USD'!F36</f>
        <v>6111.0546601516844</v>
      </c>
      <c r="I94" s="354">
        <f ca="1">SUM('PL USD'!F36:M36)</f>
        <v>77369.756869030956</v>
      </c>
      <c r="K94" s="354">
        <v>502.50217678060466</v>
      </c>
      <c r="L94" s="354">
        <v>-5941.2514939097236</v>
      </c>
      <c r="N94" s="355">
        <f t="shared" si="8"/>
        <v>11.161250124931909</v>
      </c>
      <c r="O94" s="355">
        <f t="shared" ca="1" si="8"/>
        <v>-14.022467900633627</v>
      </c>
    </row>
    <row r="95" spans="2:15" x14ac:dyDescent="0.2">
      <c r="H95" s="354"/>
      <c r="N95" s="355" t="e">
        <f t="shared" ref="N95:N116" si="9">H95/K95-1</f>
        <v>#DIV/0!</v>
      </c>
      <c r="O95" s="355" t="e">
        <f t="shared" ref="O95:O116" si="10">I95/L95-1</f>
        <v>#DIV/0!</v>
      </c>
    </row>
    <row r="96" spans="2:15" x14ac:dyDescent="0.2">
      <c r="B96" s="351" t="s">
        <v>118</v>
      </c>
      <c r="H96" s="511">
        <f>'CF USD'!F4*1000</f>
        <v>6490299.1175612584</v>
      </c>
      <c r="I96" s="511">
        <f ca="1">SUM('CF USD'!F4:M4)*1000</f>
        <v>78026779.104218245</v>
      </c>
      <c r="K96" s="511">
        <v>502.50217678059272</v>
      </c>
      <c r="L96" s="511">
        <v>-5941.2514939097637</v>
      </c>
      <c r="N96" s="355">
        <f t="shared" si="9"/>
        <v>12914.962193722227</v>
      </c>
      <c r="O96" s="355">
        <f t="shared" ca="1" si="10"/>
        <v>-13134.054405153805</v>
      </c>
    </row>
    <row r="97" spans="2:15" x14ac:dyDescent="0.2">
      <c r="B97" s="351" t="s">
        <v>76</v>
      </c>
      <c r="H97" s="511">
        <f>'CF USD'!F5*1000</f>
        <v>1087274.6499416572</v>
      </c>
      <c r="I97" s="511">
        <f>SUM('CF USD'!F5:M5)*1000</f>
        <v>20096299.180022411</v>
      </c>
      <c r="K97" s="511">
        <v>1689.2299479514211</v>
      </c>
      <c r="L97" s="511">
        <v>21443.702318317362</v>
      </c>
      <c r="N97" s="355">
        <f t="shared" si="9"/>
        <v>642.65106198846831</v>
      </c>
      <c r="O97" s="355">
        <f t="shared" si="10"/>
        <v>936.16555479582507</v>
      </c>
    </row>
    <row r="98" spans="2:15" x14ac:dyDescent="0.2">
      <c r="H98" s="511">
        <f>'CF USD'!F6*1000</f>
        <v>7577573.767502917</v>
      </c>
      <c r="I98" s="511">
        <f ca="1">SUM('CF USD'!F6:M6)*1000</f>
        <v>98123078.284240648</v>
      </c>
      <c r="K98" s="511">
        <v>2191.7321247320137</v>
      </c>
      <c r="L98" s="511">
        <v>15502.450824407597</v>
      </c>
      <c r="N98" s="355">
        <f t="shared" si="9"/>
        <v>3456.3448470257003</v>
      </c>
      <c r="O98" s="355">
        <f t="shared" ca="1" si="10"/>
        <v>6328.5203704018377</v>
      </c>
    </row>
    <row r="99" spans="2:15" s="512" customFormat="1" x14ac:dyDescent="0.2">
      <c r="B99" s="512" t="s">
        <v>336</v>
      </c>
      <c r="H99" s="513">
        <f>'CF USD'!F7*1000</f>
        <v>0</v>
      </c>
      <c r="I99" s="513">
        <f>SUM('CF USD'!F7:M7)*1000</f>
        <v>8244218.1818181835</v>
      </c>
      <c r="K99" s="513">
        <v>0</v>
      </c>
      <c r="L99" s="513">
        <v>6545.4545454545514</v>
      </c>
      <c r="N99" s="514" t="e">
        <f t="shared" si="9"/>
        <v>#DIV/0!</v>
      </c>
      <c r="O99" s="514">
        <f t="shared" si="10"/>
        <v>1258.5333333333324</v>
      </c>
    </row>
    <row r="100" spans="2:15" x14ac:dyDescent="0.2">
      <c r="B100" s="351" t="s">
        <v>119</v>
      </c>
      <c r="H100" s="511">
        <f>'CF USD'!F8*1000</f>
        <v>-9188448.0746791139</v>
      </c>
      <c r="I100" s="511">
        <f ca="1">SUM('CF USD'!F8:M8)*1000</f>
        <v>-52575412.813876584</v>
      </c>
      <c r="K100" s="511">
        <v>-2643.876911379909</v>
      </c>
      <c r="L100" s="511">
        <v>-22355.733732917804</v>
      </c>
      <c r="N100" s="355">
        <f t="shared" si="9"/>
        <v>3474.3690820967231</v>
      </c>
      <c r="O100" s="355">
        <f t="shared" ca="1" si="10"/>
        <v>2350.764135411117</v>
      </c>
    </row>
    <row r="101" spans="2:15" x14ac:dyDescent="0.2">
      <c r="B101" s="351" t="s">
        <v>120</v>
      </c>
      <c r="H101" s="511">
        <f>'CF USD'!F9*1000</f>
        <v>1106184.3640606853</v>
      </c>
      <c r="I101" s="511">
        <f ca="1">SUM('CF USD'!F9:M9)*1000</f>
        <v>40621742.45453357</v>
      </c>
      <c r="K101" s="511">
        <v>-11790.649139312904</v>
      </c>
      <c r="L101" s="511">
        <v>18838.107825090396</v>
      </c>
      <c r="N101" s="355">
        <f t="shared" si="9"/>
        <v>-94.818783935516876</v>
      </c>
      <c r="O101" s="355">
        <f t="shared" ca="1" si="10"/>
        <v>2155.3600140577623</v>
      </c>
    </row>
    <row r="102" spans="2:15" x14ac:dyDescent="0.2">
      <c r="B102" s="351" t="s">
        <v>337</v>
      </c>
      <c r="H102" s="511">
        <f>'CF USD'!F10*1000</f>
        <v>3215285.8809500048</v>
      </c>
      <c r="I102" s="511">
        <f ca="1">SUM('CF USD'!F10:M10)*1000</f>
        <v>-2202866.0270770541</v>
      </c>
      <c r="K102" s="511">
        <v>12962.87079339879</v>
      </c>
      <c r="L102" s="511">
        <v>6810.6279157595109</v>
      </c>
      <c r="N102" s="355">
        <f t="shared" si="9"/>
        <v>247.03810299392603</v>
      </c>
      <c r="O102" s="355">
        <f t="shared" ca="1" si="10"/>
        <v>-324.44536426365528</v>
      </c>
    </row>
    <row r="103" spans="2:15" x14ac:dyDescent="0.2">
      <c r="B103" s="351" t="s">
        <v>338</v>
      </c>
      <c r="H103" s="511">
        <f>'CF USD'!F11*1000</f>
        <v>-467911.31855309219</v>
      </c>
      <c r="I103" s="511">
        <f>SUM('CF USD'!F11:M11)*1000</f>
        <v>-467382.21802399168</v>
      </c>
      <c r="K103" s="511">
        <v>0</v>
      </c>
      <c r="L103" s="511">
        <v>0</v>
      </c>
      <c r="N103" s="355" t="e">
        <f t="shared" si="9"/>
        <v>#DIV/0!</v>
      </c>
      <c r="O103" s="355" t="e">
        <f t="shared" si="10"/>
        <v>#DIV/0!</v>
      </c>
    </row>
    <row r="104" spans="2:15" x14ac:dyDescent="0.2">
      <c r="B104" s="351" t="s">
        <v>339</v>
      </c>
      <c r="H104" s="511">
        <f>'CF USD'!F12*1000</f>
        <v>14573.609490471341</v>
      </c>
      <c r="I104" s="511">
        <f>SUM('CF USD'!F12:M12)*1000</f>
        <v>-3595913.7848810623</v>
      </c>
      <c r="K104" s="511">
        <v>-1780.2609034425391</v>
      </c>
      <c r="L104" s="511">
        <v>-149.36649916935974</v>
      </c>
      <c r="N104" s="355">
        <f t="shared" si="9"/>
        <v>-9.1862211669592675</v>
      </c>
      <c r="O104" s="355">
        <f t="shared" si="10"/>
        <v>24073.433054789766</v>
      </c>
    </row>
    <row r="105" spans="2:15" x14ac:dyDescent="0.2">
      <c r="B105" s="351" t="s">
        <v>346</v>
      </c>
      <c r="H105" s="511">
        <f>'CF USD'!F13*1000</f>
        <v>2257258.2287718719</v>
      </c>
      <c r="I105" s="511">
        <f ca="1">SUM('CF USD'!F13:M13)*1000</f>
        <v>88147464.076733693</v>
      </c>
      <c r="K105" s="511">
        <v>-1060.1840360045505</v>
      </c>
      <c r="L105" s="511">
        <v>25191.540878624892</v>
      </c>
      <c r="N105" s="355">
        <f t="shared" si="9"/>
        <v>-2130.1192397865752</v>
      </c>
      <c r="O105" s="355">
        <f t="shared" ca="1" si="10"/>
        <v>3498.0898135781413</v>
      </c>
    </row>
    <row r="106" spans="2:15" x14ac:dyDescent="0.2">
      <c r="H106" s="511">
        <f>'CF USD'!F14*1000</f>
        <v>0</v>
      </c>
      <c r="I106" s="511">
        <f>SUM('CF USD'!F14:M14)*1000</f>
        <v>0</v>
      </c>
      <c r="K106" s="511">
        <v>0</v>
      </c>
      <c r="L106" s="511">
        <v>0</v>
      </c>
      <c r="N106" s="355" t="e">
        <f t="shared" si="9"/>
        <v>#DIV/0!</v>
      </c>
      <c r="O106" s="355" t="e">
        <f t="shared" si="10"/>
        <v>#DIV/0!</v>
      </c>
    </row>
    <row r="107" spans="2:15" x14ac:dyDescent="0.2">
      <c r="B107" s="351" t="s">
        <v>340</v>
      </c>
      <c r="H107" s="511">
        <f>'CF USD'!F15*1000</f>
        <v>-2744457.4095682609</v>
      </c>
      <c r="I107" s="511">
        <f>SUM('CF USD'!F15:M15)*1000</f>
        <v>-37927198.890480682</v>
      </c>
      <c r="K107" s="511">
        <v>-2800</v>
      </c>
      <c r="L107" s="511">
        <v>-33861.956676236507</v>
      </c>
      <c r="N107" s="355">
        <f t="shared" si="9"/>
        <v>979.16336056009322</v>
      </c>
      <c r="O107" s="355">
        <f t="shared" si="10"/>
        <v>1119.0533759201535</v>
      </c>
    </row>
    <row r="108" spans="2:15" x14ac:dyDescent="0.2">
      <c r="B108" s="351" t="s">
        <v>341</v>
      </c>
      <c r="H108" s="511">
        <f>'CF USD'!F16*1000</f>
        <v>0</v>
      </c>
      <c r="I108" s="511">
        <f>SUM('CF USD'!F16:M16)*1000</f>
        <v>0</v>
      </c>
      <c r="K108" s="511">
        <v>0</v>
      </c>
      <c r="L108" s="511">
        <v>0</v>
      </c>
      <c r="N108" s="355" t="e">
        <f t="shared" si="9"/>
        <v>#DIV/0!</v>
      </c>
      <c r="O108" s="355" t="e">
        <f t="shared" si="10"/>
        <v>#DIV/0!</v>
      </c>
    </row>
    <row r="109" spans="2:15" x14ac:dyDescent="0.2">
      <c r="B109" s="351" t="s">
        <v>347</v>
      </c>
      <c r="H109" s="511">
        <f>'CF USD'!F17*1000</f>
        <v>-2744457.4095682609</v>
      </c>
      <c r="I109" s="511">
        <f>SUM('CF USD'!F17:M17)*1000</f>
        <v>-37927198.890480682</v>
      </c>
      <c r="K109" s="511">
        <v>-2800</v>
      </c>
      <c r="L109" s="511">
        <v>-33861.956676236507</v>
      </c>
      <c r="N109" s="355">
        <f t="shared" si="9"/>
        <v>979.16336056009322</v>
      </c>
      <c r="O109" s="355">
        <f t="shared" si="10"/>
        <v>1119.0533759201535</v>
      </c>
    </row>
    <row r="110" spans="2:15" x14ac:dyDescent="0.2">
      <c r="H110" s="511">
        <f>'CF USD'!F18*1000</f>
        <v>0</v>
      </c>
      <c r="I110" s="511">
        <f>SUM('CF USD'!F18:M18)*1000</f>
        <v>0</v>
      </c>
      <c r="K110" s="511">
        <v>0</v>
      </c>
      <c r="L110" s="511">
        <v>0</v>
      </c>
      <c r="N110" s="355" t="e">
        <f t="shared" si="9"/>
        <v>#DIV/0!</v>
      </c>
      <c r="O110" s="355" t="e">
        <f t="shared" si="10"/>
        <v>#DIV/0!</v>
      </c>
    </row>
    <row r="111" spans="2:15" x14ac:dyDescent="0.2">
      <c r="H111" s="511">
        <f>'CF USD'!F19*1000</f>
        <v>0</v>
      </c>
      <c r="I111" s="511">
        <f>SUM('CF USD'!F19:M19)*1000</f>
        <v>0</v>
      </c>
      <c r="K111" s="511">
        <v>0</v>
      </c>
      <c r="L111" s="511">
        <v>0</v>
      </c>
      <c r="N111" s="355" t="e">
        <f t="shared" si="9"/>
        <v>#DIV/0!</v>
      </c>
      <c r="O111" s="355" t="e">
        <f t="shared" si="10"/>
        <v>#DIV/0!</v>
      </c>
    </row>
    <row r="112" spans="2:15" x14ac:dyDescent="0.2">
      <c r="B112" s="351" t="s">
        <v>342</v>
      </c>
      <c r="H112" s="511">
        <f>'CF USD'!F20*1000</f>
        <v>0</v>
      </c>
      <c r="I112" s="511">
        <f>SUM('CF USD'!F20:M20)*1000</f>
        <v>23999999.999999996</v>
      </c>
      <c r="K112" s="511">
        <v>0</v>
      </c>
      <c r="L112" s="511">
        <v>24000</v>
      </c>
      <c r="N112" s="355" t="e">
        <f t="shared" si="9"/>
        <v>#DIV/0!</v>
      </c>
      <c r="O112" s="355">
        <f t="shared" si="10"/>
        <v>998.99999999999989</v>
      </c>
    </row>
    <row r="113" spans="2:15" x14ac:dyDescent="0.2">
      <c r="B113" s="351" t="s">
        <v>343</v>
      </c>
      <c r="H113" s="511">
        <f>'CF USD'!F21*1000</f>
        <v>0</v>
      </c>
      <c r="I113" s="511">
        <f>SUM('CF USD'!F21:M21)*1000</f>
        <v>-18943200</v>
      </c>
      <c r="K113" s="511">
        <v>0</v>
      </c>
      <c r="L113" s="511">
        <v>-24000</v>
      </c>
      <c r="N113" s="355" t="e">
        <f t="shared" si="9"/>
        <v>#DIV/0!</v>
      </c>
      <c r="O113" s="355">
        <f t="shared" si="10"/>
        <v>788.3</v>
      </c>
    </row>
    <row r="114" spans="2:15" x14ac:dyDescent="0.2">
      <c r="B114" s="351" t="s">
        <v>344</v>
      </c>
      <c r="H114" s="511">
        <f>'CF USD'!F22*1000</f>
        <v>96849.474912485399</v>
      </c>
      <c r="I114" s="511">
        <f>SUM('CF USD'!F22:M22)*1000</f>
        <v>1266849.4749124853</v>
      </c>
      <c r="K114" s="511">
        <v>1270</v>
      </c>
      <c r="L114" s="511">
        <v>1270</v>
      </c>
      <c r="N114" s="355">
        <f t="shared" si="9"/>
        <v>75.259429064949131</v>
      </c>
      <c r="O114" s="355">
        <f t="shared" si="10"/>
        <v>996.51927158463411</v>
      </c>
    </row>
    <row r="115" spans="2:15" x14ac:dyDescent="0.2">
      <c r="B115" s="351" t="s">
        <v>345</v>
      </c>
      <c r="H115" s="511">
        <f>'CF USD'!F23*1000</f>
        <v>-3187281.2135355892</v>
      </c>
      <c r="I115" s="511">
        <f ca="1">SUM('CF USD'!F23:M23)*1000</f>
        <v>-30892129.645525429</v>
      </c>
      <c r="K115" s="511">
        <v>-1412.5507038892863</v>
      </c>
      <c r="L115" s="511">
        <v>-3425.7498355878192</v>
      </c>
      <c r="N115" s="355">
        <f t="shared" si="9"/>
        <v>2255.4012780283206</v>
      </c>
      <c r="O115" s="355">
        <f t="shared" ca="1" si="10"/>
        <v>9016.625666827098</v>
      </c>
    </row>
    <row r="116" spans="2:15" x14ac:dyDescent="0.2">
      <c r="B116" s="351" t="s">
        <v>348</v>
      </c>
      <c r="H116" s="511">
        <f>'CF USD'!F24*1000</f>
        <v>-3090431.7386231041</v>
      </c>
      <c r="I116" s="511">
        <f ca="1">SUM('CF USD'!F24:M24)*1000</f>
        <v>-24568480.17061295</v>
      </c>
      <c r="K116" s="511">
        <v>-142.55070388928635</v>
      </c>
      <c r="L116" s="511">
        <v>-2155.7498355878183</v>
      </c>
      <c r="N116" s="355">
        <f t="shared" si="9"/>
        <v>21678.526332071455</v>
      </c>
      <c r="O116" s="355">
        <f t="shared" ca="1" si="10"/>
        <v>11395.721347267898</v>
      </c>
    </row>
    <row r="117" spans="2:15" x14ac:dyDescent="0.2">
      <c r="N117" s="355"/>
      <c r="O117" s="355"/>
    </row>
    <row r="118" spans="2:15" ht="15" x14ac:dyDescent="0.25">
      <c r="B118" s="519" t="s">
        <v>608</v>
      </c>
      <c r="C118" s="512"/>
      <c r="N118" s="355"/>
      <c r="O118" s="355"/>
    </row>
    <row r="119" spans="2:15" ht="15" x14ac:dyDescent="0.25">
      <c r="B119" s="493"/>
      <c r="C119" s="493"/>
      <c r="D119" s="493"/>
      <c r="E119" s="494">
        <v>2008</v>
      </c>
      <c r="F119" s="494">
        <v>2009</v>
      </c>
      <c r="G119" s="494">
        <v>2010</v>
      </c>
      <c r="H119" s="494">
        <v>2011</v>
      </c>
      <c r="I119" s="494">
        <v>2012</v>
      </c>
      <c r="J119" s="494">
        <v>2013</v>
      </c>
      <c r="K119" s="494">
        <v>2014</v>
      </c>
      <c r="L119" s="494">
        <v>2015</v>
      </c>
      <c r="M119" s="494">
        <v>2016</v>
      </c>
      <c r="N119" s="494">
        <v>2017</v>
      </c>
      <c r="O119" s="494">
        <v>2018</v>
      </c>
    </row>
    <row r="120" spans="2:15" x14ac:dyDescent="0.2">
      <c r="B120" s="351" t="s">
        <v>403</v>
      </c>
      <c r="E120" s="511">
        <f>'CF USD'!C56*1000</f>
        <v>-6401055.9723441657</v>
      </c>
      <c r="F120" s="511">
        <f>'CF USD'!D56*1000</f>
        <v>-839263.80615801946</v>
      </c>
      <c r="G120" s="511">
        <f>'CF USD'!E56*1000</f>
        <v>11324270.75447046</v>
      </c>
      <c r="H120" s="511">
        <f>'CF USD'!F56*1000</f>
        <v>2257258.2287718719</v>
      </c>
      <c r="I120" s="511">
        <f ca="1">'CF USD'!G56*1000</f>
        <v>7450311.0005957773</v>
      </c>
      <c r="J120" s="511">
        <f ca="1">'CF USD'!H56*1000</f>
        <v>2441315.0114868283</v>
      </c>
      <c r="K120" s="511">
        <f ca="1">'CF USD'!I56*1000</f>
        <v>9772057.634372415</v>
      </c>
      <c r="L120" s="511">
        <f ca="1">'CF USD'!J56*1000</f>
        <v>15216338.888099376</v>
      </c>
      <c r="M120" s="511">
        <f ca="1">'CF USD'!K56*1000</f>
        <v>16191550.979869038</v>
      </c>
      <c r="N120" s="511">
        <f ca="1">'CF USD'!L56*1000</f>
        <v>17053024.801107664</v>
      </c>
      <c r="O120" s="511">
        <f ca="1">'CF USD'!M56*1000</f>
        <v>17765607.532430734</v>
      </c>
    </row>
    <row r="121" spans="2:15" x14ac:dyDescent="0.2">
      <c r="B121" s="351" t="s">
        <v>404</v>
      </c>
      <c r="E121" s="511">
        <f>'CF USD'!C57*1000</f>
        <v>141984.00000000131</v>
      </c>
      <c r="F121" s="511">
        <f>'CF USD'!D57*1000</f>
        <v>1361000</v>
      </c>
      <c r="G121" s="511">
        <f>'CF USD'!E57*1000</f>
        <v>1116000</v>
      </c>
      <c r="H121" s="511">
        <f>'CF USD'!F57*1000</f>
        <v>706307.08661417325</v>
      </c>
      <c r="I121" s="511">
        <f ca="1">'CF USD'!G57*1000</f>
        <v>503000</v>
      </c>
      <c r="J121" s="511">
        <f ca="1">'CF USD'!H57*1000</f>
        <v>774343.99999999988</v>
      </c>
      <c r="K121" s="511">
        <f ca="1">'CF USD'!I57*1000</f>
        <v>1588344</v>
      </c>
      <c r="L121" s="511">
        <f ca="1">'CF USD'!J57*1000</f>
        <v>1477531.2000000002</v>
      </c>
      <c r="M121" s="511">
        <f ca="1">'CF USD'!K57*1000</f>
        <v>1159862.3999999999</v>
      </c>
      <c r="N121" s="511">
        <f ca="1">'CF USD'!L57*1000</f>
        <v>833462.39999999991</v>
      </c>
      <c r="O121" s="511">
        <f ca="1">'CF USD'!M57*1000</f>
        <v>507062.39999999991</v>
      </c>
    </row>
    <row r="122" spans="2:15" x14ac:dyDescent="0.2">
      <c r="B122" s="351" t="s">
        <v>405</v>
      </c>
      <c r="E122" s="511">
        <f>'CF USD'!C58*1000</f>
        <v>242133.08358639816</v>
      </c>
      <c r="F122" s="511">
        <f>'CF USD'!D58*1000</f>
        <v>-3108624.4541484723</v>
      </c>
      <c r="G122" s="511">
        <f>'CF USD'!E58*1000</f>
        <v>-5585511.8110236218</v>
      </c>
      <c r="H122" s="511">
        <f>'CF USD'!F58*1000</f>
        <v>-2744457.4095682609</v>
      </c>
      <c r="I122" s="511">
        <f>'CF USD'!G58*1000</f>
        <v>-1165000</v>
      </c>
      <c r="J122" s="511">
        <f>'CF USD'!H58*1000</f>
        <v>-23678000.962000962</v>
      </c>
      <c r="K122" s="511">
        <f>'CF USD'!I58*1000</f>
        <v>-7567546.3290917845</v>
      </c>
      <c r="L122" s="511">
        <f>'CF USD'!J58*1000</f>
        <v>-795042.11735616694</v>
      </c>
      <c r="M122" s="511">
        <f>'CF USD'!K58*1000</f>
        <v>-722765.56123287894</v>
      </c>
      <c r="N122" s="511">
        <f>'CF USD'!L58*1000</f>
        <v>-657059.60112079896</v>
      </c>
      <c r="O122" s="511">
        <f>'CF USD'!M58*1000</f>
        <v>-597326.91010981717</v>
      </c>
    </row>
    <row r="123" spans="2:15" x14ac:dyDescent="0.2">
      <c r="B123" s="351" t="s">
        <v>406</v>
      </c>
      <c r="E123" s="511">
        <f>'CF USD'!C59*1000</f>
        <v>-6016938.8887577662</v>
      </c>
      <c r="F123" s="511">
        <f>'CF USD'!D59*1000</f>
        <v>-2586888.2603064911</v>
      </c>
      <c r="G123" s="511">
        <f>'CF USD'!E59*1000</f>
        <v>6854758.9434468392</v>
      </c>
      <c r="H123" s="511">
        <f>'CF USD'!F59*1000</f>
        <v>219107.90581778428</v>
      </c>
      <c r="I123" s="511">
        <f ca="1">'CF USD'!G59*1000</f>
        <v>6788311.0005957773</v>
      </c>
      <c r="J123" s="511">
        <f ca="1">'CF USD'!H59*1000</f>
        <v>-20462341.950514134</v>
      </c>
      <c r="K123" s="511">
        <f ca="1">'CF USD'!I59*1000</f>
        <v>3792855.30528063</v>
      </c>
      <c r="L123" s="511">
        <f ca="1">'CF USD'!J59*1000</f>
        <v>15898827.970743209</v>
      </c>
      <c r="M123" s="511">
        <f ca="1">'CF USD'!K59*1000</f>
        <v>16628647.81863616</v>
      </c>
      <c r="N123" s="511">
        <f ca="1">'CF USD'!L59*1000</f>
        <v>17229427.599986862</v>
      </c>
      <c r="O123" s="511">
        <f ca="1">'CF USD'!M59*1000</f>
        <v>17675343.022320919</v>
      </c>
    </row>
    <row r="124" spans="2:15" x14ac:dyDescent="0.2">
      <c r="E124" s="511">
        <f>'CF USD'!C60*1000</f>
        <v>0</v>
      </c>
      <c r="F124" s="511">
        <f>'CF USD'!D60*1000</f>
        <v>0</v>
      </c>
      <c r="G124" s="511">
        <f>'CF USD'!E60*1000</f>
        <v>0</v>
      </c>
      <c r="H124" s="511">
        <f>'CF USD'!F60*1000</f>
        <v>0</v>
      </c>
      <c r="I124" s="511">
        <f>'CF USD'!G60*1000</f>
        <v>0</v>
      </c>
      <c r="J124" s="511">
        <f>'CF USD'!H60*1000</f>
        <v>0</v>
      </c>
      <c r="K124" s="511">
        <f>'CF USD'!I60*1000</f>
        <v>0</v>
      </c>
      <c r="L124" s="511">
        <f>'CF USD'!J60*1000</f>
        <v>0</v>
      </c>
      <c r="M124" s="511">
        <f>'CF USD'!K60*1000</f>
        <v>0</v>
      </c>
      <c r="N124" s="511">
        <f>'CF USD'!L60*1000</f>
        <v>0</v>
      </c>
      <c r="O124" s="511">
        <f>'CF USD'!M60*1000</f>
        <v>0</v>
      </c>
    </row>
    <row r="125" spans="2:15" x14ac:dyDescent="0.2">
      <c r="B125" s="351" t="s">
        <v>407</v>
      </c>
      <c r="E125" s="511">
        <f>'CF USD'!C61*1000</f>
        <v>-141984.00000000131</v>
      </c>
      <c r="F125" s="511">
        <f>'CF USD'!D61*1000</f>
        <v>-1361000</v>
      </c>
      <c r="G125" s="511">
        <f>'CF USD'!E61*1000</f>
        <v>-1251433.0708661417</v>
      </c>
      <c r="H125" s="511">
        <f>'CF USD'!F61*1000</f>
        <v>-706307.08661417325</v>
      </c>
      <c r="I125" s="511">
        <f ca="1">'CF USD'!G61*1000</f>
        <v>-503000</v>
      </c>
      <c r="J125" s="511">
        <f ca="1">'CF USD'!H61*1000</f>
        <v>-774343.99999999988</v>
      </c>
      <c r="K125" s="511">
        <f ca="1">'CF USD'!I61*1000</f>
        <v>-1588344</v>
      </c>
      <c r="L125" s="511">
        <f ca="1">'CF USD'!J61*1000</f>
        <v>-6020731.2000000002</v>
      </c>
      <c r="M125" s="511">
        <f ca="1">'CF USD'!K61*1000</f>
        <v>-5959862.4000000013</v>
      </c>
      <c r="N125" s="511">
        <f ca="1">'CF USD'!L61*1000</f>
        <v>-5633462.4000000004</v>
      </c>
      <c r="O125" s="511">
        <f ca="1">'CF USD'!M61*1000</f>
        <v>-5307062.3999999994</v>
      </c>
    </row>
    <row r="126" spans="2:15" x14ac:dyDescent="0.2">
      <c r="B126" s="351" t="s">
        <v>408</v>
      </c>
      <c r="E126" s="511">
        <f>'CF USD'!C62*1000</f>
        <v>-141984.00000000131</v>
      </c>
      <c r="F126" s="511">
        <f>'CF USD'!D62*1000</f>
        <v>-1361000</v>
      </c>
      <c r="G126" s="511">
        <f>'CF USD'!E62*1000</f>
        <v>-1116000</v>
      </c>
      <c r="H126" s="511">
        <f>'CF USD'!F62*1000</f>
        <v>-706307.08661417325</v>
      </c>
      <c r="I126" s="511">
        <f ca="1">'CF USD'!G62*1000</f>
        <v>-503000</v>
      </c>
      <c r="J126" s="511">
        <f ca="1">'CF USD'!H62*1000</f>
        <v>-774343.99999999988</v>
      </c>
      <c r="K126" s="511">
        <f ca="1">'CF USD'!I62*1000</f>
        <v>-1588344</v>
      </c>
      <c r="L126" s="511">
        <f ca="1">'CF USD'!J62*1000</f>
        <v>-1477531.2000000002</v>
      </c>
      <c r="M126" s="511">
        <f ca="1">'CF USD'!K62*1000</f>
        <v>-1159862.3999999999</v>
      </c>
      <c r="N126" s="511">
        <f ca="1">'CF USD'!L62*1000</f>
        <v>-833462.39999999991</v>
      </c>
      <c r="O126" s="511">
        <f ca="1">'CF USD'!M62*1000</f>
        <v>-507062.39999999991</v>
      </c>
    </row>
    <row r="127" spans="2:15" x14ac:dyDescent="0.2">
      <c r="B127" s="351" t="s">
        <v>409</v>
      </c>
      <c r="E127" s="511">
        <f>'CF USD'!C63*1000</f>
        <v>0</v>
      </c>
      <c r="F127" s="511">
        <f>'CF USD'!D63*1000</f>
        <v>0</v>
      </c>
      <c r="G127" s="511">
        <f>'CF USD'!E63*1000</f>
        <v>-135433.07086614173</v>
      </c>
      <c r="H127" s="511">
        <f>'CF USD'!F63*1000</f>
        <v>0</v>
      </c>
      <c r="I127" s="511">
        <f>'CF USD'!G63*1000</f>
        <v>0</v>
      </c>
      <c r="J127" s="511">
        <f>'CF USD'!H63*1000</f>
        <v>0</v>
      </c>
      <c r="K127" s="511">
        <f>'CF USD'!I63*1000</f>
        <v>0</v>
      </c>
      <c r="L127" s="511">
        <f>'CF USD'!J63*1000</f>
        <v>-4543200</v>
      </c>
      <c r="M127" s="511">
        <f>'CF USD'!K63*1000</f>
        <v>-4800000.0000000009</v>
      </c>
      <c r="N127" s="511">
        <f>'CF USD'!L63*1000</f>
        <v>-4800000</v>
      </c>
      <c r="O127" s="511">
        <f>'CF USD'!M63*1000</f>
        <v>-4800000</v>
      </c>
    </row>
    <row r="128" spans="2:15" x14ac:dyDescent="0.2">
      <c r="E128" s="511">
        <f>'CF USD'!C64*1000</f>
        <v>0</v>
      </c>
      <c r="F128" s="511">
        <f>'CF USD'!D64*1000</f>
        <v>0</v>
      </c>
      <c r="G128" s="511">
        <f>'CF USD'!E64*1000</f>
        <v>0</v>
      </c>
      <c r="H128" s="511">
        <f>'CF USD'!F64*1000</f>
        <v>0</v>
      </c>
      <c r="I128" s="511">
        <f>'CF USD'!G64*1000</f>
        <v>0</v>
      </c>
      <c r="J128" s="511">
        <f>'CF USD'!H64*1000</f>
        <v>0</v>
      </c>
      <c r="K128" s="511">
        <f>'CF USD'!I64*1000</f>
        <v>0</v>
      </c>
      <c r="L128" s="511">
        <f>'CF USD'!J64*1000</f>
        <v>0</v>
      </c>
      <c r="M128" s="511">
        <f>'CF USD'!K64*1000</f>
        <v>0</v>
      </c>
      <c r="N128" s="511">
        <f>'CF USD'!L64*1000</f>
        <v>0</v>
      </c>
      <c r="O128" s="511">
        <f>'CF USD'!M64*1000</f>
        <v>0</v>
      </c>
    </row>
    <row r="129" spans="2:15" x14ac:dyDescent="0.2">
      <c r="B129" s="351" t="s">
        <v>414</v>
      </c>
      <c r="E129" s="511">
        <f>'CF USD'!C65*1000</f>
        <v>-6158922.8887577672</v>
      </c>
      <c r="F129" s="511">
        <f>'CF USD'!D65*1000</f>
        <v>-3947888.2603064911</v>
      </c>
      <c r="G129" s="511">
        <f>'CF USD'!E65*1000</f>
        <v>5603325.8725806968</v>
      </c>
      <c r="H129" s="511">
        <f>'CF USD'!F65*1000</f>
        <v>-487199.180796389</v>
      </c>
      <c r="I129" s="511">
        <f ca="1">'CF USD'!G65*1000</f>
        <v>6285311.0005957773</v>
      </c>
      <c r="J129" s="511">
        <f ca="1">'CF USD'!H65*1000</f>
        <v>-21236685.950514138</v>
      </c>
      <c r="K129" s="511">
        <f ca="1">'CF USD'!I65*1000</f>
        <v>2204511.30528063</v>
      </c>
      <c r="L129" s="511">
        <f ca="1">'CF USD'!J65*1000</f>
        <v>9878096.770743208</v>
      </c>
      <c r="M129" s="511">
        <f ca="1">'CF USD'!K65*1000</f>
        <v>10668785.418636158</v>
      </c>
      <c r="N129" s="511">
        <f ca="1">'CF USD'!L65*1000</f>
        <v>11595965.199986862</v>
      </c>
      <c r="O129" s="511">
        <f ca="1">'CF USD'!M65*1000</f>
        <v>12368280.622320918</v>
      </c>
    </row>
    <row r="130" spans="2:15" x14ac:dyDescent="0.2">
      <c r="E130" s="511">
        <f>'CF USD'!C66*1000</f>
        <v>0</v>
      </c>
      <c r="F130" s="511">
        <f>'CF USD'!D66*1000</f>
        <v>0</v>
      </c>
      <c r="G130" s="511">
        <f>'CF USD'!E66*1000</f>
        <v>0</v>
      </c>
      <c r="H130" s="511">
        <f>'CF USD'!F66*1000</f>
        <v>0</v>
      </c>
      <c r="I130" s="511">
        <f>'CF USD'!G66*1000</f>
        <v>0</v>
      </c>
      <c r="J130" s="511">
        <f>'CF USD'!H66*1000</f>
        <v>0</v>
      </c>
      <c r="K130" s="511">
        <f>'CF USD'!I66*1000</f>
        <v>0</v>
      </c>
      <c r="L130" s="511">
        <f>'CF USD'!J66*1000</f>
        <v>0</v>
      </c>
      <c r="M130" s="511">
        <f>'CF USD'!K66*1000</f>
        <v>0</v>
      </c>
      <c r="N130" s="511">
        <f>'CF USD'!L66*1000</f>
        <v>0</v>
      </c>
      <c r="O130" s="511">
        <f>'CF USD'!M66*1000</f>
        <v>0</v>
      </c>
    </row>
    <row r="131" spans="2:15" x14ac:dyDescent="0.2">
      <c r="B131" s="351" t="s">
        <v>410</v>
      </c>
      <c r="E131" s="511">
        <f>'CF USD'!C67*1000</f>
        <v>947256.74446802062</v>
      </c>
      <c r="F131" s="511">
        <f>'CF USD'!D67*1000</f>
        <v>1692139.7379912664</v>
      </c>
      <c r="G131" s="511">
        <f>'CF USD'!E67*1000</f>
        <v>2333858.2677165354</v>
      </c>
      <c r="H131" s="511">
        <f>'CF USD'!F67*1000</f>
        <v>96849.474912485399</v>
      </c>
      <c r="I131" s="511">
        <f>'CF USD'!G67*1000</f>
        <v>1170000</v>
      </c>
      <c r="J131" s="511">
        <f>'CF USD'!H67*1000</f>
        <v>22715999.999999996</v>
      </c>
      <c r="K131" s="511">
        <f>'CF USD'!I67*1000</f>
        <v>1284000</v>
      </c>
      <c r="L131" s="511">
        <f>'CF USD'!J67*1000</f>
        <v>0</v>
      </c>
      <c r="M131" s="511">
        <f>'CF USD'!K67*1000</f>
        <v>0</v>
      </c>
      <c r="N131" s="511">
        <f>'CF USD'!L67*1000</f>
        <v>0</v>
      </c>
      <c r="O131" s="511">
        <f>'CF USD'!M67*1000</f>
        <v>0</v>
      </c>
    </row>
    <row r="132" spans="2:15" x14ac:dyDescent="0.2">
      <c r="B132" s="351" t="s">
        <v>415</v>
      </c>
      <c r="E132" s="511">
        <f>'CF USD'!C68*1000</f>
        <v>947256.74446802062</v>
      </c>
      <c r="F132" s="511">
        <f>'CF USD'!D68*1000</f>
        <v>1545442.1397379914</v>
      </c>
      <c r="G132" s="511">
        <f>'CF USD'!E68*1000</f>
        <v>2333858.2677165354</v>
      </c>
      <c r="H132" s="511">
        <f>'CF USD'!F68*1000</f>
        <v>96849.474912485399</v>
      </c>
      <c r="I132" s="511">
        <f>'CF USD'!G68*1000</f>
        <v>1170000</v>
      </c>
      <c r="J132" s="511">
        <f>'CF USD'!H68*1000</f>
        <v>0</v>
      </c>
      <c r="K132" s="511">
        <f>'CF USD'!I68*1000</f>
        <v>0</v>
      </c>
      <c r="L132" s="511">
        <f>'CF USD'!J68*1000</f>
        <v>0</v>
      </c>
      <c r="M132" s="511">
        <f>'CF USD'!K68*1000</f>
        <v>0</v>
      </c>
      <c r="N132" s="511">
        <f>'CF USD'!L68*1000</f>
        <v>0</v>
      </c>
      <c r="O132" s="511">
        <f>'CF USD'!M68*1000</f>
        <v>0</v>
      </c>
    </row>
    <row r="133" spans="2:15" x14ac:dyDescent="0.2">
      <c r="B133" s="351" t="s">
        <v>411</v>
      </c>
      <c r="E133" s="511">
        <f>'CF USD'!C69*1000</f>
        <v>0</v>
      </c>
      <c r="F133" s="511">
        <f>'CF USD'!D69*1000</f>
        <v>146697.59825327512</v>
      </c>
      <c r="G133" s="511">
        <f>'CF USD'!E69*1000</f>
        <v>0</v>
      </c>
      <c r="H133" s="511">
        <f>'CF USD'!F69*1000</f>
        <v>0</v>
      </c>
      <c r="I133" s="511">
        <f>'CF USD'!G69*1000</f>
        <v>0</v>
      </c>
      <c r="J133" s="511">
        <f>'CF USD'!H69*1000</f>
        <v>22715999.999999996</v>
      </c>
      <c r="K133" s="511">
        <f>'CF USD'!I69*1000</f>
        <v>1284000</v>
      </c>
      <c r="L133" s="511">
        <f>'CF USD'!J69*1000</f>
        <v>0</v>
      </c>
      <c r="M133" s="511">
        <f>'CF USD'!K69*1000</f>
        <v>0</v>
      </c>
      <c r="N133" s="511">
        <f>'CF USD'!L69*1000</f>
        <v>0</v>
      </c>
      <c r="O133" s="511">
        <f>'CF USD'!M69*1000</f>
        <v>0</v>
      </c>
    </row>
    <row r="134" spans="2:15" x14ac:dyDescent="0.2">
      <c r="E134" s="511">
        <f>'CF USD'!C70*1000</f>
        <v>0</v>
      </c>
      <c r="F134" s="511">
        <f>'CF USD'!D70*1000</f>
        <v>0</v>
      </c>
      <c r="G134" s="511">
        <f>'CF USD'!E70*1000</f>
        <v>0</v>
      </c>
      <c r="H134" s="511">
        <f>'CF USD'!F70*1000</f>
        <v>0</v>
      </c>
      <c r="I134" s="511">
        <f>'CF USD'!G70*1000</f>
        <v>0</v>
      </c>
      <c r="J134" s="511">
        <f>'CF USD'!H70*1000</f>
        <v>0</v>
      </c>
      <c r="K134" s="511">
        <f>'CF USD'!I70*1000</f>
        <v>0</v>
      </c>
      <c r="L134" s="511">
        <f>'CF USD'!J70*1000</f>
        <v>0</v>
      </c>
      <c r="M134" s="511">
        <f>'CF USD'!K70*1000</f>
        <v>0</v>
      </c>
      <c r="N134" s="511">
        <f>'CF USD'!L70*1000</f>
        <v>0</v>
      </c>
      <c r="O134" s="511">
        <f>'CF USD'!M70*1000</f>
        <v>0</v>
      </c>
    </row>
    <row r="135" spans="2:15" x14ac:dyDescent="0.2">
      <c r="B135" s="351" t="s">
        <v>416</v>
      </c>
      <c r="E135" s="511">
        <f>'CF USD'!C71*1000</f>
        <v>0</v>
      </c>
      <c r="F135" s="511">
        <f>'CF USD'!D71*1000</f>
        <v>-768286.02620087343</v>
      </c>
      <c r="G135" s="511">
        <f>'CF USD'!E71*1000</f>
        <v>-9226456.6929133851</v>
      </c>
      <c r="H135" s="511">
        <f>'CF USD'!F71*1000</f>
        <v>-3187281.2135355892</v>
      </c>
      <c r="I135" s="511">
        <f>'CF USD'!G71*1000</f>
        <v>-3909523.8095238092</v>
      </c>
      <c r="J135" s="511">
        <f ca="1">'CF USD'!H71*1000</f>
        <v>0</v>
      </c>
      <c r="K135" s="511">
        <f ca="1">'CF USD'!I71*1000</f>
        <v>0</v>
      </c>
      <c r="L135" s="511">
        <f ca="1">'CF USD'!J71*1000</f>
        <v>-3319527.6187406429</v>
      </c>
      <c r="M135" s="511">
        <f ca="1">'CF USD'!K71*1000</f>
        <v>-5976583.0550174005</v>
      </c>
      <c r="N135" s="511">
        <f ca="1">'CF USD'!L71*1000</f>
        <v>-6849235.4171013217</v>
      </c>
      <c r="O135" s="511">
        <f ca="1">'CF USD'!M71*1000</f>
        <v>-7649978.5316066658</v>
      </c>
    </row>
    <row r="136" spans="2:15" x14ac:dyDescent="0.2">
      <c r="E136" s="511">
        <f>'CF USD'!C72*1000</f>
        <v>0</v>
      </c>
      <c r="F136" s="511">
        <f>'CF USD'!D72*1000</f>
        <v>0</v>
      </c>
      <c r="G136" s="511">
        <f>'CF USD'!E72*1000</f>
        <v>0</v>
      </c>
      <c r="H136" s="511">
        <f>'CF USD'!F72*1000</f>
        <v>0</v>
      </c>
      <c r="I136" s="511">
        <f>'CF USD'!G72*1000</f>
        <v>0</v>
      </c>
      <c r="J136" s="511">
        <f>'CF USD'!H72*1000</f>
        <v>0</v>
      </c>
      <c r="K136" s="511">
        <f>'CF USD'!I72*1000</f>
        <v>0</v>
      </c>
      <c r="L136" s="511">
        <f>'CF USD'!J72*1000</f>
        <v>0</v>
      </c>
      <c r="M136" s="511">
        <f>'CF USD'!K72*1000</f>
        <v>0</v>
      </c>
      <c r="N136" s="511">
        <f>'CF USD'!L72*1000</f>
        <v>0</v>
      </c>
      <c r="O136" s="511">
        <f>'CF USD'!M72*1000</f>
        <v>0</v>
      </c>
    </row>
    <row r="137" spans="2:15" x14ac:dyDescent="0.2">
      <c r="B137" s="351" t="s">
        <v>417</v>
      </c>
      <c r="E137" s="511">
        <f>'CF USD'!C73*1000</f>
        <v>-5211666.1442897469</v>
      </c>
      <c r="F137" s="511">
        <f>'CF USD'!D73*1000</f>
        <v>-3024034.5485160984</v>
      </c>
      <c r="G137" s="511">
        <f>'CF USD'!E73*1000</f>
        <v>-1289272.552616152</v>
      </c>
      <c r="H137" s="511">
        <f>'CF USD'!F73*1000</f>
        <v>-3577630.9194194926</v>
      </c>
      <c r="I137" s="511">
        <f ca="1">'CF USD'!G73*1000</f>
        <v>3545787.1910719676</v>
      </c>
      <c r="J137" s="511">
        <f ca="1">'CF USD'!H73*1000</f>
        <v>1479314.0494858599</v>
      </c>
      <c r="K137" s="511">
        <f ca="1">'CF USD'!I73*1000</f>
        <v>3488511.30528063</v>
      </c>
      <c r="L137" s="511">
        <f ca="1">'CF USD'!J73*1000</f>
        <v>6558569.1520025646</v>
      </c>
      <c r="M137" s="511">
        <f ca="1">'CF USD'!K73*1000</f>
        <v>4692202.3636187576</v>
      </c>
      <c r="N137" s="511">
        <f ca="1">'CF USD'!L73*1000</f>
        <v>4746729.7828855403</v>
      </c>
      <c r="O137" s="511">
        <f ca="1">'CF USD'!M73*1000</f>
        <v>4718302.0907142535</v>
      </c>
    </row>
    <row r="138" spans="2:15" x14ac:dyDescent="0.2">
      <c r="E138" s="511">
        <f>'CF USD'!C74*1000</f>
        <v>0</v>
      </c>
      <c r="F138" s="511">
        <f>'CF USD'!D74*1000</f>
        <v>0</v>
      </c>
      <c r="G138" s="511">
        <f>'CF USD'!E74*1000</f>
        <v>0</v>
      </c>
      <c r="H138" s="511">
        <f>'CF USD'!F74*1000</f>
        <v>0</v>
      </c>
      <c r="I138" s="511">
        <f>'CF USD'!G74*1000</f>
        <v>0</v>
      </c>
      <c r="J138" s="511">
        <f>'CF USD'!H74*1000</f>
        <v>0</v>
      </c>
      <c r="K138" s="511">
        <f>'CF USD'!I74*1000</f>
        <v>0</v>
      </c>
      <c r="L138" s="511">
        <f>'CF USD'!J74*1000</f>
        <v>0</v>
      </c>
      <c r="M138" s="511">
        <f>'CF USD'!K74*1000</f>
        <v>0</v>
      </c>
      <c r="N138" s="511">
        <f>'CF USD'!L74*1000</f>
        <v>0</v>
      </c>
      <c r="O138" s="511">
        <f>'CF USD'!M74*1000</f>
        <v>0</v>
      </c>
    </row>
    <row r="139" spans="2:15" x14ac:dyDescent="0.2">
      <c r="B139" s="351" t="s">
        <v>418</v>
      </c>
      <c r="E139" s="511">
        <f>'CF USD'!C75*1000</f>
        <v>0</v>
      </c>
      <c r="F139" s="511">
        <f>'CF USD'!D75*1000</f>
        <v>0</v>
      </c>
      <c r="G139" s="511">
        <f>'CF USD'!E75*1000</f>
        <v>0</v>
      </c>
      <c r="H139" s="511">
        <f>'CF USD'!F75*1000</f>
        <v>0</v>
      </c>
      <c r="I139" s="511">
        <f>'CF USD'!G75*1000</f>
        <v>0</v>
      </c>
      <c r="J139" s="511">
        <f>'CF USD'!H75*1000</f>
        <v>0</v>
      </c>
      <c r="K139" s="511">
        <f>'CF USD'!I75*1000</f>
        <v>0</v>
      </c>
      <c r="L139" s="511">
        <f>'CF USD'!J75*1000</f>
        <v>0</v>
      </c>
      <c r="M139" s="511">
        <f>'CF USD'!K75*1000</f>
        <v>0</v>
      </c>
      <c r="N139" s="511">
        <f>'CF USD'!L75*1000</f>
        <v>0</v>
      </c>
      <c r="O139" s="511">
        <f>'CF USD'!M75*1000</f>
        <v>0</v>
      </c>
    </row>
    <row r="140" spans="2:15" x14ac:dyDescent="0.2">
      <c r="B140" s="351" t="s">
        <v>412</v>
      </c>
      <c r="E140" s="511">
        <f>'CF USD'!C76*1000</f>
        <v>-42377.584014802444</v>
      </c>
      <c r="F140" s="511">
        <f>'CF USD'!D76*1000</f>
        <v>-1900.7261280723669</v>
      </c>
      <c r="G140" s="511">
        <f>'CF USD'!E76*1000</f>
        <v>5477.5274068013277</v>
      </c>
      <c r="H140" s="511">
        <f>'CF USD'!F76*1000</f>
        <v>310.21620761037894</v>
      </c>
      <c r="I140" s="511">
        <f ca="1">'CF USD'!G76*1000</f>
        <v>13495.648112516456</v>
      </c>
      <c r="J140" s="511">
        <f ca="1">'CF USD'!H76*1000</f>
        <v>-26425.389685351907</v>
      </c>
      <c r="K140" s="511">
        <f ca="1">'CF USD'!I76*1000</f>
        <v>2387.9306405165571</v>
      </c>
      <c r="L140" s="511">
        <f ca="1">'CF USD'!J76*1000</f>
        <v>2640.6805822427691</v>
      </c>
      <c r="M140" s="511">
        <f ca="1">'CF USD'!K76*1000</f>
        <v>2790.1059961780593</v>
      </c>
      <c r="N140" s="511">
        <f ca="1">'CF USD'!L76*1000</f>
        <v>3058.4082002547598</v>
      </c>
      <c r="O140" s="511">
        <f ca="1">'CF USD'!M76*1000</f>
        <v>3330.5323529493298</v>
      </c>
    </row>
    <row r="141" spans="2:15" x14ac:dyDescent="0.2">
      <c r="B141" s="351" t="s">
        <v>413</v>
      </c>
      <c r="E141" s="511">
        <f>'CF USD'!C77*1000</f>
        <v>-42377.584014802444</v>
      </c>
      <c r="F141" s="511">
        <f>'CF USD'!D77*1000</f>
        <v>-1900.7261280723669</v>
      </c>
      <c r="G141" s="511">
        <f>'CF USD'!E77*1000</f>
        <v>6142.2571177839063</v>
      </c>
      <c r="H141" s="511">
        <f>'CF USD'!F77*1000</f>
        <v>310.21620761037894</v>
      </c>
      <c r="I141" s="511">
        <f ca="1">'CF USD'!G77*1000</f>
        <v>13495.648112516456</v>
      </c>
      <c r="J141" s="511">
        <f ca="1">'CF USD'!H77*1000</f>
        <v>-26425.389685351907</v>
      </c>
      <c r="K141" s="511">
        <f ca="1">'CF USD'!I77*1000</f>
        <v>2387.9306405165571</v>
      </c>
      <c r="L141" s="511">
        <f ca="1">'CF USD'!J77*1000</f>
        <v>10760.400843476746</v>
      </c>
      <c r="M141" s="511">
        <f ca="1">'CF USD'!K77*1000</f>
        <v>14336.741857168712</v>
      </c>
      <c r="N141" s="511">
        <f ca="1">'CF USD'!L77*1000</f>
        <v>20672.111423366987</v>
      </c>
      <c r="O141" s="511">
        <f ca="1">'CF USD'!M77*1000</f>
        <v>34858.319256803348</v>
      </c>
    </row>
    <row r="142" spans="2:15" x14ac:dyDescent="0.2">
      <c r="E142" s="511"/>
      <c r="F142" s="511"/>
      <c r="G142" s="511"/>
      <c r="H142" s="511"/>
      <c r="I142" s="511"/>
      <c r="J142" s="511"/>
      <c r="K142" s="511"/>
      <c r="L142" s="511"/>
      <c r="M142" s="511"/>
      <c r="N142" s="511"/>
      <c r="O142" s="511"/>
    </row>
    <row r="143" spans="2:15" ht="15" x14ac:dyDescent="0.25">
      <c r="B143" s="519" t="s">
        <v>609</v>
      </c>
      <c r="C143" s="512"/>
    </row>
    <row r="144" spans="2:15" x14ac:dyDescent="0.2">
      <c r="B144" s="351" t="s">
        <v>403</v>
      </c>
      <c r="E144" s="518">
        <v>-6401.0559723441638</v>
      </c>
      <c r="F144" s="518">
        <v>8768.9741137454675</v>
      </c>
      <c r="G144" s="518">
        <v>11068.686469061988</v>
      </c>
      <c r="H144" s="518">
        <v>-2341.8259615763723</v>
      </c>
      <c r="I144" s="518">
        <v>4212.3395670739492</v>
      </c>
      <c r="J144" s="518">
        <v>-4341.6472432791288</v>
      </c>
      <c r="K144" s="518">
        <v>10045.046058581063</v>
      </c>
      <c r="L144" s="518">
        <v>6077.1204815660121</v>
      </c>
      <c r="M144" s="518">
        <v>2478.3167203262683</v>
      </c>
      <c r="N144" s="518">
        <v>2335.1960348985044</v>
      </c>
      <c r="O144" s="518">
        <v>2799.5330060010501</v>
      </c>
    </row>
    <row r="145" spans="2:15" x14ac:dyDescent="0.2">
      <c r="B145" s="351" t="s">
        <v>404</v>
      </c>
      <c r="E145" s="518">
        <v>141984.00000000131</v>
      </c>
      <c r="F145" s="518">
        <v>2000</v>
      </c>
      <c r="G145" s="518">
        <v>2000</v>
      </c>
      <c r="H145" s="518">
        <v>1000.8071259842519</v>
      </c>
      <c r="I145" s="518">
        <v>2332.7811819902431</v>
      </c>
      <c r="J145" s="518">
        <v>3262.2990747086465</v>
      </c>
      <c r="K145" s="518">
        <v>4660.6355224624058</v>
      </c>
      <c r="L145" s="518">
        <v>3262.1777476930961</v>
      </c>
      <c r="M145" s="518">
        <v>2863.7252251755422</v>
      </c>
      <c r="N145" s="518">
        <v>3465.2774774323111</v>
      </c>
      <c r="O145" s="518">
        <v>3133.2340703930099</v>
      </c>
    </row>
    <row r="146" spans="2:15" x14ac:dyDescent="0.2">
      <c r="B146" s="351" t="s">
        <v>405</v>
      </c>
      <c r="E146" s="518">
        <v>242.13308358639816</v>
      </c>
      <c r="F146" s="518">
        <v>-2299.5360262008735</v>
      </c>
      <c r="G146" s="518">
        <v>-5565.787401574803</v>
      </c>
      <c r="H146" s="518">
        <v>-2800</v>
      </c>
      <c r="I146" s="518">
        <v>-9000</v>
      </c>
      <c r="J146" s="518">
        <v>-17034.767419121192</v>
      </c>
      <c r="K146" s="518">
        <v>-3486.152199201083</v>
      </c>
      <c r="L146" s="518">
        <v>-441.95654472825646</v>
      </c>
      <c r="M146" s="518">
        <v>-401.77867702568773</v>
      </c>
      <c r="N146" s="518">
        <v>-365.25334275062511</v>
      </c>
      <c r="O146" s="518">
        <v>-332.04849340965922</v>
      </c>
    </row>
    <row r="147" spans="2:15" x14ac:dyDescent="0.2">
      <c r="B147" s="351" t="s">
        <v>406</v>
      </c>
      <c r="E147" s="518">
        <v>135825.07711124356</v>
      </c>
      <c r="F147" s="518">
        <v>8469.438087544595</v>
      </c>
      <c r="G147" s="518">
        <v>7502.8990674871839</v>
      </c>
      <c r="H147" s="518">
        <v>-4141.0188355921209</v>
      </c>
      <c r="I147" s="518">
        <v>-2454.8792509358082</v>
      </c>
      <c r="J147" s="518">
        <v>-18114.115587691675</v>
      </c>
      <c r="K147" s="518">
        <v>11219.529381842385</v>
      </c>
      <c r="L147" s="518">
        <v>8897.3416845308511</v>
      </c>
      <c r="M147" s="518">
        <v>4940.2632684761229</v>
      </c>
      <c r="N147" s="518">
        <v>5435.2201695801905</v>
      </c>
      <c r="O147" s="518">
        <v>5600.7185829844011</v>
      </c>
    </row>
    <row r="148" spans="2:15" x14ac:dyDescent="0.2">
      <c r="E148" s="518">
        <v>0</v>
      </c>
      <c r="F148" s="518">
        <v>0</v>
      </c>
      <c r="G148" s="518">
        <v>0</v>
      </c>
      <c r="H148" s="518">
        <v>0</v>
      </c>
      <c r="I148" s="518">
        <v>0</v>
      </c>
      <c r="J148" s="518">
        <v>0</v>
      </c>
      <c r="K148" s="518">
        <v>0</v>
      </c>
      <c r="L148" s="518">
        <v>0</v>
      </c>
      <c r="M148" s="518">
        <v>0</v>
      </c>
      <c r="N148" s="518">
        <v>0</v>
      </c>
      <c r="O148" s="518">
        <v>0</v>
      </c>
    </row>
    <row r="149" spans="2:15" x14ac:dyDescent="0.2">
      <c r="B149" s="351" t="s">
        <v>407</v>
      </c>
      <c r="E149" s="518">
        <v>-141984.00000000131</v>
      </c>
      <c r="F149" s="518">
        <v>-2000</v>
      </c>
      <c r="G149" s="518">
        <v>-2135.4330708661419</v>
      </c>
      <c r="H149" s="518">
        <v>-1000.8071259842519</v>
      </c>
      <c r="I149" s="518">
        <v>-2332.7811819902431</v>
      </c>
      <c r="J149" s="518">
        <v>-4862.2990747086469</v>
      </c>
      <c r="K149" s="518">
        <v>-9460.6355224624076</v>
      </c>
      <c r="L149" s="518">
        <v>-8062.1777476930947</v>
      </c>
      <c r="M149" s="518">
        <v>-7663.7252251755417</v>
      </c>
      <c r="N149" s="518">
        <v>-8265.2774774323098</v>
      </c>
      <c r="O149" s="518">
        <v>-6333.2340703930095</v>
      </c>
    </row>
    <row r="150" spans="2:15" x14ac:dyDescent="0.2">
      <c r="B150" s="351" t="s">
        <v>408</v>
      </c>
      <c r="E150" s="518">
        <v>-141984.00000000131</v>
      </c>
      <c r="F150" s="518">
        <v>-2000</v>
      </c>
      <c r="G150" s="518">
        <v>-2000</v>
      </c>
      <c r="H150" s="518">
        <v>-1000.8071259842519</v>
      </c>
      <c r="I150" s="518">
        <v>-2332.7811819902431</v>
      </c>
      <c r="J150" s="518">
        <v>-3262.2990747086465</v>
      </c>
      <c r="K150" s="518">
        <v>-4660.6355224624058</v>
      </c>
      <c r="L150" s="518">
        <v>-3262.1777476930961</v>
      </c>
      <c r="M150" s="518">
        <v>-2863.7252251755422</v>
      </c>
      <c r="N150" s="518">
        <v>-3465.2774774323111</v>
      </c>
      <c r="O150" s="518">
        <v>-3133.2340703930099</v>
      </c>
    </row>
    <row r="151" spans="2:15" x14ac:dyDescent="0.2">
      <c r="B151" s="351" t="s">
        <v>409</v>
      </c>
      <c r="E151" s="518">
        <v>0</v>
      </c>
      <c r="F151" s="518">
        <v>0</v>
      </c>
      <c r="G151" s="518">
        <v>-135.43307086614172</v>
      </c>
      <c r="H151" s="518">
        <v>0</v>
      </c>
      <c r="I151" s="518">
        <v>0</v>
      </c>
      <c r="J151" s="518">
        <v>-1600</v>
      </c>
      <c r="K151" s="518">
        <v>-4800.0000000000009</v>
      </c>
      <c r="L151" s="518">
        <v>-4800</v>
      </c>
      <c r="M151" s="518">
        <v>-4800</v>
      </c>
      <c r="N151" s="518">
        <v>-4800</v>
      </c>
      <c r="O151" s="518">
        <v>-3200</v>
      </c>
    </row>
    <row r="152" spans="2:15" x14ac:dyDescent="0.2">
      <c r="E152" s="518">
        <v>0</v>
      </c>
      <c r="F152" s="518">
        <v>0</v>
      </c>
      <c r="G152" s="518">
        <v>0</v>
      </c>
      <c r="H152" s="518">
        <v>0</v>
      </c>
      <c r="I152" s="518">
        <v>0</v>
      </c>
      <c r="J152" s="518">
        <v>0</v>
      </c>
      <c r="K152" s="518">
        <v>0</v>
      </c>
      <c r="L152" s="518">
        <v>0</v>
      </c>
      <c r="M152" s="518">
        <v>0</v>
      </c>
      <c r="N152" s="518">
        <v>0</v>
      </c>
      <c r="O152" s="518">
        <v>0</v>
      </c>
    </row>
    <row r="153" spans="2:15" x14ac:dyDescent="0.2">
      <c r="B153" s="351" t="s">
        <v>414</v>
      </c>
      <c r="E153" s="518">
        <v>-6158.9228887577574</v>
      </c>
      <c r="F153" s="518">
        <v>6469.4380875445959</v>
      </c>
      <c r="G153" s="518">
        <v>5367.4659966210429</v>
      </c>
      <c r="H153" s="518">
        <v>-5141.8259615763727</v>
      </c>
      <c r="I153" s="518">
        <v>-4787.6604329260508</v>
      </c>
      <c r="J153" s="518">
        <v>-22976.414662400322</v>
      </c>
      <c r="K153" s="518">
        <v>1758.8938593799774</v>
      </c>
      <c r="L153" s="518">
        <v>835.1639368377555</v>
      </c>
      <c r="M153" s="518">
        <v>-2723.4619566994188</v>
      </c>
      <c r="N153" s="518">
        <v>-2830.0573078521197</v>
      </c>
      <c r="O153" s="518">
        <v>-732.51548740860881</v>
      </c>
    </row>
    <row r="154" spans="2:15" x14ac:dyDescent="0.2">
      <c r="E154" s="518">
        <v>0</v>
      </c>
      <c r="F154" s="518">
        <v>0</v>
      </c>
      <c r="G154" s="518">
        <v>0</v>
      </c>
      <c r="H154" s="518">
        <v>0</v>
      </c>
      <c r="I154" s="518">
        <v>0</v>
      </c>
      <c r="J154" s="518">
        <v>0</v>
      </c>
      <c r="K154" s="518">
        <v>0</v>
      </c>
      <c r="L154" s="518">
        <v>0</v>
      </c>
      <c r="M154" s="518">
        <v>0</v>
      </c>
      <c r="N154" s="518">
        <v>0</v>
      </c>
      <c r="O154" s="518">
        <v>0</v>
      </c>
    </row>
    <row r="155" spans="2:15" x14ac:dyDescent="0.2">
      <c r="B155" s="351" t="s">
        <v>410</v>
      </c>
      <c r="E155" s="518">
        <v>1360.2606850560805</v>
      </c>
      <c r="F155" s="518">
        <v>1320.2783842794759</v>
      </c>
      <c r="G155" s="518">
        <v>2333.8582677165355</v>
      </c>
      <c r="H155" s="518">
        <v>1270</v>
      </c>
      <c r="I155" s="518">
        <v>8000</v>
      </c>
      <c r="J155" s="518">
        <v>16000</v>
      </c>
      <c r="K155" s="518">
        <v>0</v>
      </c>
      <c r="L155" s="518">
        <v>0</v>
      </c>
      <c r="M155" s="518">
        <v>0</v>
      </c>
      <c r="N155" s="518">
        <v>0</v>
      </c>
      <c r="O155" s="518">
        <v>0</v>
      </c>
    </row>
    <row r="156" spans="2:15" x14ac:dyDescent="0.2">
      <c r="B156" s="351" t="s">
        <v>415</v>
      </c>
      <c r="E156" s="518">
        <v>1360.2606850560805</v>
      </c>
      <c r="F156" s="518">
        <v>1173.5807860262009</v>
      </c>
      <c r="G156" s="518">
        <v>2333.8582677165355</v>
      </c>
      <c r="H156" s="518">
        <v>1270</v>
      </c>
      <c r="I156" s="518">
        <v>0</v>
      </c>
      <c r="J156" s="518">
        <v>0</v>
      </c>
      <c r="K156" s="518">
        <v>0</v>
      </c>
      <c r="L156" s="518">
        <v>0</v>
      </c>
      <c r="M156" s="518">
        <v>0</v>
      </c>
      <c r="N156" s="518">
        <v>0</v>
      </c>
      <c r="O156" s="518">
        <v>0</v>
      </c>
    </row>
    <row r="157" spans="2:15" x14ac:dyDescent="0.2">
      <c r="B157" s="351" t="s">
        <v>411</v>
      </c>
      <c r="E157" s="518">
        <v>0</v>
      </c>
      <c r="F157" s="518">
        <v>146.69759825327512</v>
      </c>
      <c r="G157" s="518">
        <v>0</v>
      </c>
      <c r="H157" s="518">
        <v>0</v>
      </c>
      <c r="I157" s="518">
        <v>8000</v>
      </c>
      <c r="J157" s="518">
        <v>16000</v>
      </c>
      <c r="K157" s="518">
        <v>0</v>
      </c>
      <c r="L157" s="518">
        <v>0</v>
      </c>
      <c r="M157" s="518">
        <v>0</v>
      </c>
      <c r="N157" s="518">
        <v>0</v>
      </c>
      <c r="O157" s="518">
        <v>0</v>
      </c>
    </row>
    <row r="158" spans="2:15" x14ac:dyDescent="0.2">
      <c r="E158" s="518">
        <v>0</v>
      </c>
      <c r="F158" s="518">
        <v>0</v>
      </c>
      <c r="G158" s="518">
        <v>0</v>
      </c>
      <c r="H158" s="518">
        <v>0</v>
      </c>
      <c r="I158" s="518">
        <v>0</v>
      </c>
      <c r="J158" s="518">
        <v>0</v>
      </c>
      <c r="K158" s="518">
        <v>0</v>
      </c>
      <c r="L158" s="518">
        <v>0</v>
      </c>
      <c r="M158" s="518">
        <v>0</v>
      </c>
      <c r="N158" s="518">
        <v>0</v>
      </c>
      <c r="O158" s="518">
        <v>0</v>
      </c>
    </row>
    <row r="159" spans="2:15" x14ac:dyDescent="0.2">
      <c r="B159" s="351" t="s">
        <v>416</v>
      </c>
      <c r="E159" s="518">
        <v>0</v>
      </c>
      <c r="F159" s="518">
        <v>0</v>
      </c>
      <c r="G159" s="518">
        <v>-1482.8346456692914</v>
      </c>
      <c r="H159" s="518">
        <v>-1455.3333333333333</v>
      </c>
      <c r="I159" s="518">
        <v>-1176.488322066619</v>
      </c>
      <c r="J159" s="518">
        <v>0</v>
      </c>
      <c r="K159" s="518">
        <v>0</v>
      </c>
      <c r="L159" s="518">
        <v>0</v>
      </c>
      <c r="M159" s="518">
        <v>0</v>
      </c>
      <c r="N159" s="518">
        <v>0</v>
      </c>
      <c r="O159" s="518">
        <v>-473.58046624859986</v>
      </c>
    </row>
    <row r="160" spans="2:15" x14ac:dyDescent="0.2">
      <c r="E160" s="518">
        <v>0</v>
      </c>
      <c r="F160" s="518">
        <v>0</v>
      </c>
      <c r="G160" s="518">
        <v>0</v>
      </c>
      <c r="H160" s="518">
        <v>0</v>
      </c>
      <c r="I160" s="518">
        <v>0</v>
      </c>
      <c r="J160" s="518">
        <v>0</v>
      </c>
      <c r="K160" s="518">
        <v>0</v>
      </c>
      <c r="L160" s="518">
        <v>0</v>
      </c>
      <c r="M160" s="518">
        <v>0</v>
      </c>
      <c r="N160" s="518">
        <v>0</v>
      </c>
      <c r="O160" s="518">
        <v>0</v>
      </c>
    </row>
    <row r="161" spans="2:15" x14ac:dyDescent="0.2">
      <c r="B161" s="351" t="s">
        <v>417</v>
      </c>
      <c r="E161" s="518">
        <v>-4798.6622037016768</v>
      </c>
      <c r="F161" s="518">
        <v>7789.716471824072</v>
      </c>
      <c r="G161" s="518">
        <v>6218.4896186682863</v>
      </c>
      <c r="H161" s="518">
        <v>-5327.1592949097067</v>
      </c>
      <c r="I161" s="518">
        <v>2035.8512450073297</v>
      </c>
      <c r="J161" s="518">
        <v>-6976.4146624003233</v>
      </c>
      <c r="K161" s="518">
        <v>1758.8938593799774</v>
      </c>
      <c r="L161" s="518">
        <v>835.1639368377555</v>
      </c>
      <c r="M161" s="518">
        <v>-2723.4619566994188</v>
      </c>
      <c r="N161" s="518">
        <v>-2830.0573078521197</v>
      </c>
      <c r="O161" s="518">
        <v>-1206.0959536572086</v>
      </c>
    </row>
    <row r="162" spans="2:15" x14ac:dyDescent="0.2">
      <c r="E162" s="518">
        <v>0</v>
      </c>
      <c r="F162" s="518">
        <v>0</v>
      </c>
      <c r="G162" s="518">
        <v>0</v>
      </c>
      <c r="H162" s="518">
        <v>0</v>
      </c>
      <c r="I162" s="518">
        <v>0</v>
      </c>
      <c r="J162" s="518">
        <v>0</v>
      </c>
      <c r="K162" s="518">
        <v>0</v>
      </c>
      <c r="L162" s="518">
        <v>0</v>
      </c>
      <c r="M162" s="518">
        <v>0</v>
      </c>
      <c r="N162" s="518">
        <v>0</v>
      </c>
      <c r="O162" s="518">
        <v>0</v>
      </c>
    </row>
    <row r="163" spans="2:15" x14ac:dyDescent="0.2">
      <c r="B163" s="351" t="s">
        <v>418</v>
      </c>
      <c r="E163" s="518">
        <v>0</v>
      </c>
      <c r="F163" s="518">
        <v>0</v>
      </c>
      <c r="G163" s="518">
        <v>0</v>
      </c>
      <c r="H163" s="518">
        <v>0</v>
      </c>
      <c r="I163" s="518">
        <v>0</v>
      </c>
      <c r="J163" s="518">
        <v>0</v>
      </c>
      <c r="K163" s="518">
        <v>0</v>
      </c>
      <c r="L163" s="518">
        <v>0</v>
      </c>
      <c r="M163" s="518">
        <v>0</v>
      </c>
      <c r="N163" s="518">
        <v>0</v>
      </c>
      <c r="O163" s="518">
        <v>0</v>
      </c>
    </row>
    <row r="164" spans="2:15" x14ac:dyDescent="0.2">
      <c r="B164" s="351" t="s">
        <v>412</v>
      </c>
      <c r="E164" s="518">
        <v>956.62241598519756</v>
      </c>
      <c r="F164" s="518">
        <v>4234.7190437722975</v>
      </c>
      <c r="G164" s="518">
        <v>3513.525743255429</v>
      </c>
      <c r="H164" s="518">
        <v>-4137.6792071894988</v>
      </c>
      <c r="I164" s="518">
        <v>-1052.3401294078494</v>
      </c>
      <c r="J164" s="518">
        <v>-3725.4219268231845</v>
      </c>
      <c r="K164" s="518">
        <v>1185.9170935402631</v>
      </c>
      <c r="L164" s="518">
        <v>1103.5903651562046</v>
      </c>
      <c r="M164" s="518">
        <v>644.62948805200188</v>
      </c>
      <c r="N164" s="518">
        <v>657.59681806456365</v>
      </c>
      <c r="O164" s="518">
        <v>884.33784709884367</v>
      </c>
    </row>
    <row r="165" spans="2:15" x14ac:dyDescent="0.2">
      <c r="B165" s="351" t="s">
        <v>413</v>
      </c>
      <c r="E165" s="518">
        <v>956.62241598519756</v>
      </c>
      <c r="F165" s="518">
        <v>4234.7190437722975</v>
      </c>
      <c r="G165" s="518">
        <v>3751.4495337435919</v>
      </c>
      <c r="H165" s="518">
        <v>-4137.6792071894988</v>
      </c>
      <c r="I165" s="518">
        <v>-1052.3401294078494</v>
      </c>
      <c r="J165" s="518">
        <v>-5552.5612989083274</v>
      </c>
      <c r="K165" s="518">
        <v>2407.2960281422402</v>
      </c>
      <c r="L165" s="518">
        <v>2727.4239396742728</v>
      </c>
      <c r="M165" s="518">
        <v>1725.1177679497139</v>
      </c>
      <c r="N165" s="518">
        <v>1568.4805055229115</v>
      </c>
      <c r="O165" s="518">
        <v>1787.5200055774601</v>
      </c>
    </row>
    <row r="167" spans="2:15" ht="15" x14ac:dyDescent="0.25">
      <c r="B167" s="519" t="s">
        <v>419</v>
      </c>
      <c r="C167" s="520"/>
      <c r="D167" s="520"/>
      <c r="E167" s="520"/>
      <c r="F167" s="520"/>
      <c r="G167" s="520"/>
      <c r="H167" s="520"/>
      <c r="I167" s="520"/>
      <c r="J167" s="520"/>
      <c r="K167" s="520"/>
      <c r="L167" s="520"/>
      <c r="M167" s="520"/>
      <c r="N167" s="520"/>
      <c r="O167" s="520"/>
    </row>
    <row r="168" spans="2:15" x14ac:dyDescent="0.2">
      <c r="B168" s="520" t="s">
        <v>403</v>
      </c>
      <c r="C168" s="520"/>
      <c r="D168" s="520"/>
      <c r="E168" s="521">
        <f>E120-E144</f>
        <v>-6394654.9163718214</v>
      </c>
      <c r="F168" s="521">
        <f t="shared" ref="F168:O168" si="11">F120-F144</f>
        <v>-848032.78027176496</v>
      </c>
      <c r="G168" s="521">
        <f t="shared" si="11"/>
        <v>11313202.068001399</v>
      </c>
      <c r="H168" s="521">
        <f t="shared" si="11"/>
        <v>2259600.0547334482</v>
      </c>
      <c r="I168" s="521">
        <f t="shared" ca="1" si="11"/>
        <v>7446098.6610287037</v>
      </c>
      <c r="J168" s="521">
        <f t="shared" ca="1" si="11"/>
        <v>2445656.6587301074</v>
      </c>
      <c r="K168" s="521">
        <f t="shared" ca="1" si="11"/>
        <v>9762012.5883138347</v>
      </c>
      <c r="L168" s="521">
        <f t="shared" ca="1" si="11"/>
        <v>15210261.767617811</v>
      </c>
      <c r="M168" s="521">
        <f t="shared" ca="1" si="11"/>
        <v>16189072.663148712</v>
      </c>
      <c r="N168" s="521">
        <f t="shared" ca="1" si="11"/>
        <v>17050689.605072767</v>
      </c>
      <c r="O168" s="521">
        <f t="shared" ca="1" si="11"/>
        <v>17762807.999424733</v>
      </c>
    </row>
    <row r="169" spans="2:15" x14ac:dyDescent="0.2">
      <c r="B169" s="520" t="s">
        <v>404</v>
      </c>
      <c r="C169" s="520"/>
      <c r="D169" s="520"/>
      <c r="E169" s="521">
        <f t="shared" ref="E169:O189" si="12">E121-E145</f>
        <v>0</v>
      </c>
      <c r="F169" s="521">
        <f t="shared" si="12"/>
        <v>1359000</v>
      </c>
      <c r="G169" s="521">
        <f t="shared" si="12"/>
        <v>1114000</v>
      </c>
      <c r="H169" s="521">
        <f t="shared" si="12"/>
        <v>705306.27948818903</v>
      </c>
      <c r="I169" s="521">
        <f t="shared" ca="1" si="12"/>
        <v>500667.21881800977</v>
      </c>
      <c r="J169" s="521">
        <f t="shared" ca="1" si="12"/>
        <v>771081.70092529128</v>
      </c>
      <c r="K169" s="521">
        <f t="shared" ca="1" si="12"/>
        <v>1583683.3644775376</v>
      </c>
      <c r="L169" s="521">
        <f t="shared" ca="1" si="12"/>
        <v>1474269.022252307</v>
      </c>
      <c r="M169" s="521">
        <f t="shared" ca="1" si="12"/>
        <v>1156998.6747748244</v>
      </c>
      <c r="N169" s="521">
        <f t="shared" ca="1" si="12"/>
        <v>829997.12252256763</v>
      </c>
      <c r="O169" s="521">
        <f t="shared" ca="1" si="12"/>
        <v>503929.16592960688</v>
      </c>
    </row>
    <row r="170" spans="2:15" x14ac:dyDescent="0.2">
      <c r="B170" s="520" t="s">
        <v>405</v>
      </c>
      <c r="C170" s="520"/>
      <c r="D170" s="520"/>
      <c r="E170" s="521">
        <f t="shared" si="12"/>
        <v>241890.95050281176</v>
      </c>
      <c r="F170" s="521">
        <f t="shared" si="12"/>
        <v>-3106324.9181222715</v>
      </c>
      <c r="G170" s="521">
        <f t="shared" si="12"/>
        <v>-5579946.0236220472</v>
      </c>
      <c r="H170" s="521">
        <f t="shared" si="12"/>
        <v>-2741657.4095682609</v>
      </c>
      <c r="I170" s="521">
        <f t="shared" si="12"/>
        <v>-1156000</v>
      </c>
      <c r="J170" s="521">
        <f t="shared" si="12"/>
        <v>-23660966.19458184</v>
      </c>
      <c r="K170" s="521">
        <f t="shared" si="12"/>
        <v>-7564060.1768925833</v>
      </c>
      <c r="L170" s="521">
        <f t="shared" si="12"/>
        <v>-794600.16081143869</v>
      </c>
      <c r="M170" s="521">
        <f t="shared" si="12"/>
        <v>-722363.78255585325</v>
      </c>
      <c r="N170" s="521">
        <f t="shared" si="12"/>
        <v>-656694.34777804837</v>
      </c>
      <c r="O170" s="521">
        <f t="shared" si="12"/>
        <v>-596994.86161640752</v>
      </c>
    </row>
    <row r="171" spans="2:15" x14ac:dyDescent="0.2">
      <c r="B171" s="520" t="s">
        <v>406</v>
      </c>
      <c r="C171" s="520"/>
      <c r="D171" s="520"/>
      <c r="E171" s="521">
        <f t="shared" si="12"/>
        <v>-6152763.9658690095</v>
      </c>
      <c r="F171" s="521">
        <f t="shared" si="12"/>
        <v>-2595357.6983940355</v>
      </c>
      <c r="G171" s="521">
        <f t="shared" si="12"/>
        <v>6847256.0443793517</v>
      </c>
      <c r="H171" s="521">
        <f t="shared" si="12"/>
        <v>223248.92465337639</v>
      </c>
      <c r="I171" s="521">
        <f t="shared" ca="1" si="12"/>
        <v>6790765.8798467135</v>
      </c>
      <c r="J171" s="521">
        <f t="shared" ca="1" si="12"/>
        <v>-20444227.834926441</v>
      </c>
      <c r="K171" s="521">
        <f t="shared" ca="1" si="12"/>
        <v>3781635.7758987877</v>
      </c>
      <c r="L171" s="521">
        <f t="shared" ca="1" si="12"/>
        <v>15889930.629058678</v>
      </c>
      <c r="M171" s="521">
        <f t="shared" ca="1" si="12"/>
        <v>16623707.555367684</v>
      </c>
      <c r="N171" s="521">
        <f t="shared" ca="1" si="12"/>
        <v>17223992.379817281</v>
      </c>
      <c r="O171" s="521">
        <f t="shared" ca="1" si="12"/>
        <v>17669742.303737935</v>
      </c>
    </row>
    <row r="172" spans="2:15" x14ac:dyDescent="0.2">
      <c r="B172" s="520"/>
      <c r="C172" s="520"/>
      <c r="D172" s="520"/>
      <c r="E172" s="521">
        <f t="shared" si="12"/>
        <v>0</v>
      </c>
      <c r="F172" s="521">
        <f t="shared" si="12"/>
        <v>0</v>
      </c>
      <c r="G172" s="521">
        <f t="shared" si="12"/>
        <v>0</v>
      </c>
      <c r="H172" s="521">
        <f t="shared" si="12"/>
        <v>0</v>
      </c>
      <c r="I172" s="521">
        <f t="shared" si="12"/>
        <v>0</v>
      </c>
      <c r="J172" s="521">
        <f t="shared" si="12"/>
        <v>0</v>
      </c>
      <c r="K172" s="521">
        <f t="shared" si="12"/>
        <v>0</v>
      </c>
      <c r="L172" s="521">
        <f t="shared" si="12"/>
        <v>0</v>
      </c>
      <c r="M172" s="521">
        <f t="shared" si="12"/>
        <v>0</v>
      </c>
      <c r="N172" s="521">
        <f t="shared" si="12"/>
        <v>0</v>
      </c>
      <c r="O172" s="521">
        <f t="shared" si="12"/>
        <v>0</v>
      </c>
    </row>
    <row r="173" spans="2:15" x14ac:dyDescent="0.2">
      <c r="B173" s="520" t="s">
        <v>407</v>
      </c>
      <c r="C173" s="520"/>
      <c r="D173" s="520"/>
      <c r="E173" s="521">
        <f t="shared" si="12"/>
        <v>0</v>
      </c>
      <c r="F173" s="521">
        <f t="shared" si="12"/>
        <v>-1359000</v>
      </c>
      <c r="G173" s="521">
        <f t="shared" si="12"/>
        <v>-1249297.6377952755</v>
      </c>
      <c r="H173" s="521">
        <f t="shared" si="12"/>
        <v>-705306.27948818903</v>
      </c>
      <c r="I173" s="521">
        <f t="shared" ca="1" si="12"/>
        <v>-500667.21881800977</v>
      </c>
      <c r="J173" s="521">
        <f t="shared" ca="1" si="12"/>
        <v>-769481.70092529128</v>
      </c>
      <c r="K173" s="521">
        <f t="shared" ca="1" si="12"/>
        <v>-1578883.3644775376</v>
      </c>
      <c r="L173" s="521">
        <f t="shared" ca="1" si="12"/>
        <v>-6012669.0222523073</v>
      </c>
      <c r="M173" s="521">
        <f t="shared" ca="1" si="12"/>
        <v>-5952198.6747748256</v>
      </c>
      <c r="N173" s="521">
        <f t="shared" ca="1" si="12"/>
        <v>-5625197.1225225683</v>
      </c>
      <c r="O173" s="521">
        <f t="shared" ca="1" si="12"/>
        <v>-5300729.1659296062</v>
      </c>
    </row>
    <row r="174" spans="2:15" x14ac:dyDescent="0.2">
      <c r="B174" s="520" t="s">
        <v>408</v>
      </c>
      <c r="C174" s="520"/>
      <c r="D174" s="520"/>
      <c r="E174" s="521">
        <f t="shared" si="12"/>
        <v>0</v>
      </c>
      <c r="F174" s="521">
        <f t="shared" si="12"/>
        <v>-1359000</v>
      </c>
      <c r="G174" s="521">
        <f t="shared" si="12"/>
        <v>-1114000</v>
      </c>
      <c r="H174" s="521">
        <f t="shared" si="12"/>
        <v>-705306.27948818903</v>
      </c>
      <c r="I174" s="521">
        <f t="shared" ca="1" si="12"/>
        <v>-500667.21881800977</v>
      </c>
      <c r="J174" s="521">
        <f t="shared" ca="1" si="12"/>
        <v>-771081.70092529128</v>
      </c>
      <c r="K174" s="521">
        <f t="shared" ca="1" si="12"/>
        <v>-1583683.3644775376</v>
      </c>
      <c r="L174" s="521">
        <f t="shared" ca="1" si="12"/>
        <v>-1474269.022252307</v>
      </c>
      <c r="M174" s="521">
        <f t="shared" ca="1" si="12"/>
        <v>-1156998.6747748244</v>
      </c>
      <c r="N174" s="521">
        <f t="shared" ca="1" si="12"/>
        <v>-829997.12252256763</v>
      </c>
      <c r="O174" s="521">
        <f t="shared" ca="1" si="12"/>
        <v>-503929.16592960688</v>
      </c>
    </row>
    <row r="175" spans="2:15" x14ac:dyDescent="0.2">
      <c r="B175" s="520" t="s">
        <v>409</v>
      </c>
      <c r="C175" s="520"/>
      <c r="D175" s="520"/>
      <c r="E175" s="521">
        <f t="shared" si="12"/>
        <v>0</v>
      </c>
      <c r="F175" s="521">
        <f t="shared" si="12"/>
        <v>0</v>
      </c>
      <c r="G175" s="521">
        <f t="shared" si="12"/>
        <v>-135297.6377952756</v>
      </c>
      <c r="H175" s="521">
        <f t="shared" si="12"/>
        <v>0</v>
      </c>
      <c r="I175" s="521">
        <f t="shared" si="12"/>
        <v>0</v>
      </c>
      <c r="J175" s="521">
        <f t="shared" si="12"/>
        <v>1600</v>
      </c>
      <c r="K175" s="521">
        <f t="shared" si="12"/>
        <v>4800.0000000000009</v>
      </c>
      <c r="L175" s="521">
        <f t="shared" si="12"/>
        <v>-4538400</v>
      </c>
      <c r="M175" s="521">
        <f t="shared" si="12"/>
        <v>-4795200.0000000009</v>
      </c>
      <c r="N175" s="521">
        <f t="shared" si="12"/>
        <v>-4795200</v>
      </c>
      <c r="O175" s="521">
        <f t="shared" si="12"/>
        <v>-4796800</v>
      </c>
    </row>
    <row r="176" spans="2:15" x14ac:dyDescent="0.2">
      <c r="B176" s="520"/>
      <c r="C176" s="520"/>
      <c r="D176" s="520"/>
      <c r="E176" s="521">
        <f t="shared" si="12"/>
        <v>0</v>
      </c>
      <c r="F176" s="521">
        <f t="shared" si="12"/>
        <v>0</v>
      </c>
      <c r="G176" s="521">
        <f t="shared" si="12"/>
        <v>0</v>
      </c>
      <c r="H176" s="521">
        <f t="shared" si="12"/>
        <v>0</v>
      </c>
      <c r="I176" s="521">
        <f t="shared" si="12"/>
        <v>0</v>
      </c>
      <c r="J176" s="521">
        <f t="shared" si="12"/>
        <v>0</v>
      </c>
      <c r="K176" s="521">
        <f t="shared" si="12"/>
        <v>0</v>
      </c>
      <c r="L176" s="521">
        <f t="shared" si="12"/>
        <v>0</v>
      </c>
      <c r="M176" s="521">
        <f t="shared" si="12"/>
        <v>0</v>
      </c>
      <c r="N176" s="521">
        <f t="shared" si="12"/>
        <v>0</v>
      </c>
      <c r="O176" s="521">
        <f t="shared" si="12"/>
        <v>0</v>
      </c>
    </row>
    <row r="177" spans="2:15" x14ac:dyDescent="0.2">
      <c r="B177" s="520" t="s">
        <v>414</v>
      </c>
      <c r="C177" s="520"/>
      <c r="D177" s="520"/>
      <c r="E177" s="521">
        <f t="shared" si="12"/>
        <v>-6152763.9658690095</v>
      </c>
      <c r="F177" s="521">
        <f t="shared" si="12"/>
        <v>-3954357.6983940355</v>
      </c>
      <c r="G177" s="521">
        <f t="shared" si="12"/>
        <v>5597958.4065840757</v>
      </c>
      <c r="H177" s="521">
        <f t="shared" si="12"/>
        <v>-482057.35483481264</v>
      </c>
      <c r="I177" s="521">
        <f t="shared" ca="1" si="12"/>
        <v>6290098.6610287037</v>
      </c>
      <c r="J177" s="521">
        <f t="shared" ca="1" si="12"/>
        <v>-21213709.535851736</v>
      </c>
      <c r="K177" s="521">
        <f t="shared" ca="1" si="12"/>
        <v>2202752.4114212501</v>
      </c>
      <c r="L177" s="521">
        <f t="shared" ca="1" si="12"/>
        <v>9877261.6068063695</v>
      </c>
      <c r="M177" s="521">
        <f t="shared" ca="1" si="12"/>
        <v>10671508.880592858</v>
      </c>
      <c r="N177" s="521">
        <f t="shared" ca="1" si="12"/>
        <v>11598795.257294714</v>
      </c>
      <c r="O177" s="521">
        <f t="shared" ca="1" si="12"/>
        <v>12369013.137808327</v>
      </c>
    </row>
    <row r="178" spans="2:15" x14ac:dyDescent="0.2">
      <c r="B178" s="520"/>
      <c r="C178" s="520"/>
      <c r="D178" s="520"/>
      <c r="E178" s="521">
        <f t="shared" si="12"/>
        <v>0</v>
      </c>
      <c r="F178" s="521">
        <f t="shared" si="12"/>
        <v>0</v>
      </c>
      <c r="G178" s="521">
        <f t="shared" si="12"/>
        <v>0</v>
      </c>
      <c r="H178" s="521">
        <f t="shared" si="12"/>
        <v>0</v>
      </c>
      <c r="I178" s="521">
        <f t="shared" si="12"/>
        <v>0</v>
      </c>
      <c r="J178" s="521">
        <f t="shared" si="12"/>
        <v>0</v>
      </c>
      <c r="K178" s="521">
        <f t="shared" si="12"/>
        <v>0</v>
      </c>
      <c r="L178" s="521">
        <f t="shared" si="12"/>
        <v>0</v>
      </c>
      <c r="M178" s="521">
        <f t="shared" si="12"/>
        <v>0</v>
      </c>
      <c r="N178" s="521">
        <f t="shared" si="12"/>
        <v>0</v>
      </c>
      <c r="O178" s="521">
        <f t="shared" si="12"/>
        <v>0</v>
      </c>
    </row>
    <row r="179" spans="2:15" x14ac:dyDescent="0.2">
      <c r="B179" s="520" t="s">
        <v>410</v>
      </c>
      <c r="C179" s="520"/>
      <c r="D179" s="520"/>
      <c r="E179" s="521">
        <f t="shared" si="12"/>
        <v>945896.48378296453</v>
      </c>
      <c r="F179" s="521">
        <f t="shared" si="12"/>
        <v>1690819.459606987</v>
      </c>
      <c r="G179" s="521">
        <f t="shared" si="12"/>
        <v>2331524.4094488188</v>
      </c>
      <c r="H179" s="521">
        <f t="shared" si="12"/>
        <v>95579.474912485399</v>
      </c>
      <c r="I179" s="521">
        <f t="shared" si="12"/>
        <v>1162000</v>
      </c>
      <c r="J179" s="521">
        <f t="shared" si="12"/>
        <v>22699999.999999996</v>
      </c>
      <c r="K179" s="521">
        <f t="shared" si="12"/>
        <v>1284000</v>
      </c>
      <c r="L179" s="521">
        <f t="shared" si="12"/>
        <v>0</v>
      </c>
      <c r="M179" s="521">
        <f t="shared" si="12"/>
        <v>0</v>
      </c>
      <c r="N179" s="521">
        <f t="shared" si="12"/>
        <v>0</v>
      </c>
      <c r="O179" s="521">
        <f t="shared" si="12"/>
        <v>0</v>
      </c>
    </row>
    <row r="180" spans="2:15" x14ac:dyDescent="0.2">
      <c r="B180" s="520" t="s">
        <v>415</v>
      </c>
      <c r="C180" s="520"/>
      <c r="D180" s="520"/>
      <c r="E180" s="521">
        <f t="shared" si="12"/>
        <v>945896.48378296453</v>
      </c>
      <c r="F180" s="521">
        <f t="shared" si="12"/>
        <v>1544268.5589519651</v>
      </c>
      <c r="G180" s="521">
        <f t="shared" si="12"/>
        <v>2331524.4094488188</v>
      </c>
      <c r="H180" s="521">
        <f t="shared" si="12"/>
        <v>95579.474912485399</v>
      </c>
      <c r="I180" s="521">
        <f t="shared" si="12"/>
        <v>1170000</v>
      </c>
      <c r="J180" s="521">
        <f t="shared" si="12"/>
        <v>0</v>
      </c>
      <c r="K180" s="521">
        <f t="shared" si="12"/>
        <v>0</v>
      </c>
      <c r="L180" s="521">
        <f t="shared" si="12"/>
        <v>0</v>
      </c>
      <c r="M180" s="521">
        <f t="shared" si="12"/>
        <v>0</v>
      </c>
      <c r="N180" s="521">
        <f t="shared" si="12"/>
        <v>0</v>
      </c>
      <c r="O180" s="521">
        <f t="shared" si="12"/>
        <v>0</v>
      </c>
    </row>
    <row r="181" spans="2:15" x14ac:dyDescent="0.2">
      <c r="B181" s="520" t="s">
        <v>411</v>
      </c>
      <c r="C181" s="520"/>
      <c r="D181" s="520"/>
      <c r="E181" s="521">
        <f t="shared" si="12"/>
        <v>0</v>
      </c>
      <c r="F181" s="521">
        <f t="shared" si="12"/>
        <v>146550.90065502183</v>
      </c>
      <c r="G181" s="521">
        <f t="shared" si="12"/>
        <v>0</v>
      </c>
      <c r="H181" s="521">
        <f t="shared" si="12"/>
        <v>0</v>
      </c>
      <c r="I181" s="521">
        <f t="shared" si="12"/>
        <v>-8000</v>
      </c>
      <c r="J181" s="521">
        <f t="shared" si="12"/>
        <v>22699999.999999996</v>
      </c>
      <c r="K181" s="521">
        <f t="shared" si="12"/>
        <v>1284000</v>
      </c>
      <c r="L181" s="521">
        <f t="shared" si="12"/>
        <v>0</v>
      </c>
      <c r="M181" s="521">
        <f t="shared" si="12"/>
        <v>0</v>
      </c>
      <c r="N181" s="521">
        <f t="shared" si="12"/>
        <v>0</v>
      </c>
      <c r="O181" s="521">
        <f t="shared" si="12"/>
        <v>0</v>
      </c>
    </row>
    <row r="182" spans="2:15" x14ac:dyDescent="0.2">
      <c r="B182" s="520"/>
      <c r="C182" s="520"/>
      <c r="D182" s="520"/>
      <c r="E182" s="521">
        <f t="shared" si="12"/>
        <v>0</v>
      </c>
      <c r="F182" s="521">
        <f t="shared" si="12"/>
        <v>0</v>
      </c>
      <c r="G182" s="521">
        <f t="shared" si="12"/>
        <v>0</v>
      </c>
      <c r="H182" s="521">
        <f t="shared" si="12"/>
        <v>0</v>
      </c>
      <c r="I182" s="521">
        <f t="shared" si="12"/>
        <v>0</v>
      </c>
      <c r="J182" s="521">
        <f t="shared" si="12"/>
        <v>0</v>
      </c>
      <c r="K182" s="521">
        <f t="shared" si="12"/>
        <v>0</v>
      </c>
      <c r="L182" s="521">
        <f t="shared" si="12"/>
        <v>0</v>
      </c>
      <c r="M182" s="521">
        <f t="shared" si="12"/>
        <v>0</v>
      </c>
      <c r="N182" s="521">
        <f t="shared" si="12"/>
        <v>0</v>
      </c>
      <c r="O182" s="521">
        <f t="shared" si="12"/>
        <v>0</v>
      </c>
    </row>
    <row r="183" spans="2:15" x14ac:dyDescent="0.2">
      <c r="B183" s="520" t="s">
        <v>416</v>
      </c>
      <c r="C183" s="520"/>
      <c r="D183" s="520"/>
      <c r="E183" s="521">
        <f t="shared" si="12"/>
        <v>0</v>
      </c>
      <c r="F183" s="521">
        <f t="shared" si="12"/>
        <v>-768286.02620087343</v>
      </c>
      <c r="G183" s="521">
        <f t="shared" si="12"/>
        <v>-9224973.8582677152</v>
      </c>
      <c r="H183" s="521">
        <f t="shared" si="12"/>
        <v>-3185825.8802022557</v>
      </c>
      <c r="I183" s="521">
        <f t="shared" si="12"/>
        <v>-3908347.3212017426</v>
      </c>
      <c r="J183" s="521">
        <f t="shared" ca="1" si="12"/>
        <v>0</v>
      </c>
      <c r="K183" s="521">
        <f t="shared" ca="1" si="12"/>
        <v>0</v>
      </c>
      <c r="L183" s="521">
        <f t="shared" ca="1" si="12"/>
        <v>-3319527.6187406429</v>
      </c>
      <c r="M183" s="521">
        <f t="shared" ca="1" si="12"/>
        <v>-5976583.0550174005</v>
      </c>
      <c r="N183" s="521">
        <f t="shared" ca="1" si="12"/>
        <v>-6849235.4171013217</v>
      </c>
      <c r="O183" s="521">
        <f t="shared" ca="1" si="12"/>
        <v>-7649504.9511404168</v>
      </c>
    </row>
    <row r="184" spans="2:15" x14ac:dyDescent="0.2">
      <c r="B184" s="520"/>
      <c r="C184" s="520"/>
      <c r="D184" s="520"/>
      <c r="E184" s="521">
        <f t="shared" si="12"/>
        <v>0</v>
      </c>
      <c r="F184" s="521">
        <f t="shared" si="12"/>
        <v>0</v>
      </c>
      <c r="G184" s="521">
        <f t="shared" si="12"/>
        <v>0</v>
      </c>
      <c r="H184" s="521">
        <f t="shared" si="12"/>
        <v>0</v>
      </c>
      <c r="I184" s="521">
        <f t="shared" si="12"/>
        <v>0</v>
      </c>
      <c r="J184" s="521">
        <f t="shared" si="12"/>
        <v>0</v>
      </c>
      <c r="K184" s="521">
        <f t="shared" si="12"/>
        <v>0</v>
      </c>
      <c r="L184" s="521">
        <f t="shared" si="12"/>
        <v>0</v>
      </c>
      <c r="M184" s="521">
        <f t="shared" si="12"/>
        <v>0</v>
      </c>
      <c r="N184" s="521">
        <f t="shared" si="12"/>
        <v>0</v>
      </c>
      <c r="O184" s="521">
        <f t="shared" si="12"/>
        <v>0</v>
      </c>
    </row>
    <row r="185" spans="2:15" x14ac:dyDescent="0.2">
      <c r="B185" s="520" t="s">
        <v>417</v>
      </c>
      <c r="C185" s="520"/>
      <c r="D185" s="520"/>
      <c r="E185" s="521">
        <f t="shared" si="12"/>
        <v>-5206867.4820860457</v>
      </c>
      <c r="F185" s="521">
        <f t="shared" si="12"/>
        <v>-3031824.2649879223</v>
      </c>
      <c r="G185" s="521">
        <f t="shared" si="12"/>
        <v>-1295491.0422348203</v>
      </c>
      <c r="H185" s="521">
        <f t="shared" si="12"/>
        <v>-3572303.7601245828</v>
      </c>
      <c r="I185" s="521">
        <f t="shared" ca="1" si="12"/>
        <v>3543751.3398269601</v>
      </c>
      <c r="J185" s="521">
        <f t="shared" ca="1" si="12"/>
        <v>1486290.4641482602</v>
      </c>
      <c r="K185" s="521">
        <f t="shared" ca="1" si="12"/>
        <v>3486752.4114212501</v>
      </c>
      <c r="L185" s="521">
        <f t="shared" ca="1" si="12"/>
        <v>6557733.9880657271</v>
      </c>
      <c r="M185" s="521">
        <f t="shared" ca="1" si="12"/>
        <v>4694925.825575457</v>
      </c>
      <c r="N185" s="521">
        <f t="shared" ca="1" si="12"/>
        <v>4749559.8401933927</v>
      </c>
      <c r="O185" s="521">
        <f t="shared" ca="1" si="12"/>
        <v>4719508.1866679108</v>
      </c>
    </row>
    <row r="186" spans="2:15" x14ac:dyDescent="0.2">
      <c r="B186" s="520"/>
      <c r="C186" s="520"/>
      <c r="D186" s="520"/>
      <c r="E186" s="521">
        <f t="shared" si="12"/>
        <v>0</v>
      </c>
      <c r="F186" s="521">
        <f t="shared" si="12"/>
        <v>0</v>
      </c>
      <c r="G186" s="521">
        <f t="shared" si="12"/>
        <v>0</v>
      </c>
      <c r="H186" s="521">
        <f t="shared" si="12"/>
        <v>0</v>
      </c>
      <c r="I186" s="521">
        <f t="shared" si="12"/>
        <v>0</v>
      </c>
      <c r="J186" s="521">
        <f t="shared" si="12"/>
        <v>0</v>
      </c>
      <c r="K186" s="521">
        <f t="shared" si="12"/>
        <v>0</v>
      </c>
      <c r="L186" s="521">
        <f t="shared" si="12"/>
        <v>0</v>
      </c>
      <c r="M186" s="521">
        <f t="shared" si="12"/>
        <v>0</v>
      </c>
      <c r="N186" s="521">
        <f t="shared" si="12"/>
        <v>0</v>
      </c>
      <c r="O186" s="521">
        <f t="shared" si="12"/>
        <v>0</v>
      </c>
    </row>
    <row r="187" spans="2:15" x14ac:dyDescent="0.2">
      <c r="B187" s="520" t="s">
        <v>418</v>
      </c>
      <c r="C187" s="520"/>
      <c r="D187" s="520"/>
      <c r="E187" s="521">
        <f t="shared" si="12"/>
        <v>0</v>
      </c>
      <c r="F187" s="521">
        <f t="shared" si="12"/>
        <v>0</v>
      </c>
      <c r="G187" s="521">
        <f t="shared" si="12"/>
        <v>0</v>
      </c>
      <c r="H187" s="521">
        <f t="shared" si="12"/>
        <v>0</v>
      </c>
      <c r="I187" s="521">
        <f t="shared" si="12"/>
        <v>0</v>
      </c>
      <c r="J187" s="521">
        <f t="shared" si="12"/>
        <v>0</v>
      </c>
      <c r="K187" s="521">
        <f t="shared" si="12"/>
        <v>0</v>
      </c>
      <c r="L187" s="521">
        <f t="shared" si="12"/>
        <v>0</v>
      </c>
      <c r="M187" s="521">
        <f t="shared" si="12"/>
        <v>0</v>
      </c>
      <c r="N187" s="521">
        <f t="shared" si="12"/>
        <v>0</v>
      </c>
      <c r="O187" s="521">
        <f t="shared" si="12"/>
        <v>0</v>
      </c>
    </row>
    <row r="188" spans="2:15" x14ac:dyDescent="0.2">
      <c r="B188" s="520" t="s">
        <v>412</v>
      </c>
      <c r="C188" s="520"/>
      <c r="D188" s="520"/>
      <c r="E188" s="521">
        <f t="shared" si="12"/>
        <v>-43334.206430787643</v>
      </c>
      <c r="F188" s="521">
        <f t="shared" si="12"/>
        <v>-6135.4451718446644</v>
      </c>
      <c r="G188" s="521">
        <f t="shared" si="12"/>
        <v>1964.0016635458987</v>
      </c>
      <c r="H188" s="521">
        <f t="shared" si="12"/>
        <v>4447.8954147998775</v>
      </c>
      <c r="I188" s="521">
        <f t="shared" ca="1" si="12"/>
        <v>14547.988241924304</v>
      </c>
      <c r="J188" s="521">
        <f t="shared" ca="1" si="12"/>
        <v>-22699.967758528721</v>
      </c>
      <c r="K188" s="521">
        <f t="shared" ca="1" si="12"/>
        <v>1202.013546976294</v>
      </c>
      <c r="L188" s="521">
        <f t="shared" ca="1" si="12"/>
        <v>1537.0902170865645</v>
      </c>
      <c r="M188" s="521">
        <f t="shared" ca="1" si="12"/>
        <v>2145.4765081260575</v>
      </c>
      <c r="N188" s="521">
        <f t="shared" ca="1" si="12"/>
        <v>2400.8113821901961</v>
      </c>
      <c r="O188" s="521">
        <f t="shared" ca="1" si="12"/>
        <v>2446.1945058504862</v>
      </c>
    </row>
    <row r="189" spans="2:15" x14ac:dyDescent="0.2">
      <c r="B189" s="520" t="s">
        <v>413</v>
      </c>
      <c r="C189" s="520"/>
      <c r="D189" s="520"/>
      <c r="E189" s="521">
        <f t="shared" si="12"/>
        <v>-43334.206430787643</v>
      </c>
      <c r="F189" s="521">
        <f t="shared" si="12"/>
        <v>-6135.4451718446644</v>
      </c>
      <c r="G189" s="521">
        <f t="shared" si="12"/>
        <v>2390.8075840403144</v>
      </c>
      <c r="H189" s="521">
        <f t="shared" si="12"/>
        <v>4447.8954147998775</v>
      </c>
      <c r="I189" s="521">
        <f t="shared" ca="1" si="12"/>
        <v>14547.988241924304</v>
      </c>
      <c r="J189" s="521">
        <f t="shared" ca="1" si="12"/>
        <v>-20872.82838644358</v>
      </c>
      <c r="K189" s="521">
        <f t="shared" ca="1" si="12"/>
        <v>-19.36538762568307</v>
      </c>
      <c r="L189" s="521">
        <f t="shared" ca="1" si="12"/>
        <v>8032.9769038024733</v>
      </c>
      <c r="M189" s="521">
        <f t="shared" ca="1" si="12"/>
        <v>12611.624089218998</v>
      </c>
      <c r="N189" s="521">
        <f t="shared" ca="1" si="12"/>
        <v>19103.630917844075</v>
      </c>
      <c r="O189" s="521">
        <f t="shared" ca="1" si="12"/>
        <v>33070.799251225886</v>
      </c>
    </row>
  </sheetData>
  <mergeCells count="10">
    <mergeCell ref="P2:P3"/>
    <mergeCell ref="P10:P11"/>
    <mergeCell ref="D30:G30"/>
    <mergeCell ref="H30:O30"/>
    <mergeCell ref="D19:G19"/>
    <mergeCell ref="H19:O19"/>
    <mergeCell ref="D10:G10"/>
    <mergeCell ref="H10:O10"/>
    <mergeCell ref="D2:G2"/>
    <mergeCell ref="H2:O2"/>
  </mergeCells>
  <phoneticPr fontId="76" type="noConversion"/>
  <pageMargins left="0.75" right="0.75" top="1" bottom="1" header="0.5" footer="0.5"/>
  <pageSetup scale="40" orientation="portrait" verticalDpi="0" r:id="rId1"/>
  <headerFooter alignWithMargins="0"/>
  <rowBreaks count="2" manualBreakCount="2">
    <brk id="57" max="16383" man="1"/>
    <brk id="16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Y40"/>
  <sheetViews>
    <sheetView workbookViewId="0"/>
  </sheetViews>
  <sheetFormatPr defaultRowHeight="15.75" x14ac:dyDescent="0.25"/>
  <cols>
    <col min="1" max="1" width="34" style="1" customWidth="1"/>
    <col min="2" max="2" width="9" style="1"/>
    <col min="3" max="3" width="10.625" style="1" bestFit="1" customWidth="1"/>
    <col min="4" max="4" width="11.375" style="1" customWidth="1"/>
    <col min="5" max="5" width="10" style="1" bestFit="1" customWidth="1"/>
    <col min="6" max="7" width="10.875" style="1" bestFit="1" customWidth="1"/>
    <col min="8" max="8" width="10" style="1" customWidth="1"/>
    <col min="9" max="9" width="10" style="1" bestFit="1" customWidth="1"/>
    <col min="10" max="10" width="10.5" style="1" bestFit="1" customWidth="1"/>
    <col min="11" max="17" width="10" style="1" bestFit="1" customWidth="1"/>
    <col min="18" max="27" width="9" style="1"/>
    <col min="28" max="29" width="9.875" style="1" bestFit="1" customWidth="1"/>
    <col min="30" max="16384" width="9" style="1"/>
  </cols>
  <sheetData>
    <row r="1" spans="1:25" ht="25.5" customHeight="1" x14ac:dyDescent="0.25">
      <c r="A1" s="219" t="s">
        <v>746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1"/>
      <c r="N1" s="221"/>
      <c r="O1" s="221"/>
      <c r="P1" s="221"/>
      <c r="Q1" s="221"/>
    </row>
    <row r="2" spans="1:25" ht="18.75" x14ac:dyDescent="0.25">
      <c r="A2" s="223" t="s">
        <v>591</v>
      </c>
      <c r="B2" s="370">
        <v>2007</v>
      </c>
      <c r="C2" s="370">
        <v>2008</v>
      </c>
      <c r="D2" s="370">
        <v>2009</v>
      </c>
      <c r="E2" s="370">
        <v>2010</v>
      </c>
      <c r="F2" s="370">
        <v>2011</v>
      </c>
      <c r="G2" s="370">
        <v>2012</v>
      </c>
      <c r="H2" s="370">
        <v>2013</v>
      </c>
      <c r="I2" s="370">
        <v>2014</v>
      </c>
      <c r="J2" s="370">
        <v>2015</v>
      </c>
      <c r="K2" s="370">
        <v>2016</v>
      </c>
      <c r="L2" s="370">
        <v>2017</v>
      </c>
      <c r="M2" s="370">
        <v>2018</v>
      </c>
      <c r="N2" s="370">
        <v>2019</v>
      </c>
      <c r="O2" s="370">
        <v>2020</v>
      </c>
      <c r="P2" s="370">
        <v>2021</v>
      </c>
      <c r="Q2" s="370">
        <v>2022</v>
      </c>
    </row>
    <row r="3" spans="1:25" x14ac:dyDescent="0.25">
      <c r="A3" s="225"/>
    </row>
    <row r="4" spans="1:25" x14ac:dyDescent="0.25">
      <c r="A4" s="226" t="s">
        <v>6</v>
      </c>
      <c r="B4" s="1">
        <v>93540</v>
      </c>
      <c r="C4" s="1">
        <v>122720</v>
      </c>
      <c r="D4" s="1">
        <v>74235</v>
      </c>
      <c r="E4" s="1">
        <v>175240</v>
      </c>
      <c r="F4" s="1">
        <v>165793</v>
      </c>
      <c r="G4" s="1">
        <f ca="1">+turnover!G165</f>
        <v>174459.34970816696</v>
      </c>
      <c r="H4" s="1">
        <f ca="1">+turnover!H165</f>
        <v>214935.45988046331</v>
      </c>
      <c r="I4" s="1">
        <f ca="1">+turnover!I165</f>
        <v>286720.0965422705</v>
      </c>
      <c r="J4" s="1">
        <f ca="1">+turnover!J165</f>
        <v>365762.0691850282</v>
      </c>
      <c r="K4" s="1">
        <f ca="1">+turnover!K165</f>
        <v>414283.97964417131</v>
      </c>
      <c r="L4" s="1">
        <f ca="1">+turnover!L165</f>
        <v>469632.46360265452</v>
      </c>
      <c r="M4" s="1">
        <f ca="1">+turnover!M165</f>
        <v>532478.08200490766</v>
      </c>
      <c r="N4" s="1">
        <f ca="1">+turnover!N165</f>
        <v>603928.38007726171</v>
      </c>
      <c r="O4" s="1">
        <f ca="1">+turnover!O165</f>
        <v>685345.09736836527</v>
      </c>
      <c r="P4" s="1">
        <f ca="1">+turnover!P165</f>
        <v>777712.83720306773</v>
      </c>
      <c r="Q4" s="1">
        <f ca="1">+turnover!Q165</f>
        <v>883589.61938773829</v>
      </c>
      <c r="R4" s="125"/>
      <c r="S4" s="125"/>
      <c r="T4" s="125"/>
      <c r="U4" s="125"/>
      <c r="V4" s="125"/>
      <c r="W4" s="125"/>
      <c r="X4" s="125"/>
      <c r="Y4" s="125"/>
    </row>
    <row r="5" spans="1:25" x14ac:dyDescent="0.25">
      <c r="A5" s="227" t="s">
        <v>312</v>
      </c>
      <c r="C5" s="1">
        <v>0</v>
      </c>
      <c r="D5" s="1">
        <v>0</v>
      </c>
      <c r="E5" s="1">
        <v>0</v>
      </c>
      <c r="F5" s="1">
        <v>0</v>
      </c>
      <c r="G5" s="1">
        <v>9653</v>
      </c>
      <c r="H5" s="1">
        <v>0</v>
      </c>
      <c r="I5" s="1">
        <f t="shared" ref="I5:N5" si="0">+H5</f>
        <v>0</v>
      </c>
      <c r="J5" s="1">
        <f t="shared" si="0"/>
        <v>0</v>
      </c>
      <c r="K5" s="1">
        <f t="shared" si="0"/>
        <v>0</v>
      </c>
      <c r="L5" s="1">
        <f t="shared" si="0"/>
        <v>0</v>
      </c>
      <c r="M5" s="1">
        <f t="shared" si="0"/>
        <v>0</v>
      </c>
      <c r="N5" s="1">
        <f t="shared" si="0"/>
        <v>0</v>
      </c>
      <c r="O5" s="1">
        <f t="shared" ref="O5" si="1">+N5</f>
        <v>0</v>
      </c>
      <c r="P5" s="1">
        <f t="shared" ref="P5:Q5" si="2">+O5</f>
        <v>0</v>
      </c>
      <c r="Q5" s="1">
        <f t="shared" si="2"/>
        <v>0</v>
      </c>
      <c r="R5" s="125"/>
      <c r="S5" s="125"/>
      <c r="T5" s="125"/>
      <c r="U5" s="125"/>
      <c r="V5" s="125"/>
      <c r="W5" s="125"/>
      <c r="X5" s="125"/>
      <c r="Y5" s="125"/>
    </row>
    <row r="6" spans="1:25" ht="18.75" x14ac:dyDescent="0.3">
      <c r="A6" s="228" t="s">
        <v>7</v>
      </c>
      <c r="B6" s="178">
        <v>93540</v>
      </c>
      <c r="C6" s="178">
        <v>122720</v>
      </c>
      <c r="D6" s="178">
        <v>74235</v>
      </c>
      <c r="E6" s="178">
        <v>175240</v>
      </c>
      <c r="F6" s="178">
        <v>165793</v>
      </c>
      <c r="G6" s="178">
        <f t="shared" ref="G6:H6" ca="1" si="3">SUM(G3:G5)</f>
        <v>184112.34970816696</v>
      </c>
      <c r="H6" s="178">
        <f t="shared" ca="1" si="3"/>
        <v>214935.45988046331</v>
      </c>
      <c r="I6" s="178">
        <f t="shared" ref="I6:N6" ca="1" si="4">SUM(I3:I5)</f>
        <v>286720.0965422705</v>
      </c>
      <c r="J6" s="178">
        <f t="shared" ca="1" si="4"/>
        <v>365762.0691850282</v>
      </c>
      <c r="K6" s="178">
        <f t="shared" ca="1" si="4"/>
        <v>414283.97964417131</v>
      </c>
      <c r="L6" s="178">
        <f t="shared" ca="1" si="4"/>
        <v>469632.46360265452</v>
      </c>
      <c r="M6" s="178">
        <f t="shared" ca="1" si="4"/>
        <v>532478.08200490766</v>
      </c>
      <c r="N6" s="178">
        <f t="shared" ca="1" si="4"/>
        <v>603928.38007726171</v>
      </c>
      <c r="O6" s="178">
        <f t="shared" ref="O6:Q6" ca="1" si="5">SUM(O3:O5)</f>
        <v>685345.09736836527</v>
      </c>
      <c r="P6" s="178">
        <f t="shared" ca="1" si="5"/>
        <v>777712.83720306773</v>
      </c>
      <c r="Q6" s="178">
        <f t="shared" ca="1" si="5"/>
        <v>883589.61938773829</v>
      </c>
      <c r="R6" s="125"/>
      <c r="S6" s="125"/>
      <c r="T6" s="125"/>
      <c r="U6" s="125"/>
      <c r="V6" s="125"/>
      <c r="W6" s="125"/>
      <c r="X6" s="125"/>
      <c r="Y6" s="125"/>
    </row>
    <row r="7" spans="1:25" s="8" customFormat="1" ht="11.25" customHeight="1" x14ac:dyDescent="0.25">
      <c r="A7" s="229" t="s">
        <v>313</v>
      </c>
      <c r="B7" s="19"/>
      <c r="C7" s="177">
        <v>0.31195210605088741</v>
      </c>
      <c r="D7" s="177">
        <v>-0.3950863754889179</v>
      </c>
      <c r="E7" s="177">
        <v>1.3606115713612179</v>
      </c>
      <c r="F7" s="177">
        <v>-5.3908924902990152E-2</v>
      </c>
      <c r="G7" s="177">
        <f t="shared" ref="G7:N7" ca="1" si="6">+G6/F6-1</f>
        <v>0.11049531468859941</v>
      </c>
      <c r="H7" s="177">
        <f t="shared" ca="1" si="6"/>
        <v>0.16741468033596596</v>
      </c>
      <c r="I7" s="177">
        <f t="shared" ca="1" si="6"/>
        <v>0.3339822879934764</v>
      </c>
      <c r="J7" s="177">
        <f t="shared" ca="1" si="6"/>
        <v>0.27567643006532228</v>
      </c>
      <c r="K7" s="177">
        <f t="shared" ca="1" si="6"/>
        <v>0.13265976586160799</v>
      </c>
      <c r="L7" s="177">
        <f t="shared" ca="1" si="6"/>
        <v>0.13360034825875244</v>
      </c>
      <c r="M7" s="177">
        <f t="shared" ca="1" si="6"/>
        <v>0.13381872692562702</v>
      </c>
      <c r="N7" s="177">
        <f t="shared" ca="1" si="6"/>
        <v>0.13418448662398741</v>
      </c>
      <c r="O7" s="177">
        <f t="shared" ref="O7" ca="1" si="7">+O6/N6-1</f>
        <v>0.13481187501188097</v>
      </c>
      <c r="P7" s="177">
        <f t="shared" ref="P7" ca="1" si="8">+P6/O6-1</f>
        <v>0.13477551701964807</v>
      </c>
      <c r="Q7" s="177">
        <f t="shared" ref="Q7" ca="1" si="9">+Q6/P6-1</f>
        <v>0.13613865828091654</v>
      </c>
      <c r="R7" s="125"/>
      <c r="S7" s="125"/>
      <c r="T7" s="125"/>
      <c r="U7" s="125"/>
      <c r="V7" s="125"/>
      <c r="W7" s="125"/>
      <c r="X7" s="125"/>
      <c r="Y7" s="125"/>
    </row>
    <row r="8" spans="1:25" ht="18.75" x14ac:dyDescent="0.3">
      <c r="A8" s="228" t="s">
        <v>0</v>
      </c>
      <c r="B8" s="178">
        <v>-78174</v>
      </c>
      <c r="C8" s="178">
        <v>-66011.983999999997</v>
      </c>
      <c r="D8" s="178">
        <f>-59149+1420</f>
        <v>-57729</v>
      </c>
      <c r="E8" s="178">
        <v>-137452.32321038633</v>
      </c>
      <c r="F8" s="178">
        <v>-129542</v>
      </c>
      <c r="G8" s="178">
        <f ca="1">+cogs!H15</f>
        <v>-144231.59983100998</v>
      </c>
      <c r="H8" s="178">
        <f ca="1">+cogs!I15</f>
        <v>-171470.88286195582</v>
      </c>
      <c r="I8" s="178">
        <f ca="1">+cogs!J15</f>
        <v>-222676.62189126766</v>
      </c>
      <c r="J8" s="178">
        <f ca="1">+cogs!K15</f>
        <v>-278599.26907105988</v>
      </c>
      <c r="K8" s="178">
        <f ca="1">+cogs!L15</f>
        <v>-316508.28617754776</v>
      </c>
      <c r="L8" s="178">
        <f ca="1">+cogs!M15</f>
        <v>-359956.09301970591</v>
      </c>
      <c r="M8" s="178">
        <f ca="1">+cogs!N15</f>
        <v>-409827.87180476089</v>
      </c>
      <c r="N8" s="178">
        <f ca="1">+cogs!O15</f>
        <v>-467161.4165909873</v>
      </c>
      <c r="O8" s="178">
        <f ca="1">+cogs!P15</f>
        <v>-533175.10349099932</v>
      </c>
      <c r="P8" s="178">
        <f ca="1">+cogs!Q15</f>
        <v>-609310.41119568725</v>
      </c>
      <c r="Q8" s="178">
        <f ca="1">+cogs!R15</f>
        <v>-697266.53622150188</v>
      </c>
      <c r="R8" s="125"/>
      <c r="S8" s="125"/>
      <c r="T8" s="125"/>
      <c r="U8" s="125"/>
      <c r="V8" s="125"/>
      <c r="W8" s="125"/>
      <c r="X8" s="125"/>
      <c r="Y8" s="125"/>
    </row>
    <row r="9" spans="1:25" s="8" customFormat="1" ht="11.25" customHeight="1" x14ac:dyDescent="0.25">
      <c r="A9" s="230" t="s">
        <v>314</v>
      </c>
      <c r="B9" s="19"/>
      <c r="C9" s="177">
        <v>-0.15557622739018095</v>
      </c>
      <c r="D9" s="177">
        <v>-0.12567390793768596</v>
      </c>
      <c r="E9" s="177">
        <v>1.3815289211030968</v>
      </c>
      <c r="F9" s="177">
        <v>-5.7549578105556498E-2</v>
      </c>
      <c r="G9" s="177">
        <f t="shared" ref="G9:N9" ca="1" si="10">+G8/F8-1</f>
        <v>0.11339642610898393</v>
      </c>
      <c r="H9" s="177">
        <f t="shared" ca="1" si="10"/>
        <v>0.1888579414140934</v>
      </c>
      <c r="I9" s="177">
        <f t="shared" ca="1" si="10"/>
        <v>0.29862643834717684</v>
      </c>
      <c r="J9" s="177">
        <f t="shared" ca="1" si="10"/>
        <v>0.25113838491361284</v>
      </c>
      <c r="K9" s="177">
        <f t="shared" ca="1" si="10"/>
        <v>0.13607005227576074</v>
      </c>
      <c r="L9" s="177">
        <f t="shared" ca="1" si="10"/>
        <v>0.1372722571243703</v>
      </c>
      <c r="M9" s="177">
        <f t="shared" ca="1" si="10"/>
        <v>0.13854961688987077</v>
      </c>
      <c r="N9" s="177">
        <f t="shared" ca="1" si="10"/>
        <v>0.13989664620355469</v>
      </c>
      <c r="O9" s="177">
        <f t="shared" ref="O9" ca="1" si="11">+O8/N8-1</f>
        <v>0.14130808871531619</v>
      </c>
      <c r="P9" s="177">
        <f t="shared" ref="P9" ca="1" si="12">+P8/O8-1</f>
        <v>0.14279606681967505</v>
      </c>
      <c r="Q9" s="177">
        <f t="shared" ref="Q9" ca="1" si="13">+Q8/P8-1</f>
        <v>0.14435355675806183</v>
      </c>
      <c r="R9" s="125"/>
      <c r="S9" s="125"/>
      <c r="T9" s="125"/>
      <c r="U9" s="125"/>
      <c r="V9" s="125"/>
      <c r="W9" s="125"/>
      <c r="X9" s="125"/>
      <c r="Y9" s="125"/>
    </row>
    <row r="10" spans="1:25" s="8" customFormat="1" ht="18.75" x14ac:dyDescent="0.3">
      <c r="A10" s="228" t="s">
        <v>8</v>
      </c>
      <c r="B10" s="178">
        <v>15366</v>
      </c>
      <c r="C10" s="178">
        <v>56708.016000000003</v>
      </c>
      <c r="D10" s="178">
        <f t="shared" ref="D10:F10" si="14">+D6+D8</f>
        <v>16506</v>
      </c>
      <c r="E10" s="178">
        <f t="shared" si="14"/>
        <v>37787.676789613673</v>
      </c>
      <c r="F10" s="178">
        <f t="shared" si="14"/>
        <v>36251</v>
      </c>
      <c r="G10" s="178">
        <f t="shared" ref="G10:H10" ca="1" si="15">+G6+G8</f>
        <v>39880.749877156981</v>
      </c>
      <c r="H10" s="178">
        <f t="shared" ca="1" si="15"/>
        <v>43464.577018507494</v>
      </c>
      <c r="I10" s="178">
        <f t="shared" ref="I10:N10" ca="1" si="16">+I6+I8</f>
        <v>64043.474651002849</v>
      </c>
      <c r="J10" s="178">
        <f t="shared" ca="1" si="16"/>
        <v>87162.800113968318</v>
      </c>
      <c r="K10" s="178">
        <f t="shared" ca="1" si="16"/>
        <v>97775.693466623547</v>
      </c>
      <c r="L10" s="178">
        <f t="shared" ca="1" si="16"/>
        <v>109676.37058294861</v>
      </c>
      <c r="M10" s="178">
        <f t="shared" ca="1" si="16"/>
        <v>122650.21020014677</v>
      </c>
      <c r="N10" s="178">
        <f t="shared" ca="1" si="16"/>
        <v>136766.96348627441</v>
      </c>
      <c r="O10" s="178">
        <f t="shared" ref="O10:Q10" ca="1" si="17">+O6+O8</f>
        <v>152169.99387736595</v>
      </c>
      <c r="P10" s="178">
        <f t="shared" ca="1" si="17"/>
        <v>168402.42600738048</v>
      </c>
      <c r="Q10" s="178">
        <f t="shared" ca="1" si="17"/>
        <v>186323.08316623641</v>
      </c>
      <c r="R10" s="125"/>
      <c r="S10" s="125"/>
      <c r="T10" s="125"/>
      <c r="U10" s="125"/>
      <c r="V10" s="125"/>
      <c r="W10" s="125"/>
      <c r="X10" s="125"/>
      <c r="Y10" s="125"/>
    </row>
    <row r="11" spans="1:25" s="8" customFormat="1" ht="11.25" customHeight="1" x14ac:dyDescent="0.25">
      <c r="A11" s="229" t="s">
        <v>315</v>
      </c>
      <c r="B11" s="19"/>
      <c r="C11" s="177">
        <v>2.690486528699727</v>
      </c>
      <c r="D11" s="177">
        <v>-0.70870079461076552</v>
      </c>
      <c r="E11" s="177">
        <v>1.2875281063995203</v>
      </c>
      <c r="F11" s="177">
        <v>-4.0666082706519946E-2</v>
      </c>
      <c r="G11" s="177">
        <f t="shared" ref="G11:N11" ca="1" si="18">+G10/F10-1</f>
        <v>0.10012826893484261</v>
      </c>
      <c r="H11" s="177">
        <f t="shared" ca="1" si="18"/>
        <v>8.9863584621393322E-2</v>
      </c>
      <c r="I11" s="177">
        <f t="shared" ca="1" si="18"/>
        <v>0.47346365808949953</v>
      </c>
      <c r="J11" s="177">
        <f t="shared" ca="1" si="18"/>
        <v>0.36099424006819469</v>
      </c>
      <c r="K11" s="177">
        <f t="shared" ca="1" si="18"/>
        <v>0.12175943566267389</v>
      </c>
      <c r="L11" s="177">
        <f t="shared" ca="1" si="18"/>
        <v>0.12171406506451876</v>
      </c>
      <c r="M11" s="177">
        <f t="shared" ca="1" si="18"/>
        <v>0.118292021774973</v>
      </c>
      <c r="N11" s="177">
        <f t="shared" ca="1" si="18"/>
        <v>0.11509766891627193</v>
      </c>
      <c r="O11" s="177">
        <f t="shared" ref="O11" ca="1" si="19">+O10/N10-1</f>
        <v>0.11262244915335384</v>
      </c>
      <c r="P11" s="177">
        <f t="shared" ref="P11" ca="1" si="20">+P10/O10-1</f>
        <v>0.10667301559528397</v>
      </c>
      <c r="Q11" s="177">
        <f t="shared" ref="Q11" ca="1" si="21">+Q10/P10-1</f>
        <v>0.10641567098368609</v>
      </c>
      <c r="R11" s="125"/>
      <c r="S11" s="125"/>
      <c r="T11" s="125"/>
      <c r="U11" s="125"/>
      <c r="V11" s="125"/>
      <c r="W11" s="125"/>
      <c r="X11" s="125"/>
      <c r="Y11" s="125"/>
    </row>
    <row r="12" spans="1:25" ht="9" customHeight="1" x14ac:dyDescent="0.25">
      <c r="A12" s="225"/>
      <c r="R12" s="125"/>
      <c r="S12" s="125"/>
      <c r="T12" s="125"/>
      <c r="U12" s="125"/>
      <c r="V12" s="125"/>
      <c r="W12" s="125"/>
      <c r="X12" s="125"/>
      <c r="Y12" s="125"/>
    </row>
    <row r="13" spans="1:25" x14ac:dyDescent="0.25">
      <c r="A13" s="226" t="s">
        <v>9</v>
      </c>
      <c r="B13" s="39">
        <v>-1179</v>
      </c>
      <c r="C13" s="1">
        <v>-2660</v>
      </c>
      <c r="D13" s="1">
        <v>-2190</v>
      </c>
      <c r="E13" s="1">
        <v>-3854</v>
      </c>
      <c r="F13" s="1">
        <v>-4440</v>
      </c>
      <c r="G13" s="1">
        <f>-'operating expenses'!G43</f>
        <v>-3496</v>
      </c>
      <c r="H13" s="1">
        <f>-'operating expenses'!H43</f>
        <v>-4059.0133682800001</v>
      </c>
      <c r="I13" s="1">
        <f>-'operating expenses'!I43</f>
        <v>-5029.1459735299995</v>
      </c>
      <c r="J13" s="1">
        <f>-'operating expenses'!J43</f>
        <v>-6168.3036207101004</v>
      </c>
      <c r="K13" s="1">
        <f>-'operating expenses'!K43</f>
        <v>-6971.9931286149513</v>
      </c>
      <c r="L13" s="1">
        <f>-'operating expenses'!L43</f>
        <v>-7891.0558971785958</v>
      </c>
      <c r="M13" s="1">
        <f>-'operating expenses'!M43</f>
        <v>-8936.5229247228417</v>
      </c>
      <c r="N13" s="1">
        <f>-'operating expenses'!N43</f>
        <v>-10128.597570650643</v>
      </c>
      <c r="O13" s="1">
        <f>-'operating expenses'!O43</f>
        <v>-11496.222663531573</v>
      </c>
      <c r="P13" s="1">
        <f>-'operating expenses'!P43</f>
        <v>-13059.578216258671</v>
      </c>
      <c r="Q13" s="1">
        <f>-'operating expenses'!Q43</f>
        <v>-14850.218768285693</v>
      </c>
      <c r="R13" s="125"/>
      <c r="S13" s="125"/>
      <c r="T13" s="125"/>
      <c r="U13" s="125"/>
      <c r="V13" s="125"/>
      <c r="W13" s="125"/>
      <c r="X13" s="125"/>
      <c r="Y13" s="125"/>
    </row>
    <row r="14" spans="1:25" x14ac:dyDescent="0.25">
      <c r="A14" s="226" t="s">
        <v>10</v>
      </c>
      <c r="B14" s="39">
        <v>-1576</v>
      </c>
      <c r="C14" s="1">
        <v>-2126</v>
      </c>
      <c r="D14" s="1">
        <f>-2252+52</f>
        <v>-2200</v>
      </c>
      <c r="E14" s="1">
        <v>-2394</v>
      </c>
      <c r="F14" s="1">
        <v>-3596</v>
      </c>
      <c r="G14" s="1">
        <f>-'operating expenses'!G24</f>
        <v>-4598</v>
      </c>
      <c r="H14" s="1">
        <f>-'operating expenses'!H24</f>
        <v>-5623.04</v>
      </c>
      <c r="I14" s="1">
        <f>-'operating expenses'!I24</f>
        <v>-6643.5599999999995</v>
      </c>
      <c r="J14" s="1">
        <f>-'operating expenses'!J24</f>
        <v>-7866.4</v>
      </c>
      <c r="K14" s="1">
        <f>-'operating expenses'!K24</f>
        <v>-9331</v>
      </c>
      <c r="L14" s="1">
        <f>-'operating expenses'!L24</f>
        <v>-11087.48</v>
      </c>
      <c r="M14" s="1">
        <f>-'operating expenses'!M24</f>
        <v>-13197.119999999999</v>
      </c>
      <c r="N14" s="1">
        <f>-'operating expenses'!N24</f>
        <v>-15733.6</v>
      </c>
      <c r="O14" s="1">
        <f>-'operating expenses'!O24</f>
        <v>-18789.48</v>
      </c>
      <c r="P14" s="1">
        <f>-'operating expenses'!P24</f>
        <v>-22472.16</v>
      </c>
      <c r="Q14" s="1">
        <f>-'operating expenses'!Q24</f>
        <v>-26916.6</v>
      </c>
      <c r="R14" s="125"/>
      <c r="S14" s="125"/>
      <c r="T14" s="125"/>
      <c r="U14" s="125"/>
      <c r="V14" s="125"/>
      <c r="W14" s="125"/>
      <c r="X14" s="125"/>
      <c r="Y14" s="125"/>
    </row>
    <row r="15" spans="1:25" x14ac:dyDescent="0.25">
      <c r="A15" s="227" t="s">
        <v>93</v>
      </c>
      <c r="B15" s="39">
        <v>-7179.1</v>
      </c>
      <c r="C15" s="1">
        <v>-9963.4555208999991</v>
      </c>
      <c r="D15" s="1">
        <f>-8967-D16+20</f>
        <v>-6349</v>
      </c>
      <c r="E15" s="1">
        <v>-9587.0499999999993</v>
      </c>
      <c r="F15" s="1">
        <v>-10721</v>
      </c>
      <c r="G15" s="1">
        <f ca="1">-'operating expenses'!G87-G16</f>
        <v>-9490</v>
      </c>
      <c r="H15" s="1">
        <f ca="1">-'operating expenses'!H87-H16</f>
        <v>-10986.6138825</v>
      </c>
      <c r="I15" s="1">
        <f ca="1">-'operating expenses'!I87-I16</f>
        <v>-12584.11967025</v>
      </c>
      <c r="J15" s="1">
        <f ca="1">-'operating expenses'!J87-J16</f>
        <v>-13417.728213024999</v>
      </c>
      <c r="K15" s="1">
        <f ca="1">-'operating expenses'!K87-K16</f>
        <v>-14050.636988074999</v>
      </c>
      <c r="L15" s="1">
        <f ca="1">-'operating expenses'!L87-L16</f>
        <v>-14790.490763124999</v>
      </c>
      <c r="M15" s="1">
        <f ca="1">-'operating expenses'!M87-M16</f>
        <v>-15655.344538175003</v>
      </c>
      <c r="N15" s="1">
        <f ca="1">-'operating expenses'!N87-N16</f>
        <v>-16660.198313224999</v>
      </c>
      <c r="O15" s="1">
        <f ca="1">-'operating expenses'!O87-O16</f>
        <v>-17843.227088275002</v>
      </c>
      <c r="P15" s="1">
        <f ca="1">-'operating expenses'!P87-P16</f>
        <v>-19256.793363325</v>
      </c>
      <c r="Q15" s="1">
        <f ca="1">-'operating expenses'!Q87-Q16</f>
        <v>-20922.222138374997</v>
      </c>
      <c r="R15" s="125"/>
      <c r="S15" s="125"/>
      <c r="T15" s="125"/>
      <c r="U15" s="125"/>
      <c r="V15" s="125"/>
      <c r="W15" s="125"/>
      <c r="X15" s="125"/>
      <c r="Y15" s="125"/>
    </row>
    <row r="16" spans="1:25" x14ac:dyDescent="0.25">
      <c r="A16" s="227" t="s">
        <v>321</v>
      </c>
      <c r="B16" s="39">
        <v>-3273.9</v>
      </c>
      <c r="C16" s="1">
        <v>-4694.5444791</v>
      </c>
      <c r="D16" s="1">
        <f>ROUND(-3.5%*D4,0)</f>
        <v>-2598</v>
      </c>
      <c r="E16" s="1">
        <v>-6134.606993381657</v>
      </c>
      <c r="F16" s="1">
        <v>-5802.7550000000001</v>
      </c>
      <c r="G16" s="1">
        <f ca="1">-+tax!G10</f>
        <v>-6443.9322397858432</v>
      </c>
      <c r="H16" s="1">
        <f ca="1">-+tax!H10</f>
        <v>-7522.7410958162163</v>
      </c>
      <c r="I16" s="1">
        <f ca="1">-+tax!I10</f>
        <v>-10035.203378979468</v>
      </c>
      <c r="J16" s="1">
        <f ca="1">-+tax!J10</f>
        <v>-12801.672421475989</v>
      </c>
      <c r="K16" s="1">
        <f ca="1">-+tax!K10</f>
        <v>-14499.939287545996</v>
      </c>
      <c r="L16" s="1">
        <f ca="1">-+tax!L10</f>
        <v>-16437.136226092909</v>
      </c>
      <c r="M16" s="1">
        <f ca="1">-+tax!M10</f>
        <v>-18636.732870171767</v>
      </c>
      <c r="N16" s="1">
        <f ca="1">-+tax!N10</f>
        <v>-21137.493302704159</v>
      </c>
      <c r="O16" s="1">
        <f ca="1">-+tax!O10</f>
        <v>-23987.078407892783</v>
      </c>
      <c r="P16" s="1">
        <f ca="1">-+tax!P10</f>
        <v>-27219.949302107372</v>
      </c>
      <c r="Q16" s="1">
        <f ca="1">-+tax!Q10</f>
        <v>-30925.636678570841</v>
      </c>
      <c r="R16" s="125"/>
      <c r="S16" s="125"/>
      <c r="T16" s="125"/>
      <c r="U16" s="125"/>
      <c r="V16" s="125"/>
      <c r="W16" s="125"/>
      <c r="X16" s="125"/>
      <c r="Y16" s="125"/>
    </row>
    <row r="17" spans="1:25" x14ac:dyDescent="0.25">
      <c r="A17" s="231" t="s">
        <v>320</v>
      </c>
      <c r="B17" s="8">
        <v>-13208</v>
      </c>
      <c r="C17" s="8">
        <v>-19444</v>
      </c>
      <c r="D17" s="8">
        <f t="shared" ref="D17:F17" si="22">SUM(D13:D16)</f>
        <v>-13337</v>
      </c>
      <c r="E17" s="8">
        <f t="shared" si="22"/>
        <v>-21969.656993381657</v>
      </c>
      <c r="F17" s="8">
        <f t="shared" si="22"/>
        <v>-24559.755000000001</v>
      </c>
      <c r="G17" s="8">
        <f t="shared" ref="G17:M17" ca="1" si="23">SUM(G13:G16)</f>
        <v>-24027.932239785841</v>
      </c>
      <c r="H17" s="8">
        <f t="shared" ca="1" si="23"/>
        <v>-28191.408346596218</v>
      </c>
      <c r="I17" s="8">
        <f t="shared" ca="1" si="23"/>
        <v>-34292.029022759467</v>
      </c>
      <c r="J17" s="8">
        <f t="shared" ca="1" si="23"/>
        <v>-40254.104255211088</v>
      </c>
      <c r="K17" s="8">
        <f t="shared" ca="1" si="23"/>
        <v>-44853.569404235946</v>
      </c>
      <c r="L17" s="8">
        <f t="shared" ca="1" si="23"/>
        <v>-50206.162886396509</v>
      </c>
      <c r="M17" s="8">
        <f t="shared" ca="1" si="23"/>
        <v>-56425.720333069607</v>
      </c>
      <c r="N17" s="8">
        <f ca="1">SUM(N13:N16)</f>
        <v>-63659.889186579792</v>
      </c>
      <c r="O17" s="8">
        <f t="shared" ref="O17:Q17" ca="1" si="24">SUM(O13:O16)</f>
        <v>-72116.008159699355</v>
      </c>
      <c r="P17" s="8">
        <f t="shared" ca="1" si="24"/>
        <v>-82008.480881691037</v>
      </c>
      <c r="Q17" s="8">
        <f t="shared" ca="1" si="24"/>
        <v>-93614.677585231533</v>
      </c>
      <c r="R17" s="125"/>
      <c r="S17" s="125"/>
      <c r="T17" s="125"/>
      <c r="U17" s="125"/>
      <c r="V17" s="125"/>
      <c r="W17" s="125"/>
      <c r="X17" s="125"/>
      <c r="Y17" s="125"/>
    </row>
    <row r="18" spans="1:25" x14ac:dyDescent="0.25">
      <c r="A18" s="231" t="s">
        <v>319</v>
      </c>
      <c r="B18" s="158">
        <v>1722</v>
      </c>
      <c r="C18" s="158">
        <v>3762</v>
      </c>
      <c r="D18" s="158">
        <v>1793</v>
      </c>
      <c r="E18" s="158">
        <v>1670</v>
      </c>
      <c r="F18" s="158">
        <v>2908</v>
      </c>
      <c r="G18" s="158">
        <v>2750</v>
      </c>
      <c r="H18" s="158">
        <v>1500</v>
      </c>
      <c r="I18" s="158">
        <f t="shared" ref="I18:M18" si="25">+H18</f>
        <v>1500</v>
      </c>
      <c r="J18" s="158">
        <f t="shared" si="25"/>
        <v>1500</v>
      </c>
      <c r="K18" s="158">
        <f t="shared" si="25"/>
        <v>1500</v>
      </c>
      <c r="L18" s="158">
        <f t="shared" si="25"/>
        <v>1500</v>
      </c>
      <c r="M18" s="158">
        <f t="shared" si="25"/>
        <v>1500</v>
      </c>
      <c r="N18" s="158">
        <f t="shared" ref="N18" si="26">+M18</f>
        <v>1500</v>
      </c>
      <c r="O18" s="158">
        <f t="shared" ref="O18" si="27">+N18</f>
        <v>1500</v>
      </c>
      <c r="P18" s="158">
        <f t="shared" ref="P18" si="28">+O18</f>
        <v>1500</v>
      </c>
      <c r="Q18" s="158">
        <f t="shared" ref="Q18" si="29">+P18</f>
        <v>1500</v>
      </c>
      <c r="R18" s="125"/>
      <c r="S18" s="125"/>
      <c r="T18" s="125"/>
      <c r="U18" s="125"/>
      <c r="V18" s="125"/>
      <c r="W18" s="125"/>
      <c r="X18" s="125"/>
      <c r="Y18" s="125"/>
    </row>
    <row r="19" spans="1:25" ht="9" customHeight="1" x14ac:dyDescent="0.25">
      <c r="A19" s="225"/>
      <c r="R19" s="125"/>
      <c r="S19" s="125"/>
      <c r="T19" s="125"/>
      <c r="U19" s="125"/>
      <c r="V19" s="125"/>
      <c r="W19" s="125"/>
      <c r="X19" s="125"/>
      <c r="Y19" s="125"/>
    </row>
    <row r="20" spans="1:25" s="8" customFormat="1" ht="18.75" x14ac:dyDescent="0.3">
      <c r="A20" s="228" t="s">
        <v>5</v>
      </c>
      <c r="B20" s="178">
        <v>3880</v>
      </c>
      <c r="C20" s="178">
        <v>41026.016000000003</v>
      </c>
      <c r="D20" s="178">
        <f t="shared" ref="D20:F20" si="30">+D10+D17+D18</f>
        <v>4962</v>
      </c>
      <c r="E20" s="178">
        <f t="shared" si="30"/>
        <v>17488.019796232016</v>
      </c>
      <c r="F20" s="178">
        <f t="shared" si="30"/>
        <v>14599.244999999999</v>
      </c>
      <c r="G20" s="178">
        <f t="shared" ref="G20:H20" ca="1" si="31">+G10+G17+G18</f>
        <v>18602.817637371139</v>
      </c>
      <c r="H20" s="178">
        <f t="shared" ca="1" si="31"/>
        <v>16773.168671911277</v>
      </c>
      <c r="I20" s="178">
        <f t="shared" ref="I20:N20" ca="1" si="32">+I10+I17+I18</f>
        <v>31251.445628243382</v>
      </c>
      <c r="J20" s="178">
        <f t="shared" ca="1" si="32"/>
        <v>48408.69585875723</v>
      </c>
      <c r="K20" s="178">
        <f t="shared" ca="1" si="32"/>
        <v>54422.1240623876</v>
      </c>
      <c r="L20" s="178">
        <f t="shared" ca="1" si="32"/>
        <v>60970.207696552105</v>
      </c>
      <c r="M20" s="178">
        <f t="shared" ca="1" si="32"/>
        <v>67724.489867077165</v>
      </c>
      <c r="N20" s="178">
        <f t="shared" ca="1" si="32"/>
        <v>74607.074299694621</v>
      </c>
      <c r="O20" s="178">
        <f t="shared" ref="O20:Q20" ca="1" si="33">+O10+O17+O18</f>
        <v>81553.985717666597</v>
      </c>
      <c r="P20" s="178">
        <f t="shared" ca="1" si="33"/>
        <v>87893.945125689439</v>
      </c>
      <c r="Q20" s="178">
        <f t="shared" ca="1" si="33"/>
        <v>94208.405581004874</v>
      </c>
      <c r="R20" s="125"/>
      <c r="S20" s="125"/>
      <c r="T20" s="125"/>
      <c r="U20" s="125"/>
      <c r="V20" s="125"/>
      <c r="W20" s="125"/>
      <c r="X20" s="125"/>
      <c r="Y20" s="125"/>
    </row>
    <row r="21" spans="1:25" s="8" customFormat="1" ht="11.25" customHeight="1" x14ac:dyDescent="0.25">
      <c r="A21" s="229" t="s">
        <v>316</v>
      </c>
      <c r="B21" s="19"/>
      <c r="C21" s="177">
        <v>9.5737154639175266</v>
      </c>
      <c r="D21" s="177">
        <v>-0.87919921349418861</v>
      </c>
      <c r="E21" s="177">
        <v>2.5286739332284798</v>
      </c>
      <c r="F21" s="177">
        <v>-0.16518592898976681</v>
      </c>
      <c r="G21" s="177">
        <f t="shared" ref="G21:N21" ca="1" si="34">+G20/F20-1</f>
        <v>0.2742314850782448</v>
      </c>
      <c r="H21" s="177">
        <f t="shared" ca="1" si="34"/>
        <v>-9.8353324809478671E-2</v>
      </c>
      <c r="I21" s="177">
        <f t="shared" ca="1" si="34"/>
        <v>0.86318078828943934</v>
      </c>
      <c r="J21" s="177">
        <f t="shared" ca="1" si="34"/>
        <v>0.54900661027367148</v>
      </c>
      <c r="K21" s="177">
        <f t="shared" ca="1" si="34"/>
        <v>0.12422206582833462</v>
      </c>
      <c r="L21" s="177">
        <f t="shared" ca="1" si="34"/>
        <v>0.12032025112908151</v>
      </c>
      <c r="M21" s="177">
        <f t="shared" ca="1" si="34"/>
        <v>0.11078004201889935</v>
      </c>
      <c r="N21" s="177">
        <f t="shared" ca="1" si="34"/>
        <v>0.10162622776673413</v>
      </c>
      <c r="O21" s="177">
        <f t="shared" ref="O21" ca="1" si="35">+O20/N20-1</f>
        <v>9.3113307058073636E-2</v>
      </c>
      <c r="P21" s="177">
        <f t="shared" ref="P21" ca="1" si="36">+P20/O20-1</f>
        <v>7.7739418278970129E-2</v>
      </c>
      <c r="Q21" s="177">
        <f t="shared" ref="Q21" ca="1" si="37">+Q20/P20-1</f>
        <v>7.1841813975759949E-2</v>
      </c>
      <c r="R21" s="125"/>
      <c r="S21" s="125"/>
      <c r="T21" s="125"/>
      <c r="U21" s="125"/>
      <c r="V21" s="125"/>
      <c r="W21" s="125"/>
      <c r="X21" s="125"/>
      <c r="Y21" s="125"/>
    </row>
    <row r="22" spans="1:25" x14ac:dyDescent="0.25">
      <c r="A22" s="227" t="s">
        <v>322</v>
      </c>
      <c r="C22" s="182">
        <v>-1334</v>
      </c>
      <c r="D22" s="1">
        <v>-1493</v>
      </c>
      <c r="E22" s="1">
        <v>-1727.02</v>
      </c>
      <c r="F22" s="1">
        <v>-1863.5887500000001</v>
      </c>
      <c r="G22" s="1">
        <f>+Invest!G24</f>
        <v>-2399</v>
      </c>
      <c r="H22" s="1">
        <f>+Invest!H24</f>
        <v>-2619.1849999999999</v>
      </c>
      <c r="I22" s="1">
        <f>+Invest!I24</f>
        <v>-7541.8414000000002</v>
      </c>
      <c r="J22" s="1">
        <f>+Invest!J24</f>
        <v>-9272.4635699999999</v>
      </c>
      <c r="K22" s="1">
        <f>+Invest!K24</f>
        <v>-9418.4635699999999</v>
      </c>
      <c r="L22" s="1">
        <f>+Invest!L24</f>
        <v>-9618.4635699999999</v>
      </c>
      <c r="M22" s="1">
        <f>+Invest!M24</f>
        <v>-9818.4635699999999</v>
      </c>
      <c r="N22" s="1">
        <f>+Invest!N24</f>
        <v>-10018.46357</v>
      </c>
      <c r="O22" s="1">
        <f>+Invest!O24</f>
        <v>-9408.4635699999999</v>
      </c>
      <c r="P22" s="1">
        <f>+Invest!P24</f>
        <v>-7873.4635700000017</v>
      </c>
      <c r="Q22" s="1">
        <f>+Invest!Q24</f>
        <v>-7873.4635700000044</v>
      </c>
      <c r="R22" s="125"/>
      <c r="S22" s="125"/>
      <c r="T22" s="125"/>
      <c r="U22" s="125"/>
      <c r="V22" s="125"/>
      <c r="W22" s="125"/>
      <c r="X22" s="125"/>
      <c r="Y22" s="125"/>
    </row>
    <row r="23" spans="1:25" x14ac:dyDescent="0.25">
      <c r="A23" s="227" t="s">
        <v>76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25"/>
      <c r="S23" s="125"/>
      <c r="T23" s="125"/>
      <c r="U23" s="125"/>
      <c r="V23" s="125"/>
      <c r="W23" s="125"/>
      <c r="X23" s="125"/>
      <c r="Y23" s="125"/>
    </row>
    <row r="24" spans="1:25" x14ac:dyDescent="0.25">
      <c r="A24" s="227" t="s">
        <v>323</v>
      </c>
      <c r="B24" s="1">
        <v>0</v>
      </c>
      <c r="C24" s="1">
        <v>-1334</v>
      </c>
      <c r="D24" s="1">
        <v>-1493</v>
      </c>
      <c r="E24" s="1">
        <v>-1727.02</v>
      </c>
      <c r="F24" s="1">
        <v>-1863.5887500000001</v>
      </c>
      <c r="G24" s="1">
        <f t="shared" ref="G24:H24" si="38">+G23+G22</f>
        <v>-2399</v>
      </c>
      <c r="H24" s="1">
        <f t="shared" si="38"/>
        <v>-2619.1849999999999</v>
      </c>
      <c r="I24" s="1">
        <f t="shared" ref="I24:N24" si="39">+I23+I22</f>
        <v>-7541.8414000000002</v>
      </c>
      <c r="J24" s="1">
        <f t="shared" si="39"/>
        <v>-9272.4635699999999</v>
      </c>
      <c r="K24" s="1">
        <f t="shared" si="39"/>
        <v>-9418.4635699999999</v>
      </c>
      <c r="L24" s="1">
        <f t="shared" si="39"/>
        <v>-9618.4635699999999</v>
      </c>
      <c r="M24" s="1">
        <f t="shared" si="39"/>
        <v>-9818.4635699999999</v>
      </c>
      <c r="N24" s="1">
        <f t="shared" si="39"/>
        <v>-10018.46357</v>
      </c>
      <c r="O24" s="1">
        <f t="shared" ref="O24:Q24" si="40">+O23+O22</f>
        <v>-9408.4635699999999</v>
      </c>
      <c r="P24" s="1">
        <f t="shared" si="40"/>
        <v>-7873.4635700000017</v>
      </c>
      <c r="Q24" s="1">
        <f t="shared" si="40"/>
        <v>-7873.4635700000044</v>
      </c>
      <c r="R24" s="125"/>
      <c r="S24" s="125"/>
      <c r="T24" s="125"/>
      <c r="U24" s="125"/>
      <c r="V24" s="125"/>
      <c r="W24" s="125"/>
      <c r="X24" s="125"/>
      <c r="Y24" s="125"/>
    </row>
    <row r="25" spans="1:25" ht="9" customHeight="1" x14ac:dyDescent="0.25">
      <c r="A25" s="225"/>
      <c r="R25" s="125"/>
      <c r="S25" s="125"/>
      <c r="T25" s="125"/>
      <c r="U25" s="125"/>
      <c r="V25" s="125"/>
      <c r="W25" s="125"/>
      <c r="X25" s="125"/>
      <c r="Y25" s="125"/>
    </row>
    <row r="26" spans="1:25" s="8" customFormat="1" ht="18.75" x14ac:dyDescent="0.3">
      <c r="A26" s="228" t="s">
        <v>1</v>
      </c>
      <c r="B26" s="178">
        <v>3880</v>
      </c>
      <c r="C26" s="178">
        <v>39692.016000000003</v>
      </c>
      <c r="D26" s="178">
        <f t="shared" ref="D26:F26" si="41">+D20+D24</f>
        <v>3469</v>
      </c>
      <c r="E26" s="178">
        <f t="shared" si="41"/>
        <v>15760.999796232016</v>
      </c>
      <c r="F26" s="178">
        <f t="shared" si="41"/>
        <v>12735.656249999998</v>
      </c>
      <c r="G26" s="178">
        <f t="shared" ref="G26:H26" ca="1" si="42">+G20+G24</f>
        <v>16203.817637371139</v>
      </c>
      <c r="H26" s="178">
        <f t="shared" ca="1" si="42"/>
        <v>14153.983671911277</v>
      </c>
      <c r="I26" s="178">
        <f t="shared" ref="I26:N26" ca="1" si="43">+I20+I24</f>
        <v>23709.604228243381</v>
      </c>
      <c r="J26" s="178">
        <f t="shared" ca="1" si="43"/>
        <v>39136.23228875723</v>
      </c>
      <c r="K26" s="178">
        <f t="shared" ca="1" si="43"/>
        <v>45003.6604923876</v>
      </c>
      <c r="L26" s="178">
        <f t="shared" ca="1" si="43"/>
        <v>51351.744126552105</v>
      </c>
      <c r="M26" s="178">
        <f t="shared" ca="1" si="43"/>
        <v>57906.026297077166</v>
      </c>
      <c r="N26" s="178">
        <f t="shared" ca="1" si="43"/>
        <v>64588.610729694621</v>
      </c>
      <c r="O26" s="178">
        <f t="shared" ref="O26:Q26" ca="1" si="44">+O20+O24</f>
        <v>72145.522147666605</v>
      </c>
      <c r="P26" s="178">
        <f t="shared" ca="1" si="44"/>
        <v>80020.481555689432</v>
      </c>
      <c r="Q26" s="178">
        <f t="shared" ca="1" si="44"/>
        <v>86334.942011004867</v>
      </c>
      <c r="R26" s="125"/>
      <c r="S26" s="125"/>
      <c r="T26" s="125"/>
      <c r="U26" s="125"/>
      <c r="V26" s="125"/>
      <c r="W26" s="125"/>
      <c r="X26" s="125"/>
      <c r="Y26" s="125"/>
    </row>
    <row r="27" spans="1:25" s="8" customFormat="1" ht="11.25" customHeight="1" x14ac:dyDescent="0.25">
      <c r="A27" s="229"/>
      <c r="B27" s="19"/>
      <c r="C27" s="177"/>
      <c r="D27" s="177"/>
      <c r="E27" s="177"/>
      <c r="F27" s="524">
        <v>-0.34375000000181899</v>
      </c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25"/>
      <c r="S27" s="125"/>
      <c r="T27" s="125"/>
      <c r="U27" s="125"/>
      <c r="V27" s="125"/>
      <c r="W27" s="125"/>
      <c r="X27" s="125"/>
      <c r="Y27" s="125"/>
    </row>
    <row r="28" spans="1:25" x14ac:dyDescent="0.25">
      <c r="A28" s="227" t="s">
        <v>324</v>
      </c>
      <c r="B28" s="39">
        <f>-525-236</f>
        <v>-761</v>
      </c>
      <c r="C28" s="1">
        <f>141.984000000001-308</f>
        <v>-166.015999999999</v>
      </c>
      <c r="D28" s="1">
        <v>-2063</v>
      </c>
      <c r="E28" s="1">
        <f>441-891</f>
        <v>-450</v>
      </c>
      <c r="F28" s="1">
        <f>-241-650</f>
        <v>-891</v>
      </c>
      <c r="G28" s="1">
        <f ca="1">+CF!G57</f>
        <v>-700</v>
      </c>
      <c r="H28" s="1">
        <f ca="1">+CF!H57</f>
        <v>-1428.703176</v>
      </c>
      <c r="I28" s="1">
        <f ca="1">+CF!I57</f>
        <v>-7589.4699760000003</v>
      </c>
      <c r="J28" s="1">
        <f ca="1">+CF!J57</f>
        <v>-7420.811671407997</v>
      </c>
      <c r="K28" s="1">
        <f ca="1">+CF!K57</f>
        <v>-5078.6311043568057</v>
      </c>
      <c r="L28" s="1">
        <f ca="1">+CF!L57</f>
        <v>-2348.8053895124858</v>
      </c>
      <c r="M28" s="1">
        <f ca="1">+CF!M57</f>
        <v>948.96177934426851</v>
      </c>
      <c r="N28" s="1">
        <f ca="1">+CF!N57</f>
        <v>4875.0304358674985</v>
      </c>
      <c r="O28" s="1">
        <f ca="1">+CF!O57</f>
        <v>9451.2609585828286</v>
      </c>
      <c r="P28" s="1">
        <f ca="1">+CF!P57</f>
        <v>12982</v>
      </c>
      <c r="Q28" s="1">
        <f ca="1">+CF!Q57</f>
        <v>16639</v>
      </c>
      <c r="R28" s="125"/>
      <c r="S28" s="125"/>
      <c r="T28" s="125"/>
      <c r="U28" s="125"/>
      <c r="V28" s="125"/>
      <c r="W28" s="125"/>
      <c r="X28" s="125"/>
      <c r="Y28" s="125"/>
    </row>
    <row r="29" spans="1:25" ht="18.75" customHeight="1" x14ac:dyDescent="0.25">
      <c r="A29" s="527" t="s">
        <v>691</v>
      </c>
      <c r="B29" s="1">
        <v>236</v>
      </c>
      <c r="C29" s="1">
        <v>308</v>
      </c>
      <c r="D29" s="1">
        <v>87</v>
      </c>
      <c r="E29" s="1">
        <v>891</v>
      </c>
      <c r="F29" s="1">
        <f>507+143</f>
        <v>650</v>
      </c>
      <c r="G29" s="1">
        <v>525</v>
      </c>
      <c r="R29" s="125"/>
      <c r="S29" s="125"/>
      <c r="T29" s="125"/>
      <c r="U29" s="125"/>
      <c r="V29" s="125"/>
      <c r="W29" s="125"/>
      <c r="X29" s="125"/>
      <c r="Y29" s="125"/>
    </row>
    <row r="30" spans="1:25" x14ac:dyDescent="0.25">
      <c r="A30" s="227" t="s">
        <v>325</v>
      </c>
      <c r="R30" s="125"/>
      <c r="S30" s="125"/>
      <c r="T30" s="125"/>
      <c r="U30" s="125"/>
      <c r="V30" s="125"/>
      <c r="W30" s="125"/>
      <c r="X30" s="125"/>
      <c r="Y30" s="125"/>
    </row>
    <row r="31" spans="1:25" x14ac:dyDescent="0.25">
      <c r="A31" s="227" t="s">
        <v>326</v>
      </c>
      <c r="R31" s="125"/>
      <c r="S31" s="125"/>
      <c r="T31" s="125"/>
      <c r="U31" s="125"/>
      <c r="V31" s="125"/>
      <c r="W31" s="125"/>
      <c r="X31" s="125"/>
      <c r="Y31" s="125"/>
    </row>
    <row r="32" spans="1:25" x14ac:dyDescent="0.25">
      <c r="A32" s="231" t="s">
        <v>327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f t="shared" ref="G32:H32" si="45">+G31+G30</f>
        <v>0</v>
      </c>
      <c r="H32" s="8">
        <f t="shared" si="45"/>
        <v>0</v>
      </c>
      <c r="I32" s="8">
        <f t="shared" ref="I32:N32" si="46">+I31+I30</f>
        <v>0</v>
      </c>
      <c r="J32" s="8">
        <f t="shared" si="46"/>
        <v>0</v>
      </c>
      <c r="K32" s="8">
        <f t="shared" si="46"/>
        <v>0</v>
      </c>
      <c r="L32" s="8">
        <f t="shared" si="46"/>
        <v>0</v>
      </c>
      <c r="M32" s="8">
        <f t="shared" si="46"/>
        <v>0</v>
      </c>
      <c r="N32" s="8">
        <f t="shared" si="46"/>
        <v>0</v>
      </c>
      <c r="O32" s="8">
        <f t="shared" ref="O32:Q32" si="47">+O31+O30</f>
        <v>0</v>
      </c>
      <c r="P32" s="8">
        <f t="shared" si="47"/>
        <v>0</v>
      </c>
      <c r="Q32" s="8">
        <f t="shared" si="47"/>
        <v>0</v>
      </c>
      <c r="R32" s="125"/>
      <c r="S32" s="125"/>
      <c r="T32" s="125"/>
      <c r="U32" s="125"/>
      <c r="V32" s="125"/>
      <c r="W32" s="125"/>
      <c r="X32" s="125"/>
      <c r="Y32" s="125"/>
    </row>
    <row r="33" spans="1:25" s="8" customFormat="1" ht="11.25" customHeight="1" x14ac:dyDescent="0.25">
      <c r="A33" s="229"/>
      <c r="B33" s="19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25"/>
      <c r="S33" s="125"/>
      <c r="T33" s="125"/>
      <c r="U33" s="125"/>
      <c r="V33" s="125"/>
      <c r="W33" s="125"/>
      <c r="X33" s="125"/>
      <c r="Y33" s="125"/>
    </row>
    <row r="34" spans="1:25" s="8" customFormat="1" ht="18.75" x14ac:dyDescent="0.3">
      <c r="A34" s="228" t="s">
        <v>13</v>
      </c>
      <c r="B34" s="178">
        <v>3355</v>
      </c>
      <c r="C34" s="178">
        <v>39834.000000000007</v>
      </c>
      <c r="D34" s="178">
        <f>+D32+D28+D26+D29</f>
        <v>1493</v>
      </c>
      <c r="E34" s="178">
        <f t="shared" ref="E34:M34" si="48">+E32+E28+E26+E29</f>
        <v>16201.999796232016</v>
      </c>
      <c r="F34" s="178">
        <f t="shared" si="48"/>
        <v>12494.656249999998</v>
      </c>
      <c r="G34" s="178">
        <f t="shared" ca="1" si="48"/>
        <v>16028.817637371139</v>
      </c>
      <c r="H34" s="178">
        <f t="shared" ca="1" si="48"/>
        <v>12725.280495911276</v>
      </c>
      <c r="I34" s="178">
        <f t="shared" ca="1" si="48"/>
        <v>16120.134252243381</v>
      </c>
      <c r="J34" s="178">
        <f t="shared" ca="1" si="48"/>
        <v>31715.420617349235</v>
      </c>
      <c r="K34" s="178">
        <f t="shared" ca="1" si="48"/>
        <v>39925.029388030795</v>
      </c>
      <c r="L34" s="178">
        <f t="shared" ca="1" si="48"/>
        <v>49002.938737039622</v>
      </c>
      <c r="M34" s="178">
        <f t="shared" ca="1" si="48"/>
        <v>58854.988076421432</v>
      </c>
      <c r="N34" s="178">
        <f t="shared" ref="N34:Q34" ca="1" si="49">+N32+N28+N26</f>
        <v>69463.64116556212</v>
      </c>
      <c r="O34" s="178">
        <f t="shared" ca="1" si="49"/>
        <v>81596.783106249437</v>
      </c>
      <c r="P34" s="178">
        <f t="shared" ca="1" si="49"/>
        <v>93002.481555689432</v>
      </c>
      <c r="Q34" s="178">
        <f t="shared" ca="1" si="49"/>
        <v>102973.94201100487</v>
      </c>
      <c r="R34" s="125"/>
      <c r="S34" s="125"/>
      <c r="T34" s="125"/>
      <c r="U34" s="125"/>
      <c r="V34" s="125"/>
      <c r="W34" s="125"/>
      <c r="X34" s="125"/>
      <c r="Y34" s="125"/>
    </row>
    <row r="35" spans="1:25" ht="18" customHeight="1" x14ac:dyDescent="0.25">
      <c r="A35" s="227" t="s">
        <v>14</v>
      </c>
      <c r="B35" s="39">
        <v>-462</v>
      </c>
      <c r="C35" s="1">
        <v>-4959.0000000000045</v>
      </c>
      <c r="D35" s="1">
        <v>-623</v>
      </c>
      <c r="E35" s="1">
        <v>-1858.7399735101633</v>
      </c>
      <c r="F35" s="1">
        <v>-1370.3085624999997</v>
      </c>
      <c r="G35" s="1">
        <f ca="1">+tax!G26</f>
        <v>-2191.1022046713924</v>
      </c>
      <c r="H35" s="1">
        <f ca="1">+tax!H26</f>
        <v>-1778.1600619889095</v>
      </c>
      <c r="I35" s="1">
        <f ca="1">+tax!I26</f>
        <v>-2202.5167815304226</v>
      </c>
      <c r="J35" s="1">
        <f ca="1">+tax!J26</f>
        <v>-4151.9275771686544</v>
      </c>
      <c r="K35" s="1">
        <f ca="1">+tax!K26</f>
        <v>-5178.1286735038493</v>
      </c>
      <c r="L35" s="1">
        <f ca="1">+tax!L26</f>
        <v>-6312.8673421299527</v>
      </c>
      <c r="M35" s="1">
        <f ca="1">+tax!M26</f>
        <v>-7544.373509552679</v>
      </c>
      <c r="N35" s="1">
        <f ca="1">+tax!N26</f>
        <v>-8870.4551456952649</v>
      </c>
      <c r="O35" s="1">
        <f ca="1">+tax!O26</f>
        <v>-10387.09788828118</v>
      </c>
      <c r="P35" s="1">
        <f ca="1">+tax!P26</f>
        <v>-11812.810194461179</v>
      </c>
      <c r="Q35" s="1">
        <f ca="1">+tax!Q26</f>
        <v>-13059.242751375608</v>
      </c>
      <c r="R35" s="125"/>
      <c r="S35" s="125"/>
      <c r="T35" s="125"/>
      <c r="U35" s="125"/>
      <c r="V35" s="125"/>
      <c r="W35" s="125"/>
      <c r="X35" s="125"/>
      <c r="Y35" s="125"/>
    </row>
    <row r="36" spans="1:25" s="8" customFormat="1" ht="21" thickBot="1" x14ac:dyDescent="0.35">
      <c r="A36" s="232" t="s">
        <v>318</v>
      </c>
      <c r="B36" s="233">
        <v>2893</v>
      </c>
      <c r="C36" s="233">
        <v>34875</v>
      </c>
      <c r="D36" s="233">
        <f t="shared" ref="D36:F36" si="50">+D35+D34</f>
        <v>870</v>
      </c>
      <c r="E36" s="233">
        <f t="shared" si="50"/>
        <v>14343.259822721853</v>
      </c>
      <c r="F36" s="233">
        <f t="shared" si="50"/>
        <v>11124.347687499998</v>
      </c>
      <c r="G36" s="233">
        <f t="shared" ref="G36:N36" ca="1" si="51">+G35+G34</f>
        <v>13837.715432699748</v>
      </c>
      <c r="H36" s="233">
        <f t="shared" ca="1" si="51"/>
        <v>10947.120433922366</v>
      </c>
      <c r="I36" s="233">
        <f t="shared" ca="1" si="51"/>
        <v>13917.617470712958</v>
      </c>
      <c r="J36" s="233">
        <f t="shared" ca="1" si="51"/>
        <v>27563.49304018058</v>
      </c>
      <c r="K36" s="233">
        <f t="shared" ca="1" si="51"/>
        <v>34746.900714526942</v>
      </c>
      <c r="L36" s="233">
        <f t="shared" ca="1" si="51"/>
        <v>42690.071394909668</v>
      </c>
      <c r="M36" s="233">
        <f t="shared" ca="1" si="51"/>
        <v>51310.614566868753</v>
      </c>
      <c r="N36" s="233">
        <f t="shared" ca="1" si="51"/>
        <v>60593.186019866858</v>
      </c>
      <c r="O36" s="233">
        <f t="shared" ref="O36:Q36" ca="1" si="52">+O35+O34</f>
        <v>71209.685217968261</v>
      </c>
      <c r="P36" s="233">
        <f t="shared" ca="1" si="52"/>
        <v>81189.671361228247</v>
      </c>
      <c r="Q36" s="233">
        <f t="shared" ca="1" si="52"/>
        <v>89914.699259629255</v>
      </c>
      <c r="R36" s="125"/>
      <c r="S36" s="125"/>
      <c r="T36" s="125"/>
      <c r="U36" s="125"/>
      <c r="V36" s="125"/>
      <c r="W36" s="125"/>
      <c r="X36" s="125"/>
      <c r="Y36" s="125"/>
    </row>
    <row r="37" spans="1:25" x14ac:dyDescent="0.25">
      <c r="G37" s="13"/>
    </row>
    <row r="38" spans="1:25" ht="16.5" thickBot="1" x14ac:dyDescent="0.3">
      <c r="A38" s="657" t="s">
        <v>665</v>
      </c>
      <c r="B38" s="645">
        <f t="shared" ref="B38:E38" si="53">+B10/B6</f>
        <v>0.16427196921103271</v>
      </c>
      <c r="C38" s="645">
        <f t="shared" si="53"/>
        <v>0.46209269882659715</v>
      </c>
      <c r="D38" s="645">
        <f t="shared" si="53"/>
        <v>0.22234794908062236</v>
      </c>
      <c r="E38" s="645">
        <f t="shared" si="53"/>
        <v>0.21563385522491255</v>
      </c>
      <c r="F38" s="645">
        <f t="shared" ref="F38:G38" si="54">+F10/F6</f>
        <v>0.21865217469977621</v>
      </c>
      <c r="G38" s="645">
        <f t="shared" ca="1" si="54"/>
        <v>0.21661094402614062</v>
      </c>
      <c r="H38" s="645">
        <f ca="1">+H10/H6</f>
        <v>0.2022215275351977</v>
      </c>
      <c r="I38" s="645">
        <f t="shared" ref="I38:N38" ca="1" si="55">+I10/I6</f>
        <v>0.22336583805370289</v>
      </c>
      <c r="J38" s="645">
        <f t="shared" ca="1" si="55"/>
        <v>0.23830464517050629</v>
      </c>
      <c r="K38" s="645">
        <f t="shared" ca="1" si="55"/>
        <v>0.2360112827693775</v>
      </c>
      <c r="L38" s="645">
        <f t="shared" ca="1" si="55"/>
        <v>0.23353660379778032</v>
      </c>
      <c r="M38" s="645">
        <f t="shared" ca="1" si="55"/>
        <v>0.23033851410059794</v>
      </c>
      <c r="N38" s="645">
        <f t="shared" ca="1" si="55"/>
        <v>0.22646222300196847</v>
      </c>
      <c r="O38" s="645">
        <f t="shared" ref="O38:Q38" ca="1" si="56">+O10/O6</f>
        <v>0.22203411750033472</v>
      </c>
      <c r="P38" s="645">
        <f t="shared" ca="1" si="56"/>
        <v>0.21653548450224322</v>
      </c>
      <c r="Q38" s="645">
        <f t="shared" ca="1" si="56"/>
        <v>0.21087061128597731</v>
      </c>
    </row>
    <row r="39" spans="1:25" x14ac:dyDescent="0.25">
      <c r="A39" s="658" t="s">
        <v>664</v>
      </c>
      <c r="B39" s="656">
        <f>+B26/B6</f>
        <v>4.1479580927945264E-2</v>
      </c>
      <c r="C39" s="656">
        <f t="shared" ref="C39:N39" si="57">+C26/C6</f>
        <v>0.32343559322033899</v>
      </c>
      <c r="D39" s="656">
        <f t="shared" si="57"/>
        <v>4.6729979120361018E-2</v>
      </c>
      <c r="E39" s="656">
        <f t="shared" si="57"/>
        <v>8.9939510364254821E-2</v>
      </c>
      <c r="F39" s="656">
        <f t="shared" si="57"/>
        <v>7.6816610170513819E-2</v>
      </c>
      <c r="G39" s="656">
        <f t="shared" ca="1" si="57"/>
        <v>8.8010487417359604E-2</v>
      </c>
      <c r="H39" s="656">
        <f t="shared" ca="1" si="57"/>
        <v>6.5852250158177889E-2</v>
      </c>
      <c r="I39" s="656">
        <f t="shared" ca="1" si="57"/>
        <v>8.2692509224751631E-2</v>
      </c>
      <c r="J39" s="656">
        <f t="shared" ca="1" si="57"/>
        <v>0.10699915487671678</v>
      </c>
      <c r="K39" s="656">
        <f t="shared" ca="1" si="57"/>
        <v>0.10862998016732692</v>
      </c>
      <c r="L39" s="656">
        <f t="shared" ca="1" si="57"/>
        <v>0.10934453664600083</v>
      </c>
      <c r="M39" s="656">
        <f t="shared" ca="1" si="57"/>
        <v>0.10874818749167495</v>
      </c>
      <c r="N39" s="656">
        <f t="shared" ca="1" si="57"/>
        <v>0.10694746738252585</v>
      </c>
      <c r="O39" s="656">
        <f t="shared" ref="O39:Q39" ca="1" si="58">+O26/O6</f>
        <v>0.10526889653795714</v>
      </c>
      <c r="P39" s="656">
        <f t="shared" ca="1" si="58"/>
        <v>0.10289206726157636</v>
      </c>
      <c r="Q39" s="656">
        <f t="shared" ca="1" si="58"/>
        <v>9.7709321291968715E-2</v>
      </c>
    </row>
    <row r="40" spans="1:25" x14ac:dyDescent="0.25">
      <c r="E40" s="39"/>
    </row>
  </sheetData>
  <phoneticPr fontId="2" type="noConversion"/>
  <pageMargins left="0.19685039370078741" right="0.19685039370078741" top="0.35433070866141736" bottom="0.39370078740157483" header="0.51181102362204722" footer="0.19685039370078741"/>
  <pageSetup paperSize="9" scale="64" orientation="landscape" r:id="rId1"/>
  <headerFooter alignWithMargins="0">
    <oddFooter>&amp;L&amp;F -&amp;A&amp;C&amp;P/&amp;N&amp;R&amp;D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36"/>
  <sheetViews>
    <sheetView workbookViewId="0"/>
  </sheetViews>
  <sheetFormatPr defaultRowHeight="15.75" outlineLevelCol="1" x14ac:dyDescent="0.25"/>
  <cols>
    <col min="1" max="1" width="33.875" bestFit="1" customWidth="1"/>
    <col min="2" max="2" width="8.75" hidden="1" customWidth="1" outlineLevel="1"/>
    <col min="3" max="3" width="11.125" bestFit="1" customWidth="1" collapsed="1"/>
    <col min="4" max="9" width="10.625" bestFit="1" customWidth="1"/>
    <col min="10" max="17" width="11.125" bestFit="1" customWidth="1"/>
  </cols>
  <sheetData>
    <row r="1" spans="1:29" s="1" customFormat="1" ht="25.5" customHeight="1" x14ac:dyDescent="0.25">
      <c r="A1" s="219" t="s">
        <v>747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1"/>
      <c r="N1" s="221"/>
      <c r="O1" s="221"/>
      <c r="P1" s="221"/>
      <c r="Q1" s="221"/>
      <c r="AB1" s="57"/>
      <c r="AC1" s="57"/>
    </row>
    <row r="2" spans="1:29" s="1" customFormat="1" x14ac:dyDescent="0.25">
      <c r="A2" s="223" t="s">
        <v>524</v>
      </c>
      <c r="B2" s="16">
        <v>2007</v>
      </c>
      <c r="C2" s="16">
        <v>2008</v>
      </c>
      <c r="D2" s="16">
        <v>2009</v>
      </c>
      <c r="E2" s="16">
        <v>2010</v>
      </c>
      <c r="F2" s="16">
        <v>2011</v>
      </c>
      <c r="G2" s="16">
        <v>2012</v>
      </c>
      <c r="H2" s="16">
        <v>2013</v>
      </c>
      <c r="I2" s="16">
        <v>2014</v>
      </c>
      <c r="J2" s="16">
        <v>2015</v>
      </c>
      <c r="K2" s="16">
        <v>2016</v>
      </c>
      <c r="L2" s="16">
        <v>2017</v>
      </c>
      <c r="M2" s="16">
        <v>2018</v>
      </c>
      <c r="N2" s="16">
        <v>2019</v>
      </c>
      <c r="O2" s="16">
        <v>2020</v>
      </c>
      <c r="P2" s="16">
        <v>2021</v>
      </c>
      <c r="Q2" s="16">
        <v>2022</v>
      </c>
    </row>
    <row r="3" spans="1:29" x14ac:dyDescent="0.25">
      <c r="A3" s="225"/>
      <c r="B3" s="1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</row>
    <row r="4" spans="1:29" x14ac:dyDescent="0.25">
      <c r="A4" s="226" t="s">
        <v>6</v>
      </c>
      <c r="B4" s="4">
        <f>+PL!B4/Assumptions!B$6</f>
        <v>74.032449544914925</v>
      </c>
      <c r="C4" s="1">
        <f>+PL!C4/Assumptions!C$6*1000</f>
        <v>92997.878144892398</v>
      </c>
      <c r="D4" s="1">
        <f>+PL!D4/Assumptions!D$6*1000</f>
        <v>50651.61026200874</v>
      </c>
      <c r="E4" s="1">
        <f>+PL!E4/Assumptions!E$6*1000</f>
        <v>110387.40157480315</v>
      </c>
      <c r="F4" s="1">
        <f>+PL!F4/Assumptions!F$6*1000</f>
        <v>96728.704784130678</v>
      </c>
      <c r="G4" s="1">
        <f ca="1">+PL!G4/Assumptions!G$6*1000</f>
        <v>92306.534237125379</v>
      </c>
      <c r="H4" s="1">
        <f ca="1">+PL!H4/Assumptions!H$6*1000</f>
        <v>103384.05958656245</v>
      </c>
      <c r="I4" s="1">
        <f ca="1">+PL!I4/Assumptions!I$6*1000</f>
        <v>125375.00395394224</v>
      </c>
      <c r="J4" s="1">
        <f ca="1">+PL!J4/Assumptions!J$6*1000</f>
        <v>145398.12496671884</v>
      </c>
      <c r="K4" s="1">
        <f ca="1">+PL!K4/Assumptions!K$6*1000</f>
        <v>149715.09652865503</v>
      </c>
      <c r="L4" s="1">
        <f ca="1">+PL!L4/Assumptions!L$6*1000</f>
        <v>154288.25960406917</v>
      </c>
      <c r="M4" s="1">
        <f ca="1">+PL!M4/Assumptions!M$6*1000</f>
        <v>159031.74371259668</v>
      </c>
      <c r="N4" s="1">
        <f ca="1">+PL!N4/Assumptions!N$6*1000</f>
        <v>163973.94236326273</v>
      </c>
      <c r="O4" s="1">
        <f ca="1">+PL!O4/Assumptions!O$6*1000</f>
        <v>169163.2518057675</v>
      </c>
      <c r="P4" s="1">
        <f ca="1">+PL!P4/Assumptions!P$6*1000</f>
        <v>174511.19684419522</v>
      </c>
      <c r="Q4" s="1">
        <f ca="1">+PL!Q4/Assumptions!Q$6*1000</f>
        <v>180244.47003414624</v>
      </c>
    </row>
    <row r="5" spans="1:29" x14ac:dyDescent="0.25">
      <c r="A5" s="227" t="s">
        <v>312</v>
      </c>
      <c r="B5" s="4"/>
      <c r="C5" s="1">
        <f>+PL!C5/Assumptions!C$6*1000</f>
        <v>0</v>
      </c>
      <c r="D5" s="1">
        <f>+PL!D5/Assumptions!D$6*1000</f>
        <v>0</v>
      </c>
      <c r="E5" s="1">
        <f>+PL!E5/Assumptions!E$6*1000</f>
        <v>0</v>
      </c>
      <c r="F5" s="1">
        <f>+PL!F5/Assumptions!F$6*1000</f>
        <v>0</v>
      </c>
      <c r="G5" s="1">
        <f>+PL!G5/Assumptions!G$6*1000</f>
        <v>5107.4074074074078</v>
      </c>
      <c r="H5" s="1">
        <f>+PL!H5/Assumptions!H$6*1000</f>
        <v>0</v>
      </c>
      <c r="I5" s="1">
        <f>+PL!I5/Assumptions!I$6*1000</f>
        <v>0</v>
      </c>
      <c r="J5" s="1">
        <f>+PL!J5/Assumptions!J$6*1000</f>
        <v>0</v>
      </c>
      <c r="K5" s="1">
        <f>+PL!K5/Assumptions!K$6*1000</f>
        <v>0</v>
      </c>
      <c r="L5" s="1">
        <f>+PL!L5/Assumptions!L$6*1000</f>
        <v>0</v>
      </c>
      <c r="M5" s="1">
        <f>+PL!M5/Assumptions!M$6*1000</f>
        <v>0</v>
      </c>
      <c r="N5" s="1">
        <f>+PL!N5/Assumptions!N$6*1000</f>
        <v>0</v>
      </c>
      <c r="O5" s="1">
        <f>+PL!O5/Assumptions!O$6*1000</f>
        <v>0</v>
      </c>
      <c r="P5" s="1">
        <f>+PL!P5/Assumptions!P$6*1000</f>
        <v>0</v>
      </c>
      <c r="Q5" s="1">
        <f>+PL!Q5/Assumptions!Q$6*1000</f>
        <v>0</v>
      </c>
    </row>
    <row r="6" spans="1:29" s="1" customFormat="1" ht="18.75" x14ac:dyDescent="0.3">
      <c r="A6" s="228" t="s">
        <v>7</v>
      </c>
      <c r="B6" s="372">
        <f>SUM(B3:B5)</f>
        <v>74.032449544914925</v>
      </c>
      <c r="C6" s="178">
        <f>SUM(C3:C5)</f>
        <v>92997.878144892398</v>
      </c>
      <c r="D6" s="178">
        <f t="shared" ref="D6:N6" si="0">SUM(D3:D5)</f>
        <v>50651.61026200874</v>
      </c>
      <c r="E6" s="178">
        <f t="shared" si="0"/>
        <v>110387.40157480315</v>
      </c>
      <c r="F6" s="178">
        <f t="shared" si="0"/>
        <v>96728.704784130678</v>
      </c>
      <c r="G6" s="178">
        <f t="shared" ca="1" si="0"/>
        <v>97413.941644532781</v>
      </c>
      <c r="H6" s="178">
        <f t="shared" ca="1" si="0"/>
        <v>103384.05958656245</v>
      </c>
      <c r="I6" s="178">
        <f t="shared" ca="1" si="0"/>
        <v>125375.00395394224</v>
      </c>
      <c r="J6" s="178">
        <f t="shared" ca="1" si="0"/>
        <v>145398.12496671884</v>
      </c>
      <c r="K6" s="178">
        <f t="shared" ca="1" si="0"/>
        <v>149715.09652865503</v>
      </c>
      <c r="L6" s="178">
        <f t="shared" ca="1" si="0"/>
        <v>154288.25960406917</v>
      </c>
      <c r="M6" s="178">
        <f t="shared" ca="1" si="0"/>
        <v>159031.74371259668</v>
      </c>
      <c r="N6" s="178">
        <f t="shared" ca="1" si="0"/>
        <v>163973.94236326273</v>
      </c>
      <c r="O6" s="178">
        <f t="shared" ref="O6:Q6" ca="1" si="1">SUM(O3:O5)</f>
        <v>169163.2518057675</v>
      </c>
      <c r="P6" s="178">
        <f t="shared" ca="1" si="1"/>
        <v>174511.19684419522</v>
      </c>
      <c r="Q6" s="178">
        <f t="shared" ca="1" si="1"/>
        <v>180244.47003414624</v>
      </c>
      <c r="R6" s="125"/>
      <c r="S6" s="125"/>
      <c r="T6" s="125"/>
      <c r="U6" s="125"/>
      <c r="V6" s="125"/>
      <c r="W6" s="125"/>
      <c r="X6" s="125"/>
      <c r="Y6" s="125"/>
    </row>
    <row r="7" spans="1:29" s="8" customFormat="1" ht="11.25" customHeight="1" x14ac:dyDescent="0.25">
      <c r="A7" s="229" t="s">
        <v>313</v>
      </c>
      <c r="B7" s="373"/>
      <c r="C7" s="177"/>
      <c r="D7" s="177">
        <f t="shared" ref="D7:N7" si="2">+D6/C6-1</f>
        <v>-0.4553466028214902</v>
      </c>
      <c r="E7" s="177">
        <f t="shared" si="2"/>
        <v>1.1793463426689765</v>
      </c>
      <c r="F7" s="177">
        <f t="shared" si="2"/>
        <v>-0.1237341996986564</v>
      </c>
      <c r="G7" s="177">
        <f t="shared" ca="1" si="2"/>
        <v>7.0841107810897253E-3</v>
      </c>
      <c r="H7" s="177">
        <f t="shared" ca="1" si="2"/>
        <v>6.1286073032696509E-2</v>
      </c>
      <c r="I7" s="177">
        <f t="shared" ca="1" si="2"/>
        <v>0.21271117090316038</v>
      </c>
      <c r="J7" s="177">
        <f t="shared" ca="1" si="2"/>
        <v>0.15970584551392952</v>
      </c>
      <c r="K7" s="177">
        <f t="shared" ca="1" si="2"/>
        <v>2.9690696237825165E-2</v>
      </c>
      <c r="L7" s="177">
        <f t="shared" ca="1" si="2"/>
        <v>3.0545771144320444E-2</v>
      </c>
      <c r="M7" s="177">
        <f t="shared" ca="1" si="2"/>
        <v>3.0744297205115512E-2</v>
      </c>
      <c r="N7" s="177">
        <f t="shared" ca="1" si="2"/>
        <v>3.1076806021806735E-2</v>
      </c>
      <c r="O7" s="177">
        <f t="shared" ref="O7" ca="1" si="3">+O6/N6-1</f>
        <v>3.1647159101709788E-2</v>
      </c>
      <c r="P7" s="177">
        <f t="shared" ref="P7" ca="1" si="4">+P6/O6-1</f>
        <v>3.1614106381498308E-2</v>
      </c>
      <c r="Q7" s="177">
        <f t="shared" ref="Q7" ca="1" si="5">+Q6/P6-1</f>
        <v>3.2853325709924164E-2</v>
      </c>
      <c r="R7" s="125"/>
      <c r="S7" s="125"/>
      <c r="T7" s="125"/>
      <c r="U7" s="125"/>
      <c r="V7" s="125"/>
      <c r="W7" s="125"/>
      <c r="X7" s="125"/>
      <c r="Y7" s="125"/>
    </row>
    <row r="8" spans="1:29" s="1" customFormat="1" ht="18.75" x14ac:dyDescent="0.3">
      <c r="A8" s="228" t="s">
        <v>0</v>
      </c>
      <c r="B8" s="372">
        <f>+PL!B8/Assumptions!B$6</f>
        <v>-61.870993272655319</v>
      </c>
      <c r="C8" s="178">
        <f>+PL!C8/Assumptions!C$6*1000</f>
        <v>-50024.237647772054</v>
      </c>
      <c r="D8" s="178">
        <f>+PL!D8/Assumptions!D$6*1000</f>
        <v>-39389.328602620088</v>
      </c>
      <c r="E8" s="178">
        <f>+PL!E8/Assumptions!E$6*1000</f>
        <v>-86584.140604967775</v>
      </c>
      <c r="F8" s="178">
        <f>+PL!F8/Assumptions!F$6*1000</f>
        <v>-75578.763127187864</v>
      </c>
      <c r="G8" s="178">
        <f ca="1">+PL!G8/Assumptions!G$6*1000</f>
        <v>-76313.015783603158</v>
      </c>
      <c r="H8" s="178">
        <f ca="1">+PL!H8/Assumptions!H$6*1000</f>
        <v>-82477.577134177875</v>
      </c>
      <c r="I8" s="178">
        <f ca="1">+PL!I8/Assumptions!I$6*1000</f>
        <v>-97370.511124783618</v>
      </c>
      <c r="J8" s="178">
        <f ca="1">+PL!J8/Assumptions!J$6*1000</f>
        <v>-110749.07638806796</v>
      </c>
      <c r="K8" s="178">
        <f ca="1">+PL!K8/Assumptions!K$6*1000</f>
        <v>-114380.64454698599</v>
      </c>
      <c r="L8" s="178">
        <f ca="1">+PL!L8/Assumptions!L$6*1000</f>
        <v>-118256.30345026458</v>
      </c>
      <c r="M8" s="178">
        <f ca="1">+PL!M8/Assumptions!M$6*1000</f>
        <v>-122400.60817101006</v>
      </c>
      <c r="N8" s="178">
        <f ca="1">+PL!N8/Assumptions!N$6*1000</f>
        <v>-126840.0388612816</v>
      </c>
      <c r="O8" s="178">
        <f ca="1">+PL!O8/Assumptions!O$6*1000</f>
        <v>-131603.238477587</v>
      </c>
      <c r="P8" s="178">
        <f ca="1">+PL!P8/Assumptions!P$6*1000</f>
        <v>-136723.33028447107</v>
      </c>
      <c r="Q8" s="178">
        <f ca="1">+PL!Q8/Assumptions!Q$6*1000</f>
        <v>-142236.20845712881</v>
      </c>
      <c r="R8" s="125"/>
      <c r="S8" s="125"/>
      <c r="T8" s="125"/>
      <c r="U8" s="125"/>
      <c r="V8" s="125"/>
      <c r="W8" s="125"/>
      <c r="X8" s="125"/>
      <c r="Y8" s="125"/>
    </row>
    <row r="9" spans="1:29" s="8" customFormat="1" ht="11.25" customHeight="1" x14ac:dyDescent="0.25">
      <c r="A9" s="230" t="s">
        <v>314</v>
      </c>
      <c r="B9" s="373"/>
      <c r="C9" s="391">
        <f t="shared" ref="C9:N9" si="6">+C8/B8-1</f>
        <v>807.5248838227543</v>
      </c>
      <c r="D9" s="391">
        <f t="shared" si="6"/>
        <v>-0.21259512478798603</v>
      </c>
      <c r="E9" s="391">
        <f t="shared" si="6"/>
        <v>1.1981623875459606</v>
      </c>
      <c r="F9" s="391">
        <f t="shared" si="6"/>
        <v>-0.12710615825120841</v>
      </c>
      <c r="G9" s="391">
        <f t="shared" ca="1" si="6"/>
        <v>9.7150657940729968E-3</v>
      </c>
      <c r="H9" s="391">
        <f t="shared" ca="1" si="6"/>
        <v>8.0779946740084929E-2</v>
      </c>
      <c r="I9" s="391">
        <f t="shared" ca="1" si="6"/>
        <v>0.18056948940652462</v>
      </c>
      <c r="J9" s="391">
        <f t="shared" ca="1" si="6"/>
        <v>0.137398531739648</v>
      </c>
      <c r="K9" s="391">
        <f t="shared" ca="1" si="6"/>
        <v>3.2790956614328071E-2</v>
      </c>
      <c r="L9" s="391">
        <f t="shared" ca="1" si="6"/>
        <v>3.3883870113063708E-2</v>
      </c>
      <c r="M9" s="391">
        <f t="shared" ca="1" si="6"/>
        <v>3.5045106263519088E-2</v>
      </c>
      <c r="N9" s="391">
        <f t="shared" ca="1" si="6"/>
        <v>3.6269678366867897E-2</v>
      </c>
      <c r="O9" s="391">
        <f t="shared" ref="O9" ca="1" si="7">+O8/N8-1</f>
        <v>3.755280792301452E-2</v>
      </c>
      <c r="P9" s="391">
        <f t="shared" ref="P9" ca="1" si="8">+P8/O8-1</f>
        <v>3.8905515290613923E-2</v>
      </c>
      <c r="Q9" s="391">
        <f t="shared" ref="Q9" ca="1" si="9">+Q8/P8-1</f>
        <v>4.0321415234601643E-2</v>
      </c>
      <c r="R9" s="125"/>
      <c r="S9" s="125"/>
      <c r="T9" s="125"/>
      <c r="U9" s="125"/>
      <c r="V9" s="125"/>
      <c r="W9" s="125"/>
      <c r="X9" s="125"/>
      <c r="Y9" s="125"/>
    </row>
    <row r="10" spans="1:29" s="8" customFormat="1" ht="18.75" x14ac:dyDescent="0.3">
      <c r="A10" s="228" t="s">
        <v>8</v>
      </c>
      <c r="B10" s="372">
        <f>+B6+B8</f>
        <v>12.161456272259606</v>
      </c>
      <c r="C10" s="178">
        <f>+C6+C8</f>
        <v>42973.640497120345</v>
      </c>
      <c r="D10" s="178">
        <f t="shared" ref="D10:N10" si="10">+D6+D8</f>
        <v>11262.281659388653</v>
      </c>
      <c r="E10" s="178">
        <f t="shared" si="10"/>
        <v>23803.260969835377</v>
      </c>
      <c r="F10" s="178">
        <f t="shared" si="10"/>
        <v>21149.941656942814</v>
      </c>
      <c r="G10" s="178">
        <f t="shared" ca="1" si="10"/>
        <v>21100.925860929623</v>
      </c>
      <c r="H10" s="178">
        <f t="shared" ca="1" si="10"/>
        <v>20906.482452384575</v>
      </c>
      <c r="I10" s="178">
        <f t="shared" ca="1" si="10"/>
        <v>28004.492829158626</v>
      </c>
      <c r="J10" s="178">
        <f t="shared" ca="1" si="10"/>
        <v>34649.04857865088</v>
      </c>
      <c r="K10" s="178">
        <f t="shared" ca="1" si="10"/>
        <v>35334.451981669044</v>
      </c>
      <c r="L10" s="178">
        <f t="shared" ca="1" si="10"/>
        <v>36031.956153804596</v>
      </c>
      <c r="M10" s="178">
        <f t="shared" ca="1" si="10"/>
        <v>36631.135541586627</v>
      </c>
      <c r="N10" s="178">
        <f t="shared" ca="1" si="10"/>
        <v>37133.903501981127</v>
      </c>
      <c r="O10" s="178">
        <f t="shared" ref="O10:Q10" ca="1" si="11">+O6+O8</f>
        <v>37560.013328180503</v>
      </c>
      <c r="P10" s="178">
        <f t="shared" ca="1" si="11"/>
        <v>37787.866559724149</v>
      </c>
      <c r="Q10" s="178">
        <f t="shared" ca="1" si="11"/>
        <v>38008.261577017431</v>
      </c>
      <c r="R10" s="125"/>
      <c r="S10" s="125"/>
      <c r="T10" s="125"/>
      <c r="U10" s="125"/>
      <c r="V10" s="125"/>
      <c r="W10" s="125"/>
      <c r="X10" s="125"/>
      <c r="Y10" s="125"/>
    </row>
    <row r="11" spans="1:29" s="8" customFormat="1" ht="11.25" customHeight="1" x14ac:dyDescent="0.25">
      <c r="A11" s="229" t="s">
        <v>315</v>
      </c>
      <c r="B11" s="373"/>
      <c r="C11" s="177"/>
      <c r="D11" s="177">
        <f t="shared" ref="D11:N11" si="12">+D10/C10-1</f>
        <v>-0.73792581849928829</v>
      </c>
      <c r="E11" s="177">
        <f t="shared" si="12"/>
        <v>1.1135380635763181</v>
      </c>
      <c r="F11" s="177">
        <f t="shared" si="12"/>
        <v>-0.11146873179498284</v>
      </c>
      <c r="G11" s="177">
        <f t="shared" ca="1" si="12"/>
        <v>-2.3175381194066036E-3</v>
      </c>
      <c r="H11" s="177">
        <f t="shared" ca="1" si="12"/>
        <v>-9.2149230714601016E-3</v>
      </c>
      <c r="I11" s="177">
        <f t="shared" ca="1" si="12"/>
        <v>0.33951241644499874</v>
      </c>
      <c r="J11" s="177">
        <f t="shared" ca="1" si="12"/>
        <v>0.23726749097108657</v>
      </c>
      <c r="K11" s="177">
        <f t="shared" ca="1" si="12"/>
        <v>1.9781305147884343E-2</v>
      </c>
      <c r="L11" s="177">
        <f t="shared" ca="1" si="12"/>
        <v>1.9740059149563338E-2</v>
      </c>
      <c r="M11" s="177">
        <f t="shared" ca="1" si="12"/>
        <v>1.662911070452E-2</v>
      </c>
      <c r="N11" s="177">
        <f t="shared" ca="1" si="12"/>
        <v>1.372515356024695E-2</v>
      </c>
      <c r="O11" s="177">
        <f t="shared" ref="O11" ca="1" si="13">+O10/N10-1</f>
        <v>1.1474953775776342E-2</v>
      </c>
      <c r="P11" s="177">
        <f t="shared" ref="P11" ca="1" si="14">+P10/O10-1</f>
        <v>6.066377813894297E-3</v>
      </c>
      <c r="Q11" s="177">
        <f t="shared" ref="Q11" ca="1" si="15">+Q10/P10-1</f>
        <v>5.8324281669870359E-3</v>
      </c>
      <c r="R11" s="125"/>
      <c r="S11" s="125"/>
      <c r="T11" s="125"/>
      <c r="U11" s="125"/>
      <c r="V11" s="125"/>
      <c r="W11" s="125"/>
      <c r="X11" s="125"/>
      <c r="Y11" s="125"/>
    </row>
    <row r="12" spans="1:29" s="1" customFormat="1" ht="12.75" customHeight="1" x14ac:dyDescent="0.25">
      <c r="A12" s="225" t="s">
        <v>586</v>
      </c>
      <c r="B12" s="4"/>
      <c r="D12" s="297">
        <f>D10/D6</f>
        <v>0.22234794908062244</v>
      </c>
      <c r="E12" s="297">
        <f t="shared" ref="E12:N12" si="16">E10/E6</f>
        <v>0.21563385522491246</v>
      </c>
      <c r="F12" s="297">
        <f t="shared" si="16"/>
        <v>0.21865217469977616</v>
      </c>
      <c r="G12" s="297">
        <f t="shared" ca="1" si="16"/>
        <v>0.21661094402614067</v>
      </c>
      <c r="H12" s="297">
        <f t="shared" ca="1" si="16"/>
        <v>0.20222152753519787</v>
      </c>
      <c r="I12" s="297">
        <f t="shared" ca="1" si="16"/>
        <v>0.22336583805370291</v>
      </c>
      <c r="J12" s="297">
        <f t="shared" ca="1" si="16"/>
        <v>0.2383046451705064</v>
      </c>
      <c r="K12" s="297">
        <f t="shared" ca="1" si="16"/>
        <v>0.23601128276937747</v>
      </c>
      <c r="L12" s="297">
        <f t="shared" ca="1" si="16"/>
        <v>0.23353660379778046</v>
      </c>
      <c r="M12" s="297">
        <f t="shared" ca="1" si="16"/>
        <v>0.23033851410059794</v>
      </c>
      <c r="N12" s="297">
        <f t="shared" ca="1" si="16"/>
        <v>0.22646222300196847</v>
      </c>
      <c r="O12" s="297">
        <f t="shared" ref="O12:Q12" ca="1" si="17">O10/O6</f>
        <v>0.22203411750033478</v>
      </c>
      <c r="P12" s="297">
        <f t="shared" ca="1" si="17"/>
        <v>0.21653548450224322</v>
      </c>
      <c r="Q12" s="297">
        <f t="shared" ca="1" si="17"/>
        <v>0.21087061128597726</v>
      </c>
      <c r="R12" s="125"/>
      <c r="S12" s="125"/>
      <c r="T12" s="125"/>
      <c r="U12" s="125"/>
      <c r="V12" s="125"/>
      <c r="W12" s="125"/>
      <c r="X12" s="125"/>
      <c r="Y12" s="125"/>
    </row>
    <row r="13" spans="1:29" x14ac:dyDescent="0.25">
      <c r="A13" s="226" t="s">
        <v>9</v>
      </c>
      <c r="B13" s="374">
        <f>+PL!B13/Assumptions!B$6</f>
        <v>-0.93312227938266723</v>
      </c>
      <c r="C13" s="1">
        <f>+PL!C13/Assumptions!C$6*1000</f>
        <v>-2015.7623522279482</v>
      </c>
      <c r="D13" s="1">
        <f>+PL!D13/Assumptions!D$6*1000</f>
        <v>-1494.2685589519651</v>
      </c>
      <c r="E13" s="1">
        <f>+PL!E13/Assumptions!E$6*1000</f>
        <v>-2427.7165354330709</v>
      </c>
      <c r="F13" s="1">
        <f>+PL!F13/Assumptions!F$6*1000</f>
        <v>-2590.4317386231037</v>
      </c>
      <c r="G13" s="1">
        <f>+PL!G13/Assumptions!G$6*1000</f>
        <v>-1849.7354497354497</v>
      </c>
      <c r="H13" s="1">
        <f>+PL!H13/Assumptions!H$6*1000</f>
        <v>-1952.3873825300625</v>
      </c>
      <c r="I13" s="1">
        <f>+PL!I13/Assumptions!I$6*1000</f>
        <v>-2199.1105748086929</v>
      </c>
      <c r="J13" s="1">
        <f>+PL!J13/Assumptions!J$6*1000</f>
        <v>-2452.0305855525348</v>
      </c>
      <c r="K13" s="1">
        <f>+PL!K13/Assumptions!K$6*1000</f>
        <v>-2519.5582632575806</v>
      </c>
      <c r="L13" s="1">
        <f>+PL!L13/Assumptions!L$6*1000</f>
        <v>-2592.4470201110485</v>
      </c>
      <c r="M13" s="1">
        <f>+PL!M13/Assumptions!M$6*1000</f>
        <v>-2669.0128128751207</v>
      </c>
      <c r="N13" s="1">
        <f>+PL!N13/Assumptions!N$6*1000</f>
        <v>-2750.0381321011587</v>
      </c>
      <c r="O13" s="1">
        <f>+PL!O13/Assumptions!O$6*1000</f>
        <v>-2837.6046122073417</v>
      </c>
      <c r="P13" s="1">
        <f>+PL!P13/Assumptions!P$6*1000</f>
        <v>-2930.4423378118963</v>
      </c>
      <c r="Q13" s="1">
        <f>+PL!Q13/Assumptions!Q$6*1000</f>
        <v>-3029.3133294566305</v>
      </c>
    </row>
    <row r="14" spans="1:29" x14ac:dyDescent="0.25">
      <c r="A14" s="226" t="s">
        <v>10</v>
      </c>
      <c r="B14" s="374">
        <f>+PL!B14/Assumptions!B$6</f>
        <v>-1.2473288484368816</v>
      </c>
      <c r="C14" s="1">
        <f>+PL!C14/Assumptions!C$6*1000</f>
        <v>-1611.0942709912094</v>
      </c>
      <c r="D14" s="1">
        <f>+PL!D14/Assumptions!D$6*1000</f>
        <v>-1501.0917030567687</v>
      </c>
      <c r="E14" s="1">
        <f>+PL!E14/Assumptions!E$6*1000</f>
        <v>-1508.0314960629921</v>
      </c>
      <c r="F14" s="1">
        <f>+PL!F14/Assumptions!F$6*1000</f>
        <v>-2098.0163360560091</v>
      </c>
      <c r="G14" s="1">
        <f>+PL!G14/Assumptions!G$6*1000</f>
        <v>-2432.8042328042329</v>
      </c>
      <c r="H14" s="1">
        <f>+PL!H14/Assumptions!H$6*1000</f>
        <v>-2704.6849446849446</v>
      </c>
      <c r="I14" s="1">
        <f>+PL!I14/Assumptions!I$6*1000</f>
        <v>-2905.0505050505049</v>
      </c>
      <c r="J14" s="1">
        <f>+PL!J14/Assumptions!J$6*1000</f>
        <v>-3127.0596559852756</v>
      </c>
      <c r="K14" s="1">
        <f>+PL!K14/Assumptions!K$6*1000</f>
        <v>-3372.0627259319967</v>
      </c>
      <c r="L14" s="1">
        <f>+PL!L14/Assumptions!L$6*1000</f>
        <v>-3642.5675931174178</v>
      </c>
      <c r="M14" s="1">
        <f>+PL!M14/Assumptions!M$6*1000</f>
        <v>-3941.4974559742354</v>
      </c>
      <c r="N14" s="1">
        <f>+PL!N14/Assumptions!N$6*1000</f>
        <v>-4271.8648513199178</v>
      </c>
      <c r="O14" s="1">
        <f>+PL!O14/Assumptions!O$6*1000</f>
        <v>-4637.7942276736385</v>
      </c>
      <c r="P14" s="1">
        <f>+PL!P14/Assumptions!P$6*1000</f>
        <v>-5042.5341458652993</v>
      </c>
      <c r="Q14" s="1">
        <f>+PL!Q14/Assumptions!Q$6*1000</f>
        <v>-5490.7484149518132</v>
      </c>
    </row>
    <row r="15" spans="1:29" x14ac:dyDescent="0.25">
      <c r="A15" s="227" t="s">
        <v>93</v>
      </c>
      <c r="B15" s="374">
        <f>+PL!B15/Assumptions!B$6</f>
        <v>-5.6819153146022954</v>
      </c>
      <c r="C15" s="1">
        <f>+PL!C15/Assumptions!C$6*1000</f>
        <v>-7550.3603523037282</v>
      </c>
      <c r="D15" s="1">
        <f>+PL!D15/Assumptions!D$6*1000</f>
        <v>-4332.014192139738</v>
      </c>
      <c r="E15" s="1">
        <f>+PL!E15/Assumptions!E$6*1000</f>
        <v>-6039.0866141732276</v>
      </c>
      <c r="F15" s="1">
        <f>+PL!F15/Assumptions!F$6*1000</f>
        <v>-6254.9591598599764</v>
      </c>
      <c r="G15" s="1">
        <f ca="1">+PL!G15/Assumptions!G$6*1000</f>
        <v>-5021.1640211640215</v>
      </c>
      <c r="H15" s="1">
        <f ca="1">+PL!H15/Assumptions!H$6*1000</f>
        <v>-5284.5665620490627</v>
      </c>
      <c r="I15" s="1">
        <f ca="1">+PL!I15/Assumptions!I$6*1000</f>
        <v>-5502.6978312344218</v>
      </c>
      <c r="J15" s="1">
        <f ca="1">+PL!J15/Assumptions!J$6*1000</f>
        <v>-5333.8295242964859</v>
      </c>
      <c r="K15" s="1">
        <f ca="1">+PL!K15/Assumptions!K$6*1000</f>
        <v>-5077.6582641827372</v>
      </c>
      <c r="L15" s="1">
        <f ca="1">+PL!L15/Assumptions!L$6*1000</f>
        <v>-4859.116980599887</v>
      </c>
      <c r="M15" s="1">
        <f ca="1">+PL!M15/Assumptions!M$6*1000</f>
        <v>-4675.6792898463382</v>
      </c>
      <c r="N15" s="1">
        <f ca="1">+PL!N15/Assumptions!N$6*1000</f>
        <v>-4523.4476273888531</v>
      </c>
      <c r="O15" s="1">
        <f ca="1">+PL!O15/Assumptions!O$6*1000</f>
        <v>-4404.231282242602</v>
      </c>
      <c r="P15" s="1">
        <f ca="1">+PL!P15/Assumptions!P$6*1000</f>
        <v>-4321.0371443794711</v>
      </c>
      <c r="Q15" s="1">
        <f ca="1">+PL!Q15/Assumptions!Q$6*1000</f>
        <v>-4267.9483309018324</v>
      </c>
    </row>
    <row r="16" spans="1:29" x14ac:dyDescent="0.25">
      <c r="A16" s="227" t="s">
        <v>321</v>
      </c>
      <c r="B16" s="374"/>
      <c r="C16" s="1">
        <f>+PL!C16/Assumptions!C$6*1000</f>
        <v>-3557.5511360260689</v>
      </c>
      <c r="D16" s="1">
        <f>+PL!D16/Assumptions!D$6*1000</f>
        <v>-1772.6528384279477</v>
      </c>
      <c r="E16" s="1">
        <f>+PL!E16/Assumptions!E$6*1000</f>
        <v>-3864.3193659097051</v>
      </c>
      <c r="F16" s="1">
        <f>+PL!F16/Assumptions!F$6*1000</f>
        <v>-3385.5046674445744</v>
      </c>
      <c r="G16" s="1">
        <f ca="1">+PL!G16/Assumptions!G$6*1000</f>
        <v>-3409.4879575586469</v>
      </c>
      <c r="H16" s="1">
        <f ca="1">+PL!H16/Assumptions!H$6*1000</f>
        <v>-3618.4420855296853</v>
      </c>
      <c r="I16" s="1">
        <f ca="1">+PL!I16/Assumptions!I$6*1000</f>
        <v>-4388.125138387978</v>
      </c>
      <c r="J16" s="1">
        <f ca="1">+PL!J16/Assumptions!J$6*1000</f>
        <v>-5088.934373835159</v>
      </c>
      <c r="K16" s="1">
        <f ca="1">+PL!K16/Assumptions!K$6*1000</f>
        <v>-5240.0283785029269</v>
      </c>
      <c r="L16" s="1">
        <f ca="1">+PL!L16/Assumptions!L$6*1000</f>
        <v>-5400.0890861424205</v>
      </c>
      <c r="M16" s="1">
        <f ca="1">+PL!M16/Assumptions!M$6*1000</f>
        <v>-5566.1110299408838</v>
      </c>
      <c r="N16" s="1">
        <f ca="1">+PL!N16/Assumptions!N$6*1000</f>
        <v>-5739.0879827141953</v>
      </c>
      <c r="O16" s="1">
        <f ca="1">+PL!O16/Assumptions!O$6*1000</f>
        <v>-5920.7138132018626</v>
      </c>
      <c r="P16" s="1">
        <f ca="1">+PL!P16/Assumptions!P$6*1000</f>
        <v>-6107.8918895468332</v>
      </c>
      <c r="Q16" s="1">
        <f ca="1">+PL!Q16/Assumptions!Q$6*1000</f>
        <v>-6308.5564511951188</v>
      </c>
    </row>
    <row r="17" spans="1:25" x14ac:dyDescent="0.25">
      <c r="A17" s="231" t="s">
        <v>320</v>
      </c>
      <c r="B17" s="375">
        <f>SUM(B13:B15)</f>
        <v>-7.8623664424218447</v>
      </c>
      <c r="C17" s="158">
        <f>SUM(C13:C16)</f>
        <v>-14734.768111548954</v>
      </c>
      <c r="D17" s="158">
        <f t="shared" ref="D17:N17" si="18">SUM(D13:D16)</f>
        <v>-9100.0272925764202</v>
      </c>
      <c r="E17" s="158">
        <f t="shared" si="18"/>
        <v>-13839.154011578996</v>
      </c>
      <c r="F17" s="158">
        <f t="shared" si="18"/>
        <v>-14328.911901983663</v>
      </c>
      <c r="G17" s="158">
        <f t="shared" ca="1" si="18"/>
        <v>-12713.191661262352</v>
      </c>
      <c r="H17" s="158">
        <f t="shared" ca="1" si="18"/>
        <v>-13560.080974793755</v>
      </c>
      <c r="I17" s="158">
        <f t="shared" ca="1" si="18"/>
        <v>-14994.984049481598</v>
      </c>
      <c r="J17" s="158">
        <f t="shared" ca="1" si="18"/>
        <v>-16001.854139669456</v>
      </c>
      <c r="K17" s="158">
        <f t="shared" ca="1" si="18"/>
        <v>-16209.307631875243</v>
      </c>
      <c r="L17" s="158">
        <f t="shared" ca="1" si="18"/>
        <v>-16494.220679970775</v>
      </c>
      <c r="M17" s="158">
        <f t="shared" ca="1" si="18"/>
        <v>-16852.300588636579</v>
      </c>
      <c r="N17" s="158">
        <f t="shared" ca="1" si="18"/>
        <v>-17284.438593524123</v>
      </c>
      <c r="O17" s="158">
        <f t="shared" ref="O17:Q17" ca="1" si="19">SUM(O13:O16)</f>
        <v>-17800.343935325443</v>
      </c>
      <c r="P17" s="158">
        <f t="shared" ca="1" si="19"/>
        <v>-18401.9055176035</v>
      </c>
      <c r="Q17" s="158">
        <f t="shared" ca="1" si="19"/>
        <v>-19096.566526505394</v>
      </c>
    </row>
    <row r="18" spans="1:25" x14ac:dyDescent="0.25">
      <c r="A18" s="231" t="s">
        <v>319</v>
      </c>
      <c r="B18" s="375">
        <v>1.722</v>
      </c>
      <c r="C18" s="158">
        <f>+PL!C18/Assumptions!C$6*1000</f>
        <v>2850.8638981509548</v>
      </c>
      <c r="D18" s="158">
        <f>+PL!D18/Assumptions!D$6*1000</f>
        <v>1223.3897379912664</v>
      </c>
      <c r="E18" s="158">
        <f>+PL!E18/Assumptions!E$6*1000</f>
        <v>1051.9685039370079</v>
      </c>
      <c r="F18" s="158">
        <f>+PL!F18/Assumptions!F$6*1000</f>
        <v>1696.6161026837808</v>
      </c>
      <c r="G18" s="158">
        <f>+PL!G18/Assumptions!G$6*1000</f>
        <v>1455.0264550264551</v>
      </c>
      <c r="H18" s="158">
        <f>+PL!H18/Assumptions!H$6*1000</f>
        <v>721.50072150072151</v>
      </c>
      <c r="I18" s="158">
        <f>+PL!I18/Assumptions!I$6*1000</f>
        <v>655.90974681883779</v>
      </c>
      <c r="J18" s="158">
        <f>+PL!J18/Assumptions!J$6*1000</f>
        <v>596.28158801712516</v>
      </c>
      <c r="K18" s="158">
        <f>+PL!K18/Assumptions!K$6*1000</f>
        <v>542.07417092465926</v>
      </c>
      <c r="L18" s="158">
        <f>+PL!L18/Assumptions!L$6*1000</f>
        <v>492.79470084059921</v>
      </c>
      <c r="M18" s="158">
        <f>+PL!M18/Assumptions!M$6*1000</f>
        <v>447.99518258236293</v>
      </c>
      <c r="N18" s="158">
        <f>+PL!N18/Assumptions!N$6*1000</f>
        <v>407.26834780214807</v>
      </c>
      <c r="O18" s="158">
        <f>+PL!O18/Assumptions!O$6*1000</f>
        <v>370.24395254740733</v>
      </c>
      <c r="P18" s="158">
        <f>+PL!P18/Assumptions!P$6*1000</f>
        <v>336.5854114067339</v>
      </c>
      <c r="Q18" s="158">
        <f>+PL!Q18/Assumptions!Q$6*1000</f>
        <v>305.98673764248537</v>
      </c>
    </row>
    <row r="19" spans="1:25" s="1" customFormat="1" ht="9" customHeight="1" x14ac:dyDescent="0.25">
      <c r="A19" s="225"/>
      <c r="B19" s="4"/>
      <c r="R19" s="125"/>
      <c r="S19" s="125"/>
      <c r="T19" s="125"/>
      <c r="U19" s="125"/>
      <c r="V19" s="125"/>
      <c r="W19" s="125"/>
      <c r="X19" s="125"/>
      <c r="Y19" s="125"/>
    </row>
    <row r="20" spans="1:25" s="8" customFormat="1" ht="18.75" x14ac:dyDescent="0.3">
      <c r="A20" s="228" t="s">
        <v>5</v>
      </c>
      <c r="B20" s="372">
        <f>+B10+B17+B18</f>
        <v>6.0210898298377611</v>
      </c>
      <c r="C20" s="178">
        <f>+C10+C17+C18</f>
        <v>31089.736283722345</v>
      </c>
      <c r="D20" s="178">
        <f t="shared" ref="D20:N20" si="20">+D10+D17+D18</f>
        <v>3385.644104803499</v>
      </c>
      <c r="E20" s="178">
        <f t="shared" si="20"/>
        <v>11016.075462193388</v>
      </c>
      <c r="F20" s="178">
        <f t="shared" si="20"/>
        <v>8517.6458576429322</v>
      </c>
      <c r="G20" s="178">
        <f t="shared" ca="1" si="20"/>
        <v>9842.7606546937259</v>
      </c>
      <c r="H20" s="178">
        <f t="shared" ca="1" si="20"/>
        <v>8067.9021990915417</v>
      </c>
      <c r="I20" s="178">
        <f t="shared" ca="1" si="20"/>
        <v>13665.418526495865</v>
      </c>
      <c r="J20" s="178">
        <f t="shared" ca="1" si="20"/>
        <v>19243.476026998549</v>
      </c>
      <c r="K20" s="178">
        <f t="shared" ca="1" si="20"/>
        <v>19667.218520718459</v>
      </c>
      <c r="L20" s="178">
        <f t="shared" ca="1" si="20"/>
        <v>20030.530174674423</v>
      </c>
      <c r="M20" s="178">
        <f t="shared" ca="1" si="20"/>
        <v>20226.830135532411</v>
      </c>
      <c r="N20" s="178">
        <f t="shared" ca="1" si="20"/>
        <v>20256.733256259151</v>
      </c>
      <c r="O20" s="178">
        <f t="shared" ref="O20:Q20" ca="1" si="21">+O10+O17+O18</f>
        <v>20129.913345402467</v>
      </c>
      <c r="P20" s="178">
        <f t="shared" ca="1" si="21"/>
        <v>19722.546453527382</v>
      </c>
      <c r="Q20" s="178">
        <f t="shared" ca="1" si="21"/>
        <v>19217.681788154521</v>
      </c>
      <c r="R20" s="125"/>
      <c r="S20" s="125"/>
      <c r="T20" s="125"/>
      <c r="U20" s="125"/>
      <c r="V20" s="125"/>
      <c r="W20" s="125"/>
      <c r="X20" s="125"/>
      <c r="Y20" s="125"/>
    </row>
    <row r="21" spans="1:25" s="8" customFormat="1" ht="11.25" customHeight="1" x14ac:dyDescent="0.25">
      <c r="A21" s="229" t="s">
        <v>316</v>
      </c>
      <c r="B21" s="373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125"/>
      <c r="S21" s="125"/>
      <c r="T21" s="125"/>
      <c r="U21" s="125"/>
      <c r="V21" s="125"/>
      <c r="W21" s="125"/>
      <c r="X21" s="125"/>
      <c r="Y21" s="125"/>
    </row>
    <row r="22" spans="1:25" x14ac:dyDescent="0.25">
      <c r="A22" s="227" t="s">
        <v>322</v>
      </c>
      <c r="B22" s="4">
        <f>+PL!B22/Assumptions!B$6</f>
        <v>0</v>
      </c>
      <c r="C22" s="72">
        <f>+PL!C22/Assumptions!C$6*1000</f>
        <v>-1010.9123976962717</v>
      </c>
      <c r="D22" s="72">
        <f>+PL!D22/Assumptions!D$6*1000</f>
        <v>-1018.6954148471616</v>
      </c>
      <c r="E22" s="72">
        <f>+PL!E22/Assumptions!E$6*1000</f>
        <v>-1087.8866141732285</v>
      </c>
      <c r="F22" s="72">
        <f>+PL!F22/Assumptions!F$6*1000</f>
        <v>-1087.2746499416571</v>
      </c>
      <c r="G22" s="72">
        <f>+PL!G22/Assumptions!G$6*1000</f>
        <v>-1269.3121693121693</v>
      </c>
      <c r="H22" s="72">
        <f>+PL!H22/Assumptions!H$6*1000</f>
        <v>-1259.8292448292448</v>
      </c>
      <c r="I22" s="72">
        <f>+PL!I22/Assumptions!I$6*1000</f>
        <v>-3297.8448554812194</v>
      </c>
      <c r="J22" s="72">
        <f>+PL!J22/Assumptions!J$6*1000</f>
        <v>-3685.9995349003611</v>
      </c>
      <c r="K22" s="72">
        <f>+PL!K22/Assumptions!K$6*1000</f>
        <v>-3403.6705540612375</v>
      </c>
      <c r="L22" s="72">
        <f>+PL!L22/Assumptions!L$6*1000</f>
        <v>-3159.9519183495677</v>
      </c>
      <c r="M22" s="72">
        <f>+PL!M22/Assumptions!M$6*1000</f>
        <v>-2932.4162531469528</v>
      </c>
      <c r="N22" s="72">
        <f>+PL!N22/Assumptions!N$6*1000</f>
        <v>-2720.1354037799401</v>
      </c>
      <c r="O22" s="72">
        <f>+PL!O22/Assumptions!O$6*1000</f>
        <v>-2322.2844930367269</v>
      </c>
      <c r="P22" s="72">
        <f>+PL!P22/Assumptions!P$6*1000</f>
        <v>-1766.7286499362549</v>
      </c>
      <c r="Q22" s="72">
        <f>+PL!Q22/Assumptions!Q$6*1000</f>
        <v>-1606.1169544875049</v>
      </c>
    </row>
    <row r="23" spans="1:25" x14ac:dyDescent="0.25">
      <c r="A23" s="227" t="s">
        <v>76</v>
      </c>
      <c r="B23" s="4">
        <f>+PL!B23/Assumptions!B$6</f>
        <v>0</v>
      </c>
      <c r="C23" s="1">
        <f>+PL!C23/Assumptions!C$6*1000</f>
        <v>0</v>
      </c>
      <c r="D23" s="1">
        <f>+PL!D23/Assumptions!D$6*1000</f>
        <v>0</v>
      </c>
      <c r="E23" s="1">
        <f>+PL!E23/Assumptions!E$6*1000</f>
        <v>0</v>
      </c>
      <c r="F23" s="1">
        <f>+PL!F23/Assumptions!F$6*1000</f>
        <v>0</v>
      </c>
      <c r="G23" s="1">
        <f>+PL!G23/Assumptions!G$6*1000</f>
        <v>0</v>
      </c>
      <c r="H23" s="1">
        <f>+PL!H23/Assumptions!H$6*1000</f>
        <v>0</v>
      </c>
      <c r="I23" s="1">
        <f>+PL!I23/Assumptions!I$6*1000</f>
        <v>0</v>
      </c>
      <c r="J23" s="1">
        <f>+PL!J23/Assumptions!J$6*1000</f>
        <v>0</v>
      </c>
      <c r="K23" s="1">
        <f>+PL!K23/Assumptions!K$6*1000</f>
        <v>0</v>
      </c>
      <c r="L23" s="1">
        <f>+PL!L23/Assumptions!L$6*1000</f>
        <v>0</v>
      </c>
      <c r="M23" s="1">
        <f>+PL!M23/Assumptions!M$6*1000</f>
        <v>0</v>
      </c>
      <c r="N23" s="1">
        <f>+PL!N23/Assumptions!N$6*1000</f>
        <v>0</v>
      </c>
      <c r="O23" s="1">
        <f>+PL!O23/Assumptions!O$6*1000</f>
        <v>0</v>
      </c>
      <c r="P23" s="1">
        <f>+PL!P23/Assumptions!P$6*1000</f>
        <v>0</v>
      </c>
      <c r="Q23" s="1">
        <f>+PL!Q23/Assumptions!Q$6*1000</f>
        <v>0</v>
      </c>
    </row>
    <row r="24" spans="1:25" x14ac:dyDescent="0.25">
      <c r="A24" s="227" t="s">
        <v>323</v>
      </c>
      <c r="B24" s="4">
        <f>+B23+B22</f>
        <v>0</v>
      </c>
      <c r="C24" s="1">
        <f>+C23+C22</f>
        <v>-1010.9123976962717</v>
      </c>
      <c r="D24" s="1">
        <f t="shared" ref="D24:N24" si="22">+D23+D22</f>
        <v>-1018.6954148471616</v>
      </c>
      <c r="E24" s="1">
        <f t="shared" si="22"/>
        <v>-1087.8866141732285</v>
      </c>
      <c r="F24" s="1">
        <f t="shared" si="22"/>
        <v>-1087.2746499416571</v>
      </c>
      <c r="G24" s="1">
        <f t="shared" si="22"/>
        <v>-1269.3121693121693</v>
      </c>
      <c r="H24" s="1">
        <f t="shared" si="22"/>
        <v>-1259.8292448292448</v>
      </c>
      <c r="I24" s="1">
        <f t="shared" si="22"/>
        <v>-3297.8448554812194</v>
      </c>
      <c r="J24" s="1">
        <f t="shared" si="22"/>
        <v>-3685.9995349003611</v>
      </c>
      <c r="K24" s="1">
        <f t="shared" si="22"/>
        <v>-3403.6705540612375</v>
      </c>
      <c r="L24" s="1">
        <f t="shared" si="22"/>
        <v>-3159.9519183495677</v>
      </c>
      <c r="M24" s="1">
        <f t="shared" si="22"/>
        <v>-2932.4162531469528</v>
      </c>
      <c r="N24" s="1">
        <f t="shared" si="22"/>
        <v>-2720.1354037799401</v>
      </c>
      <c r="O24" s="1">
        <f t="shared" ref="O24:Q24" si="23">+O23+O22</f>
        <v>-2322.2844930367269</v>
      </c>
      <c r="P24" s="1">
        <f t="shared" si="23"/>
        <v>-1766.7286499362549</v>
      </c>
      <c r="Q24" s="1">
        <f t="shared" si="23"/>
        <v>-1606.1169544875049</v>
      </c>
    </row>
    <row r="25" spans="1:25" s="1" customFormat="1" ht="9" customHeight="1" x14ac:dyDescent="0.25">
      <c r="A25" s="225"/>
      <c r="B25" s="4"/>
      <c r="R25" s="125"/>
      <c r="S25" s="125"/>
      <c r="T25" s="125"/>
      <c r="U25" s="125"/>
      <c r="V25" s="125"/>
      <c r="W25" s="125"/>
      <c r="X25" s="125"/>
      <c r="Y25" s="125"/>
    </row>
    <row r="26" spans="1:25" s="8" customFormat="1" ht="18.75" x14ac:dyDescent="0.3">
      <c r="A26" s="228" t="s">
        <v>1</v>
      </c>
      <c r="B26" s="372">
        <f>+B20+B24</f>
        <v>6.0210898298377611</v>
      </c>
      <c r="C26" s="178">
        <f>+C20+C24</f>
        <v>30078.823886026072</v>
      </c>
      <c r="D26" s="178">
        <f t="shared" ref="D26:N26" si="24">+D20+D24</f>
        <v>2366.9486899563371</v>
      </c>
      <c r="E26" s="178">
        <f t="shared" si="24"/>
        <v>9928.1888480201596</v>
      </c>
      <c r="F26" s="178">
        <f t="shared" si="24"/>
        <v>7430.3712077012751</v>
      </c>
      <c r="G26" s="178">
        <f t="shared" ca="1" si="24"/>
        <v>8573.4484853815557</v>
      </c>
      <c r="H26" s="178">
        <f t="shared" ca="1" si="24"/>
        <v>6808.0729542622967</v>
      </c>
      <c r="I26" s="178">
        <f t="shared" ca="1" si="24"/>
        <v>10367.573671014645</v>
      </c>
      <c r="J26" s="178">
        <f t="shared" ca="1" si="24"/>
        <v>15557.476492098187</v>
      </c>
      <c r="K26" s="178">
        <f t="shared" ca="1" si="24"/>
        <v>16263.547966657221</v>
      </c>
      <c r="L26" s="178">
        <f t="shared" ca="1" si="24"/>
        <v>16870.578256324854</v>
      </c>
      <c r="M26" s="178">
        <f t="shared" ca="1" si="24"/>
        <v>17294.413882385459</v>
      </c>
      <c r="N26" s="178">
        <f t="shared" ca="1" si="24"/>
        <v>17536.597852479212</v>
      </c>
      <c r="O26" s="178">
        <f t="shared" ref="O26:Q26" ca="1" si="25">+O20+O24</f>
        <v>17807.628852365739</v>
      </c>
      <c r="P26" s="178">
        <f t="shared" ca="1" si="25"/>
        <v>17955.817803591126</v>
      </c>
      <c r="Q26" s="178">
        <f t="shared" ca="1" si="25"/>
        <v>17611.564833667017</v>
      </c>
      <c r="R26" s="125"/>
      <c r="S26" s="125"/>
      <c r="T26" s="125"/>
      <c r="U26" s="125"/>
      <c r="V26" s="125"/>
      <c r="W26" s="125"/>
      <c r="X26" s="125"/>
      <c r="Y26" s="125"/>
    </row>
    <row r="27" spans="1:25" s="8" customFormat="1" ht="11.25" customHeight="1" x14ac:dyDescent="0.25">
      <c r="A27" s="229" t="s">
        <v>317</v>
      </c>
      <c r="B27" s="373"/>
      <c r="C27" s="391"/>
      <c r="D27" s="391"/>
      <c r="E27" s="391"/>
      <c r="F27" s="391"/>
      <c r="G27" s="391"/>
      <c r="H27" s="391"/>
      <c r="I27" s="391"/>
      <c r="J27" s="391"/>
      <c r="K27" s="391"/>
      <c r="L27" s="391"/>
      <c r="M27" s="391"/>
      <c r="N27" s="391"/>
      <c r="O27" s="391"/>
      <c r="P27" s="391"/>
      <c r="Q27" s="391"/>
      <c r="R27" s="125"/>
      <c r="S27" s="125"/>
      <c r="T27" s="125"/>
      <c r="U27" s="125"/>
      <c r="V27" s="125"/>
      <c r="W27" s="125"/>
      <c r="X27" s="125"/>
      <c r="Y27" s="125"/>
    </row>
    <row r="28" spans="1:25" x14ac:dyDescent="0.25">
      <c r="A28" s="227" t="s">
        <v>324</v>
      </c>
      <c r="B28" s="374">
        <f>+PL!B28/Assumptions!B$6</f>
        <v>-0.60229521171349432</v>
      </c>
      <c r="C28" s="1">
        <f>+PL!C28/Assumptions!C$6*1000</f>
        <v>-125.80782055168157</v>
      </c>
      <c r="D28" s="1">
        <f>+PL!D28/Assumptions!D$6*1000</f>
        <v>-1407.6146288209609</v>
      </c>
      <c r="E28" s="1">
        <f>+PL!E28/Assumptions!E$6*1000</f>
        <v>-283.46456692913387</v>
      </c>
      <c r="F28" s="1">
        <f>+PL!F28/Assumptions!F$6*1000</f>
        <v>-519.83663943990666</v>
      </c>
      <c r="G28" s="1">
        <f ca="1">+PL!G28/Assumptions!G$6*1000</f>
        <v>-370.37037037037032</v>
      </c>
      <c r="H28" s="1">
        <f ca="1">+PL!H28/Assumptions!H$6*1000</f>
        <v>-687.2069148629148</v>
      </c>
      <c r="I28" s="1">
        <f ca="1">+PL!I28/Assumptions!I$6*1000</f>
        <v>-3318.6715536315537</v>
      </c>
      <c r="J28" s="1">
        <f ca="1">+PL!J28/Assumptions!J$6*1000</f>
        <v>-2949.9289118687848</v>
      </c>
      <c r="K28" s="1">
        <f ca="1">+PL!K28/Assumptions!K$6*1000</f>
        <v>-1835.3298302176013</v>
      </c>
      <c r="L28" s="1">
        <f ca="1">+PL!L28/Assumptions!L$6*1000</f>
        <v>-771.65256617172838</v>
      </c>
      <c r="M28" s="1">
        <f ca="1">+PL!M28/Assumptions!M$6*1000</f>
        <v>283.42020373401306</v>
      </c>
      <c r="N28" s="1">
        <f ca="1">+PL!N28/Assumptions!N$6*1000</f>
        <v>1323.6303940672947</v>
      </c>
      <c r="O28" s="1">
        <f ca="1">+PL!O28/Assumptions!O$6*1000</f>
        <v>2332.8481425751361</v>
      </c>
      <c r="P28" s="1">
        <f ca="1">+PL!P28/Assumptions!P$6*1000</f>
        <v>2913.0345405881462</v>
      </c>
      <c r="Q28" s="1">
        <f ca="1">+PL!Q28/Assumptions!Q$6*1000</f>
        <v>3394.2088850888758</v>
      </c>
    </row>
    <row r="29" spans="1:25" s="1" customFormat="1" ht="9" customHeight="1" x14ac:dyDescent="0.25">
      <c r="A29" s="225"/>
      <c r="B29" s="4"/>
      <c r="R29" s="125"/>
      <c r="S29" s="125"/>
      <c r="T29" s="125"/>
      <c r="U29" s="125"/>
      <c r="V29" s="125"/>
      <c r="W29" s="125"/>
      <c r="X29" s="125"/>
      <c r="Y29" s="125"/>
    </row>
    <row r="30" spans="1:25" x14ac:dyDescent="0.25">
      <c r="A30" s="227" t="s">
        <v>325</v>
      </c>
      <c r="B30" s="4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25" x14ac:dyDescent="0.25">
      <c r="A31" s="227" t="s">
        <v>326</v>
      </c>
      <c r="B31" s="4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25" x14ac:dyDescent="0.25">
      <c r="A32" s="231" t="s">
        <v>327</v>
      </c>
      <c r="B32" s="376">
        <f>+B31+B30</f>
        <v>0</v>
      </c>
      <c r="C32" s="8">
        <f>+C31+C30</f>
        <v>0</v>
      </c>
      <c r="D32" s="8">
        <f t="shared" ref="D32:N32" si="26">+D31+D30</f>
        <v>0</v>
      </c>
      <c r="E32" s="8">
        <f t="shared" si="26"/>
        <v>0</v>
      </c>
      <c r="F32" s="8">
        <f t="shared" si="26"/>
        <v>0</v>
      </c>
      <c r="G32" s="8">
        <f t="shared" si="26"/>
        <v>0</v>
      </c>
      <c r="H32" s="8">
        <f t="shared" si="26"/>
        <v>0</v>
      </c>
      <c r="I32" s="8">
        <f t="shared" si="26"/>
        <v>0</v>
      </c>
      <c r="J32" s="8">
        <f t="shared" si="26"/>
        <v>0</v>
      </c>
      <c r="K32" s="8">
        <f t="shared" si="26"/>
        <v>0</v>
      </c>
      <c r="L32" s="8">
        <f t="shared" si="26"/>
        <v>0</v>
      </c>
      <c r="M32" s="8">
        <f t="shared" si="26"/>
        <v>0</v>
      </c>
      <c r="N32" s="8">
        <f t="shared" si="26"/>
        <v>0</v>
      </c>
      <c r="O32" s="8">
        <f t="shared" ref="O32:Q32" si="27">+O31+O30</f>
        <v>0</v>
      </c>
      <c r="P32" s="8">
        <f t="shared" si="27"/>
        <v>0</v>
      </c>
      <c r="Q32" s="8">
        <f t="shared" si="27"/>
        <v>0</v>
      </c>
    </row>
    <row r="33" spans="1:25" s="8" customFormat="1" ht="11.25" customHeight="1" x14ac:dyDescent="0.25">
      <c r="A33" s="229"/>
      <c r="B33" s="373"/>
      <c r="C33" s="391"/>
      <c r="D33" s="391"/>
      <c r="E33" s="391"/>
      <c r="F33" s="391"/>
      <c r="G33" s="391"/>
      <c r="H33" s="391"/>
      <c r="I33" s="391"/>
      <c r="J33" s="391"/>
      <c r="K33" s="391"/>
      <c r="L33" s="391"/>
      <c r="M33" s="391"/>
      <c r="N33" s="391"/>
      <c r="O33" s="391"/>
      <c r="P33" s="391"/>
      <c r="Q33" s="391"/>
      <c r="R33" s="125"/>
      <c r="S33" s="125"/>
      <c r="T33" s="125"/>
      <c r="U33" s="125"/>
      <c r="V33" s="125"/>
      <c r="W33" s="125"/>
      <c r="X33" s="125"/>
      <c r="Y33" s="125"/>
    </row>
    <row r="34" spans="1:25" s="8" customFormat="1" ht="18.75" x14ac:dyDescent="0.3">
      <c r="A34" s="228" t="s">
        <v>13</v>
      </c>
      <c r="B34" s="372">
        <f>+B26+B28+B32</f>
        <v>5.4187946181242665</v>
      </c>
      <c r="C34" s="178">
        <f>+C32+C28+C26</f>
        <v>29953.016065474389</v>
      </c>
      <c r="D34" s="178">
        <f t="shared" ref="D34:N34" si="28">+D32+D28+D26</f>
        <v>959.33406113537626</v>
      </c>
      <c r="E34" s="178">
        <f t="shared" si="28"/>
        <v>9644.7242810910266</v>
      </c>
      <c r="F34" s="178">
        <f t="shared" si="28"/>
        <v>6910.5345682613688</v>
      </c>
      <c r="G34" s="178">
        <f t="shared" ca="1" si="28"/>
        <v>8203.0781150111852</v>
      </c>
      <c r="H34" s="178">
        <f t="shared" ca="1" si="28"/>
        <v>6120.8660393993814</v>
      </c>
      <c r="I34" s="178">
        <f t="shared" ca="1" si="28"/>
        <v>7048.9021173830915</v>
      </c>
      <c r="J34" s="178">
        <f t="shared" ca="1" si="28"/>
        <v>12607.547580229402</v>
      </c>
      <c r="K34" s="178">
        <f t="shared" ca="1" si="28"/>
        <v>14428.21813643962</v>
      </c>
      <c r="L34" s="178">
        <f t="shared" ca="1" si="28"/>
        <v>16098.925690153126</v>
      </c>
      <c r="M34" s="178">
        <f t="shared" ca="1" si="28"/>
        <v>17577.834086119474</v>
      </c>
      <c r="N34" s="178">
        <f t="shared" ca="1" si="28"/>
        <v>18860.228246546507</v>
      </c>
      <c r="O34" s="178">
        <f t="shared" ref="O34:Q34" ca="1" si="29">+O32+O28+O26</f>
        <v>20140.476994940873</v>
      </c>
      <c r="P34" s="178">
        <f t="shared" ca="1" si="29"/>
        <v>20868.852344179271</v>
      </c>
      <c r="Q34" s="178">
        <f t="shared" ca="1" si="29"/>
        <v>21005.773718755892</v>
      </c>
      <c r="R34" s="125"/>
      <c r="S34" s="125"/>
      <c r="T34" s="125"/>
      <c r="U34" s="125"/>
      <c r="V34" s="125"/>
      <c r="W34" s="125"/>
      <c r="X34" s="125"/>
      <c r="Y34" s="125"/>
    </row>
    <row r="35" spans="1:25" s="1" customFormat="1" ht="18" customHeight="1" x14ac:dyDescent="0.25">
      <c r="A35" s="227" t="s">
        <v>14</v>
      </c>
      <c r="B35" s="374">
        <f>+PL!B35/Assumptions!B$6</f>
        <v>-0.36565096952908588</v>
      </c>
      <c r="C35" s="1">
        <f>+PL!C35/Assumptions!C$6*1000</f>
        <v>-3757.9569566535351</v>
      </c>
      <c r="D35" s="1">
        <f>+PL!D35/Assumptions!D$6*1000</f>
        <v>-425.08187772925766</v>
      </c>
      <c r="E35" s="1">
        <f>+PL!E35/Assumptions!E$6*1000</f>
        <v>-1170.8598258331738</v>
      </c>
      <c r="F35" s="1">
        <f>+PL!F35/Assumptions!F$6*1000</f>
        <v>-799.47990810968474</v>
      </c>
      <c r="G35" s="1">
        <f ca="1">+PL!G35/Assumptions!G$6*1000</f>
        <v>-1159.3133358049697</v>
      </c>
      <c r="H35" s="1">
        <f ca="1">+PL!H35/Assumptions!H$6*1000</f>
        <v>-855.29584511251051</v>
      </c>
      <c r="I35" s="1">
        <f ca="1">+PL!I35/Assumptions!I$6*1000</f>
        <v>-963.10148302524044</v>
      </c>
      <c r="J35" s="1">
        <f ca="1">+PL!J35/Assumptions!J$6*1000</f>
        <v>-1650.4786460308135</v>
      </c>
      <c r="K35" s="1">
        <f ca="1">+PL!K35/Assumptions!K$6*1000</f>
        <v>-1871.2865384205363</v>
      </c>
      <c r="L35" s="1">
        <f ca="1">+PL!L35/Assumptions!L$6*1000</f>
        <v>-2073.9650488742127</v>
      </c>
      <c r="M35" s="1">
        <f ca="1">+PL!M35/Assumptions!M$6*1000</f>
        <v>-2253.2286585877296</v>
      </c>
      <c r="N35" s="1">
        <f ca="1">+PL!N35/Assumptions!N$6*1000</f>
        <v>-2408.4370742935821</v>
      </c>
      <c r="O35" s="1">
        <f ca="1">+PL!O35/Assumptions!O$6*1000</f>
        <v>-2563.8401184360346</v>
      </c>
      <c r="P35" s="1">
        <f ca="1">+PL!P35/Assumptions!P$6*1000</f>
        <v>-2650.679719448251</v>
      </c>
      <c r="Q35" s="1">
        <f ca="1">+PL!Q35/Assumptions!Q$6*1000</f>
        <v>-2663.9700570497976</v>
      </c>
      <c r="R35" s="125"/>
      <c r="S35" s="125"/>
      <c r="T35" s="125"/>
      <c r="U35" s="125"/>
      <c r="V35" s="125"/>
      <c r="W35" s="125"/>
      <c r="X35" s="125"/>
      <c r="Y35" s="125"/>
    </row>
    <row r="36" spans="1:25" s="8" customFormat="1" ht="21" thickBot="1" x14ac:dyDescent="0.35">
      <c r="A36" s="232" t="s">
        <v>318</v>
      </c>
      <c r="B36" s="377">
        <f>+B35+B34</f>
        <v>5.0531436485951806</v>
      </c>
      <c r="C36" s="233">
        <f>+C35+C34</f>
        <v>26195.059108820853</v>
      </c>
      <c r="D36" s="233">
        <f t="shared" ref="D36:N36" si="30">+D35+D34</f>
        <v>534.25218340611855</v>
      </c>
      <c r="E36" s="233">
        <f t="shared" si="30"/>
        <v>8473.8644552578535</v>
      </c>
      <c r="F36" s="233">
        <f t="shared" si="30"/>
        <v>6111.0546601516844</v>
      </c>
      <c r="G36" s="233">
        <f t="shared" ca="1" si="30"/>
        <v>7043.7647792062153</v>
      </c>
      <c r="H36" s="233">
        <f t="shared" ca="1" si="30"/>
        <v>5265.5701942868709</v>
      </c>
      <c r="I36" s="233">
        <f t="shared" ca="1" si="30"/>
        <v>6085.8006343578509</v>
      </c>
      <c r="J36" s="233">
        <f t="shared" ca="1" si="30"/>
        <v>10957.068934198589</v>
      </c>
      <c r="K36" s="233">
        <f t="shared" ca="1" si="30"/>
        <v>12556.931598019084</v>
      </c>
      <c r="L36" s="233">
        <f t="shared" ca="1" si="30"/>
        <v>14024.960641278914</v>
      </c>
      <c r="M36" s="233">
        <f t="shared" ca="1" si="30"/>
        <v>15324.605427531744</v>
      </c>
      <c r="N36" s="233">
        <f t="shared" ca="1" si="30"/>
        <v>16451.791172252924</v>
      </c>
      <c r="O36" s="233">
        <f t="shared" ref="O36:Q36" ca="1" si="31">+O35+O34</f>
        <v>17576.636876504839</v>
      </c>
      <c r="P36" s="233">
        <f t="shared" ca="1" si="31"/>
        <v>18218.172624731022</v>
      </c>
      <c r="Q36" s="233">
        <f t="shared" ca="1" si="31"/>
        <v>18341.803661706093</v>
      </c>
      <c r="R36" s="125"/>
      <c r="S36" s="125"/>
      <c r="T36" s="125"/>
      <c r="U36" s="125"/>
      <c r="V36" s="125"/>
      <c r="W36" s="125"/>
      <c r="X36" s="125"/>
      <c r="Y36" s="125"/>
    </row>
  </sheetData>
  <phoneticPr fontId="73" type="noConversion"/>
  <printOptions horizontalCentered="1" headings="1"/>
  <pageMargins left="0.5" right="0.5" top="0.75" bottom="0.75" header="0.3" footer="0.3"/>
  <pageSetup scale="6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7"/>
  <sheetViews>
    <sheetView workbookViewId="0"/>
  </sheetViews>
  <sheetFormatPr defaultRowHeight="15.75" x14ac:dyDescent="0.25"/>
  <cols>
    <col min="1" max="1" width="36.375" customWidth="1"/>
    <col min="4" max="4" width="9.5" customWidth="1"/>
    <col min="5" max="7" width="10.125" customWidth="1"/>
    <col min="8" max="8" width="10.375" customWidth="1"/>
    <col min="9" max="14" width="10.375" bestFit="1" customWidth="1"/>
  </cols>
  <sheetData>
    <row r="1" spans="1:14" ht="18.75" x14ac:dyDescent="0.25">
      <c r="A1" s="219" t="s">
        <v>557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1"/>
      <c r="N1" s="222"/>
    </row>
    <row r="2" spans="1:14" ht="18.75" x14ac:dyDescent="0.25">
      <c r="A2" s="223" t="s">
        <v>311</v>
      </c>
      <c r="B2" s="370">
        <v>2007</v>
      </c>
      <c r="C2" s="370">
        <v>2008</v>
      </c>
      <c r="D2" s="370">
        <v>2009</v>
      </c>
      <c r="E2" s="370">
        <v>2010</v>
      </c>
      <c r="F2" s="370">
        <v>2011</v>
      </c>
      <c r="G2" s="370">
        <v>2012</v>
      </c>
      <c r="H2" s="370">
        <v>2013</v>
      </c>
      <c r="I2" s="370">
        <v>2014</v>
      </c>
      <c r="J2" s="370">
        <v>2015</v>
      </c>
      <c r="K2" s="370">
        <v>2016</v>
      </c>
      <c r="L2" s="370">
        <v>2017</v>
      </c>
      <c r="M2" s="370">
        <v>2018</v>
      </c>
      <c r="N2" s="371">
        <v>2019</v>
      </c>
    </row>
    <row r="3" spans="1:14" x14ac:dyDescent="0.25">
      <c r="A3" s="225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4"/>
    </row>
    <row r="4" spans="1:14" x14ac:dyDescent="0.25">
      <c r="A4" s="226" t="s">
        <v>6</v>
      </c>
      <c r="B4" s="1"/>
      <c r="C4" s="1"/>
      <c r="D4" s="1"/>
      <c r="E4" s="1">
        <f>+E39</f>
        <v>0</v>
      </c>
      <c r="F4" s="1">
        <f t="shared" ref="F4:N4" si="0">+F39</f>
        <v>0</v>
      </c>
      <c r="G4" s="1">
        <f t="shared" si="0"/>
        <v>0</v>
      </c>
      <c r="H4" s="1">
        <f t="shared" si="0"/>
        <v>0</v>
      </c>
      <c r="I4" s="1">
        <f t="shared" si="0"/>
        <v>61762.166512200005</v>
      </c>
      <c r="J4" s="1">
        <f t="shared" si="0"/>
        <v>139895.33079060001</v>
      </c>
      <c r="K4" s="1">
        <f t="shared" si="0"/>
        <v>158350.00190763603</v>
      </c>
      <c r="L4" s="1">
        <f t="shared" si="0"/>
        <v>179492.59975628523</v>
      </c>
      <c r="M4" s="1">
        <f t="shared" si="0"/>
        <v>203280.21715558798</v>
      </c>
      <c r="N4" s="18">
        <f t="shared" si="0"/>
        <v>230187.21318736751</v>
      </c>
    </row>
    <row r="5" spans="1:14" x14ac:dyDescent="0.25">
      <c r="A5" s="227" t="s">
        <v>312</v>
      </c>
      <c r="B5" s="1"/>
      <c r="C5" s="1"/>
      <c r="D5" s="1"/>
      <c r="E5" s="1">
        <f t="shared" ref="E5:N5" si="1">+D5</f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N5" s="18">
        <f t="shared" si="1"/>
        <v>0</v>
      </c>
    </row>
    <row r="6" spans="1:14" ht="18.75" x14ac:dyDescent="0.3">
      <c r="A6" s="228" t="s">
        <v>7</v>
      </c>
      <c r="B6" s="178"/>
      <c r="C6" s="178"/>
      <c r="D6" s="178"/>
      <c r="E6" s="178">
        <f t="shared" ref="E6:N6" si="2">SUM(E3:E5)</f>
        <v>0</v>
      </c>
      <c r="F6" s="178">
        <f t="shared" si="2"/>
        <v>0</v>
      </c>
      <c r="G6" s="178">
        <f t="shared" si="2"/>
        <v>0</v>
      </c>
      <c r="H6" s="178">
        <f t="shared" si="2"/>
        <v>0</v>
      </c>
      <c r="I6" s="178">
        <f t="shared" si="2"/>
        <v>61762.166512200005</v>
      </c>
      <c r="J6" s="178">
        <f t="shared" si="2"/>
        <v>139895.33079060001</v>
      </c>
      <c r="K6" s="178">
        <f t="shared" si="2"/>
        <v>158350.00190763603</v>
      </c>
      <c r="L6" s="178">
        <f t="shared" si="2"/>
        <v>179492.59975628523</v>
      </c>
      <c r="M6" s="178">
        <f t="shared" si="2"/>
        <v>203280.21715558798</v>
      </c>
      <c r="N6" s="390">
        <f t="shared" si="2"/>
        <v>230187.21318736751</v>
      </c>
    </row>
    <row r="7" spans="1:14" x14ac:dyDescent="0.25">
      <c r="A7" s="229" t="s">
        <v>313</v>
      </c>
      <c r="B7" s="19"/>
      <c r="C7" s="177"/>
      <c r="D7" s="177"/>
      <c r="E7" s="177" t="e">
        <f t="shared" ref="E7:N7" si="3">+E6/D6-1</f>
        <v>#DIV/0!</v>
      </c>
      <c r="F7" s="177" t="e">
        <f t="shared" si="3"/>
        <v>#DIV/0!</v>
      </c>
      <c r="G7" s="177" t="e">
        <f t="shared" si="3"/>
        <v>#DIV/0!</v>
      </c>
      <c r="H7" s="177" t="e">
        <f t="shared" si="3"/>
        <v>#DIV/0!</v>
      </c>
      <c r="I7" s="177" t="e">
        <f t="shared" si="3"/>
        <v>#DIV/0!</v>
      </c>
      <c r="J7" s="177">
        <f t="shared" si="3"/>
        <v>1.2650651473336221</v>
      </c>
      <c r="K7" s="177">
        <f t="shared" si="3"/>
        <v>0.1319177059930583</v>
      </c>
      <c r="L7" s="177">
        <f t="shared" si="3"/>
        <v>0.13351814078904445</v>
      </c>
      <c r="M7" s="177">
        <f t="shared" si="3"/>
        <v>0.13252700908896276</v>
      </c>
      <c r="N7" s="394">
        <f t="shared" si="3"/>
        <v>0.13236406576241144</v>
      </c>
    </row>
    <row r="8" spans="1:14" ht="18.75" x14ac:dyDescent="0.3">
      <c r="A8" s="228" t="s">
        <v>0</v>
      </c>
      <c r="B8" s="178"/>
      <c r="C8" s="178"/>
      <c r="D8" s="178"/>
      <c r="E8" s="178">
        <f>-E42+E67*E62</f>
        <v>0</v>
      </c>
      <c r="F8" s="178">
        <f t="shared" ref="F8:N8" ca="1" si="4">-F42+F67*F62</f>
        <v>0</v>
      </c>
      <c r="G8" s="178">
        <f t="shared" ca="1" si="4"/>
        <v>0</v>
      </c>
      <c r="H8" s="178">
        <f t="shared" ca="1" si="4"/>
        <v>0</v>
      </c>
      <c r="I8" s="178">
        <f t="shared" ca="1" si="4"/>
        <v>-39917.957253993191</v>
      </c>
      <c r="J8" s="178">
        <f t="shared" ca="1" si="4"/>
        <v>-88551.750155564019</v>
      </c>
      <c r="K8" s="178">
        <f t="shared" ca="1" si="4"/>
        <v>-99242.834619611429</v>
      </c>
      <c r="L8" s="178">
        <f t="shared" ca="1" si="4"/>
        <v>-111238.48143557021</v>
      </c>
      <c r="M8" s="178">
        <f t="shared" ca="1" si="4"/>
        <v>-124684.24973737462</v>
      </c>
      <c r="N8" s="390">
        <f t="shared" ca="1" si="4"/>
        <v>-139763.20566787131</v>
      </c>
    </row>
    <row r="9" spans="1:14" x14ac:dyDescent="0.25">
      <c r="A9" s="230" t="s">
        <v>314</v>
      </c>
      <c r="B9" s="19"/>
      <c r="C9" s="177"/>
      <c r="D9" s="177"/>
      <c r="E9" s="177" t="e">
        <f t="shared" ref="E9:N9" si="5">+E8/D8-1</f>
        <v>#DIV/0!</v>
      </c>
      <c r="F9" s="177" t="e">
        <f t="shared" ca="1" si="5"/>
        <v>#DIV/0!</v>
      </c>
      <c r="G9" s="177" t="e">
        <f t="shared" ca="1" si="5"/>
        <v>#DIV/0!</v>
      </c>
      <c r="H9" s="177" t="e">
        <f t="shared" ca="1" si="5"/>
        <v>#DIV/0!</v>
      </c>
      <c r="I9" s="177" t="e">
        <f t="shared" ca="1" si="5"/>
        <v>#DIV/0!</v>
      </c>
      <c r="J9" s="177">
        <f t="shared" ca="1" si="5"/>
        <v>1.2183437291672972</v>
      </c>
      <c r="K9" s="177">
        <f t="shared" ca="1" si="5"/>
        <v>0.12073261618506415</v>
      </c>
      <c r="L9" s="177">
        <f t="shared" ca="1" si="5"/>
        <v>0.12087166657358162</v>
      </c>
      <c r="M9" s="177">
        <f t="shared" ca="1" si="5"/>
        <v>0.12087335361182761</v>
      </c>
      <c r="N9" s="394">
        <f t="shared" ca="1" si="5"/>
        <v>0.12093713490082236</v>
      </c>
    </row>
    <row r="10" spans="1:14" ht="18.75" x14ac:dyDescent="0.3">
      <c r="A10" s="228" t="s">
        <v>8</v>
      </c>
      <c r="B10" s="178"/>
      <c r="C10" s="178"/>
      <c r="D10" s="178"/>
      <c r="E10" s="178">
        <f t="shared" ref="E10:N10" si="6">+E6+E8</f>
        <v>0</v>
      </c>
      <c r="F10" s="178">
        <f t="shared" ca="1" si="6"/>
        <v>0</v>
      </c>
      <c r="G10" s="178">
        <f t="shared" ca="1" si="6"/>
        <v>0</v>
      </c>
      <c r="H10" s="178">
        <f t="shared" ca="1" si="6"/>
        <v>0</v>
      </c>
      <c r="I10" s="178">
        <f t="shared" ca="1" si="6"/>
        <v>21844.209258206814</v>
      </c>
      <c r="J10" s="178">
        <f t="shared" ca="1" si="6"/>
        <v>51343.580635035993</v>
      </c>
      <c r="K10" s="178">
        <f t="shared" ca="1" si="6"/>
        <v>59107.167288024604</v>
      </c>
      <c r="L10" s="178">
        <f t="shared" ca="1" si="6"/>
        <v>68254.118320715017</v>
      </c>
      <c r="M10" s="178">
        <f t="shared" ca="1" si="6"/>
        <v>78595.96741821336</v>
      </c>
      <c r="N10" s="390">
        <f t="shared" ca="1" si="6"/>
        <v>90424.007519496197</v>
      </c>
    </row>
    <row r="11" spans="1:14" x14ac:dyDescent="0.25">
      <c r="A11" s="229" t="s">
        <v>315</v>
      </c>
      <c r="B11" s="19"/>
      <c r="C11" s="177"/>
      <c r="D11" s="177"/>
      <c r="E11" s="177" t="e">
        <f t="shared" ref="E11:N11" si="7">+E10/D10-1</f>
        <v>#DIV/0!</v>
      </c>
      <c r="F11" s="177" t="e">
        <f t="shared" ca="1" si="7"/>
        <v>#DIV/0!</v>
      </c>
      <c r="G11" s="177" t="e">
        <f t="shared" ca="1" si="7"/>
        <v>#DIV/0!</v>
      </c>
      <c r="H11" s="177" t="e">
        <f t="shared" ca="1" si="7"/>
        <v>#DIV/0!</v>
      </c>
      <c r="I11" s="177" t="e">
        <f t="shared" ca="1" si="7"/>
        <v>#DIV/0!</v>
      </c>
      <c r="J11" s="177">
        <f t="shared" ca="1" si="7"/>
        <v>1.3504435444714638</v>
      </c>
      <c r="K11" s="177">
        <f t="shared" ca="1" si="7"/>
        <v>0.15120851637080546</v>
      </c>
      <c r="L11" s="177">
        <f t="shared" ca="1" si="7"/>
        <v>0.15475197767671789</v>
      </c>
      <c r="M11" s="177">
        <f t="shared" ca="1" si="7"/>
        <v>0.15151978154495627</v>
      </c>
      <c r="N11" s="394">
        <f t="shared" ca="1" si="7"/>
        <v>0.15049169174730292</v>
      </c>
    </row>
    <row r="12" spans="1:14" x14ac:dyDescent="0.25">
      <c r="A12" s="22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8"/>
    </row>
    <row r="13" spans="1:14" x14ac:dyDescent="0.25">
      <c r="A13" s="226" t="s">
        <v>9</v>
      </c>
      <c r="B13" s="39"/>
      <c r="C13" s="1"/>
      <c r="D13" s="1"/>
      <c r="E13" s="1">
        <f>-'operating expenses'!E43*E62</f>
        <v>0</v>
      </c>
      <c r="F13" s="1">
        <f>-'operating expenses'!F43*F62</f>
        <v>0</v>
      </c>
      <c r="G13" s="1">
        <f ca="1">-'operating expenses'!G43*G62</f>
        <v>0</v>
      </c>
      <c r="H13" s="1">
        <f ca="1">-'operating expenses'!H43*H62</f>
        <v>0</v>
      </c>
      <c r="I13" s="1">
        <f ca="1">-'operating expenses'!I43*I62</f>
        <v>-1083.3246597541074</v>
      </c>
      <c r="J13" s="1">
        <f ca="1">-'operating expenses'!J43*J62</f>
        <v>-2359.2300791571997</v>
      </c>
      <c r="K13" s="1">
        <f ca="1">-'operating expenses'!K43*K62</f>
        <v>-2664.875253357472</v>
      </c>
      <c r="L13" s="1">
        <f ca="1">-'operating expenses'!L43*L62</f>
        <v>-3015.9459738820879</v>
      </c>
      <c r="M13" s="1">
        <f ca="1">-'operating expenses'!M43*M62</f>
        <v>-3411.6302288228385</v>
      </c>
      <c r="N13" s="18">
        <f ca="1">-'operating expenses'!N43*N62</f>
        <v>-3860.5134734455473</v>
      </c>
    </row>
    <row r="14" spans="1:14" x14ac:dyDescent="0.25">
      <c r="A14" s="226" t="s">
        <v>10</v>
      </c>
      <c r="B14" s="39"/>
      <c r="C14" s="1"/>
      <c r="D14" s="1"/>
      <c r="E14" s="1">
        <f>-'operating expenses'!E24*E62</f>
        <v>0</v>
      </c>
      <c r="F14" s="1">
        <f>-'operating expenses'!F24*F62</f>
        <v>0</v>
      </c>
      <c r="G14" s="1">
        <f ca="1">-'operating expenses'!G24*G62</f>
        <v>0</v>
      </c>
      <c r="H14" s="1">
        <f ca="1">-'operating expenses'!H24*H62</f>
        <v>0</v>
      </c>
      <c r="I14" s="1">
        <f ca="1">-'operating expenses'!I24*I62</f>
        <v>-1431.0844056698297</v>
      </c>
      <c r="J14" s="1">
        <f ca="1">-'operating expenses'!J24*J62</f>
        <v>-3008.7117359741296</v>
      </c>
      <c r="K14" s="1">
        <f ca="1">-'operating expenses'!K24*K62</f>
        <v>-3566.5484073732032</v>
      </c>
      <c r="L14" s="1">
        <f ca="1">-'operating expenses'!L24*L62</f>
        <v>-4237.6129509428756</v>
      </c>
      <c r="M14" s="1">
        <f ca="1">-'operating expenses'!M24*M62</f>
        <v>-5038.1668468442749</v>
      </c>
      <c r="N14" s="18">
        <f ca="1">-'operating expenses'!N24*N62</f>
        <v>-5996.8593245136744</v>
      </c>
    </row>
    <row r="15" spans="1:14" x14ac:dyDescent="0.25">
      <c r="A15" s="227" t="s">
        <v>93</v>
      </c>
      <c r="B15" s="39"/>
      <c r="C15" s="1"/>
      <c r="D15" s="1"/>
      <c r="E15" s="1">
        <f>(-'operating expenses'!E87-E52)*E62</f>
        <v>0</v>
      </c>
      <c r="F15" s="1">
        <f>(-'operating expenses'!F87-F52)*F62</f>
        <v>0</v>
      </c>
      <c r="G15" s="1">
        <f ca="1">(-'operating expenses'!G87-G52)*G62</f>
        <v>0</v>
      </c>
      <c r="H15" s="1">
        <f ca="1">(-'operating expenses'!H87-H52)*H62</f>
        <v>0</v>
      </c>
      <c r="I15" s="1">
        <f ca="1">(-'operating expenses'!I87-I52)*I62</f>
        <v>-2710.7360239356217</v>
      </c>
      <c r="J15" s="1">
        <f ca="1">(-'operating expenses'!J87-J52)*J62</f>
        <v>-5131.9633307026725</v>
      </c>
      <c r="K15" s="1">
        <f ca="1">(-'operating expenses'!K87-K52)*K62</f>
        <v>-5370.5151615473051</v>
      </c>
      <c r="L15" s="1">
        <f ca="1">(-'operating expenses'!L87-L52)*L62</f>
        <v>-5652.8963487302317</v>
      </c>
      <c r="M15" s="1">
        <f ca="1">(-'operating expenses'!M87-M52)*M62</f>
        <v>-5976.6250385052108</v>
      </c>
      <c r="N15" s="18">
        <f ca="1">(-'operating expenses'!N87-N52)*N62</f>
        <v>-6350.0321352335322</v>
      </c>
    </row>
    <row r="16" spans="1:14" x14ac:dyDescent="0.25">
      <c r="A16" s="227" t="s">
        <v>321</v>
      </c>
      <c r="B16" s="39"/>
      <c r="C16" s="1"/>
      <c r="D16" s="1"/>
      <c r="E16" s="1">
        <f>+E44</f>
        <v>0</v>
      </c>
      <c r="F16" s="1">
        <f t="shared" ref="F16:N16" si="8">+F44</f>
        <v>0</v>
      </c>
      <c r="G16" s="1">
        <f t="shared" si="8"/>
        <v>0</v>
      </c>
      <c r="H16" s="1">
        <f t="shared" si="8"/>
        <v>0</v>
      </c>
      <c r="I16" s="1">
        <f t="shared" si="8"/>
        <v>-2161.6758279270002</v>
      </c>
      <c r="J16" s="1">
        <f t="shared" si="8"/>
        <v>-4896.3365776710007</v>
      </c>
      <c r="K16" s="1">
        <f t="shared" si="8"/>
        <v>-5542.2500667672621</v>
      </c>
      <c r="L16" s="1">
        <f t="shared" si="8"/>
        <v>-6282.2409914699838</v>
      </c>
      <c r="M16" s="1">
        <f t="shared" si="8"/>
        <v>-7114.8076004455797</v>
      </c>
      <c r="N16" s="18">
        <f t="shared" si="8"/>
        <v>-8056.5524615578634</v>
      </c>
    </row>
    <row r="17" spans="1:14" x14ac:dyDescent="0.25">
      <c r="A17" s="231" t="s">
        <v>320</v>
      </c>
      <c r="B17" s="8"/>
      <c r="C17" s="8"/>
      <c r="D17" s="8"/>
      <c r="E17" s="8">
        <f>SUM(E13:E16)</f>
        <v>0</v>
      </c>
      <c r="F17" s="8">
        <f t="shared" ref="F17:N17" si="9">SUM(F13:F16)</f>
        <v>0</v>
      </c>
      <c r="G17" s="8">
        <f t="shared" ca="1" si="9"/>
        <v>0</v>
      </c>
      <c r="H17" s="8">
        <f t="shared" ca="1" si="9"/>
        <v>0</v>
      </c>
      <c r="I17" s="8">
        <f t="shared" ca="1" si="9"/>
        <v>-7386.8209172865591</v>
      </c>
      <c r="J17" s="8">
        <f t="shared" ca="1" si="9"/>
        <v>-15396.241723505002</v>
      </c>
      <c r="K17" s="8">
        <f t="shared" ca="1" si="9"/>
        <v>-17144.188889045243</v>
      </c>
      <c r="L17" s="8">
        <f t="shared" ca="1" si="9"/>
        <v>-19188.696265025181</v>
      </c>
      <c r="M17" s="8">
        <f t="shared" ca="1" si="9"/>
        <v>-21541.229714617904</v>
      </c>
      <c r="N17" s="392">
        <f t="shared" ca="1" si="9"/>
        <v>-24263.957394750618</v>
      </c>
    </row>
    <row r="18" spans="1:14" x14ac:dyDescent="0.25">
      <c r="A18" s="231" t="s">
        <v>319</v>
      </c>
      <c r="B18" s="158"/>
      <c r="C18" s="158"/>
      <c r="D18" s="158"/>
      <c r="E18" s="158">
        <f>1500*E62</f>
        <v>0</v>
      </c>
      <c r="F18" s="158">
        <f t="shared" ref="F18:N18" si="10">1500*F62</f>
        <v>0</v>
      </c>
      <c r="G18" s="158">
        <f t="shared" ca="1" si="10"/>
        <v>0</v>
      </c>
      <c r="H18" s="158">
        <f t="shared" ca="1" si="10"/>
        <v>0</v>
      </c>
      <c r="I18" s="158">
        <f t="shared" ca="1" si="10"/>
        <v>323.11390406720869</v>
      </c>
      <c r="J18" s="158">
        <f t="shared" ca="1" si="10"/>
        <v>573.714482350401</v>
      </c>
      <c r="K18" s="158">
        <f t="shared" ca="1" si="10"/>
        <v>573.33861441001011</v>
      </c>
      <c r="L18" s="158">
        <f t="shared" ca="1" si="10"/>
        <v>573.29703651454736</v>
      </c>
      <c r="M18" s="158">
        <f t="shared" ca="1" si="10"/>
        <v>572.64390035601809</v>
      </c>
      <c r="N18" s="159">
        <f t="shared" ca="1" si="10"/>
        <v>571.72477924763007</v>
      </c>
    </row>
    <row r="19" spans="1:14" x14ac:dyDescent="0.25">
      <c r="A19" s="225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8"/>
    </row>
    <row r="20" spans="1:14" ht="18.75" x14ac:dyDescent="0.3">
      <c r="A20" s="228" t="s">
        <v>5</v>
      </c>
      <c r="B20" s="178"/>
      <c r="C20" s="178"/>
      <c r="D20" s="178"/>
      <c r="E20" s="178">
        <f t="shared" ref="E20:N20" si="11">+E10+E17+E18</f>
        <v>0</v>
      </c>
      <c r="F20" s="178">
        <f t="shared" ca="1" si="11"/>
        <v>0</v>
      </c>
      <c r="G20" s="178">
        <f t="shared" ca="1" si="11"/>
        <v>0</v>
      </c>
      <c r="H20" s="178">
        <f t="shared" ca="1" si="11"/>
        <v>0</v>
      </c>
      <c r="I20" s="178">
        <f t="shared" ca="1" si="11"/>
        <v>14780.502244987463</v>
      </c>
      <c r="J20" s="178">
        <f t="shared" ca="1" si="11"/>
        <v>36521.05339388139</v>
      </c>
      <c r="K20" s="178">
        <f t="shared" ca="1" si="11"/>
        <v>42536.317013389373</v>
      </c>
      <c r="L20" s="178">
        <f t="shared" ca="1" si="11"/>
        <v>49638.719092204381</v>
      </c>
      <c r="M20" s="178">
        <f t="shared" ca="1" si="11"/>
        <v>57627.381603951471</v>
      </c>
      <c r="N20" s="390">
        <f t="shared" ca="1" si="11"/>
        <v>66731.77490399321</v>
      </c>
    </row>
    <row r="21" spans="1:14" x14ac:dyDescent="0.25">
      <c r="A21" s="229" t="s">
        <v>316</v>
      </c>
      <c r="B21" s="19"/>
      <c r="C21" s="177"/>
      <c r="D21" s="177"/>
      <c r="E21" s="177" t="e">
        <f t="shared" ref="E21:N21" si="12">+E20/D20-1</f>
        <v>#DIV/0!</v>
      </c>
      <c r="F21" s="177" t="e">
        <f t="shared" ca="1" si="12"/>
        <v>#DIV/0!</v>
      </c>
      <c r="G21" s="177" t="e">
        <f t="shared" ca="1" si="12"/>
        <v>#DIV/0!</v>
      </c>
      <c r="H21" s="177" t="e">
        <f t="shared" ca="1" si="12"/>
        <v>#DIV/0!</v>
      </c>
      <c r="I21" s="177" t="e">
        <f t="shared" ca="1" si="12"/>
        <v>#DIV/0!</v>
      </c>
      <c r="J21" s="177">
        <f t="shared" ca="1" si="12"/>
        <v>1.4708939377392833</v>
      </c>
      <c r="K21" s="177">
        <f t="shared" ca="1" si="12"/>
        <v>0.16470673927811075</v>
      </c>
      <c r="L21" s="177">
        <f t="shared" ca="1" si="12"/>
        <v>0.1669726618921743</v>
      </c>
      <c r="M21" s="177">
        <f t="shared" ca="1" si="12"/>
        <v>0.16093611313595901</v>
      </c>
      <c r="N21" s="394">
        <f t="shared" ca="1" si="12"/>
        <v>0.15798728046698995</v>
      </c>
    </row>
    <row r="22" spans="1:14" x14ac:dyDescent="0.25">
      <c r="A22" s="227" t="s">
        <v>322</v>
      </c>
      <c r="B22" s="1"/>
      <c r="C22" s="182"/>
      <c r="D22" s="1"/>
      <c r="E22" s="1">
        <f>+Invest!E24*E62</f>
        <v>0</v>
      </c>
      <c r="F22" s="1">
        <f>+Invest!F24*F62</f>
        <v>0</v>
      </c>
      <c r="G22" s="1">
        <f ca="1">+Invest!G24*G62</f>
        <v>0</v>
      </c>
      <c r="H22" s="1">
        <f ca="1">+Invest!H24*H62</f>
        <v>0</v>
      </c>
      <c r="I22" s="1">
        <f ca="1">+Invest!I24*I62</f>
        <v>-1624.5825457398018</v>
      </c>
      <c r="J22" s="1">
        <f ca="1">+Invest!J24*J62</f>
        <v>-3546.497758117001</v>
      </c>
      <c r="K22" s="1">
        <f ca="1">+Invest!K24*K62</f>
        <v>-3599.9792353966386</v>
      </c>
      <c r="L22" s="1">
        <f ca="1">+Invest!L24*L62</f>
        <v>-3676.1577736694221</v>
      </c>
      <c r="M22" s="1">
        <f ca="1">+Invest!M24*M62</f>
        <v>-3748.3221828188489</v>
      </c>
      <c r="N22" s="18">
        <f ca="1">+Invest!N24*N62</f>
        <v>-3818.5359153057821</v>
      </c>
    </row>
    <row r="23" spans="1:14" x14ac:dyDescent="0.25">
      <c r="A23" s="227" t="s">
        <v>76</v>
      </c>
      <c r="B23" s="1"/>
      <c r="C23" s="1"/>
      <c r="D23" s="1"/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8">
        <v>0</v>
      </c>
    </row>
    <row r="24" spans="1:14" x14ac:dyDescent="0.25">
      <c r="A24" s="227" t="s">
        <v>323</v>
      </c>
      <c r="B24" s="1"/>
      <c r="C24" s="1"/>
      <c r="D24" s="1"/>
      <c r="E24" s="1">
        <f t="shared" ref="E24:N24" si="13">+E23+E22</f>
        <v>0</v>
      </c>
      <c r="F24" s="1">
        <f t="shared" si="13"/>
        <v>0</v>
      </c>
      <c r="G24" s="1">
        <f t="shared" ca="1" si="13"/>
        <v>0</v>
      </c>
      <c r="H24" s="1">
        <f t="shared" ca="1" si="13"/>
        <v>0</v>
      </c>
      <c r="I24" s="1">
        <f t="shared" ca="1" si="13"/>
        <v>-1624.5825457398018</v>
      </c>
      <c r="J24" s="1">
        <f t="shared" ca="1" si="13"/>
        <v>-3546.497758117001</v>
      </c>
      <c r="K24" s="1">
        <f t="shared" ca="1" si="13"/>
        <v>-3599.9792353966386</v>
      </c>
      <c r="L24" s="1">
        <f t="shared" ca="1" si="13"/>
        <v>-3676.1577736694221</v>
      </c>
      <c r="M24" s="1">
        <f t="shared" ca="1" si="13"/>
        <v>-3748.3221828188489</v>
      </c>
      <c r="N24" s="18">
        <f t="shared" ca="1" si="13"/>
        <v>-3818.5359153057821</v>
      </c>
    </row>
    <row r="25" spans="1:14" x14ac:dyDescent="0.25">
      <c r="A25" s="22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8"/>
    </row>
    <row r="26" spans="1:14" ht="18.75" x14ac:dyDescent="0.3">
      <c r="A26" s="228" t="s">
        <v>1</v>
      </c>
      <c r="B26" s="178"/>
      <c r="C26" s="178"/>
      <c r="D26" s="178"/>
      <c r="E26" s="178">
        <f t="shared" ref="E26:N26" si="14">+E20+E24</f>
        <v>0</v>
      </c>
      <c r="F26" s="178">
        <f t="shared" ca="1" si="14"/>
        <v>0</v>
      </c>
      <c r="G26" s="178">
        <f t="shared" ca="1" si="14"/>
        <v>0</v>
      </c>
      <c r="H26" s="178">
        <f t="shared" ca="1" si="14"/>
        <v>0</v>
      </c>
      <c r="I26" s="178">
        <f t="shared" ca="1" si="14"/>
        <v>13155.919699247661</v>
      </c>
      <c r="J26" s="178">
        <f t="shared" ca="1" si="14"/>
        <v>32974.555635764387</v>
      </c>
      <c r="K26" s="178">
        <f t="shared" ca="1" si="14"/>
        <v>38936.337777992732</v>
      </c>
      <c r="L26" s="178">
        <f t="shared" ca="1" si="14"/>
        <v>45962.561318534958</v>
      </c>
      <c r="M26" s="178">
        <f t="shared" ca="1" si="14"/>
        <v>53879.059421132624</v>
      </c>
      <c r="N26" s="390">
        <f t="shared" ca="1" si="14"/>
        <v>62913.23898868743</v>
      </c>
    </row>
    <row r="27" spans="1:14" x14ac:dyDescent="0.25">
      <c r="A27" s="229" t="s">
        <v>317</v>
      </c>
      <c r="B27" s="19"/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394"/>
    </row>
    <row r="28" spans="1:14" x14ac:dyDescent="0.25">
      <c r="A28" s="227" t="s">
        <v>324</v>
      </c>
      <c r="B28" s="39"/>
      <c r="C28" s="1"/>
      <c r="D28" s="1"/>
      <c r="E28" s="1">
        <f>+CF!E57*E62</f>
        <v>0</v>
      </c>
      <c r="F28" s="1">
        <f>+CF!F57*F62</f>
        <v>0</v>
      </c>
      <c r="G28" s="1">
        <f ca="1">+CF!G57*G62</f>
        <v>0</v>
      </c>
      <c r="H28" s="1">
        <f ca="1">+CF!H57*H62</f>
        <v>0</v>
      </c>
      <c r="I28" s="1">
        <f ca="1">+CF!I57*I62</f>
        <v>-1634.842182497483</v>
      </c>
      <c r="J28" s="1">
        <f ca="1">+CF!J57*J62</f>
        <v>-2838.2847511211021</v>
      </c>
      <c r="K28" s="1">
        <f ca="1">+CF!K57*K62</f>
        <v>-1941.1835469810071</v>
      </c>
      <c r="L28" s="1">
        <f ca="1">+CF!L57*L62</f>
        <v>-897.70877943793676</v>
      </c>
      <c r="M28" s="1">
        <f ca="1">+CF!M57*M62</f>
        <v>362.2781164083259</v>
      </c>
      <c r="N28" s="18">
        <f ca="1">+CF!N57*N62</f>
        <v>1858.1171331812154</v>
      </c>
    </row>
    <row r="29" spans="1:14" x14ac:dyDescent="0.25">
      <c r="A29" s="22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8"/>
    </row>
    <row r="30" spans="1:14" x14ac:dyDescent="0.25">
      <c r="A30" s="227" t="s">
        <v>325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8"/>
    </row>
    <row r="31" spans="1:14" x14ac:dyDescent="0.25">
      <c r="A31" s="227" t="s">
        <v>326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8"/>
    </row>
    <row r="32" spans="1:14" x14ac:dyDescent="0.25">
      <c r="A32" s="231" t="s">
        <v>327</v>
      </c>
      <c r="B32" s="8"/>
      <c r="C32" s="8"/>
      <c r="D32" s="8"/>
      <c r="E32" s="8">
        <f t="shared" ref="E32:N32" si="15">+E31+E30</f>
        <v>0</v>
      </c>
      <c r="F32" s="8">
        <f t="shared" si="15"/>
        <v>0</v>
      </c>
      <c r="G32" s="8">
        <f t="shared" si="15"/>
        <v>0</v>
      </c>
      <c r="H32" s="8">
        <f t="shared" si="15"/>
        <v>0</v>
      </c>
      <c r="I32" s="8">
        <f t="shared" si="15"/>
        <v>0</v>
      </c>
      <c r="J32" s="8">
        <f t="shared" si="15"/>
        <v>0</v>
      </c>
      <c r="K32" s="8">
        <f t="shared" si="15"/>
        <v>0</v>
      </c>
      <c r="L32" s="8">
        <f t="shared" si="15"/>
        <v>0</v>
      </c>
      <c r="M32" s="8">
        <f t="shared" si="15"/>
        <v>0</v>
      </c>
      <c r="N32" s="392">
        <f t="shared" si="15"/>
        <v>0</v>
      </c>
    </row>
    <row r="33" spans="1:14" x14ac:dyDescent="0.25">
      <c r="A33" s="229"/>
      <c r="B33" s="19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394"/>
    </row>
    <row r="34" spans="1:14" ht="18.75" x14ac:dyDescent="0.3">
      <c r="A34" s="228" t="s">
        <v>13</v>
      </c>
      <c r="B34" s="178"/>
      <c r="C34" s="178"/>
      <c r="D34" s="178"/>
      <c r="E34" s="178">
        <f t="shared" ref="E34:N34" si="16">+E32+E28+E26</f>
        <v>0</v>
      </c>
      <c r="F34" s="178">
        <f t="shared" ca="1" si="16"/>
        <v>0</v>
      </c>
      <c r="G34" s="178">
        <f t="shared" ca="1" si="16"/>
        <v>0</v>
      </c>
      <c r="H34" s="178">
        <f t="shared" ca="1" si="16"/>
        <v>0</v>
      </c>
      <c r="I34" s="178">
        <f t="shared" ca="1" si="16"/>
        <v>11521.077516750178</v>
      </c>
      <c r="J34" s="178">
        <f t="shared" ca="1" si="16"/>
        <v>30136.270884643287</v>
      </c>
      <c r="K34" s="178">
        <f t="shared" ca="1" si="16"/>
        <v>36995.154231011722</v>
      </c>
      <c r="L34" s="178">
        <f t="shared" ca="1" si="16"/>
        <v>45064.852539097017</v>
      </c>
      <c r="M34" s="178">
        <f t="shared" ca="1" si="16"/>
        <v>54241.337537540952</v>
      </c>
      <c r="N34" s="390">
        <f t="shared" ca="1" si="16"/>
        <v>64771.356121868645</v>
      </c>
    </row>
    <row r="35" spans="1:14" x14ac:dyDescent="0.25">
      <c r="A35" s="227" t="s">
        <v>14</v>
      </c>
      <c r="B35" s="39"/>
      <c r="C35" s="1"/>
      <c r="D35" s="1"/>
      <c r="E35" s="1">
        <f>+tax!E26*0</f>
        <v>0</v>
      </c>
      <c r="F35" s="1">
        <f>+tax!F26*0</f>
        <v>0</v>
      </c>
      <c r="G35" s="1">
        <f ca="1">+tax!G26*0</f>
        <v>0</v>
      </c>
      <c r="H35" s="1">
        <f ca="1">+tax!H26*0</f>
        <v>0</v>
      </c>
      <c r="I35" s="1">
        <f ca="1">+tax!I26*0</f>
        <v>0</v>
      </c>
      <c r="J35" s="1">
        <f ca="1">+tax!J26*0</f>
        <v>0</v>
      </c>
      <c r="K35" s="1">
        <f ca="1">+tax!K26*0</f>
        <v>0</v>
      </c>
      <c r="L35" s="1">
        <f ca="1">+tax!L26*0</f>
        <v>0</v>
      </c>
      <c r="M35" s="1">
        <f ca="1">+tax!M26*0</f>
        <v>0</v>
      </c>
      <c r="N35" s="18">
        <f ca="1">+tax!N26*0</f>
        <v>0</v>
      </c>
    </row>
    <row r="36" spans="1:14" ht="21" thickBot="1" x14ac:dyDescent="0.35">
      <c r="A36" s="232" t="s">
        <v>318</v>
      </c>
      <c r="B36" s="233"/>
      <c r="C36" s="233"/>
      <c r="D36" s="233"/>
      <c r="E36" s="233">
        <f t="shared" ref="E36:N36" si="17">+E35+E34</f>
        <v>0</v>
      </c>
      <c r="F36" s="233">
        <f t="shared" ca="1" si="17"/>
        <v>0</v>
      </c>
      <c r="G36" s="233">
        <f t="shared" ca="1" si="17"/>
        <v>0</v>
      </c>
      <c r="H36" s="233">
        <f t="shared" ca="1" si="17"/>
        <v>0</v>
      </c>
      <c r="I36" s="233">
        <f t="shared" ca="1" si="17"/>
        <v>11521.077516750178</v>
      </c>
      <c r="J36" s="233">
        <f t="shared" ca="1" si="17"/>
        <v>30136.270884643287</v>
      </c>
      <c r="K36" s="233">
        <f t="shared" ca="1" si="17"/>
        <v>36995.154231011722</v>
      </c>
      <c r="L36" s="233">
        <f t="shared" ca="1" si="17"/>
        <v>45064.852539097017</v>
      </c>
      <c r="M36" s="233">
        <f t="shared" ca="1" si="17"/>
        <v>54241.337537540952</v>
      </c>
      <c r="N36" s="393">
        <f t="shared" ca="1" si="17"/>
        <v>64771.356121868645</v>
      </c>
    </row>
    <row r="38" spans="1:14" x14ac:dyDescent="0.25">
      <c r="A38" s="166" t="s">
        <v>548</v>
      </c>
    </row>
    <row r="39" spans="1:14" x14ac:dyDescent="0.25">
      <c r="A39" s="166" t="s">
        <v>549</v>
      </c>
      <c r="D39" s="1"/>
      <c r="E39" s="1">
        <f>SUM(turnover!E219:E222)</f>
        <v>0</v>
      </c>
      <c r="F39" s="1">
        <f>SUM(turnover!F219:F222)</f>
        <v>0</v>
      </c>
      <c r="G39" s="1">
        <f>SUM(turnover!G219:G222)</f>
        <v>0</v>
      </c>
      <c r="H39" s="1">
        <f>SUM(turnover!H219:H222)</f>
        <v>0</v>
      </c>
      <c r="I39" s="1">
        <f>SUM(turnover!I219:I222)</f>
        <v>61762.166512200005</v>
      </c>
      <c r="J39" s="1">
        <f>SUM(turnover!J219:J222)</f>
        <v>139895.33079060001</v>
      </c>
      <c r="K39" s="1">
        <f>SUM(turnover!K219:K222)</f>
        <v>158350.00190763603</v>
      </c>
      <c r="L39" s="1">
        <f>SUM(turnover!L219:L222)</f>
        <v>179492.59975628523</v>
      </c>
      <c r="M39" s="1">
        <f>SUM(turnover!M219:M222)</f>
        <v>203280.21715558798</v>
      </c>
      <c r="N39" s="1">
        <f>SUM(turnover!N219:N222)</f>
        <v>230187.21318736751</v>
      </c>
    </row>
    <row r="40" spans="1:14" x14ac:dyDescent="0.25">
      <c r="A40" s="166" t="s">
        <v>550</v>
      </c>
      <c r="E40">
        <f>SUM(turnover!E145:E148)</f>
        <v>0</v>
      </c>
      <c r="F40">
        <f>SUM(turnover!F145:F148)</f>
        <v>0</v>
      </c>
      <c r="G40">
        <f>SUM(turnover!G145:G148)</f>
        <v>0</v>
      </c>
      <c r="H40">
        <f>SUM(turnover!H145:H148)</f>
        <v>0</v>
      </c>
      <c r="I40">
        <f>SUM(turnover!I145:I148)</f>
        <v>77</v>
      </c>
      <c r="J40">
        <f>SUM(turnover!J145:J148)</f>
        <v>154</v>
      </c>
      <c r="K40">
        <f>SUM(turnover!K145:K148)</f>
        <v>154</v>
      </c>
      <c r="L40">
        <f>SUM(turnover!L145:L148)</f>
        <v>154</v>
      </c>
      <c r="M40">
        <f>SUM(turnover!M145:M148)</f>
        <v>154</v>
      </c>
      <c r="N40">
        <f>SUM(turnover!N145:N148)</f>
        <v>154</v>
      </c>
    </row>
    <row r="41" spans="1:14" x14ac:dyDescent="0.25">
      <c r="A41" s="166" t="s">
        <v>551</v>
      </c>
      <c r="D41" s="100"/>
      <c r="E41" s="100">
        <f>SUM(turnover!E189:E192)</f>
        <v>0</v>
      </c>
      <c r="F41" s="100">
        <f>SUM(turnover!F189:F192)</f>
        <v>0</v>
      </c>
      <c r="G41" s="100">
        <f>SUM(turnover!G189:G192)</f>
        <v>0</v>
      </c>
      <c r="H41" s="100">
        <f>SUM(turnover!H189:H192)</f>
        <v>0</v>
      </c>
      <c r="I41" s="100">
        <f>SUM(turnover!I189:I192)</f>
        <v>13.270000000000001</v>
      </c>
      <c r="J41" s="100">
        <f>SUM(turnover!J189:J192)</f>
        <v>26.540000000000003</v>
      </c>
      <c r="K41" s="100">
        <f>SUM(turnover!K189:K192)</f>
        <v>26.540000000000003</v>
      </c>
      <c r="L41" s="100">
        <f>SUM(turnover!L189:L192)</f>
        <v>26.540000000000003</v>
      </c>
      <c r="M41" s="100">
        <f>SUM(turnover!M189:M192)</f>
        <v>26.540000000000003</v>
      </c>
      <c r="N41" s="100">
        <f>SUM(turnover!N189:N192)</f>
        <v>26.540000000000003</v>
      </c>
    </row>
    <row r="42" spans="1:14" x14ac:dyDescent="0.25">
      <c r="A42" s="166" t="s">
        <v>556</v>
      </c>
      <c r="D42" s="1"/>
      <c r="E42" s="1">
        <f>SUM(bom!BN195:BN198)/1000</f>
        <v>0</v>
      </c>
      <c r="F42" s="1">
        <f ca="1">SUM(bom!BO195:BO198)/1000</f>
        <v>0</v>
      </c>
      <c r="G42" s="1">
        <f ca="1">SUM(bom!BP195:BP198)/1000</f>
        <v>0</v>
      </c>
      <c r="H42" s="1">
        <f ca="1">SUM(bom!BQ195:BQ198)/1000</f>
        <v>0</v>
      </c>
      <c r="I42" s="1">
        <f ca="1">SUM(bom!BR195:BR198)/1000</f>
        <v>36176.082835625537</v>
      </c>
      <c r="J42" s="1">
        <f ca="1">SUM(bom!BS195:BS198)/1000</f>
        <v>81176.841723110396</v>
      </c>
      <c r="K42" s="1">
        <f ca="1">SUM(bom!BT195:BT198)/1000</f>
        <v>91062.05704346647</v>
      </c>
      <c r="L42" s="1">
        <f ca="1">SUM(bom!BU195:BU198)/1000</f>
        <v>102158.60297125281</v>
      </c>
      <c r="M42" s="1">
        <f ca="1">SUM(bom!BV195:BV198)/1000</f>
        <v>114617.16996911581</v>
      </c>
      <c r="N42" s="1">
        <f ca="1">SUM(bom!BW195:BW198)/1000</f>
        <v>128606.56832563305</v>
      </c>
    </row>
    <row r="43" spans="1:14" x14ac:dyDescent="0.25">
      <c r="A43" s="166" t="s">
        <v>552</v>
      </c>
      <c r="D43" s="1"/>
      <c r="E43" s="1">
        <f t="shared" ref="E43:N43" si="18">+E39-E42</f>
        <v>0</v>
      </c>
      <c r="F43" s="1">
        <f t="shared" ca="1" si="18"/>
        <v>0</v>
      </c>
      <c r="G43" s="1">
        <f t="shared" ca="1" si="18"/>
        <v>0</v>
      </c>
      <c r="H43" s="1">
        <f t="shared" ca="1" si="18"/>
        <v>0</v>
      </c>
      <c r="I43" s="1">
        <f t="shared" ca="1" si="18"/>
        <v>25586.083676574468</v>
      </c>
      <c r="J43" s="1">
        <f t="shared" ca="1" si="18"/>
        <v>58718.489067489616</v>
      </c>
      <c r="K43" s="1">
        <f t="shared" ca="1" si="18"/>
        <v>67287.944864169564</v>
      </c>
      <c r="L43" s="1">
        <f t="shared" ca="1" si="18"/>
        <v>77333.996785032417</v>
      </c>
      <c r="M43" s="1">
        <f t="shared" ca="1" si="18"/>
        <v>88663.047186472162</v>
      </c>
      <c r="N43" s="1">
        <f t="shared" ca="1" si="18"/>
        <v>101580.64486173446</v>
      </c>
    </row>
    <row r="44" spans="1:14" x14ac:dyDescent="0.25">
      <c r="A44" s="166" t="s">
        <v>558</v>
      </c>
      <c r="D44" s="1"/>
      <c r="E44" s="1">
        <f>-E39*0.035</f>
        <v>0</v>
      </c>
      <c r="F44" s="1">
        <f t="shared" ref="F44:N44" si="19">-F39*0.035</f>
        <v>0</v>
      </c>
      <c r="G44" s="1">
        <f t="shared" si="19"/>
        <v>0</v>
      </c>
      <c r="H44" s="1">
        <f t="shared" si="19"/>
        <v>0</v>
      </c>
      <c r="I44" s="1">
        <f t="shared" si="19"/>
        <v>-2161.6758279270002</v>
      </c>
      <c r="J44" s="1">
        <f t="shared" si="19"/>
        <v>-4896.3365776710007</v>
      </c>
      <c r="K44" s="1">
        <f t="shared" si="19"/>
        <v>-5542.2500667672621</v>
      </c>
      <c r="L44" s="1">
        <f t="shared" si="19"/>
        <v>-6282.2409914699838</v>
      </c>
      <c r="M44" s="1">
        <f t="shared" si="19"/>
        <v>-7114.8076004455797</v>
      </c>
      <c r="N44" s="1">
        <f t="shared" si="19"/>
        <v>-8056.5524615578634</v>
      </c>
    </row>
    <row r="46" spans="1:14" x14ac:dyDescent="0.25">
      <c r="A46" s="166" t="s">
        <v>553</v>
      </c>
    </row>
    <row r="47" spans="1:14" x14ac:dyDescent="0.25">
      <c r="A47" t="str">
        <f t="shared" ref="A47:A52" si="20">+A39</f>
        <v>SALES in UZS</v>
      </c>
      <c r="B47" s="1"/>
      <c r="C47" s="1"/>
      <c r="D47" s="1"/>
      <c r="E47" s="1">
        <f>+turnover!E239</f>
        <v>167560.19981090451</v>
      </c>
      <c r="F47" s="1">
        <f>+turnover!F239</f>
        <v>156584.47220800002</v>
      </c>
      <c r="G47" s="1">
        <f ca="1">+turnover!G239</f>
        <v>174459.34970816696</v>
      </c>
      <c r="H47" s="1">
        <f ca="1">+turnover!H239</f>
        <v>214935.45988046331</v>
      </c>
      <c r="I47" s="1">
        <f ca="1">+turnover!I239</f>
        <v>286720.0965422705</v>
      </c>
      <c r="J47" s="1">
        <f ca="1">+turnover!J239</f>
        <v>365762.0691850282</v>
      </c>
      <c r="K47" s="1">
        <f ca="1">+turnover!K239</f>
        <v>414283.97964417131</v>
      </c>
      <c r="L47" s="1">
        <f ca="1">+turnover!L239</f>
        <v>469632.46360265452</v>
      </c>
      <c r="M47" s="1">
        <f ca="1">+turnover!M239</f>
        <v>532478.08200490766</v>
      </c>
      <c r="N47" s="1">
        <f ca="1">+turnover!N239</f>
        <v>603928.38007726171</v>
      </c>
    </row>
    <row r="48" spans="1:14" x14ac:dyDescent="0.25">
      <c r="A48" t="str">
        <f t="shared" si="20"/>
        <v>SALES in natural Tons</v>
      </c>
      <c r="E48">
        <f>+turnover!E151</f>
        <v>464.178</v>
      </c>
      <c r="F48">
        <f>+turnover!F151</f>
        <v>379.59</v>
      </c>
      <c r="G48">
        <f>+turnover!G151</f>
        <v>338.4</v>
      </c>
      <c r="H48">
        <f>+turnover!H151</f>
        <v>381.61886956521738</v>
      </c>
      <c r="I48">
        <f>+turnover!I151</f>
        <v>437.19386956521737</v>
      </c>
      <c r="J48">
        <f>+turnover!J151</f>
        <v>490.46786956521737</v>
      </c>
      <c r="K48">
        <f>+turnover!K151</f>
        <v>490.46786956521737</v>
      </c>
      <c r="L48">
        <f>+turnover!L151</f>
        <v>490.46786956521737</v>
      </c>
      <c r="M48">
        <f>+turnover!M151</f>
        <v>490.46786956521737</v>
      </c>
      <c r="N48">
        <f>+turnover!N151</f>
        <v>490.46786956521743</v>
      </c>
    </row>
    <row r="49" spans="1:14" x14ac:dyDescent="0.25">
      <c r="A49" t="str">
        <f t="shared" si="20"/>
        <v>sales in P2O5</v>
      </c>
      <c r="C49" s="100"/>
      <c r="D49" s="100"/>
      <c r="E49" s="100">
        <f>+turnover!E195</f>
        <v>158.94608000000002</v>
      </c>
      <c r="F49" s="100">
        <f>+turnover!F195</f>
        <v>118.17699999999999</v>
      </c>
      <c r="G49" s="100">
        <f>+turnover!G195</f>
        <v>111.46600000000001</v>
      </c>
      <c r="H49" s="100">
        <f>+turnover!H195</f>
        <v>120.00062</v>
      </c>
      <c r="I49" s="100">
        <f>+turnover!I195</f>
        <v>125.38962000000001</v>
      </c>
      <c r="J49" s="100">
        <f>+turnover!J195</f>
        <v>130.00000000000003</v>
      </c>
      <c r="K49" s="100">
        <f>+turnover!K195</f>
        <v>130.00000000000003</v>
      </c>
      <c r="L49" s="100">
        <f>+turnover!L195</f>
        <v>130.00000000000003</v>
      </c>
      <c r="M49" s="100">
        <f>+turnover!M195</f>
        <v>130.00000000000003</v>
      </c>
      <c r="N49" s="100">
        <f>+turnover!N195</f>
        <v>130.00000000000003</v>
      </c>
    </row>
    <row r="50" spans="1:14" x14ac:dyDescent="0.25">
      <c r="A50" t="str">
        <f t="shared" si="20"/>
        <v>direct production costs</v>
      </c>
      <c r="D50" s="1"/>
      <c r="E50" s="1">
        <f>+bom!BN202/1000</f>
        <v>119226.39635658877</v>
      </c>
      <c r="F50" s="1">
        <f ca="1">+bom!BO202/1000</f>
        <v>102579.93627271439</v>
      </c>
      <c r="G50" s="1">
        <f ca="1">+bom!BP202/1000</f>
        <v>105825.59983101</v>
      </c>
      <c r="H50" s="1">
        <f ca="1">+bom!BQ202/1000</f>
        <v>127534.88286195582</v>
      </c>
      <c r="I50" s="1">
        <f ca="1">+bom!BR202/1000</f>
        <v>170796.62189126766</v>
      </c>
      <c r="J50" s="1">
        <f ca="1">+bom!BS202/1000</f>
        <v>217216.26907105988</v>
      </c>
      <c r="K50" s="1">
        <f ca="1">+bom!BT202/1000</f>
        <v>243741.28617754776</v>
      </c>
      <c r="L50" s="1">
        <f ca="1">+bom!BU202/1000</f>
        <v>273535.09301970591</v>
      </c>
      <c r="M50" s="1">
        <f ca="1">+bom!BV202/1000</f>
        <v>307007.87180476089</v>
      </c>
      <c r="N50" s="1">
        <f ca="1">+bom!BW202/1000</f>
        <v>344621.4165909873</v>
      </c>
    </row>
    <row r="51" spans="1:14" x14ac:dyDescent="0.25">
      <c r="A51" t="str">
        <f t="shared" si="20"/>
        <v>Industrial margin</v>
      </c>
      <c r="C51" s="1"/>
      <c r="D51" s="39"/>
      <c r="E51" s="39">
        <f t="shared" ref="E51:N51" si="21">+E47-E50</f>
        <v>48333.803454315741</v>
      </c>
      <c r="F51" s="39">
        <f t="shared" ca="1" si="21"/>
        <v>54004.535935285632</v>
      </c>
      <c r="G51" s="39">
        <f t="shared" ca="1" si="21"/>
        <v>68633.749877156966</v>
      </c>
      <c r="H51" s="39">
        <f t="shared" ca="1" si="21"/>
        <v>87400.577018507494</v>
      </c>
      <c r="I51" s="39">
        <f t="shared" ca="1" si="21"/>
        <v>115923.47465100285</v>
      </c>
      <c r="J51" s="39">
        <f t="shared" ca="1" si="21"/>
        <v>148545.80011396832</v>
      </c>
      <c r="K51" s="39">
        <f t="shared" ca="1" si="21"/>
        <v>170542.69346662355</v>
      </c>
      <c r="L51" s="39">
        <f t="shared" ca="1" si="21"/>
        <v>196097.37058294861</v>
      </c>
      <c r="M51" s="39">
        <f t="shared" ca="1" si="21"/>
        <v>225470.21020014677</v>
      </c>
      <c r="N51" s="39">
        <f t="shared" ca="1" si="21"/>
        <v>259306.96348627441</v>
      </c>
    </row>
    <row r="52" spans="1:14" x14ac:dyDescent="0.25">
      <c r="A52" t="str">
        <f t="shared" si="20"/>
        <v>taxes on sales</v>
      </c>
      <c r="C52" s="1"/>
      <c r="D52" s="39"/>
      <c r="E52" s="1">
        <f>-E47*0.035</f>
        <v>-5864.606993381658</v>
      </c>
      <c r="F52" s="1">
        <f t="shared" ref="F52:N52" si="22">-F47*0.035</f>
        <v>-5480.456527280001</v>
      </c>
      <c r="G52" s="1">
        <f t="shared" ca="1" si="22"/>
        <v>-6106.0772397858445</v>
      </c>
      <c r="H52" s="1">
        <f t="shared" ca="1" si="22"/>
        <v>-7522.7410958162163</v>
      </c>
      <c r="I52" s="1">
        <f t="shared" ca="1" si="22"/>
        <v>-10035.203378979468</v>
      </c>
      <c r="J52" s="1">
        <f t="shared" ca="1" si="22"/>
        <v>-12801.672421475989</v>
      </c>
      <c r="K52" s="1">
        <f t="shared" ca="1" si="22"/>
        <v>-14499.939287545998</v>
      </c>
      <c r="L52" s="1">
        <f t="shared" ca="1" si="22"/>
        <v>-16437.136226092909</v>
      </c>
      <c r="M52" s="1">
        <f t="shared" ca="1" si="22"/>
        <v>-18636.732870171771</v>
      </c>
      <c r="N52" s="1">
        <f t="shared" ca="1" si="22"/>
        <v>-21137.493302704162</v>
      </c>
    </row>
    <row r="54" spans="1:14" x14ac:dyDescent="0.25">
      <c r="A54" s="166" t="s">
        <v>554</v>
      </c>
    </row>
    <row r="55" spans="1:14" x14ac:dyDescent="0.25">
      <c r="A55" t="str">
        <f>+A39</f>
        <v>SALES in UZS</v>
      </c>
      <c r="B55">
        <v>1</v>
      </c>
      <c r="D55" s="407"/>
      <c r="E55" s="407">
        <f t="shared" ref="E55:N55" si="23">+E39/E47</f>
        <v>0</v>
      </c>
      <c r="F55" s="407">
        <f t="shared" si="23"/>
        <v>0</v>
      </c>
      <c r="G55" s="407">
        <f t="shared" ca="1" si="23"/>
        <v>0</v>
      </c>
      <c r="H55" s="407">
        <f t="shared" ca="1" si="23"/>
        <v>0</v>
      </c>
      <c r="I55" s="407">
        <f t="shared" ca="1" si="23"/>
        <v>0.21540926937813912</v>
      </c>
      <c r="J55" s="407">
        <f t="shared" ca="1" si="23"/>
        <v>0.38247632156693401</v>
      </c>
      <c r="K55" s="407">
        <f t="shared" ca="1" si="23"/>
        <v>0.38222574294000677</v>
      </c>
      <c r="L55" s="407">
        <f t="shared" ca="1" si="23"/>
        <v>0.38219802434303157</v>
      </c>
      <c r="M55" s="407">
        <f t="shared" ca="1" si="23"/>
        <v>0.38176260023734537</v>
      </c>
      <c r="N55" s="407">
        <f t="shared" ca="1" si="23"/>
        <v>0.38114985283175334</v>
      </c>
    </row>
    <row r="56" spans="1:14" x14ac:dyDescent="0.25">
      <c r="A56" t="str">
        <f>+A40</f>
        <v>SALES in natural Tons</v>
      </c>
      <c r="B56">
        <v>2</v>
      </c>
      <c r="D56" s="407"/>
      <c r="E56" s="407">
        <f t="shared" ref="E56:N56" si="24">+E40/E48</f>
        <v>0</v>
      </c>
      <c r="F56" s="407">
        <f t="shared" si="24"/>
        <v>0</v>
      </c>
      <c r="G56" s="407">
        <f t="shared" si="24"/>
        <v>0</v>
      </c>
      <c r="H56" s="407">
        <f t="shared" si="24"/>
        <v>0</v>
      </c>
      <c r="I56" s="407">
        <f t="shared" si="24"/>
        <v>0.17612323813363467</v>
      </c>
      <c r="J56" s="407">
        <f t="shared" si="24"/>
        <v>0.31398590928395703</v>
      </c>
      <c r="K56" s="407">
        <f t="shared" si="24"/>
        <v>0.31398590928395703</v>
      </c>
      <c r="L56" s="407">
        <f t="shared" si="24"/>
        <v>0.31398590928395703</v>
      </c>
      <c r="M56" s="407">
        <f t="shared" si="24"/>
        <v>0.31398590928395703</v>
      </c>
      <c r="N56" s="407">
        <f t="shared" si="24"/>
        <v>0.31398590928395698</v>
      </c>
    </row>
    <row r="57" spans="1:14" x14ac:dyDescent="0.25">
      <c r="A57" t="str">
        <f>+A41</f>
        <v>sales in P2O5</v>
      </c>
      <c r="B57">
        <v>3</v>
      </c>
      <c r="D57" s="407"/>
      <c r="E57" s="407">
        <f t="shared" ref="E57:N57" si="25">+E41/E49</f>
        <v>0</v>
      </c>
      <c r="F57" s="407">
        <f t="shared" si="25"/>
        <v>0</v>
      </c>
      <c r="G57" s="407">
        <f t="shared" si="25"/>
        <v>0</v>
      </c>
      <c r="H57" s="407">
        <f t="shared" si="25"/>
        <v>0</v>
      </c>
      <c r="I57" s="407">
        <f t="shared" si="25"/>
        <v>0.10583013171265693</v>
      </c>
      <c r="J57" s="407">
        <f t="shared" si="25"/>
        <v>0.20415384615384613</v>
      </c>
      <c r="K57" s="407">
        <f t="shared" si="25"/>
        <v>0.20415384615384613</v>
      </c>
      <c r="L57" s="407">
        <f t="shared" si="25"/>
        <v>0.20415384615384613</v>
      </c>
      <c r="M57" s="407">
        <f t="shared" si="25"/>
        <v>0.20415384615384613</v>
      </c>
      <c r="N57" s="407">
        <f t="shared" si="25"/>
        <v>0.20415384615384613</v>
      </c>
    </row>
    <row r="58" spans="1:14" x14ac:dyDescent="0.25">
      <c r="A58" t="str">
        <f>+A42</f>
        <v>direct production costs</v>
      </c>
      <c r="B58">
        <v>4</v>
      </c>
      <c r="D58" s="407"/>
      <c r="E58" s="407">
        <f t="shared" ref="E58:N58" si="26">+E42/E50</f>
        <v>0</v>
      </c>
      <c r="F58" s="407">
        <f t="shared" ca="1" si="26"/>
        <v>0</v>
      </c>
      <c r="G58" s="407">
        <f t="shared" ca="1" si="26"/>
        <v>0</v>
      </c>
      <c r="H58" s="407">
        <f t="shared" ca="1" si="26"/>
        <v>0</v>
      </c>
      <c r="I58" s="407">
        <f t="shared" ca="1" si="26"/>
        <v>0.21180795284496851</v>
      </c>
      <c r="J58" s="407">
        <f t="shared" ca="1" si="26"/>
        <v>0.373714372640082</v>
      </c>
      <c r="K58" s="407">
        <f t="shared" ca="1" si="26"/>
        <v>0.37360128221008237</v>
      </c>
      <c r="L58" s="407">
        <f t="shared" ca="1" si="26"/>
        <v>0.37347530747688429</v>
      </c>
      <c r="M58" s="407">
        <f t="shared" ca="1" si="26"/>
        <v>0.37333625778170815</v>
      </c>
      <c r="N58" s="407">
        <f t="shared" ca="1" si="26"/>
        <v>0.37318217073627002</v>
      </c>
    </row>
    <row r="59" spans="1:14" x14ac:dyDescent="0.25">
      <c r="A59" t="str">
        <f>+A43</f>
        <v>Industrial margin</v>
      </c>
      <c r="B59">
        <v>5</v>
      </c>
      <c r="D59" s="407"/>
      <c r="E59" s="407">
        <f t="shared" ref="E59:N59" si="27">+E43/E51</f>
        <v>0</v>
      </c>
      <c r="F59" s="407">
        <f t="shared" ca="1" si="27"/>
        <v>0</v>
      </c>
      <c r="G59" s="407">
        <f t="shared" ca="1" si="27"/>
        <v>0</v>
      </c>
      <c r="H59" s="407">
        <f t="shared" ca="1" si="27"/>
        <v>0</v>
      </c>
      <c r="I59" s="407">
        <f t="shared" ca="1" si="27"/>
        <v>0.22071529302933229</v>
      </c>
      <c r="J59" s="407">
        <f t="shared" ca="1" si="27"/>
        <v>0.39528878650516686</v>
      </c>
      <c r="K59" s="407">
        <f t="shared" ca="1" si="27"/>
        <v>0.39455190660125411</v>
      </c>
      <c r="L59" s="407">
        <f t="shared" ca="1" si="27"/>
        <v>0.39436529187075642</v>
      </c>
      <c r="M59" s="407">
        <f t="shared" ca="1" si="27"/>
        <v>0.39323619341006161</v>
      </c>
      <c r="N59" s="407">
        <f t="shared" ca="1" si="27"/>
        <v>0.39173897798973417</v>
      </c>
    </row>
    <row r="62" spans="1:14" ht="20.25" x14ac:dyDescent="0.3">
      <c r="A62" s="166" t="s">
        <v>555</v>
      </c>
      <c r="B62" s="408">
        <v>1</v>
      </c>
      <c r="D62" s="407"/>
      <c r="E62" s="407">
        <f t="shared" ref="E62:N62" si="28">VLOOKUP($B62,$B55:$N59,E2-2006,0)</f>
        <v>0</v>
      </c>
      <c r="F62" s="407">
        <f t="shared" si="28"/>
        <v>0</v>
      </c>
      <c r="G62" s="407">
        <f t="shared" ca="1" si="28"/>
        <v>0</v>
      </c>
      <c r="H62" s="407">
        <f t="shared" ca="1" si="28"/>
        <v>0</v>
      </c>
      <c r="I62" s="407">
        <f t="shared" ca="1" si="28"/>
        <v>0.21540926937813912</v>
      </c>
      <c r="J62" s="407">
        <f t="shared" ca="1" si="28"/>
        <v>0.38247632156693401</v>
      </c>
      <c r="K62" s="407">
        <f t="shared" ca="1" si="28"/>
        <v>0.38222574294000677</v>
      </c>
      <c r="L62" s="407">
        <f t="shared" ca="1" si="28"/>
        <v>0.38219802434303157</v>
      </c>
      <c r="M62" s="407">
        <f t="shared" ca="1" si="28"/>
        <v>0.38176260023734537</v>
      </c>
      <c r="N62" s="407">
        <f t="shared" ca="1" si="28"/>
        <v>0.38114985283175334</v>
      </c>
    </row>
    <row r="65" spans="1:14" x14ac:dyDescent="0.25">
      <c r="A65" s="166" t="s">
        <v>0</v>
      </c>
    </row>
    <row r="66" spans="1:14" x14ac:dyDescent="0.25">
      <c r="A66" t="str">
        <f>+cogs!A16</f>
        <v>. materials &amp; utilities</v>
      </c>
      <c r="E66" s="1">
        <f>+cogs!F16</f>
        <v>-119226.39635658877</v>
      </c>
      <c r="F66" s="1">
        <f ca="1">+cogs!G16</f>
        <v>-102579.93627271439</v>
      </c>
      <c r="G66" s="1">
        <f ca="1">+cogs!H16</f>
        <v>-105825.59983101</v>
      </c>
      <c r="H66" s="1">
        <f ca="1">+cogs!I16</f>
        <v>-127534.88286195582</v>
      </c>
      <c r="I66" s="1">
        <f ca="1">+cogs!J16</f>
        <v>-170796.62189126766</v>
      </c>
      <c r="J66" s="1">
        <f ca="1">+cogs!K16</f>
        <v>-217216.26907105988</v>
      </c>
      <c r="K66" s="1">
        <f ca="1">+cogs!L16</f>
        <v>-243741.28617754776</v>
      </c>
      <c r="L66" s="1">
        <f ca="1">+cogs!M16</f>
        <v>-273535.09301970591</v>
      </c>
      <c r="M66" s="1">
        <f ca="1">+cogs!N16</f>
        <v>-307007.87180476089</v>
      </c>
      <c r="N66" s="1">
        <f ca="1">+cogs!O16</f>
        <v>-344621.4165909873</v>
      </c>
    </row>
    <row r="67" spans="1:14" x14ac:dyDescent="0.25">
      <c r="A67" t="str">
        <f>+cogs!A17</f>
        <v>. Other costs</v>
      </c>
      <c r="E67" s="1">
        <f>+cogs!F17</f>
        <v>-8409</v>
      </c>
      <c r="F67" s="1">
        <f>+cogs!G17</f>
        <v>-11635</v>
      </c>
      <c r="G67" s="1">
        <f>+cogs!H17</f>
        <v>-14112</v>
      </c>
      <c r="H67" s="1">
        <f>+cogs!I17</f>
        <v>-15650</v>
      </c>
      <c r="I67" s="1">
        <f>+cogs!J17</f>
        <v>-17371</v>
      </c>
      <c r="J67" s="1">
        <f>+cogs!K17</f>
        <v>-19282</v>
      </c>
      <c r="K67" s="1">
        <f>+cogs!L17</f>
        <v>-21403</v>
      </c>
      <c r="L67" s="1">
        <f>+cogs!M17</f>
        <v>-23757</v>
      </c>
      <c r="M67" s="1">
        <f>+cogs!N17</f>
        <v>-26370</v>
      </c>
      <c r="N67" s="1">
        <f>+cogs!O17</f>
        <v>-29271</v>
      </c>
    </row>
  </sheetData>
  <phoneticPr fontId="9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4"/>
  <sheetViews>
    <sheetView workbookViewId="0"/>
  </sheetViews>
  <sheetFormatPr defaultRowHeight="15.75" x14ac:dyDescent="0.25"/>
  <cols>
    <col min="1" max="1" width="34.375" customWidth="1"/>
    <col min="2" max="2" width="18.625" customWidth="1"/>
    <col min="3" max="3" width="11" customWidth="1"/>
  </cols>
  <sheetData>
    <row r="1" spans="1:9" ht="18.75" x14ac:dyDescent="0.25">
      <c r="A1" s="219" t="s">
        <v>557</v>
      </c>
      <c r="B1" s="414"/>
      <c r="C1" s="413">
        <f>+Assumptions!H6</f>
        <v>2079</v>
      </c>
      <c r="D1" s="413">
        <f>+Assumptions!I6</f>
        <v>2286.9</v>
      </c>
      <c r="E1" s="413">
        <f>+Assumptions!J6</f>
        <v>2515.59</v>
      </c>
      <c r="F1" s="413">
        <f>+Assumptions!K6</f>
        <v>2767.1490000000003</v>
      </c>
      <c r="G1" s="413">
        <f>+Assumptions!L6</f>
        <v>3043.8639000000007</v>
      </c>
      <c r="H1" s="413">
        <f>+Assumptions!M6</f>
        <v>3348.2502900000009</v>
      </c>
      <c r="I1" s="413">
        <f>+Assumptions!N6</f>
        <v>3683.0753190000014</v>
      </c>
    </row>
    <row r="2" spans="1:9" ht="18.75" x14ac:dyDescent="0.25">
      <c r="A2" s="223" t="s">
        <v>524</v>
      </c>
      <c r="B2" s="415">
        <v>2012</v>
      </c>
      <c r="C2" s="370">
        <f>+'PL NPK'!H2</f>
        <v>2013</v>
      </c>
      <c r="D2" s="370">
        <f>+'PL NPK'!I2</f>
        <v>2014</v>
      </c>
      <c r="E2" s="370">
        <f>+'PL NPK'!J2</f>
        <v>2015</v>
      </c>
      <c r="F2" s="370">
        <f>+'PL NPK'!K2</f>
        <v>2016</v>
      </c>
      <c r="G2" s="370">
        <f>+'PL NPK'!L2</f>
        <v>2017</v>
      </c>
      <c r="H2" s="370">
        <f>+'PL NPK'!M2</f>
        <v>2018</v>
      </c>
      <c r="I2" s="370">
        <f>+'PL NPK'!N2</f>
        <v>2019</v>
      </c>
    </row>
    <row r="3" spans="1:9" x14ac:dyDescent="0.25">
      <c r="A3" s="225"/>
      <c r="B3" s="225"/>
      <c r="C3" s="423"/>
      <c r="D3" s="23"/>
      <c r="E3" s="1"/>
      <c r="F3" s="1"/>
      <c r="G3" s="1"/>
      <c r="H3" s="1"/>
      <c r="I3" s="1"/>
    </row>
    <row r="4" spans="1:9" x14ac:dyDescent="0.25">
      <c r="A4" s="226" t="s">
        <v>6</v>
      </c>
      <c r="B4" s="226"/>
      <c r="C4" s="226">
        <f>+'PL NPK'!H4/C$1*1000</f>
        <v>0</v>
      </c>
      <c r="D4" s="424">
        <f>+'PL NPK'!I4/D$1*1000</f>
        <v>27006.938000000002</v>
      </c>
      <c r="E4" s="1">
        <f>+'PL NPK'!J4/E$1*1000</f>
        <v>55611.34</v>
      </c>
      <c r="F4" s="1">
        <f>+'PL NPK'!K4/F$1*1000</f>
        <v>57224.964000000007</v>
      </c>
      <c r="G4" s="1">
        <f>+'PL NPK'!L4/G$1*1000</f>
        <v>58968.667999999991</v>
      </c>
      <c r="H4" s="1">
        <f>+'PL NPK'!M4/H$1*1000</f>
        <v>60712.372000000018</v>
      </c>
      <c r="I4" s="1">
        <f>+'PL NPK'!N4/I$1*1000</f>
        <v>62498.644</v>
      </c>
    </row>
    <row r="5" spans="1:9" x14ac:dyDescent="0.25">
      <c r="A5" s="227" t="s">
        <v>312</v>
      </c>
      <c r="B5" s="227"/>
      <c r="C5" s="227"/>
      <c r="D5" s="72"/>
      <c r="E5" s="1"/>
      <c r="F5" s="1"/>
      <c r="G5" s="1"/>
      <c r="H5" s="1"/>
      <c r="I5" s="1"/>
    </row>
    <row r="6" spans="1:9" ht="18.75" x14ac:dyDescent="0.3">
      <c r="A6" s="228" t="s">
        <v>7</v>
      </c>
      <c r="B6" s="228"/>
      <c r="C6" s="228">
        <f>+'PL NPK'!H6/C$1*1000</f>
        <v>0</v>
      </c>
      <c r="D6" s="178">
        <f>+'PL NPK'!I6/D$1*1000</f>
        <v>27006.938000000002</v>
      </c>
      <c r="E6" s="178">
        <f>+'PL NPK'!J6/E$1*1000</f>
        <v>55611.34</v>
      </c>
      <c r="F6" s="178">
        <f>+'PL NPK'!K6/F$1*1000</f>
        <v>57224.964000000007</v>
      </c>
      <c r="G6" s="178">
        <f>+'PL NPK'!L6/G$1*1000</f>
        <v>58968.667999999991</v>
      </c>
      <c r="H6" s="178">
        <f>+'PL NPK'!M6/H$1*1000</f>
        <v>60712.372000000018</v>
      </c>
      <c r="I6" s="178">
        <f>+'PL NPK'!N6/I$1*1000</f>
        <v>62498.644</v>
      </c>
    </row>
    <row r="7" spans="1:9" x14ac:dyDescent="0.25">
      <c r="A7" s="229" t="s">
        <v>313</v>
      </c>
      <c r="B7" s="229"/>
      <c r="C7" s="229"/>
      <c r="D7" s="179"/>
      <c r="E7" s="19"/>
      <c r="F7" s="177"/>
      <c r="G7" s="177"/>
      <c r="H7" s="177"/>
      <c r="I7" s="177"/>
    </row>
    <row r="8" spans="1:9" ht="18.75" x14ac:dyDescent="0.3">
      <c r="A8" s="228" t="s">
        <v>0</v>
      </c>
      <c r="B8" s="228"/>
      <c r="C8" s="228">
        <f ca="1">+'PL NPK'!H8/C$1*1000</f>
        <v>0</v>
      </c>
      <c r="D8" s="178">
        <f ca="1">+'PL NPK'!I8/D$1*1000</f>
        <v>-17455.051490661241</v>
      </c>
      <c r="E8" s="178">
        <f ca="1">+'PL NPK'!J8/E$1*1000</f>
        <v>-35201.185469636948</v>
      </c>
      <c r="F8" s="178">
        <f ca="1">+'PL NPK'!K8/F$1*1000</f>
        <v>-35864.651531092619</v>
      </c>
      <c r="G8" s="178">
        <f ca="1">+'PL NPK'!L8/G$1*1000</f>
        <v>-36545.156120669584</v>
      </c>
      <c r="H8" s="178">
        <f ca="1">+'PL NPK'!M8/H$1*1000</f>
        <v>-37238.628817493387</v>
      </c>
      <c r="I8" s="178">
        <f ca="1">+'PL NPK'!N8/I$1*1000</f>
        <v>-37947.419903923845</v>
      </c>
    </row>
    <row r="9" spans="1:9" x14ac:dyDescent="0.25">
      <c r="A9" s="230" t="s">
        <v>314</v>
      </c>
      <c r="B9" s="230"/>
      <c r="C9" s="230"/>
      <c r="D9" s="176"/>
      <c r="E9" s="19"/>
      <c r="F9" s="177"/>
      <c r="G9" s="177"/>
      <c r="H9" s="177"/>
      <c r="I9" s="177"/>
    </row>
    <row r="10" spans="1:9" ht="18.75" x14ac:dyDescent="0.3">
      <c r="A10" s="228" t="s">
        <v>8</v>
      </c>
      <c r="B10" s="228"/>
      <c r="C10" s="228">
        <f ca="1">+'PL NPK'!H10/C$1*1000</f>
        <v>0</v>
      </c>
      <c r="D10" s="178">
        <f ca="1">+'PL NPK'!I10/D$1*1000</f>
        <v>9551.8865093387612</v>
      </c>
      <c r="E10" s="178">
        <f ca="1">+'PL NPK'!J10/E$1*1000</f>
        <v>20410.154530363052</v>
      </c>
      <c r="F10" s="178">
        <f ca="1">+'PL NPK'!K10/F$1*1000</f>
        <v>21360.312468907385</v>
      </c>
      <c r="G10" s="178">
        <f ca="1">+'PL NPK'!L10/G$1*1000</f>
        <v>22423.511879330414</v>
      </c>
      <c r="H10" s="178">
        <f ca="1">+'PL NPK'!M10/H$1*1000</f>
        <v>23473.743182506627</v>
      </c>
      <c r="I10" s="178">
        <f ca="1">+'PL NPK'!N10/I$1*1000</f>
        <v>24551.224096076156</v>
      </c>
    </row>
    <row r="11" spans="1:9" x14ac:dyDescent="0.25">
      <c r="A11" s="229" t="s">
        <v>315</v>
      </c>
      <c r="B11" s="229"/>
      <c r="C11" s="229"/>
      <c r="D11" s="179"/>
      <c r="E11" s="19"/>
      <c r="F11" s="177"/>
      <c r="G11" s="177"/>
      <c r="H11" s="177"/>
      <c r="I11" s="177"/>
    </row>
    <row r="12" spans="1:9" x14ac:dyDescent="0.25">
      <c r="A12" s="225"/>
      <c r="B12" s="225"/>
      <c r="C12" s="225"/>
      <c r="D12" s="1"/>
      <c r="E12" s="1"/>
      <c r="F12" s="1"/>
      <c r="G12" s="1"/>
      <c r="H12" s="1"/>
      <c r="I12" s="1"/>
    </row>
    <row r="13" spans="1:9" x14ac:dyDescent="0.25">
      <c r="A13" s="226" t="s">
        <v>9</v>
      </c>
      <c r="B13" s="226"/>
      <c r="C13" s="226">
        <f ca="1">+'PL NPK'!H13/C$1*1000</f>
        <v>0</v>
      </c>
      <c r="D13" s="424">
        <f ca="1">+'PL NPK'!I13/D$1*1000</f>
        <v>-473.70880220128009</v>
      </c>
      <c r="E13" s="39">
        <f ca="1">+'PL NPK'!J13/E$1*1000</f>
        <v>-937.84363873174868</v>
      </c>
      <c r="F13" s="1">
        <f ca="1">+'PL NPK'!K13/F$1*1000</f>
        <v>-963.04002905426194</v>
      </c>
      <c r="G13" s="1">
        <f ca="1">+'PL NPK'!L13/G$1*1000</f>
        <v>-990.82812930042212</v>
      </c>
      <c r="H13" s="1">
        <f ca="1">+'PL NPK'!M13/H$1*1000</f>
        <v>-1018.9292715099973</v>
      </c>
      <c r="I13" s="1">
        <f ca="1">+'PL NPK'!N13/I$1*1000</f>
        <v>-1048.1766293320666</v>
      </c>
    </row>
    <row r="14" spans="1:9" x14ac:dyDescent="0.25">
      <c r="A14" s="226" t="s">
        <v>10</v>
      </c>
      <c r="B14" s="226"/>
      <c r="C14" s="226">
        <f ca="1">+'PL NPK'!H14/C$1*1000</f>
        <v>0</v>
      </c>
      <c r="D14" s="424">
        <f ca="1">+'PL NPK'!I14/D$1*1000</f>
        <v>-625.77480679952328</v>
      </c>
      <c r="E14" s="39">
        <f ca="1">+'PL NPK'!J14/E$1*1000</f>
        <v>-1196.0262745416103</v>
      </c>
      <c r="F14" s="1">
        <f ca="1">+'PL NPK'!K14/F$1*1000</f>
        <v>-1288.8891806596619</v>
      </c>
      <c r="G14" s="1">
        <f ca="1">+'PL NPK'!L14/G$1*1000</f>
        <v>-1392.1821376254288</v>
      </c>
      <c r="H14" s="1">
        <f ca="1">+'PL NPK'!M14/H$1*1000</f>
        <v>-1504.7163176216059</v>
      </c>
      <c r="I14" s="1">
        <f ca="1">+'PL NPK'!N14/I$1*1000</f>
        <v>-1628.2206593977266</v>
      </c>
    </row>
    <row r="15" spans="1:9" x14ac:dyDescent="0.25">
      <c r="A15" s="227" t="s">
        <v>93</v>
      </c>
      <c r="B15" s="227"/>
      <c r="C15" s="227">
        <f ca="1">+'PL NPK'!H15/C$1*1000</f>
        <v>0</v>
      </c>
      <c r="D15" s="72">
        <f ca="1">+'PL NPK'!I15/D$1*1000</f>
        <v>-1185.3321194348775</v>
      </c>
      <c r="E15" s="39">
        <f ca="1">+'PL NPK'!J15/E$1*1000</f>
        <v>-2040.0634963180298</v>
      </c>
      <c r="F15" s="1">
        <f ca="1">+'PL NPK'!K15/F$1*1000</f>
        <v>-1940.8117024227117</v>
      </c>
      <c r="G15" s="1">
        <f ca="1">+'PL NPK'!L15/G$1*1000</f>
        <v>-1857.1449100369534</v>
      </c>
      <c r="H15" s="1">
        <f ca="1">+'PL NPK'!M15/H$1*1000</f>
        <v>-1784.9994835676425</v>
      </c>
      <c r="I15" s="1">
        <f ca="1">+'PL NPK'!N15/I$1*1000</f>
        <v>-1724.1113974714049</v>
      </c>
    </row>
    <row r="16" spans="1:9" x14ac:dyDescent="0.25">
      <c r="A16" s="227" t="s">
        <v>321</v>
      </c>
      <c r="B16" s="227"/>
      <c r="C16" s="227">
        <f>+'PL NPK'!H16/C$1*1000</f>
        <v>0</v>
      </c>
      <c r="D16" s="72">
        <f>+'PL NPK'!I16/D$1*1000</f>
        <v>-945.24283000000014</v>
      </c>
      <c r="E16" s="39">
        <f>+'PL NPK'!J16/E$1*1000</f>
        <v>-1946.3969000000002</v>
      </c>
      <c r="F16" s="1">
        <f>+'PL NPK'!K16/F$1*1000</f>
        <v>-2002.8737400000005</v>
      </c>
      <c r="G16" s="1">
        <f>+'PL NPK'!L16/G$1*1000</f>
        <v>-2063.9033800000002</v>
      </c>
      <c r="H16" s="1">
        <f>+'PL NPK'!M16/H$1*1000</f>
        <v>-2124.9330200000009</v>
      </c>
      <c r="I16" s="1">
        <f>+'PL NPK'!N16/I$1*1000</f>
        <v>-2187.4525400000002</v>
      </c>
    </row>
    <row r="17" spans="1:9" x14ac:dyDescent="0.25">
      <c r="A17" s="231" t="s">
        <v>320</v>
      </c>
      <c r="B17" s="231"/>
      <c r="C17" s="231">
        <f ca="1">+'PL NPK'!H17/C$1*1000</f>
        <v>0</v>
      </c>
      <c r="D17" s="8">
        <f ca="1">+'PL NPK'!I17/D$1*1000</f>
        <v>-3230.0585584356809</v>
      </c>
      <c r="E17" s="8">
        <f ca="1">+'PL NPK'!J17/E$1*1000</f>
        <v>-6120.330309591388</v>
      </c>
      <c r="F17" s="8">
        <f ca="1">+'PL NPK'!K17/F$1*1000</f>
        <v>-6195.6146521366363</v>
      </c>
      <c r="G17" s="8">
        <f ca="1">+'PL NPK'!L17/G$1*1000</f>
        <v>-6304.0585569628056</v>
      </c>
      <c r="H17" s="8">
        <f ca="1">+'PL NPK'!M17/H$1*1000</f>
        <v>-6433.5780926992466</v>
      </c>
      <c r="I17" s="8">
        <f ca="1">+'PL NPK'!N17/I$1*1000</f>
        <v>-6587.9612262011979</v>
      </c>
    </row>
    <row r="18" spans="1:9" x14ac:dyDescent="0.25">
      <c r="A18" s="231" t="s">
        <v>319</v>
      </c>
      <c r="B18" s="231"/>
      <c r="C18" s="231">
        <f ca="1">+'PL NPK'!H18/C$1*1000</f>
        <v>0</v>
      </c>
      <c r="D18" s="8">
        <f ca="1">+'PL NPK'!I18/D$1*1000</f>
        <v>141.28903934024606</v>
      </c>
      <c r="E18" s="158">
        <f ca="1">+'PL NPK'!J18/E$1*1000</f>
        <v>228.06358840288001</v>
      </c>
      <c r="F18" s="158">
        <f ca="1">+'PL NPK'!K18/F$1*1000</f>
        <v>207.19470271026609</v>
      </c>
      <c r="G18" s="158">
        <f ca="1">+'PL NPK'!L18/G$1*1000</f>
        <v>188.34516106799231</v>
      </c>
      <c r="H18" s="158">
        <f ca="1">+'PL NPK'!M18/H$1*1000</f>
        <v>171.02780579644718</v>
      </c>
      <c r="I18" s="158">
        <f ca="1">+'PL NPK'!N18/I$1*1000</f>
        <v>155.23027082782011</v>
      </c>
    </row>
    <row r="19" spans="1:9" x14ac:dyDescent="0.25">
      <c r="A19" s="225"/>
      <c r="B19" s="225"/>
      <c r="C19" s="225"/>
      <c r="D19" s="1"/>
      <c r="E19" s="1"/>
      <c r="F19" s="1"/>
      <c r="G19" s="1"/>
      <c r="H19" s="1"/>
      <c r="I19" s="1"/>
    </row>
    <row r="20" spans="1:9" ht="18.75" x14ac:dyDescent="0.3">
      <c r="A20" s="228" t="s">
        <v>5</v>
      </c>
      <c r="B20" s="417">
        <v>-14000</v>
      </c>
      <c r="C20" s="228">
        <f ca="1">+'PL NPK'!H20/C$1*1000</f>
        <v>0</v>
      </c>
      <c r="D20" s="178">
        <f ca="1">+'PL NPK'!I20/D$1*1000</f>
        <v>6463.1169902433257</v>
      </c>
      <c r="E20" s="178">
        <f ca="1">+'PL NPK'!J20/E$1*1000</f>
        <v>14517.887809174543</v>
      </c>
      <c r="F20" s="178">
        <f ca="1">+'PL NPK'!K20/F$1*1000</f>
        <v>15371.892519481014</v>
      </c>
      <c r="G20" s="178">
        <f ca="1">+'PL NPK'!L20/G$1*1000</f>
        <v>16307.798483435601</v>
      </c>
      <c r="H20" s="178">
        <f ca="1">+'PL NPK'!M20/H$1*1000</f>
        <v>17211.192895603825</v>
      </c>
      <c r="I20" s="178">
        <f ca="1">+'PL NPK'!N20/I$1*1000</f>
        <v>18118.493140702776</v>
      </c>
    </row>
    <row r="21" spans="1:9" x14ac:dyDescent="0.25">
      <c r="A21" s="229" t="s">
        <v>316</v>
      </c>
      <c r="B21" s="229"/>
      <c r="C21" s="229"/>
      <c r="D21" s="179"/>
      <c r="E21" s="19"/>
      <c r="F21" s="177"/>
      <c r="G21" s="177"/>
      <c r="H21" s="177"/>
      <c r="I21" s="177"/>
    </row>
    <row r="22" spans="1:9" x14ac:dyDescent="0.25">
      <c r="A22" s="227" t="s">
        <v>322</v>
      </c>
      <c r="B22" s="227"/>
      <c r="C22" s="227">
        <f ca="1">+'PL NPK'!H22/C$1*1000</f>
        <v>0</v>
      </c>
      <c r="D22" s="72">
        <f ca="1">+'PL NPK'!I22/D$1*1000</f>
        <v>-710.38635084166413</v>
      </c>
      <c r="E22" s="1">
        <f ca="1">+'PL NPK'!J22/E$1*1000</f>
        <v>-1409.8075434061197</v>
      </c>
      <c r="F22" s="182">
        <f ca="1">+'PL NPK'!K22/F$1*1000</f>
        <v>-1300.9705062490812</v>
      </c>
      <c r="G22" s="1">
        <f ca="1">+'PL NPK'!L22/G$1*1000</f>
        <v>-1207.7273802121774</v>
      </c>
      <c r="H22" s="1">
        <f ca="1">+'PL NPK'!M22/H$1*1000</f>
        <v>-1119.4868537796342</v>
      </c>
      <c r="I22" s="1">
        <f ca="1">+'PL NPK'!N22/I$1*1000</f>
        <v>-1036.779208833166</v>
      </c>
    </row>
    <row r="23" spans="1:9" x14ac:dyDescent="0.25">
      <c r="A23" s="227" t="s">
        <v>76</v>
      </c>
      <c r="B23" s="227"/>
      <c r="C23" s="227"/>
      <c r="D23" s="72"/>
      <c r="E23" s="1"/>
      <c r="F23" s="1"/>
      <c r="G23" s="1"/>
      <c r="H23" s="1"/>
      <c r="I23" s="1"/>
    </row>
    <row r="24" spans="1:9" x14ac:dyDescent="0.25">
      <c r="A24" s="227" t="s">
        <v>323</v>
      </c>
      <c r="B24" s="227"/>
      <c r="C24" s="227">
        <f ca="1">+'PL NPK'!H24/C$1*1000</f>
        <v>0</v>
      </c>
      <c r="D24" s="72">
        <f ca="1">+'PL NPK'!I24/D$1*1000</f>
        <v>-710.38635084166413</v>
      </c>
      <c r="E24" s="1">
        <f ca="1">+'PL NPK'!J24/E$1*1000</f>
        <v>-1409.8075434061197</v>
      </c>
      <c r="F24" s="1">
        <f ca="1">+'PL NPK'!K24/F$1*1000</f>
        <v>-1300.9705062490812</v>
      </c>
      <c r="G24" s="1">
        <f ca="1">+'PL NPK'!L24/G$1*1000</f>
        <v>-1207.7273802121774</v>
      </c>
      <c r="H24" s="1">
        <f ca="1">+'PL NPK'!M24/H$1*1000</f>
        <v>-1119.4868537796342</v>
      </c>
      <c r="I24" s="1">
        <f ca="1">+'PL NPK'!N24/I$1*1000</f>
        <v>-1036.779208833166</v>
      </c>
    </row>
    <row r="25" spans="1:9" x14ac:dyDescent="0.25">
      <c r="A25" s="225"/>
      <c r="B25" s="225"/>
      <c r="C25" s="225"/>
      <c r="D25" s="1"/>
      <c r="E25" s="1"/>
      <c r="F25" s="1"/>
      <c r="G25" s="1"/>
      <c r="H25" s="1"/>
      <c r="I25" s="1"/>
    </row>
    <row r="26" spans="1:9" ht="18.75" x14ac:dyDescent="0.3">
      <c r="A26" s="228" t="s">
        <v>1</v>
      </c>
      <c r="B26" s="417"/>
      <c r="C26" s="228">
        <f ca="1">+'PL NPK'!H26/C$1*1000</f>
        <v>0</v>
      </c>
      <c r="D26" s="178">
        <f ca="1">+'PL NPK'!I26/D$1*1000</f>
        <v>5752.7306394016623</v>
      </c>
      <c r="E26" s="178">
        <f ca="1">+'PL NPK'!J26/E$1*1000</f>
        <v>13108.080265768422</v>
      </c>
      <c r="F26" s="178">
        <f ca="1">+'PL NPK'!K26/F$1*1000</f>
        <v>14070.922013231931</v>
      </c>
      <c r="G26" s="178">
        <f ca="1">+'PL NPK'!L26/G$1*1000</f>
        <v>15100.071103223421</v>
      </c>
      <c r="H26" s="178">
        <f ca="1">+'PL NPK'!M26/H$1*1000</f>
        <v>16091.706041824196</v>
      </c>
      <c r="I26" s="178">
        <f ca="1">+'PL NPK'!N26/I$1*1000</f>
        <v>17081.713931869606</v>
      </c>
    </row>
    <row r="28" spans="1:9" ht="20.25" x14ac:dyDescent="0.3">
      <c r="A28" s="421" t="s">
        <v>559</v>
      </c>
      <c r="B28" s="422">
        <v>0.2</v>
      </c>
      <c r="C28" s="127"/>
      <c r="D28" s="127"/>
      <c r="E28" s="127"/>
      <c r="F28" s="127"/>
      <c r="G28" s="127"/>
      <c r="H28" s="127"/>
      <c r="I28" s="127"/>
    </row>
    <row r="29" spans="1:9" x14ac:dyDescent="0.25">
      <c r="A29" s="387"/>
      <c r="B29" s="418">
        <f>+B2</f>
        <v>2012</v>
      </c>
      <c r="C29" s="418">
        <f t="shared" ref="C29:I29" si="0">+C2</f>
        <v>2013</v>
      </c>
      <c r="D29" s="418">
        <f t="shared" si="0"/>
        <v>2014</v>
      </c>
      <c r="E29" s="418">
        <f t="shared" si="0"/>
        <v>2015</v>
      </c>
      <c r="F29" s="418">
        <f t="shared" si="0"/>
        <v>2016</v>
      </c>
      <c r="G29" s="418">
        <f t="shared" si="0"/>
        <v>2017</v>
      </c>
      <c r="H29" s="418">
        <f t="shared" si="0"/>
        <v>2018</v>
      </c>
      <c r="I29" s="418">
        <f t="shared" si="0"/>
        <v>2019</v>
      </c>
    </row>
    <row r="30" spans="1:9" x14ac:dyDescent="0.25">
      <c r="A30" s="387" t="s">
        <v>562</v>
      </c>
      <c r="B30" s="419">
        <f>+B20</f>
        <v>-14000</v>
      </c>
      <c r="C30" s="419">
        <f t="shared" ref="C30:I30" ca="1" si="1">+C20</f>
        <v>0</v>
      </c>
      <c r="D30" s="419">
        <f t="shared" ca="1" si="1"/>
        <v>6463.1169902433257</v>
      </c>
      <c r="E30" s="419">
        <f t="shared" ca="1" si="1"/>
        <v>14517.887809174543</v>
      </c>
      <c r="F30" s="419">
        <f t="shared" ca="1" si="1"/>
        <v>15371.892519481014</v>
      </c>
      <c r="G30" s="419">
        <f t="shared" ca="1" si="1"/>
        <v>16307.798483435601</v>
      </c>
      <c r="H30" s="419">
        <f t="shared" ca="1" si="1"/>
        <v>17211.192895603825</v>
      </c>
      <c r="I30" s="419">
        <f t="shared" ca="1" si="1"/>
        <v>18118.493140702776</v>
      </c>
    </row>
    <row r="31" spans="1:9" x14ac:dyDescent="0.25">
      <c r="A31" s="387" t="s">
        <v>563</v>
      </c>
      <c r="B31" s="420">
        <f>+B30</f>
        <v>-14000</v>
      </c>
      <c r="C31" s="420">
        <f t="shared" ref="C31:I31" ca="1" si="2">+C20/(1+$B$28)^(C2-2012)</f>
        <v>0</v>
      </c>
      <c r="D31" s="420">
        <f t="shared" ca="1" si="2"/>
        <v>4488.2756876689764</v>
      </c>
      <c r="E31" s="420">
        <f t="shared" ca="1" si="2"/>
        <v>8401.5554451241569</v>
      </c>
      <c r="F31" s="420">
        <f t="shared" ca="1" si="2"/>
        <v>7413.1426116324337</v>
      </c>
      <c r="G31" s="420">
        <f t="shared" ca="1" si="2"/>
        <v>6553.738459456823</v>
      </c>
      <c r="H31" s="420">
        <f t="shared" ca="1" si="2"/>
        <v>5763.9936769935221</v>
      </c>
      <c r="I31" s="420">
        <f t="shared" ca="1" si="2"/>
        <v>5056.5389110989818</v>
      </c>
    </row>
    <row r="32" spans="1:9" x14ac:dyDescent="0.25">
      <c r="A32" s="387" t="s">
        <v>560</v>
      </c>
      <c r="B32" s="420">
        <f>B31</f>
        <v>-14000</v>
      </c>
      <c r="C32" s="420">
        <f t="shared" ref="C32:I32" ca="1" si="3">+B32+C31</f>
        <v>-14000</v>
      </c>
      <c r="D32" s="420">
        <f t="shared" ca="1" si="3"/>
        <v>-9511.7243123310236</v>
      </c>
      <c r="E32" s="420">
        <f t="shared" ca="1" si="3"/>
        <v>-1110.1688672068667</v>
      </c>
      <c r="F32" s="420">
        <f t="shared" ca="1" si="3"/>
        <v>6302.973744425567</v>
      </c>
      <c r="G32" s="420">
        <f t="shared" ca="1" si="3"/>
        <v>12856.712203882391</v>
      </c>
      <c r="H32" s="420">
        <f t="shared" ca="1" si="3"/>
        <v>18620.705880875914</v>
      </c>
      <c r="I32" s="420">
        <f t="shared" ca="1" si="3"/>
        <v>23677.244791974896</v>
      </c>
    </row>
    <row r="34" spans="1:2" ht="20.25" x14ac:dyDescent="0.3">
      <c r="A34" s="421" t="s">
        <v>561</v>
      </c>
      <c r="B34" s="422">
        <f ca="1">IRR(B31:I31)</f>
        <v>0.27094690130233823</v>
      </c>
    </row>
  </sheetData>
  <phoneticPr fontId="9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Q47"/>
  <sheetViews>
    <sheetView topLeftCell="D1" workbookViewId="0"/>
  </sheetViews>
  <sheetFormatPr defaultRowHeight="15.75" x14ac:dyDescent="0.25"/>
  <cols>
    <col min="1" max="1" width="45.5" style="1" customWidth="1"/>
    <col min="2" max="2" width="9.375" style="1" bestFit="1" customWidth="1"/>
    <col min="3" max="12" width="10.375" style="1" bestFit="1" customWidth="1"/>
    <col min="13" max="15" width="10.125" style="1" customWidth="1"/>
    <col min="16" max="17" width="12" style="1" bestFit="1" customWidth="1"/>
    <col min="18" max="16384" width="9" style="1"/>
  </cols>
  <sheetData>
    <row r="1" spans="1:17" s="8" customFormat="1" ht="24.75" customHeight="1" x14ac:dyDescent="0.25">
      <c r="A1" s="219" t="s">
        <v>748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1"/>
      <c r="N1" s="221"/>
      <c r="O1" s="221"/>
      <c r="P1" s="221"/>
      <c r="Q1" s="221"/>
    </row>
    <row r="2" spans="1:17" ht="13.5" customHeight="1" x14ac:dyDescent="0.25">
      <c r="A2" s="234" t="s">
        <v>591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6"/>
      <c r="N2" s="236"/>
      <c r="O2" s="236"/>
      <c r="P2" s="236"/>
      <c r="Q2" s="236"/>
    </row>
    <row r="3" spans="1:17" s="183" customFormat="1" ht="18.75" x14ac:dyDescent="0.3">
      <c r="A3" s="237" t="s">
        <v>24</v>
      </c>
      <c r="B3" s="21">
        <f>+PL!B2</f>
        <v>2007</v>
      </c>
      <c r="C3" s="21">
        <f t="shared" ref="C3:N3" si="0">+B3+1</f>
        <v>2008</v>
      </c>
      <c r="D3" s="21">
        <f t="shared" si="0"/>
        <v>2009</v>
      </c>
      <c r="E3" s="21">
        <f t="shared" si="0"/>
        <v>2010</v>
      </c>
      <c r="F3" s="21">
        <f t="shared" si="0"/>
        <v>2011</v>
      </c>
      <c r="G3" s="21">
        <f t="shared" si="0"/>
        <v>2012</v>
      </c>
      <c r="H3" s="21">
        <f t="shared" si="0"/>
        <v>2013</v>
      </c>
      <c r="I3" s="21">
        <f t="shared" si="0"/>
        <v>2014</v>
      </c>
      <c r="J3" s="21">
        <f t="shared" si="0"/>
        <v>2015</v>
      </c>
      <c r="K3" s="21">
        <f t="shared" si="0"/>
        <v>2016</v>
      </c>
      <c r="L3" s="21">
        <f t="shared" si="0"/>
        <v>2017</v>
      </c>
      <c r="M3" s="21">
        <f t="shared" si="0"/>
        <v>2018</v>
      </c>
      <c r="N3" s="21">
        <f t="shared" si="0"/>
        <v>2019</v>
      </c>
      <c r="O3" s="21">
        <f t="shared" ref="O3" si="1">+N3+1</f>
        <v>2020</v>
      </c>
      <c r="P3" s="21">
        <f t="shared" ref="P3" si="2">+O3+1</f>
        <v>2021</v>
      </c>
      <c r="Q3" s="21">
        <f t="shared" ref="Q3" si="3">+P3+1</f>
        <v>2022</v>
      </c>
    </row>
    <row r="4" spans="1:17" ht="9" customHeight="1" x14ac:dyDescent="0.25">
      <c r="A4" s="225"/>
    </row>
    <row r="5" spans="1:17" x14ac:dyDescent="0.25">
      <c r="A5" s="227" t="s">
        <v>329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f>+Invest!G13</f>
        <v>0</v>
      </c>
      <c r="H5" s="1">
        <f>+Invest!H13</f>
        <v>0</v>
      </c>
      <c r="I5" s="1">
        <f>+Invest!I13</f>
        <v>0</v>
      </c>
      <c r="J5" s="1">
        <f>+Invest!J13</f>
        <v>0</v>
      </c>
      <c r="K5" s="1">
        <f>+Invest!K13</f>
        <v>0</v>
      </c>
      <c r="L5" s="1">
        <f>+Invest!L13</f>
        <v>0</v>
      </c>
      <c r="M5" s="1">
        <f>+Invest!M13</f>
        <v>0</v>
      </c>
      <c r="N5" s="1">
        <f>+Invest!N13</f>
        <v>0</v>
      </c>
      <c r="O5" s="1">
        <f>+Invest!O13</f>
        <v>0</v>
      </c>
      <c r="P5" s="1">
        <f>+Invest!P13</f>
        <v>0</v>
      </c>
      <c r="Q5" s="1">
        <f>+Invest!Q13</f>
        <v>0</v>
      </c>
    </row>
    <row r="6" spans="1:17" x14ac:dyDescent="0.25">
      <c r="A6" s="227" t="s">
        <v>330</v>
      </c>
      <c r="B6" s="1">
        <v>7761</v>
      </c>
      <c r="C6" s="1">
        <v>8377</v>
      </c>
      <c r="D6" s="1">
        <v>9859</v>
      </c>
      <c r="E6" s="1">
        <v>16696</v>
      </c>
      <c r="F6" s="1">
        <v>20510.478750000002</v>
      </c>
      <c r="G6" s="1">
        <f>+Invest!G28</f>
        <v>20313.849999999999</v>
      </c>
      <c r="H6" s="1">
        <f>+Invest!H28</f>
        <v>66921.228999999992</v>
      </c>
      <c r="I6" s="1">
        <f>+Invest!I28</f>
        <v>76685.609299999982</v>
      </c>
      <c r="J6" s="1">
        <f>+Invest!J28</f>
        <v>69413.145729999989</v>
      </c>
      <c r="K6" s="1">
        <f>+Invest!K28</f>
        <v>61994.682159999982</v>
      </c>
      <c r="L6" s="1">
        <f>+Invest!L28</f>
        <v>54376.218589999982</v>
      </c>
      <c r="M6" s="1">
        <f>+Invest!M28</f>
        <v>46557.755019999982</v>
      </c>
      <c r="N6" s="1">
        <f>+Invest!N28</f>
        <v>38539.29144999999</v>
      </c>
      <c r="O6" s="1">
        <f>+Invest!O28</f>
        <v>31130.827879999997</v>
      </c>
      <c r="P6" s="1">
        <f>+Invest!P28</f>
        <v>25257.36430999999</v>
      </c>
      <c r="Q6" s="1">
        <f>+Invest!Q28</f>
        <v>19383.900739999983</v>
      </c>
    </row>
    <row r="7" spans="1:17" x14ac:dyDescent="0.25">
      <c r="A7" s="227" t="s">
        <v>331</v>
      </c>
      <c r="B7" s="1">
        <v>1442</v>
      </c>
      <c r="C7" s="1">
        <v>1105</v>
      </c>
      <c r="D7" s="1">
        <v>3295</v>
      </c>
      <c r="E7" s="1">
        <v>3836</v>
      </c>
      <c r="F7" s="1">
        <v>3796</v>
      </c>
      <c r="G7" s="1">
        <f t="shared" ref="G7:N7" si="4">+F7</f>
        <v>3796</v>
      </c>
      <c r="H7" s="1">
        <f t="shared" si="4"/>
        <v>3796</v>
      </c>
      <c r="I7" s="1">
        <f t="shared" si="4"/>
        <v>3796</v>
      </c>
      <c r="J7" s="1">
        <f t="shared" si="4"/>
        <v>3796</v>
      </c>
      <c r="K7" s="1">
        <f t="shared" si="4"/>
        <v>3796</v>
      </c>
      <c r="L7" s="1">
        <f t="shared" si="4"/>
        <v>3796</v>
      </c>
      <c r="M7" s="1">
        <f t="shared" si="4"/>
        <v>3796</v>
      </c>
      <c r="N7" s="1">
        <f t="shared" si="4"/>
        <v>3796</v>
      </c>
      <c r="O7" s="1">
        <f t="shared" ref="O7" si="5">+N7</f>
        <v>3796</v>
      </c>
      <c r="P7" s="1">
        <f t="shared" ref="P7" si="6">+O7</f>
        <v>3796</v>
      </c>
      <c r="Q7" s="1">
        <f t="shared" ref="Q7" si="7">+P7</f>
        <v>3796</v>
      </c>
    </row>
    <row r="8" spans="1:17" x14ac:dyDescent="0.25">
      <c r="A8" s="231" t="s">
        <v>26</v>
      </c>
      <c r="B8" s="8">
        <v>9203</v>
      </c>
      <c r="C8" s="8">
        <v>9482</v>
      </c>
      <c r="D8" s="8">
        <v>13155</v>
      </c>
      <c r="E8" s="8">
        <v>20532</v>
      </c>
      <c r="F8" s="8">
        <v>24306.478750000002</v>
      </c>
      <c r="G8" s="8">
        <f t="shared" ref="G8:N8" si="8">SUM(G5:G7)</f>
        <v>24109.85</v>
      </c>
      <c r="H8" s="8">
        <f t="shared" si="8"/>
        <v>70717.228999999992</v>
      </c>
      <c r="I8" s="8">
        <f t="shared" si="8"/>
        <v>80481.609299999982</v>
      </c>
      <c r="J8" s="8">
        <f t="shared" si="8"/>
        <v>73209.145729999989</v>
      </c>
      <c r="K8" s="8">
        <f t="shared" si="8"/>
        <v>65790.682159999982</v>
      </c>
      <c r="L8" s="8">
        <f t="shared" si="8"/>
        <v>58172.218589999982</v>
      </c>
      <c r="M8" s="8">
        <f t="shared" si="8"/>
        <v>50353.755019999982</v>
      </c>
      <c r="N8" s="8">
        <f t="shared" si="8"/>
        <v>42335.29144999999</v>
      </c>
      <c r="O8" s="8">
        <f t="shared" ref="O8:Q8" si="9">SUM(O5:O7)</f>
        <v>34926.827879999997</v>
      </c>
      <c r="P8" s="8">
        <f t="shared" si="9"/>
        <v>29053.36430999999</v>
      </c>
      <c r="Q8" s="8">
        <f t="shared" si="9"/>
        <v>23179.900739999983</v>
      </c>
    </row>
    <row r="9" spans="1:17" ht="9" customHeight="1" x14ac:dyDescent="0.25">
      <c r="A9" s="225"/>
    </row>
    <row r="10" spans="1:17" x14ac:dyDescent="0.25">
      <c r="A10" s="227" t="s">
        <v>328</v>
      </c>
      <c r="B10" s="1">
        <v>22453</v>
      </c>
      <c r="C10" s="1">
        <v>31430.999965694806</v>
      </c>
      <c r="D10" s="1">
        <v>64762</v>
      </c>
      <c r="E10" s="1">
        <v>32918</v>
      </c>
      <c r="F10" s="1">
        <v>27407.000000051692</v>
      </c>
      <c r="G10" s="1">
        <f ca="1">+'WC parameters'!G12</f>
        <v>25908.400000000001</v>
      </c>
      <c r="H10" s="1">
        <f ca="1">+'WC parameters'!H12</f>
        <v>24038.599971834996</v>
      </c>
      <c r="I10" s="1">
        <f ca="1">+'WC parameters'!I12</f>
        <v>21433.860357744477</v>
      </c>
      <c r="J10" s="1">
        <f ca="1">+'WC parameters'!J12</f>
        <v>27834.577736408457</v>
      </c>
      <c r="K10" s="1">
        <f ca="1">+'WC parameters'!K12</f>
        <v>34824.908633882485</v>
      </c>
      <c r="L10" s="1">
        <f ca="1">+'WC parameters'!L12</f>
        <v>39563.535772193471</v>
      </c>
      <c r="M10" s="1">
        <f ca="1">+'WC parameters'!M12</f>
        <v>44994.511627463238</v>
      </c>
      <c r="N10" s="1">
        <f ca="1">+'WC parameters'!N12</f>
        <v>51228.483975595111</v>
      </c>
      <c r="O10" s="1">
        <f ca="1">+'WC parameters'!O12</f>
        <v>58395.177073873412</v>
      </c>
      <c r="P10" s="1">
        <f ca="1">+'WC parameters'!P12</f>
        <v>66646.887936374915</v>
      </c>
      <c r="Q10" s="1">
        <f ca="1">+'WC parameters'!Q12</f>
        <v>76163.801399460906</v>
      </c>
    </row>
    <row r="11" spans="1:17" x14ac:dyDescent="0.25">
      <c r="A11" s="227" t="s">
        <v>332</v>
      </c>
      <c r="B11" s="1">
        <v>46670</v>
      </c>
      <c r="C11" s="1">
        <v>79437</v>
      </c>
      <c r="D11" s="1">
        <v>87302</v>
      </c>
      <c r="E11" s="1">
        <v>134353</v>
      </c>
      <c r="F11" s="1">
        <v>150102</v>
      </c>
      <c r="G11" s="1">
        <f ca="1">+'WC parameters'!G6</f>
        <v>144290.58284694495</v>
      </c>
      <c r="H11" s="1">
        <f ca="1">+'WC parameters'!H6</f>
        <v>171137.60098569011</v>
      </c>
      <c r="I11" s="1">
        <f ca="1">+'WC parameters'!I6</f>
        <v>187074.39870283278</v>
      </c>
      <c r="J11" s="1">
        <f ca="1">+'WC parameters'!J6</f>
        <v>195093.40781196184</v>
      </c>
      <c r="K11" s="1">
        <f ca="1">+'WC parameters'!K6</f>
        <v>216299.1557334369</v>
      </c>
      <c r="L11" s="1">
        <f ca="1">+'WC parameters'!L6</f>
        <v>240022.31082719238</v>
      </c>
      <c r="M11" s="1">
        <f ca="1">+'WC parameters'!M6</f>
        <v>266589.8246478478</v>
      </c>
      <c r="N11" s="1">
        <f ca="1">+'WC parameters'!N6</f>
        <v>296374.09298414981</v>
      </c>
      <c r="O11" s="1">
        <f ca="1">+'WC parameters'!O6</f>
        <v>337146.99112179817</v>
      </c>
      <c r="P11" s="1">
        <f ca="1">+'WC parameters'!P6</f>
        <v>383684.72232732055</v>
      </c>
      <c r="Q11" s="1">
        <f ca="1">+'WC parameters'!Q6</f>
        <v>438588.16433480894</v>
      </c>
    </row>
    <row r="12" spans="1:17" x14ac:dyDescent="0.25">
      <c r="A12" s="227" t="s">
        <v>333</v>
      </c>
      <c r="B12" s="1">
        <v>1549</v>
      </c>
      <c r="C12" s="1">
        <v>1995</v>
      </c>
      <c r="D12" s="1">
        <v>4109</v>
      </c>
      <c r="E12" s="1">
        <v>2639</v>
      </c>
      <c r="F12" s="1">
        <v>3440</v>
      </c>
      <c r="G12" s="1">
        <f t="shared" ref="G12:N12" si="10">+F12</f>
        <v>3440</v>
      </c>
      <c r="H12" s="1">
        <f t="shared" si="10"/>
        <v>3440</v>
      </c>
      <c r="I12" s="1">
        <f t="shared" si="10"/>
        <v>3440</v>
      </c>
      <c r="J12" s="1">
        <f t="shared" si="10"/>
        <v>3440</v>
      </c>
      <c r="K12" s="1">
        <f t="shared" si="10"/>
        <v>3440</v>
      </c>
      <c r="L12" s="1">
        <f t="shared" si="10"/>
        <v>3440</v>
      </c>
      <c r="M12" s="1">
        <f t="shared" si="10"/>
        <v>3440</v>
      </c>
      <c r="N12" s="1">
        <f t="shared" si="10"/>
        <v>3440</v>
      </c>
      <c r="O12" s="1">
        <f t="shared" ref="O12" si="11">+N12</f>
        <v>3440</v>
      </c>
      <c r="P12" s="1">
        <f t="shared" ref="P12" si="12">+O12</f>
        <v>3440</v>
      </c>
      <c r="Q12" s="1">
        <f t="shared" ref="Q12" si="13">+P12</f>
        <v>3440</v>
      </c>
    </row>
    <row r="13" spans="1:17" x14ac:dyDescent="0.25">
      <c r="A13" s="227" t="s">
        <v>334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f ca="1">MAX(0,CF!G40)</f>
        <v>0</v>
      </c>
      <c r="H13" s="1">
        <f ca="1">MAX(0,CF!H40)</f>
        <v>1565.0317000071327</v>
      </c>
      <c r="I13" s="1">
        <f ca="1">MAX(0,CF!I40)</f>
        <v>9542.9082040534086</v>
      </c>
      <c r="J13" s="1">
        <f ca="1">MAX(0,CF!J40)</f>
        <v>26041.579177139545</v>
      </c>
      <c r="K13" s="1">
        <f ca="1">MAX(0,CF!K40)</f>
        <v>39025.602255424834</v>
      </c>
      <c r="L13" s="1">
        <f ca="1">MAX(0,CF!L40)</f>
        <v>53474.001684604969</v>
      </c>
      <c r="M13" s="1">
        <f ca="1">MAX(0,CF!M40)</f>
        <v>69272.058028146581</v>
      </c>
      <c r="N13" s="1">
        <f ca="1">MAX(0,CF!N40)</f>
        <v>86296.313886672724</v>
      </c>
      <c r="O13" s="1">
        <f ca="1">MAX(0,CF!O40)</f>
        <v>122657.8873208017</v>
      </c>
      <c r="P13" s="1">
        <f ca="1">MAX(0,CF!P40)</f>
        <v>161941.21445458234</v>
      </c>
      <c r="Q13" s="1">
        <f ca="1">MAX(0,CF!Q40)</f>
        <v>203918.35446747462</v>
      </c>
    </row>
    <row r="14" spans="1:17" x14ac:dyDescent="0.25">
      <c r="A14" s="227" t="s">
        <v>335</v>
      </c>
      <c r="B14" s="1">
        <v>3102</v>
      </c>
      <c r="C14" s="1">
        <v>1638</v>
      </c>
      <c r="D14" s="1">
        <v>3278</v>
      </c>
      <c r="E14" s="1">
        <v>3324</v>
      </c>
      <c r="F14" s="1">
        <v>558</v>
      </c>
      <c r="G14" s="1">
        <f>+F14</f>
        <v>558</v>
      </c>
      <c r="H14" s="1">
        <f t="shared" ref="H14:N14" si="14">+G14</f>
        <v>558</v>
      </c>
      <c r="I14" s="1">
        <f t="shared" si="14"/>
        <v>558</v>
      </c>
      <c r="J14" s="1">
        <f t="shared" si="14"/>
        <v>558</v>
      </c>
      <c r="K14" s="1">
        <f t="shared" si="14"/>
        <v>558</v>
      </c>
      <c r="L14" s="1">
        <f t="shared" si="14"/>
        <v>558</v>
      </c>
      <c r="M14" s="1">
        <f t="shared" si="14"/>
        <v>558</v>
      </c>
      <c r="N14" s="1">
        <f t="shared" si="14"/>
        <v>558</v>
      </c>
      <c r="O14" s="1">
        <f t="shared" ref="O14" si="15">+N14</f>
        <v>558</v>
      </c>
      <c r="P14" s="1">
        <f t="shared" ref="P14" si="16">+O14</f>
        <v>558</v>
      </c>
      <c r="Q14" s="1">
        <f t="shared" ref="Q14" si="17">+P14</f>
        <v>558</v>
      </c>
    </row>
    <row r="15" spans="1:17" x14ac:dyDescent="0.25">
      <c r="A15" s="231" t="s">
        <v>361</v>
      </c>
      <c r="B15" s="8">
        <v>73774</v>
      </c>
      <c r="C15" s="8">
        <v>114530.83346110536</v>
      </c>
      <c r="D15" s="8">
        <v>159452</v>
      </c>
      <c r="E15" s="8">
        <v>173234</v>
      </c>
      <c r="F15" s="8">
        <v>181507.00000005169</v>
      </c>
      <c r="G15" s="8">
        <f t="shared" ref="G15:N15" ca="1" si="18">SUM(G10:G14)</f>
        <v>174196.98284694494</v>
      </c>
      <c r="H15" s="8">
        <f t="shared" ca="1" si="18"/>
        <v>200739.23265753224</v>
      </c>
      <c r="I15" s="8">
        <f t="shared" ca="1" si="18"/>
        <v>222049.16726463067</v>
      </c>
      <c r="J15" s="8">
        <f t="shared" ca="1" si="18"/>
        <v>252967.56472550984</v>
      </c>
      <c r="K15" s="8">
        <f t="shared" ca="1" si="18"/>
        <v>294147.66662274423</v>
      </c>
      <c r="L15" s="8">
        <f t="shared" ca="1" si="18"/>
        <v>337057.84828399081</v>
      </c>
      <c r="M15" s="8">
        <f t="shared" ca="1" si="18"/>
        <v>384854.39430345758</v>
      </c>
      <c r="N15" s="8">
        <f t="shared" ca="1" si="18"/>
        <v>437896.89084641763</v>
      </c>
      <c r="O15" s="8">
        <f t="shared" ref="O15:Q15" ca="1" si="19">SUM(O10:O14)</f>
        <v>522198.05551647325</v>
      </c>
      <c r="P15" s="8">
        <f t="shared" ca="1" si="19"/>
        <v>616270.82471827778</v>
      </c>
      <c r="Q15" s="8">
        <f t="shared" ca="1" si="19"/>
        <v>722668.32020174444</v>
      </c>
    </row>
    <row r="16" spans="1:17" x14ac:dyDescent="0.25">
      <c r="A16" s="231" t="s">
        <v>23</v>
      </c>
      <c r="B16" s="8"/>
      <c r="C16" s="8">
        <v>1</v>
      </c>
      <c r="D16" s="8">
        <v>0</v>
      </c>
      <c r="E16" s="8">
        <v>0</v>
      </c>
      <c r="F16" s="8">
        <v>1</v>
      </c>
      <c r="G16" s="8">
        <v>0</v>
      </c>
      <c r="H16" s="8">
        <f t="shared" ref="H16:N16" si="20">+G16</f>
        <v>0</v>
      </c>
      <c r="I16" s="8">
        <f t="shared" si="20"/>
        <v>0</v>
      </c>
      <c r="J16" s="8">
        <f t="shared" si="20"/>
        <v>0</v>
      </c>
      <c r="K16" s="8">
        <f t="shared" si="20"/>
        <v>0</v>
      </c>
      <c r="L16" s="8">
        <f t="shared" si="20"/>
        <v>0</v>
      </c>
      <c r="M16" s="8">
        <f t="shared" si="20"/>
        <v>0</v>
      </c>
      <c r="N16" s="8">
        <f t="shared" si="20"/>
        <v>0</v>
      </c>
      <c r="O16" s="8">
        <f t="shared" ref="O16" si="21">+N16</f>
        <v>0</v>
      </c>
      <c r="P16" s="8">
        <f t="shared" ref="P16" si="22">+O16</f>
        <v>0</v>
      </c>
      <c r="Q16" s="8">
        <f t="shared" ref="Q16" si="23">+P16</f>
        <v>0</v>
      </c>
    </row>
    <row r="17" spans="1:17" ht="9" customHeight="1" x14ac:dyDescent="0.25">
      <c r="A17" s="225"/>
    </row>
    <row r="18" spans="1:17" s="184" customFormat="1" ht="20.25" x14ac:dyDescent="0.3">
      <c r="A18" s="238" t="s">
        <v>25</v>
      </c>
      <c r="B18" s="181">
        <v>82977</v>
      </c>
      <c r="C18" s="181">
        <f t="shared" ref="C18:F18" si="24">ROUND(+C15+C8+C16,0)</f>
        <v>124014</v>
      </c>
      <c r="D18" s="181">
        <f t="shared" si="24"/>
        <v>172607</v>
      </c>
      <c r="E18" s="181">
        <f t="shared" si="24"/>
        <v>193766</v>
      </c>
      <c r="F18" s="181">
        <f t="shared" si="24"/>
        <v>205814</v>
      </c>
      <c r="G18" s="181">
        <f t="shared" ref="G18:N18" ca="1" si="25">ROUND(+G15+G8+G16,0)</f>
        <v>198307</v>
      </c>
      <c r="H18" s="181">
        <f t="shared" ca="1" si="25"/>
        <v>271456</v>
      </c>
      <c r="I18" s="181">
        <f t="shared" ca="1" si="25"/>
        <v>302531</v>
      </c>
      <c r="J18" s="181">
        <f t="shared" ca="1" si="25"/>
        <v>326177</v>
      </c>
      <c r="K18" s="181">
        <f t="shared" ca="1" si="25"/>
        <v>359938</v>
      </c>
      <c r="L18" s="181">
        <f t="shared" ca="1" si="25"/>
        <v>395230</v>
      </c>
      <c r="M18" s="181">
        <f t="shared" ca="1" si="25"/>
        <v>435208</v>
      </c>
      <c r="N18" s="181">
        <f t="shared" ca="1" si="25"/>
        <v>480232</v>
      </c>
      <c r="O18" s="181">
        <f t="shared" ref="O18:Q18" ca="1" si="26">ROUND(+O15+O8+O16,0)</f>
        <v>557125</v>
      </c>
      <c r="P18" s="181">
        <f t="shared" ca="1" si="26"/>
        <v>645324</v>
      </c>
      <c r="Q18" s="181">
        <f t="shared" ca="1" si="26"/>
        <v>745848</v>
      </c>
    </row>
    <row r="19" spans="1:17" x14ac:dyDescent="0.25">
      <c r="A19" s="225"/>
      <c r="C19" s="674"/>
    </row>
    <row r="20" spans="1:17" s="183" customFormat="1" ht="18.75" x14ac:dyDescent="0.3">
      <c r="A20" s="237" t="s">
        <v>28</v>
      </c>
      <c r="B20" s="21">
        <v>2007</v>
      </c>
      <c r="C20" s="21">
        <v>2008</v>
      </c>
      <c r="D20" s="21">
        <v>2009</v>
      </c>
      <c r="E20" s="21">
        <v>2010</v>
      </c>
      <c r="F20" s="21">
        <v>2011</v>
      </c>
      <c r="G20" s="21">
        <f t="shared" ref="G20:N20" si="27">+G3</f>
        <v>2012</v>
      </c>
      <c r="H20" s="21">
        <f t="shared" si="27"/>
        <v>2013</v>
      </c>
      <c r="I20" s="21">
        <f t="shared" si="27"/>
        <v>2014</v>
      </c>
      <c r="J20" s="21">
        <f t="shared" si="27"/>
        <v>2015</v>
      </c>
      <c r="K20" s="21">
        <f t="shared" si="27"/>
        <v>2016</v>
      </c>
      <c r="L20" s="21">
        <f t="shared" si="27"/>
        <v>2017</v>
      </c>
      <c r="M20" s="21">
        <f t="shared" si="27"/>
        <v>2018</v>
      </c>
      <c r="N20" s="21">
        <f t="shared" si="27"/>
        <v>2019</v>
      </c>
      <c r="O20" s="21">
        <f t="shared" ref="O20:Q20" si="28">+O3</f>
        <v>2020</v>
      </c>
      <c r="P20" s="21">
        <f t="shared" si="28"/>
        <v>2021</v>
      </c>
      <c r="Q20" s="21">
        <f t="shared" si="28"/>
        <v>2022</v>
      </c>
    </row>
    <row r="21" spans="1:17" ht="9" customHeight="1" x14ac:dyDescent="0.25">
      <c r="A21" s="225"/>
    </row>
    <row r="22" spans="1:17" x14ac:dyDescent="0.25">
      <c r="A22" s="227" t="s">
        <v>29</v>
      </c>
      <c r="B22" s="1">
        <v>4939</v>
      </c>
      <c r="C22" s="1">
        <v>4939</v>
      </c>
      <c r="D22" s="1">
        <v>4939</v>
      </c>
      <c r="E22" s="1">
        <v>4939</v>
      </c>
      <c r="F22" s="1">
        <f>12159-7220</f>
        <v>4939</v>
      </c>
      <c r="G22" s="1">
        <f>+F22+CF!G23*0</f>
        <v>4939</v>
      </c>
      <c r="H22" s="1">
        <f>+G22+CF!H23</f>
        <v>4939</v>
      </c>
      <c r="I22" s="1">
        <f>+H22+CF!I23</f>
        <v>4939</v>
      </c>
      <c r="J22" s="1">
        <f>+I22+CF!J23</f>
        <v>4939</v>
      </c>
      <c r="K22" s="1">
        <f>+J22+CF!K23</f>
        <v>4939</v>
      </c>
      <c r="L22" s="1">
        <f>+K22+CF!L23</f>
        <v>4939</v>
      </c>
      <c r="M22" s="1">
        <f>+L22+CF!M23</f>
        <v>4939</v>
      </c>
      <c r="N22" s="1">
        <f>+M22+CF!N23</f>
        <v>4939</v>
      </c>
      <c r="O22" s="1">
        <f>+N22+CF!O23</f>
        <v>4939</v>
      </c>
      <c r="P22" s="1">
        <f>+O22+CF!P23</f>
        <v>4939</v>
      </c>
      <c r="Q22" s="1">
        <f>+P22+CF!Q23</f>
        <v>4939</v>
      </c>
    </row>
    <row r="23" spans="1:17" x14ac:dyDescent="0.25">
      <c r="A23" s="227" t="s">
        <v>30</v>
      </c>
      <c r="B23" s="1">
        <v>5909</v>
      </c>
      <c r="C23" s="1">
        <v>10598</v>
      </c>
      <c r="D23" s="1">
        <v>34332</v>
      </c>
      <c r="E23" s="1">
        <v>47477</v>
      </c>
      <c r="F23" s="1">
        <f>40111.2348227219+7220</f>
        <v>47331.234822721897</v>
      </c>
      <c r="G23" s="1">
        <f>+F23+F24+CF!G25-F35+CF!G23</f>
        <v>53277.907510221899</v>
      </c>
      <c r="H23" s="1">
        <f ca="1">+G23+G24+CF!H25-G35+CF!H23</f>
        <v>67115.622942921647</v>
      </c>
      <c r="I23" s="1">
        <f ca="1">+H23+H24+CF!I25-H35+CF!I23</f>
        <v>78062.74337684401</v>
      </c>
      <c r="J23" s="1">
        <f ca="1">+I23+I24+CF!J25-I35+CF!J23</f>
        <v>83629.790365129185</v>
      </c>
      <c r="K23" s="1">
        <f ca="1">+J23+J24+CF!K25-J35+CF!K23</f>
        <v>94655.187581201419</v>
      </c>
      <c r="L23" s="1">
        <f ca="1">+K23+K24+CF!L25-K35+CF!L23</f>
        <v>108553.9478670122</v>
      </c>
      <c r="M23" s="1">
        <f ca="1">+L23+L24+CF!M25-L35+CF!M23</f>
        <v>125629.97642497608</v>
      </c>
      <c r="N23" s="1">
        <f ca="1">+M23+M24+CF!N25-M35+CF!N23</f>
        <v>146154.22225172358</v>
      </c>
      <c r="O23" s="1">
        <f ca="1">+N23+N24+CF!O25-N35+CF!O23</f>
        <v>170391.49665967032</v>
      </c>
      <c r="P23" s="1">
        <f ca="1">+O23+O24+CF!P25-O35+CF!P23</f>
        <v>198875.3707468576</v>
      </c>
      <c r="Q23" s="1">
        <f ca="1">+P23+P24+CF!Q25-P35+CF!Q23</f>
        <v>231351.23929134887</v>
      </c>
    </row>
    <row r="24" spans="1:17" x14ac:dyDescent="0.25">
      <c r="A24" s="227" t="s">
        <v>31</v>
      </c>
      <c r="B24" s="1">
        <v>2893</v>
      </c>
      <c r="C24" s="1">
        <v>34875</v>
      </c>
      <c r="D24" s="1">
        <v>870</v>
      </c>
      <c r="E24" s="1">
        <v>14345</v>
      </c>
      <c r="F24" s="1">
        <v>11124.372687499997</v>
      </c>
      <c r="G24" s="1">
        <f ca="1">+PL!G36</f>
        <v>13837.715432699748</v>
      </c>
      <c r="H24" s="1">
        <f ca="1">+PL!H36</f>
        <v>10947.120433922366</v>
      </c>
      <c r="I24" s="1">
        <f ca="1">+PL!I36</f>
        <v>13917.617470712958</v>
      </c>
      <c r="J24" s="1">
        <f ca="1">+PL!J36</f>
        <v>27563.49304018058</v>
      </c>
      <c r="K24" s="1">
        <f ca="1">+PL!K36</f>
        <v>34746.900714526942</v>
      </c>
      <c r="L24" s="1">
        <f ca="1">+PL!L36</f>
        <v>42690.071394909668</v>
      </c>
      <c r="M24" s="1">
        <f ca="1">+PL!M36</f>
        <v>51310.614566868753</v>
      </c>
      <c r="N24" s="1">
        <f ca="1">+PL!N36</f>
        <v>60593.186019866858</v>
      </c>
      <c r="O24" s="1">
        <f ca="1">+PL!O36</f>
        <v>71209.685217968261</v>
      </c>
      <c r="P24" s="1">
        <f ca="1">+PL!P36</f>
        <v>81189.671361228247</v>
      </c>
      <c r="Q24" s="1">
        <f ca="1">+PL!Q36</f>
        <v>89914.699259629255</v>
      </c>
    </row>
    <row r="25" spans="1:17" x14ac:dyDescent="0.25">
      <c r="A25" s="231" t="s">
        <v>32</v>
      </c>
      <c r="B25" s="8">
        <f t="shared" ref="B25:F25" si="29">SUM(B22:B24)</f>
        <v>13741</v>
      </c>
      <c r="C25" s="8">
        <f t="shared" si="29"/>
        <v>50412</v>
      </c>
      <c r="D25" s="8">
        <f t="shared" si="29"/>
        <v>40141</v>
      </c>
      <c r="E25" s="8">
        <f t="shared" si="29"/>
        <v>66761</v>
      </c>
      <c r="F25" s="8">
        <f t="shared" si="29"/>
        <v>63394.607510221897</v>
      </c>
      <c r="G25" s="8">
        <f t="shared" ref="G25:N25" ca="1" si="30">SUM(G22:G24)</f>
        <v>72054.622942921647</v>
      </c>
      <c r="H25" s="8">
        <f t="shared" ca="1" si="30"/>
        <v>83001.74337684401</v>
      </c>
      <c r="I25" s="8">
        <f t="shared" ca="1" si="30"/>
        <v>96919.360847556964</v>
      </c>
      <c r="J25" s="8">
        <f t="shared" ca="1" si="30"/>
        <v>116132.28340530976</v>
      </c>
      <c r="K25" s="8">
        <f t="shared" ca="1" si="30"/>
        <v>134341.08829572838</v>
      </c>
      <c r="L25" s="8">
        <f t="shared" ca="1" si="30"/>
        <v>156183.01926192187</v>
      </c>
      <c r="M25" s="8">
        <f t="shared" ca="1" si="30"/>
        <v>181879.59099184483</v>
      </c>
      <c r="N25" s="8">
        <f t="shared" ca="1" si="30"/>
        <v>211686.40827159042</v>
      </c>
      <c r="O25" s="8">
        <f t="shared" ref="O25:Q25" ca="1" si="31">SUM(O22:O24)</f>
        <v>246540.18187763856</v>
      </c>
      <c r="P25" s="8">
        <f t="shared" ca="1" si="31"/>
        <v>285004.04210808582</v>
      </c>
      <c r="Q25" s="8">
        <f t="shared" ca="1" si="31"/>
        <v>326204.93855097814</v>
      </c>
    </row>
    <row r="26" spans="1:17" x14ac:dyDescent="0.25">
      <c r="A26" s="225"/>
    </row>
    <row r="27" spans="1:17" ht="17.25" customHeight="1" x14ac:dyDescent="0.25">
      <c r="A27" s="227" t="s">
        <v>33</v>
      </c>
      <c r="B27" s="1">
        <v>1295</v>
      </c>
      <c r="C27" s="1">
        <v>7627.3146440047431</v>
      </c>
      <c r="D27" s="1">
        <v>13699</v>
      </c>
      <c r="E27" s="1">
        <v>4846</v>
      </c>
      <c r="F27" s="1">
        <v>8212</v>
      </c>
      <c r="G27" s="1">
        <f ca="1">MAX(-CF!G40,0)</f>
        <v>1510.4622088739852</v>
      </c>
      <c r="H27" s="1">
        <f ca="1">MAX(-CF!H40,0)</f>
        <v>0</v>
      </c>
      <c r="I27" s="1">
        <f ca="1">MAX(-CF!I40,0)</f>
        <v>0</v>
      </c>
      <c r="J27" s="1">
        <f ca="1">MAX(-CF!J40,0)</f>
        <v>0</v>
      </c>
      <c r="K27" s="1">
        <f ca="1">MAX(-CF!K40,0)</f>
        <v>0</v>
      </c>
      <c r="L27" s="1">
        <f ca="1">MAX(-CF!L40,0)</f>
        <v>0</v>
      </c>
      <c r="M27" s="1">
        <f ca="1">MAX(-CF!M40,0)</f>
        <v>0</v>
      </c>
      <c r="N27" s="1">
        <f ca="1">MAX(-CF!N40,0)</f>
        <v>0</v>
      </c>
      <c r="O27" s="1">
        <f ca="1">MAX(-CF!O40,0)</f>
        <v>0</v>
      </c>
      <c r="P27" s="1">
        <f ca="1">MAX(-CF!P40,0)</f>
        <v>0</v>
      </c>
      <c r="Q27" s="1">
        <f ca="1">MAX(-CF!Q40,0)</f>
        <v>0</v>
      </c>
    </row>
    <row r="28" spans="1:17" x14ac:dyDescent="0.25">
      <c r="A28" s="227" t="s">
        <v>34</v>
      </c>
      <c r="B28" s="1">
        <v>15</v>
      </c>
      <c r="C28" s="1">
        <v>15</v>
      </c>
      <c r="D28" s="1">
        <v>230</v>
      </c>
      <c r="E28" s="1">
        <v>15</v>
      </c>
      <c r="F28" s="1">
        <v>0</v>
      </c>
      <c r="G28" s="1">
        <f>+Loan!G17</f>
        <v>0</v>
      </c>
      <c r="H28" s="1">
        <f>+Loan!H17</f>
        <v>47226.563999999998</v>
      </c>
      <c r="I28" s="1">
        <f>+Loan!I17</f>
        <v>54885.600000000006</v>
      </c>
      <c r="J28" s="1">
        <f>+Loan!J17</f>
        <v>48945.331511999997</v>
      </c>
      <c r="K28" s="1">
        <f>+Loan!K17</f>
        <v>40557.549463200005</v>
      </c>
      <c r="L28" s="1">
        <f>+Loan!L17</f>
        <v>30002.757689520007</v>
      </c>
      <c r="M28" s="1">
        <f>+Loan!M17</f>
        <v>16931.432066472003</v>
      </c>
      <c r="N28" s="1">
        <f>+Loan!N17</f>
        <v>945.81374191920008</v>
      </c>
      <c r="O28" s="1">
        <f>+Loan!O17</f>
        <v>0</v>
      </c>
      <c r="P28" s="1">
        <f>+Loan!P17</f>
        <v>0</v>
      </c>
      <c r="Q28" s="1">
        <f>+Loan!Q17</f>
        <v>0</v>
      </c>
    </row>
    <row r="29" spans="1:17" x14ac:dyDescent="0.25">
      <c r="A29" s="227" t="s">
        <v>35</v>
      </c>
      <c r="B29" s="1">
        <v>56307</v>
      </c>
      <c r="C29" s="1">
        <v>44941</v>
      </c>
      <c r="D29" s="1">
        <v>87682</v>
      </c>
      <c r="E29" s="1">
        <v>114891</v>
      </c>
      <c r="F29" s="1">
        <v>116787.00000000001</v>
      </c>
      <c r="G29" s="1">
        <f ca="1">+'WC parameters'!G53</f>
        <v>119520.50103865287</v>
      </c>
      <c r="H29" s="1">
        <f ca="1">+'WC parameters'!H53</f>
        <v>135176.20095752511</v>
      </c>
      <c r="I29" s="1">
        <f ca="1">+'WC parameters'!I53</f>
        <v>143708.25906057726</v>
      </c>
      <c r="J29" s="1">
        <f ca="1">+'WC parameters'!J53</f>
        <v>152943.98554837028</v>
      </c>
      <c r="K29" s="1">
        <f ca="1">+'WC parameters'!K53</f>
        <v>175541.0643673194</v>
      </c>
      <c r="L29" s="1">
        <f ca="1">+'WC parameters'!L53</f>
        <v>197955.84659938584</v>
      </c>
      <c r="M29" s="1">
        <f ca="1">+'WC parameters'!M53</f>
        <v>223424.33627531101</v>
      </c>
      <c r="N29" s="1">
        <f ca="1">+'WC parameters'!N53</f>
        <v>252389.57695974491</v>
      </c>
      <c r="O29" s="1">
        <f ca="1">+'WC parameters'!O53</f>
        <v>292712.16819567158</v>
      </c>
      <c r="P29" s="1">
        <f ca="1">+'WC parameters'!P53</f>
        <v>339275.61026369547</v>
      </c>
      <c r="Q29" s="1">
        <f ca="1">+'WC parameters'!Q53</f>
        <v>394811.96573426982</v>
      </c>
    </row>
    <row r="30" spans="1:17" x14ac:dyDescent="0.25">
      <c r="A30" s="227" t="s">
        <v>38</v>
      </c>
      <c r="B30" s="1">
        <v>11619</v>
      </c>
      <c r="C30" s="1">
        <v>21019</v>
      </c>
      <c r="D30" s="1">
        <v>30855</v>
      </c>
      <c r="E30" s="1">
        <v>7252</v>
      </c>
      <c r="F30" s="1">
        <v>17419.979166666668</v>
      </c>
      <c r="G30" s="1">
        <f>+'WC parameters'!G41</f>
        <v>5219.8333333333339</v>
      </c>
      <c r="H30" s="1">
        <f>+'WC parameters'!H41</f>
        <v>6052.54</v>
      </c>
      <c r="I30" s="1">
        <f>+'WC parameters'!I41</f>
        <v>7018.1433333333334</v>
      </c>
      <c r="J30" s="1">
        <f>+'WC parameters'!J41</f>
        <v>8155.6966666666667</v>
      </c>
      <c r="K30" s="1">
        <f>+'WC parameters'!K41</f>
        <v>9499.2333333333336</v>
      </c>
      <c r="L30" s="1">
        <f>+'WC parameters'!L41</f>
        <v>11089.029999999999</v>
      </c>
      <c r="M30" s="1">
        <f>+'WC parameters'!M41</f>
        <v>12973.376666666667</v>
      </c>
      <c r="N30" s="1">
        <f>+'WC parameters'!N41</f>
        <v>15210.97</v>
      </c>
      <c r="O30" s="1">
        <f>+'WC parameters'!O41</f>
        <v>17873.120000000003</v>
      </c>
      <c r="P30" s="1">
        <f>+'WC parameters'!P41</f>
        <v>21045.123333333337</v>
      </c>
      <c r="Q30" s="1">
        <f>+'WC parameters'!Q41</f>
        <v>24831.903333333335</v>
      </c>
    </row>
    <row r="31" spans="1:17" x14ac:dyDescent="0.25">
      <c r="A31" s="231" t="s">
        <v>39</v>
      </c>
      <c r="B31" s="8">
        <f t="shared" ref="B31:F31" si="32">SUM(B27:B30)</f>
        <v>69236</v>
      </c>
      <c r="C31" s="8">
        <f t="shared" si="32"/>
        <v>73602.314644004742</v>
      </c>
      <c r="D31" s="8">
        <f t="shared" si="32"/>
        <v>132466</v>
      </c>
      <c r="E31" s="8">
        <f t="shared" si="32"/>
        <v>127004</v>
      </c>
      <c r="F31" s="8">
        <f t="shared" si="32"/>
        <v>142418.97916666669</v>
      </c>
      <c r="G31" s="8">
        <f t="shared" ref="G31:N31" ca="1" si="33">SUM(G27:G30)</f>
        <v>126250.79658086019</v>
      </c>
      <c r="H31" s="8">
        <f t="shared" ca="1" si="33"/>
        <v>188455.30495752514</v>
      </c>
      <c r="I31" s="8">
        <f t="shared" ca="1" si="33"/>
        <v>205612.0023939106</v>
      </c>
      <c r="J31" s="8">
        <f t="shared" ca="1" si="33"/>
        <v>210045.01372703695</v>
      </c>
      <c r="K31" s="8">
        <f t="shared" ca="1" si="33"/>
        <v>225597.84716385274</v>
      </c>
      <c r="L31" s="8">
        <f t="shared" ca="1" si="33"/>
        <v>239047.63428890586</v>
      </c>
      <c r="M31" s="8">
        <f t="shared" ca="1" si="33"/>
        <v>253329.1450084497</v>
      </c>
      <c r="N31" s="8">
        <f t="shared" ca="1" si="33"/>
        <v>268546.36070166412</v>
      </c>
      <c r="O31" s="8">
        <f t="shared" ref="O31:Q31" ca="1" si="34">SUM(O27:O30)</f>
        <v>310585.28819567157</v>
      </c>
      <c r="P31" s="8">
        <f t="shared" ca="1" si="34"/>
        <v>360320.73359702883</v>
      </c>
      <c r="Q31" s="8">
        <f t="shared" ca="1" si="34"/>
        <v>419643.86906760314</v>
      </c>
    </row>
    <row r="32" spans="1:17" x14ac:dyDescent="0.25">
      <c r="A32" s="231" t="s">
        <v>23</v>
      </c>
      <c r="B32" s="8"/>
      <c r="C32" s="8"/>
      <c r="D32" s="8"/>
      <c r="E32" s="8">
        <v>1</v>
      </c>
      <c r="F32" s="8"/>
      <c r="G32" s="8">
        <v>2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/>
      <c r="O32" s="8">
        <v>0</v>
      </c>
      <c r="P32" s="8">
        <v>0</v>
      </c>
      <c r="Q32" s="8">
        <v>0</v>
      </c>
    </row>
    <row r="33" spans="1:17" ht="9" customHeight="1" x14ac:dyDescent="0.25">
      <c r="A33" s="225"/>
    </row>
    <row r="34" spans="1:17" s="184" customFormat="1" ht="21" thickBot="1" x14ac:dyDescent="0.35">
      <c r="A34" s="232" t="s">
        <v>360</v>
      </c>
      <c r="B34" s="233">
        <f t="shared" ref="B34:Q34" si="35">ROUND(+B32+B31+B25,0)</f>
        <v>82977</v>
      </c>
      <c r="C34" s="233">
        <f t="shared" si="35"/>
        <v>124014</v>
      </c>
      <c r="D34" s="233">
        <f t="shared" si="35"/>
        <v>172607</v>
      </c>
      <c r="E34" s="233">
        <f t="shared" si="35"/>
        <v>193766</v>
      </c>
      <c r="F34" s="233">
        <f t="shared" si="35"/>
        <v>205814</v>
      </c>
      <c r="G34" s="233">
        <f t="shared" ca="1" si="35"/>
        <v>198307</v>
      </c>
      <c r="H34" s="233">
        <f t="shared" ca="1" si="35"/>
        <v>271457</v>
      </c>
      <c r="I34" s="233">
        <f t="shared" ca="1" si="35"/>
        <v>302531</v>
      </c>
      <c r="J34" s="233">
        <f t="shared" ca="1" si="35"/>
        <v>326177</v>
      </c>
      <c r="K34" s="233">
        <f t="shared" ca="1" si="35"/>
        <v>359939</v>
      </c>
      <c r="L34" s="233">
        <f t="shared" ca="1" si="35"/>
        <v>395231</v>
      </c>
      <c r="M34" s="233">
        <f t="shared" ca="1" si="35"/>
        <v>435209</v>
      </c>
      <c r="N34" s="233">
        <f t="shared" ca="1" si="35"/>
        <v>480233</v>
      </c>
      <c r="O34" s="233">
        <f t="shared" ca="1" si="35"/>
        <v>557125</v>
      </c>
      <c r="P34" s="233">
        <f t="shared" ca="1" si="35"/>
        <v>645325</v>
      </c>
      <c r="Q34" s="233">
        <f t="shared" ca="1" si="35"/>
        <v>745849</v>
      </c>
    </row>
    <row r="35" spans="1:17" x14ac:dyDescent="0.25">
      <c r="F35" s="1">
        <f>265*0</f>
        <v>0</v>
      </c>
    </row>
    <row r="36" spans="1:17" x14ac:dyDescent="0.25">
      <c r="B36" s="1">
        <f>82977-B34</f>
        <v>0</v>
      </c>
      <c r="F36" s="1">
        <f>205814-F34</f>
        <v>0</v>
      </c>
    </row>
    <row r="37" spans="1:17" x14ac:dyDescent="0.25">
      <c r="B37" s="1">
        <f t="shared" ref="B37:Q37" si="36">+B34-B18</f>
        <v>0</v>
      </c>
      <c r="C37" s="1">
        <f t="shared" si="36"/>
        <v>0</v>
      </c>
      <c r="D37" s="1">
        <f t="shared" si="36"/>
        <v>0</v>
      </c>
      <c r="E37" s="1">
        <f t="shared" si="36"/>
        <v>0</v>
      </c>
      <c r="F37" s="1">
        <f t="shared" si="36"/>
        <v>0</v>
      </c>
      <c r="G37" s="1">
        <f t="shared" ca="1" si="36"/>
        <v>0</v>
      </c>
      <c r="H37" s="1">
        <f t="shared" ca="1" si="36"/>
        <v>1</v>
      </c>
      <c r="I37" s="1">
        <f t="shared" ca="1" si="36"/>
        <v>0</v>
      </c>
      <c r="J37" s="1">
        <f t="shared" ca="1" si="36"/>
        <v>0</v>
      </c>
      <c r="K37" s="1">
        <f t="shared" ca="1" si="36"/>
        <v>1</v>
      </c>
      <c r="L37" s="1">
        <f t="shared" ca="1" si="36"/>
        <v>1</v>
      </c>
      <c r="M37" s="1">
        <f t="shared" ca="1" si="36"/>
        <v>1</v>
      </c>
      <c r="N37" s="1">
        <f t="shared" ca="1" si="36"/>
        <v>1</v>
      </c>
      <c r="O37" s="1">
        <f t="shared" ca="1" si="36"/>
        <v>0</v>
      </c>
      <c r="P37" s="1">
        <f t="shared" ca="1" si="36"/>
        <v>1</v>
      </c>
      <c r="Q37" s="1">
        <f t="shared" ca="1" si="36"/>
        <v>1</v>
      </c>
    </row>
    <row r="39" spans="1:17" s="460" customFormat="1" x14ac:dyDescent="0.25">
      <c r="A39" s="460" t="s">
        <v>593</v>
      </c>
      <c r="B39" s="461">
        <f t="shared" ref="B39:N39" si="37">B3</f>
        <v>2007</v>
      </c>
      <c r="C39" s="461">
        <f t="shared" si="37"/>
        <v>2008</v>
      </c>
      <c r="D39" s="461">
        <f t="shared" si="37"/>
        <v>2009</v>
      </c>
      <c r="E39" s="461">
        <f t="shared" si="37"/>
        <v>2010</v>
      </c>
      <c r="F39" s="461">
        <f t="shared" si="37"/>
        <v>2011</v>
      </c>
      <c r="G39" s="461">
        <f t="shared" si="37"/>
        <v>2012</v>
      </c>
      <c r="H39" s="461">
        <f t="shared" si="37"/>
        <v>2013</v>
      </c>
      <c r="I39" s="461">
        <f t="shared" si="37"/>
        <v>2014</v>
      </c>
      <c r="J39" s="461">
        <f t="shared" si="37"/>
        <v>2015</v>
      </c>
      <c r="K39" s="461">
        <f t="shared" si="37"/>
        <v>2016</v>
      </c>
      <c r="L39" s="461">
        <f t="shared" si="37"/>
        <v>2017</v>
      </c>
      <c r="M39" s="461">
        <f t="shared" si="37"/>
        <v>2018</v>
      </c>
      <c r="N39" s="461">
        <f t="shared" si="37"/>
        <v>2019</v>
      </c>
      <c r="O39" s="461">
        <f t="shared" ref="O39:Q39" si="38">O3</f>
        <v>2020</v>
      </c>
      <c r="P39" s="461">
        <f t="shared" si="38"/>
        <v>2021</v>
      </c>
      <c r="Q39" s="461">
        <f t="shared" si="38"/>
        <v>2022</v>
      </c>
    </row>
    <row r="40" spans="1:17" s="23" customFormat="1" x14ac:dyDescent="0.25">
      <c r="A40" s="23" t="s">
        <v>587</v>
      </c>
      <c r="B40" s="23">
        <f>BS!B11/PL!B6*365</f>
        <v>182.10979260209535</v>
      </c>
      <c r="C40" s="23">
        <f>BS!C11/PL!C6*365</f>
        <v>236.2655231421121</v>
      </c>
      <c r="D40" s="23">
        <f>BS!D11/PL!D6*365</f>
        <v>429.24806358186845</v>
      </c>
      <c r="E40" s="23">
        <f>BS!E11/PL!E6*365</f>
        <v>279.83819333485508</v>
      </c>
      <c r="F40" s="23">
        <f>BS!F11/PL!F6*365</f>
        <v>330.45562840409428</v>
      </c>
      <c r="G40" s="23">
        <f ca="1">BS!G11/PL!G6*365</f>
        <v>286.05393838389926</v>
      </c>
      <c r="H40" s="23">
        <f ca="1">BS!H11/PL!H6*365</f>
        <v>290.62316843631578</v>
      </c>
      <c r="I40" s="23">
        <f ca="1">BS!I11/PL!I6*365</f>
        <v>238.14917876350285</v>
      </c>
      <c r="J40" s="23">
        <f ca="1">BS!J11/PL!J6*365</f>
        <v>194.68692860916505</v>
      </c>
      <c r="K40" s="23">
        <f ca="1">BS!K11/PL!K6*365</f>
        <v>190.56781271270484</v>
      </c>
      <c r="L40" s="23">
        <f ca="1">BS!L11/PL!L6*365</f>
        <v>186.54618290197354</v>
      </c>
      <c r="M40" s="23">
        <f ca="1">BS!M11/PL!M6*365</f>
        <v>182.74045314707925</v>
      </c>
      <c r="N40" s="23">
        <f ca="1">BS!N11/PL!N6*365</f>
        <v>179.12147782386953</v>
      </c>
      <c r="O40" s="23">
        <f ca="1">BS!O11/PL!O6*365</f>
        <v>179.5572073572647</v>
      </c>
      <c r="P40" s="23">
        <f ca="1">BS!P11/PL!P6*365</f>
        <v>180.07279416027569</v>
      </c>
      <c r="Q40" s="23">
        <f ca="1">BS!Q11/PL!Q6*365</f>
        <v>181.17537425703574</v>
      </c>
    </row>
    <row r="41" spans="1:17" s="460" customFormat="1" x14ac:dyDescent="0.25">
      <c r="A41" s="460" t="s">
        <v>588</v>
      </c>
      <c r="B41" s="460">
        <f>B10/(-PL!B8)*365</f>
        <v>104.83466369892804</v>
      </c>
      <c r="C41" s="460">
        <f>C10/(-PL!C8)*365</f>
        <v>173.79139805097518</v>
      </c>
      <c r="D41" s="460">
        <f>D10/(-PL!D8)*365</f>
        <v>409.46716554937728</v>
      </c>
      <c r="E41" s="460">
        <f>E10/(-PL!E8)*365</f>
        <v>87.412636755579442</v>
      </c>
      <c r="F41" s="460">
        <f>F10/(-PL!F8)*365</f>
        <v>77.222483827784558</v>
      </c>
      <c r="G41" s="460">
        <f ca="1">G10/(-PL!G8)*365</f>
        <v>65.565146688242066</v>
      </c>
      <c r="H41" s="460">
        <f ca="1">H10/(-PL!H8)*365</f>
        <v>51.169556272614706</v>
      </c>
      <c r="I41" s="460">
        <f ca="1">I10/(-PL!I8)*365</f>
        <v>35.133275168853864</v>
      </c>
      <c r="J41" s="460">
        <f ca="1">J10/(-PL!J8)*365</f>
        <v>36.466789405674142</v>
      </c>
      <c r="K41" s="460">
        <f ca="1">K10/(-PL!K8)*365</f>
        <v>40.160375593568887</v>
      </c>
      <c r="L41" s="460">
        <f ca="1">L10/(-PL!L8)*365</f>
        <v>40.117922260202043</v>
      </c>
      <c r="M41" s="460">
        <f ca="1">M10/(-PL!M8)*365</f>
        <v>40.072913225013359</v>
      </c>
      <c r="N41" s="460">
        <f ca="1">N10/(-PL!N8)*365</f>
        <v>40.025558590732629</v>
      </c>
      <c r="O41" s="460">
        <f ca="1">O10/(-PL!O8)*365</f>
        <v>39.97605944540058</v>
      </c>
      <c r="P41" s="460">
        <f ca="1">P10/(-PL!P8)*365</f>
        <v>39.924008600214485</v>
      </c>
      <c r="Q41" s="460">
        <f ca="1">Q10/(-PL!Q8)*365</f>
        <v>39.869671161118255</v>
      </c>
    </row>
    <row r="42" spans="1:17" s="460" customFormat="1" x14ac:dyDescent="0.25">
      <c r="A42" s="460" t="s">
        <v>589</v>
      </c>
      <c r="B42" s="460">
        <f>B29/(-PL!B8)*365</f>
        <v>262.90141223424672</v>
      </c>
      <c r="C42" s="460">
        <f>C29/(-PL!C8)*365</f>
        <v>248.49222832023958</v>
      </c>
      <c r="D42" s="460">
        <f>D29/(-PL!D8)*365</f>
        <v>554.38219958772891</v>
      </c>
      <c r="E42" s="460">
        <f>E29/(-PL!E8)*365</f>
        <v>305.08916852437198</v>
      </c>
      <c r="F42" s="460">
        <f>F29/(-PL!F8)*365</f>
        <v>329.06126970403426</v>
      </c>
      <c r="G42" s="460">
        <f ca="1">G29/(-PL!G8)*365</f>
        <v>302.46480611892144</v>
      </c>
      <c r="H42" s="460">
        <f ca="1">H29/(-PL!H8)*365</f>
        <v>287.74164176443719</v>
      </c>
      <c r="I42" s="460">
        <f ca="1">I29/(-PL!I8)*365</f>
        <v>235.55914451910266</v>
      </c>
      <c r="J42" s="460">
        <f ca="1">J29/(-PL!J8)*365</f>
        <v>200.37581186516491</v>
      </c>
      <c r="K42" s="460">
        <f ca="1">K29/(-PL!K8)*365</f>
        <v>202.43542204809646</v>
      </c>
      <c r="L42" s="460">
        <f ca="1">L29/(-PL!L8)*365</f>
        <v>200.72971512339498</v>
      </c>
      <c r="M42" s="460">
        <f ca="1">M29/(-PL!M8)*365</f>
        <v>198.98569216721867</v>
      </c>
      <c r="N42" s="460">
        <f ca="1">N29/(-PL!N8)*365</f>
        <v>197.19564227403313</v>
      </c>
      <c r="O42" s="460">
        <f ca="1">O29/(-PL!O8)*365</f>
        <v>200.38434032624278</v>
      </c>
      <c r="P42" s="460">
        <f ca="1">P29/(-PL!P8)*365</f>
        <v>203.23893285072654</v>
      </c>
      <c r="Q42" s="460">
        <f ca="1">Q29/(-PL!Q8)*365</f>
        <v>206.67328777015905</v>
      </c>
    </row>
    <row r="43" spans="1:17" s="396" customFormat="1" x14ac:dyDescent="0.25">
      <c r="A43" s="396" t="s">
        <v>590</v>
      </c>
      <c r="B43" s="396">
        <f t="shared" ref="B43:Q43" si="39">B10+B11-B29</f>
        <v>12816</v>
      </c>
      <c r="C43" s="396">
        <f t="shared" si="39"/>
        <v>65926.999965694806</v>
      </c>
      <c r="D43" s="396">
        <f t="shared" si="39"/>
        <v>64382</v>
      </c>
      <c r="E43" s="396">
        <f t="shared" si="39"/>
        <v>52380</v>
      </c>
      <c r="F43" s="396">
        <f t="shared" si="39"/>
        <v>60722.000000051674</v>
      </c>
      <c r="G43" s="396">
        <f t="shared" ca="1" si="39"/>
        <v>50678.481808292068</v>
      </c>
      <c r="H43" s="396">
        <f t="shared" ca="1" si="39"/>
        <v>60000</v>
      </c>
      <c r="I43" s="396">
        <f t="shared" ca="1" si="39"/>
        <v>64800</v>
      </c>
      <c r="J43" s="396">
        <f t="shared" ca="1" si="39"/>
        <v>69984</v>
      </c>
      <c r="K43" s="396">
        <f t="shared" ca="1" si="39"/>
        <v>75583</v>
      </c>
      <c r="L43" s="396">
        <f t="shared" ca="1" si="39"/>
        <v>81630</v>
      </c>
      <c r="M43" s="396">
        <f t="shared" ca="1" si="39"/>
        <v>88160</v>
      </c>
      <c r="N43" s="396">
        <f t="shared" ca="1" si="39"/>
        <v>95213</v>
      </c>
      <c r="O43" s="396">
        <f t="shared" ca="1" si="39"/>
        <v>102830</v>
      </c>
      <c r="P43" s="396">
        <f t="shared" ca="1" si="39"/>
        <v>111056</v>
      </c>
      <c r="Q43" s="396">
        <f t="shared" ca="1" si="39"/>
        <v>119940</v>
      </c>
    </row>
    <row r="44" spans="1:17" x14ac:dyDescent="0.25">
      <c r="A44" s="1" t="s">
        <v>592</v>
      </c>
      <c r="B44" s="1">
        <f>B43/PL!B6*365</f>
        <v>50.008980115458627</v>
      </c>
      <c r="C44" s="1">
        <f>C43/PL!C6*365</f>
        <v>196.08340113655967</v>
      </c>
      <c r="D44" s="1">
        <f>D43/PL!D6*365</f>
        <v>316.55459015289284</v>
      </c>
      <c r="E44" s="1">
        <f>E43/PL!E6*365</f>
        <v>109.1000913033554</v>
      </c>
      <c r="F44" s="1">
        <f>F43/PL!F6*365</f>
        <v>133.68194073343784</v>
      </c>
      <c r="G44" s="1">
        <f ca="1">G43/PL!G6*365</f>
        <v>100.46933782197054</v>
      </c>
      <c r="H44" s="1">
        <f ca="1">H43/PL!H6*365</f>
        <v>101.89105144483706</v>
      </c>
      <c r="I44" s="1">
        <f ca="1">I43/PL!I6*365</f>
        <v>82.49160168831429</v>
      </c>
      <c r="J44" s="1">
        <f ca="1">J43/PL!J6*365</f>
        <v>69.838187587127763</v>
      </c>
      <c r="K44" s="1">
        <f ca="1">K43/PL!K6*365</f>
        <v>66.591508133370667</v>
      </c>
      <c r="L44" s="1">
        <f ca="1">L43/PL!L6*365</f>
        <v>63.443122673923234</v>
      </c>
      <c r="M44" s="1">
        <f ca="1">M43/PL!M6*365</f>
        <v>60.431407578018252</v>
      </c>
      <c r="N44" s="1">
        <f ca="1">N43/PL!N6*365</f>
        <v>57.544480680894672</v>
      </c>
      <c r="O44" s="1">
        <f ca="1">O43/PL!O6*365</f>
        <v>54.765037561546109</v>
      </c>
      <c r="P44" s="1">
        <f ca="1">P43/PL!P6*365</f>
        <v>52.121346158795411</v>
      </c>
      <c r="Q44" s="1">
        <f ca="1">Q43/PL!Q6*365</f>
        <v>49.545738247055183</v>
      </c>
    </row>
    <row r="46" spans="1:17" x14ac:dyDescent="0.25">
      <c r="A46" s="39" t="s">
        <v>703</v>
      </c>
      <c r="B46" s="1">
        <f>+B11-B29</f>
        <v>-9637</v>
      </c>
      <c r="C46" s="1">
        <f t="shared" ref="C46:Q46" si="40">+C11-C29</f>
        <v>34496</v>
      </c>
      <c r="D46" s="1">
        <f t="shared" si="40"/>
        <v>-380</v>
      </c>
      <c r="E46" s="1">
        <f t="shared" si="40"/>
        <v>19462</v>
      </c>
      <c r="F46" s="1">
        <f t="shared" si="40"/>
        <v>33314.999999999985</v>
      </c>
      <c r="G46" s="1">
        <f t="shared" ca="1" si="40"/>
        <v>24770.081808292074</v>
      </c>
      <c r="H46" s="1">
        <f t="shared" ca="1" si="40"/>
        <v>35961.400028164993</v>
      </c>
      <c r="I46" s="1">
        <f t="shared" ca="1" si="40"/>
        <v>43366.139642255526</v>
      </c>
      <c r="J46" s="1">
        <f t="shared" ca="1" si="40"/>
        <v>42149.42226359155</v>
      </c>
      <c r="K46" s="1">
        <f t="shared" ca="1" si="40"/>
        <v>40758.0913661175</v>
      </c>
      <c r="L46" s="1">
        <f t="shared" ca="1" si="40"/>
        <v>42066.464227806544</v>
      </c>
      <c r="M46" s="1">
        <f t="shared" ca="1" si="40"/>
        <v>43165.488372536784</v>
      </c>
      <c r="N46" s="1">
        <f t="shared" ca="1" si="40"/>
        <v>43984.516024404904</v>
      </c>
      <c r="O46" s="1">
        <f t="shared" ca="1" si="40"/>
        <v>44434.822926126595</v>
      </c>
      <c r="P46" s="1">
        <f t="shared" ca="1" si="40"/>
        <v>44409.112063625071</v>
      </c>
      <c r="Q46" s="1">
        <f t="shared" ca="1" si="40"/>
        <v>43776.198600539123</v>
      </c>
    </row>
    <row r="47" spans="1:17" x14ac:dyDescent="0.25">
      <c r="A47" s="39" t="s">
        <v>704</v>
      </c>
      <c r="B47" s="1">
        <f>+B46+B10</f>
        <v>12816</v>
      </c>
      <c r="C47" s="1">
        <f t="shared" ref="C47:Q47" si="41">+C46+C10</f>
        <v>65926.999965694806</v>
      </c>
      <c r="D47" s="1">
        <f t="shared" si="41"/>
        <v>64382</v>
      </c>
      <c r="E47" s="1">
        <f t="shared" si="41"/>
        <v>52380</v>
      </c>
      <c r="F47" s="1">
        <f t="shared" si="41"/>
        <v>60722.000000051674</v>
      </c>
      <c r="G47" s="1">
        <f t="shared" ca="1" si="41"/>
        <v>50678.481808292076</v>
      </c>
      <c r="H47" s="1">
        <f t="shared" ca="1" si="41"/>
        <v>59999.999999999985</v>
      </c>
      <c r="I47" s="1">
        <f t="shared" ca="1" si="41"/>
        <v>64800</v>
      </c>
      <c r="J47" s="1">
        <f t="shared" ca="1" si="41"/>
        <v>69984</v>
      </c>
      <c r="K47" s="1">
        <f t="shared" ca="1" si="41"/>
        <v>75582.999999999985</v>
      </c>
      <c r="L47" s="1">
        <f t="shared" ca="1" si="41"/>
        <v>81630.000000000015</v>
      </c>
      <c r="M47" s="1">
        <f t="shared" ca="1" si="41"/>
        <v>88160.000000000029</v>
      </c>
      <c r="N47" s="1">
        <f t="shared" ca="1" si="41"/>
        <v>95213.000000000015</v>
      </c>
      <c r="O47" s="1">
        <f t="shared" ca="1" si="41"/>
        <v>102830</v>
      </c>
      <c r="P47" s="1">
        <f t="shared" ca="1" si="41"/>
        <v>111055.99999999999</v>
      </c>
      <c r="Q47" s="1">
        <f t="shared" ca="1" si="41"/>
        <v>119940.00000000003</v>
      </c>
    </row>
  </sheetData>
  <dataConsolidate/>
  <phoneticPr fontId="2" type="noConversion"/>
  <conditionalFormatting sqref="B36:F36">
    <cfRule type="cellIs" dxfId="28" priority="1" operator="equal">
      <formula>0</formula>
    </cfRule>
  </conditionalFormatting>
  <conditionalFormatting sqref="B37:Q38">
    <cfRule type="cellIs" dxfId="27" priority="2" operator="equal">
      <formula>0</formula>
    </cfRule>
  </conditionalFormatting>
  <printOptions headings="1"/>
  <pageMargins left="0.59055118110236204" right="0.59055118110236204" top="0.59055118110236204" bottom="0.59055118110236204" header="0.511811023622047" footer="0.31496062992126"/>
  <pageSetup paperSize="5" scale="74" orientation="landscape" r:id="rId1"/>
  <headerFooter alignWithMargins="0">
    <oddFooter>&amp;L&amp;F -&amp;A&amp;C&amp;P/&amp;N&amp;R&amp;D</oddFooter>
  </headerFooter>
  <cellWatches>
    <cellWatch r="B37"/>
    <cellWatch r="C37"/>
    <cellWatch r="D37"/>
    <cellWatch r="E37"/>
    <cellWatch r="F37"/>
    <cellWatch r="G37"/>
    <cellWatch r="H37"/>
    <cellWatch r="I37"/>
    <cellWatch r="J37"/>
    <cellWatch r="K37"/>
    <cellWatch r="L37"/>
    <cellWatch r="M37"/>
    <cellWatch r="N37"/>
  </cellWatch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85"/>
  <sheetViews>
    <sheetView workbookViewId="0"/>
  </sheetViews>
  <sheetFormatPr defaultRowHeight="15.75" x14ac:dyDescent="0.25"/>
  <cols>
    <col min="1" max="1" width="45.5" style="1" customWidth="1"/>
    <col min="2" max="2" width="10.625" style="1" bestFit="1" customWidth="1"/>
    <col min="3" max="12" width="10.25" style="1" bestFit="1" customWidth="1"/>
    <col min="13" max="17" width="10.125" style="1" customWidth="1"/>
    <col min="18" max="16384" width="9" style="1"/>
  </cols>
  <sheetData>
    <row r="1" spans="1:17" s="8" customFormat="1" ht="24.75" customHeight="1" x14ac:dyDescent="0.25">
      <c r="A1" s="219" t="s">
        <v>748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1"/>
      <c r="N1" s="221"/>
      <c r="O1" s="221"/>
      <c r="P1" s="221"/>
      <c r="Q1" s="221"/>
    </row>
    <row r="2" spans="1:17" ht="13.5" customHeight="1" x14ac:dyDescent="0.25">
      <c r="A2" s="234" t="s">
        <v>656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6"/>
      <c r="N2" s="236"/>
      <c r="O2" s="236"/>
      <c r="P2" s="236"/>
      <c r="Q2" s="236"/>
    </row>
    <row r="3" spans="1:17" s="183" customFormat="1" ht="18.75" x14ac:dyDescent="0.3">
      <c r="A3" s="237" t="s">
        <v>24</v>
      </c>
      <c r="B3" s="21">
        <f>+BS!B3</f>
        <v>2007</v>
      </c>
      <c r="C3" s="21">
        <f t="shared" ref="C3:N3" si="0">+B3+1</f>
        <v>2008</v>
      </c>
      <c r="D3" s="21">
        <f t="shared" si="0"/>
        <v>2009</v>
      </c>
      <c r="E3" s="21">
        <f t="shared" si="0"/>
        <v>2010</v>
      </c>
      <c r="F3" s="21">
        <f t="shared" si="0"/>
        <v>2011</v>
      </c>
      <c r="G3" s="21">
        <f t="shared" si="0"/>
        <v>2012</v>
      </c>
      <c r="H3" s="21">
        <f t="shared" si="0"/>
        <v>2013</v>
      </c>
      <c r="I3" s="21">
        <f t="shared" si="0"/>
        <v>2014</v>
      </c>
      <c r="J3" s="21">
        <f t="shared" si="0"/>
        <v>2015</v>
      </c>
      <c r="K3" s="21">
        <f t="shared" si="0"/>
        <v>2016</v>
      </c>
      <c r="L3" s="21">
        <f t="shared" si="0"/>
        <v>2017</v>
      </c>
      <c r="M3" s="21">
        <f t="shared" si="0"/>
        <v>2018</v>
      </c>
      <c r="N3" s="21">
        <f t="shared" si="0"/>
        <v>2019</v>
      </c>
      <c r="O3" s="21">
        <f t="shared" ref="O3" si="1">+N3+1</f>
        <v>2020</v>
      </c>
      <c r="P3" s="21">
        <f t="shared" ref="P3" si="2">+O3+1</f>
        <v>2021</v>
      </c>
      <c r="Q3" s="21">
        <f t="shared" ref="Q3" si="3">+P3+1</f>
        <v>2022</v>
      </c>
    </row>
    <row r="4" spans="1:17" ht="9" customHeight="1" x14ac:dyDescent="0.25">
      <c r="A4" s="225"/>
    </row>
    <row r="5" spans="1:17" x14ac:dyDescent="0.25">
      <c r="A5" s="227" t="s">
        <v>16</v>
      </c>
    </row>
    <row r="6" spans="1:17" x14ac:dyDescent="0.25">
      <c r="A6" s="227" t="s">
        <v>15</v>
      </c>
      <c r="B6" s="1">
        <f>+BS!B6/Assumptions!B$6*1000</f>
        <v>6142.4614166996435</v>
      </c>
      <c r="C6" s="1">
        <f>+BS!C6/Assumptions!C$6*1000</f>
        <v>6348.1357987268875</v>
      </c>
      <c r="D6" s="1">
        <f>+BS!D6/Assumptions!D$6*1000</f>
        <v>6726.9377729257649</v>
      </c>
      <c r="E6" s="1">
        <f>+BS!E6/Assumptions!E$6*1000</f>
        <v>10517.165354330709</v>
      </c>
      <c r="F6" s="1">
        <f>+BS!F6/Assumptions!F$6*1000</f>
        <v>11966.440344224038</v>
      </c>
      <c r="G6" s="1">
        <f>+BS!G6/Assumptions!G$6*1000</f>
        <v>10748.068783068784</v>
      </c>
      <c r="H6" s="1">
        <f>+BS!H6/Assumptions!H$6*1000</f>
        <v>32189.143338143331</v>
      </c>
      <c r="I6" s="1">
        <f>+BS!I6/Assumptions!I$6*1000</f>
        <v>33532.559053740864</v>
      </c>
      <c r="J6" s="1">
        <f>+BS!J6/Assumptions!J$6*1000</f>
        <v>27593.187176765681</v>
      </c>
      <c r="K6" s="1">
        <f>+BS!K6/Assumptions!K$6*1000</f>
        <v>22403.81062241317</v>
      </c>
      <c r="L6" s="1">
        <f>+BS!L6/Assumptions!L$6*1000</f>
        <v>17864.208248601382</v>
      </c>
      <c r="M6" s="1">
        <f>+BS!M6/Assumptions!M$6*1000</f>
        <v>13905.099973873212</v>
      </c>
      <c r="N6" s="1">
        <f>+BS!N6/Assumptions!N$6*1000</f>
        <v>10463.889036204631</v>
      </c>
      <c r="O6" s="1">
        <f>+BS!O6/Assumptions!O$6*1000</f>
        <v>7684.0005069094823</v>
      </c>
      <c r="P6" s="1">
        <f>+BS!P6/Assumptions!P$6*1000</f>
        <v>5667.5069048874029</v>
      </c>
      <c r="Q6" s="1">
        <f>+BS!Q6/Assumptions!Q$6*1000</f>
        <v>3954.1443668122347</v>
      </c>
    </row>
    <row r="7" spans="1:17" x14ac:dyDescent="0.25">
      <c r="A7" s="227" t="s">
        <v>17</v>
      </c>
      <c r="B7" s="1">
        <f>+BS!B7/Assumptions!B$6*1000</f>
        <v>1141.2742382271467</v>
      </c>
      <c r="C7" s="1">
        <f>+BS!C7/Assumptions!C$6*1000</f>
        <v>837.37496210973029</v>
      </c>
      <c r="D7" s="1">
        <f>+BS!D7/Assumptions!D$6*1000</f>
        <v>2248.2259825327515</v>
      </c>
      <c r="E7" s="1">
        <f>+BS!E7/Assumptions!E$6*1000</f>
        <v>2416.3779527559054</v>
      </c>
      <c r="F7" s="1">
        <f>+BS!F7/Assumptions!F$6*1000</f>
        <v>2214.7024504084011</v>
      </c>
      <c r="G7" s="1">
        <f>+BS!G7/Assumptions!G$6*1000</f>
        <v>2008.4656084656083</v>
      </c>
      <c r="H7" s="1">
        <f>+BS!H7/Assumptions!H$6*1000</f>
        <v>1825.8778258778259</v>
      </c>
      <c r="I7" s="1">
        <f>+BS!I7/Assumptions!I$6*1000</f>
        <v>1659.8889326162052</v>
      </c>
      <c r="J7" s="1">
        <f>+BS!J7/Assumptions!J$6*1000</f>
        <v>1508.9899387420046</v>
      </c>
      <c r="K7" s="1">
        <f>+BS!K7/Assumptions!K$6*1000</f>
        <v>1371.8090352200043</v>
      </c>
      <c r="L7" s="1">
        <f>+BS!L7/Assumptions!L$6*1000</f>
        <v>1247.0991229272765</v>
      </c>
      <c r="M7" s="1">
        <f>+BS!M7/Assumptions!M$6*1000</f>
        <v>1133.7264753884331</v>
      </c>
      <c r="N7" s="1">
        <f>+BS!N7/Assumptions!N$6*1000</f>
        <v>1030.6604321713025</v>
      </c>
      <c r="O7" s="1">
        <f>+BS!O7/Assumptions!O$6*1000</f>
        <v>936.9640292466388</v>
      </c>
      <c r="P7" s="1">
        <f>+BS!P7/Assumptions!P$6*1000</f>
        <v>851.78548113330783</v>
      </c>
      <c r="Q7" s="1">
        <f>+BS!Q7/Assumptions!Q$6*1000</f>
        <v>774.3504373939162</v>
      </c>
    </row>
    <row r="8" spans="1:17" x14ac:dyDescent="0.25">
      <c r="A8" s="231" t="s">
        <v>26</v>
      </c>
      <c r="B8" s="8">
        <f t="shared" ref="B8" si="4">SUM(B5:B7)</f>
        <v>7283.7356549267897</v>
      </c>
      <c r="C8" s="8">
        <f t="shared" ref="C8:N8" si="5">SUM(C5:C7)</f>
        <v>7185.5107608366179</v>
      </c>
      <c r="D8" s="8">
        <f t="shared" si="5"/>
        <v>8975.1637554585159</v>
      </c>
      <c r="E8" s="8">
        <f t="shared" si="5"/>
        <v>12933.543307086615</v>
      </c>
      <c r="F8" s="8">
        <f t="shared" si="5"/>
        <v>14181.14279463244</v>
      </c>
      <c r="G8" s="8">
        <f t="shared" si="5"/>
        <v>12756.534391534393</v>
      </c>
      <c r="H8" s="8">
        <f t="shared" si="5"/>
        <v>34015.021164021156</v>
      </c>
      <c r="I8" s="8">
        <f t="shared" si="5"/>
        <v>35192.447986357067</v>
      </c>
      <c r="J8" s="8">
        <f t="shared" si="5"/>
        <v>29102.177115507686</v>
      </c>
      <c r="K8" s="8">
        <f t="shared" si="5"/>
        <v>23775.619657633175</v>
      </c>
      <c r="L8" s="8">
        <f t="shared" si="5"/>
        <v>19111.307371528659</v>
      </c>
      <c r="M8" s="8">
        <f t="shared" si="5"/>
        <v>15038.826449261645</v>
      </c>
      <c r="N8" s="8">
        <f t="shared" si="5"/>
        <v>11494.549468375933</v>
      </c>
      <c r="O8" s="8">
        <f t="shared" ref="O8:Q8" si="6">SUM(O5:O7)</f>
        <v>8620.9645361561215</v>
      </c>
      <c r="P8" s="8">
        <f t="shared" si="6"/>
        <v>6519.2923860207111</v>
      </c>
      <c r="Q8" s="8">
        <f t="shared" si="6"/>
        <v>4728.4948042061505</v>
      </c>
    </row>
    <row r="9" spans="1:17" ht="9" customHeight="1" x14ac:dyDescent="0.25">
      <c r="A9" s="225"/>
    </row>
    <row r="10" spans="1:17" x14ac:dyDescent="0.25">
      <c r="A10" s="227" t="s">
        <v>19</v>
      </c>
      <c r="B10" s="1">
        <f>+BS!B10/Assumptions!B$6*1000</f>
        <v>17770.478828650575</v>
      </c>
      <c r="C10" s="1">
        <f>+BS!C10/Assumptions!C$6*1000</f>
        <v>23818.581362302826</v>
      </c>
      <c r="D10" s="1">
        <f>+BS!D10/Assumptions!D$6*1000</f>
        <v>44188.045851528383</v>
      </c>
      <c r="E10" s="1">
        <f>+BS!E10/Assumptions!E$6*1000</f>
        <v>20735.748031496063</v>
      </c>
      <c r="F10" s="1">
        <f>+BS!F10/Assumptions!F$6*1000</f>
        <v>15990.081680310204</v>
      </c>
      <c r="G10" s="1">
        <f ca="1">+BS!G10/Assumptions!G$6*1000</f>
        <v>13708.14814814815</v>
      </c>
      <c r="H10" s="1">
        <f ca="1">+BS!H10/Assumptions!H$6*1000</f>
        <v>11562.578149030782</v>
      </c>
      <c r="I10" s="1">
        <f ca="1">+BS!I10/Assumptions!I$6*1000</f>
        <v>9372.4519470656687</v>
      </c>
      <c r="J10" s="1">
        <f ca="1">+BS!J10/Assumptions!J$6*1000</f>
        <v>11064.830809634503</v>
      </c>
      <c r="K10" s="1">
        <f ca="1">+BS!K10/Assumptions!K$6*1000</f>
        <v>12585.122316825902</v>
      </c>
      <c r="L10" s="1">
        <f ca="1">+BS!L10/Assumptions!L$6*1000</f>
        <v>12997.800516702951</v>
      </c>
      <c r="M10" s="1">
        <f ca="1">+BS!M10/Assumptions!M$6*1000</f>
        <v>13438.216301166429</v>
      </c>
      <c r="N10" s="1">
        <f ca="1">+BS!N10/Assumptions!N$6*1000</f>
        <v>13909.160019432959</v>
      </c>
      <c r="O10" s="1">
        <f ca="1">+BS!O10/Assumptions!O$6*1000</f>
        <v>14413.64077969109</v>
      </c>
      <c r="P10" s="1">
        <f ca="1">+BS!P10/Assumptions!P$6*1000</f>
        <v>14954.91346336216</v>
      </c>
      <c r="Q10" s="1">
        <f ca="1">+BS!Q10/Assumptions!Q$6*1000</f>
        <v>15536.7420777808</v>
      </c>
    </row>
    <row r="11" spans="1:17" x14ac:dyDescent="0.25">
      <c r="A11" s="227" t="s">
        <v>20</v>
      </c>
      <c r="B11" s="1">
        <f>+BS!B11/Assumptions!B$6*1000</f>
        <v>36937.079540957653</v>
      </c>
      <c r="C11" s="1">
        <f>+BS!C11/Assumptions!C$6*1000</f>
        <v>60197.787208244925</v>
      </c>
      <c r="D11" s="1">
        <f>+BS!D11/Assumptions!D$6*1000</f>
        <v>59567.412663755465</v>
      </c>
      <c r="E11" s="1">
        <f>+BS!E11/Assumptions!E$6*1000</f>
        <v>84631.811023622053</v>
      </c>
      <c r="F11" s="1">
        <f>+BS!F11/Assumptions!F$6*1000</f>
        <v>87574.09568261377</v>
      </c>
      <c r="G11" s="1">
        <f ca="1">+BS!G11/Assumptions!G$6*1000</f>
        <v>76344.223728542303</v>
      </c>
      <c r="H11" s="1">
        <f ca="1">+BS!H11/Assumptions!H$6*1000</f>
        <v>82317.268391385325</v>
      </c>
      <c r="I11" s="1">
        <f ca="1">+BS!I11/Assumptions!I$6*1000</f>
        <v>81802.614326307565</v>
      </c>
      <c r="J11" s="1">
        <f ca="1">+BS!J11/Assumptions!J$6*1000</f>
        <v>77553.738014526141</v>
      </c>
      <c r="K11" s="1">
        <f ca="1">+BS!K11/Assumptions!K$6*1000</f>
        <v>78166.790343937711</v>
      </c>
      <c r="L11" s="1">
        <f ca="1">+BS!L11/Assumptions!L$6*1000</f>
        <v>78854.481906103727</v>
      </c>
      <c r="M11" s="1">
        <f ca="1">+BS!M11/Assumptions!M$6*1000</f>
        <v>79620.638111808454</v>
      </c>
      <c r="N11" s="1">
        <f ca="1">+BS!N11/Assumptions!N$6*1000</f>
        <v>80469.191454009924</v>
      </c>
      <c r="O11" s="1">
        <f ca="1">+BS!O11/Assumptions!O$6*1000</f>
        <v>83217.756388266789</v>
      </c>
      <c r="P11" s="1">
        <f ca="1">+BS!P11/Assumptions!P$6*1000</f>
        <v>86095.120076679756</v>
      </c>
      <c r="Q11" s="1">
        <f ca="1">+BS!Q11/Assumptions!Q$6*1000</f>
        <v>89468.107715609614</v>
      </c>
    </row>
    <row r="12" spans="1:17" x14ac:dyDescent="0.25">
      <c r="A12" s="227" t="s">
        <v>21</v>
      </c>
      <c r="B12" s="1">
        <f>+BS!B12/Assumptions!B$6*1000</f>
        <v>1225.9596359319351</v>
      </c>
      <c r="C12" s="1">
        <f>+BS!C12/Assumptions!C$6*1000</f>
        <v>1511.8217641709609</v>
      </c>
      <c r="D12" s="1">
        <f>+BS!D12/Assumptions!D$6*1000</f>
        <v>2803.6299126637555</v>
      </c>
      <c r="E12" s="1">
        <f>+BS!E12/Assumptions!E$6*1000</f>
        <v>1662.3622047244096</v>
      </c>
      <c r="F12" s="1">
        <f>+BS!F12/Assumptions!F$6*1000</f>
        <v>2007.0011668611435</v>
      </c>
      <c r="G12" s="1">
        <f>+BS!G12/Assumptions!G$6*1000</f>
        <v>1820.1058201058199</v>
      </c>
      <c r="H12" s="1">
        <f>+BS!H12/Assumptions!H$6*1000</f>
        <v>1654.6416546416547</v>
      </c>
      <c r="I12" s="1">
        <f>+BS!I12/Assumptions!I$6*1000</f>
        <v>1504.2196860378679</v>
      </c>
      <c r="J12" s="1">
        <f>+BS!J12/Assumptions!J$6*1000</f>
        <v>1367.4724418526071</v>
      </c>
      <c r="K12" s="1">
        <f>+BS!K12/Assumptions!K$6*1000</f>
        <v>1243.1567653205518</v>
      </c>
      <c r="L12" s="1">
        <f>+BS!L12/Assumptions!L$6*1000</f>
        <v>1130.1425139277744</v>
      </c>
      <c r="M12" s="1">
        <f>+BS!M12/Assumptions!M$6*1000</f>
        <v>1027.4022853888855</v>
      </c>
      <c r="N12" s="1">
        <f>+BS!N12/Assumptions!N$6*1000</f>
        <v>934.00207762625951</v>
      </c>
      <c r="O12" s="1">
        <f>+BS!O12/Assumptions!O$6*1000</f>
        <v>849.0927978420541</v>
      </c>
      <c r="P12" s="1">
        <f>+BS!P12/Assumptions!P$6*1000</f>
        <v>771.90254349277643</v>
      </c>
      <c r="Q12" s="1">
        <f>+BS!Q12/Assumptions!Q$6*1000</f>
        <v>701.72958499343304</v>
      </c>
    </row>
    <row r="13" spans="1:17" x14ac:dyDescent="0.25">
      <c r="A13" s="227" t="s">
        <v>362</v>
      </c>
      <c r="B13" s="1">
        <f>+BS!B13/Assumptions!B$6*1000</f>
        <v>0</v>
      </c>
      <c r="C13" s="1">
        <f>+BS!C13/Assumptions!C$6*1000</f>
        <v>0</v>
      </c>
      <c r="D13" s="1">
        <f>+BS!D13/Assumptions!D$6*1000</f>
        <v>0</v>
      </c>
      <c r="E13" s="1">
        <f>+BS!E13/Assumptions!E$6*1000</f>
        <v>0</v>
      </c>
      <c r="F13" s="1">
        <f>+BS!F13/Assumptions!F$6*1000</f>
        <v>0</v>
      </c>
      <c r="G13" s="1">
        <f ca="1">+BS!G13/Assumptions!G$6*1000</f>
        <v>0</v>
      </c>
      <c r="H13" s="1">
        <f ca="1">+BS!H13/Assumptions!H$6*1000</f>
        <v>752.78100048443127</v>
      </c>
      <c r="I13" s="1">
        <f ca="1">+BS!I13/Assumptions!I$6*1000</f>
        <v>4172.8576693573868</v>
      </c>
      <c r="J13" s="1">
        <f ca="1">+BS!J13/Assumptions!J$6*1000</f>
        <v>10352.076124145646</v>
      </c>
      <c r="K13" s="1">
        <f ca="1">+BS!K13/Assumptions!K$6*1000</f>
        <v>14103.180658296618</v>
      </c>
      <c r="L13" s="1">
        <f ca="1">+BS!L13/Assumptions!L$6*1000</f>
        <v>17567.803108609736</v>
      </c>
      <c r="M13" s="1">
        <f ca="1">+BS!M13/Assumptions!M$6*1000</f>
        <v>20689.032189450376</v>
      </c>
      <c r="N13" s="1">
        <f ca="1">+BS!N13/Assumptions!N$6*1000</f>
        <v>23430.50478536051</v>
      </c>
      <c r="O13" s="1">
        <f ca="1">+BS!O13/Assumptions!O$6*1000</f>
        <v>30275.56067517876</v>
      </c>
      <c r="P13" s="1">
        <f ca="1">+BS!P13/Assumptions!P$6*1000</f>
        <v>36338.033527267813</v>
      </c>
      <c r="Q13" s="1">
        <f ca="1">+BS!Q13/Assumptions!Q$6*1000</f>
        <v>41597.541352617656</v>
      </c>
    </row>
    <row r="14" spans="1:17" x14ac:dyDescent="0.25">
      <c r="A14" s="227" t="s">
        <v>22</v>
      </c>
      <c r="B14" s="1">
        <f>+BS!B14/Assumptions!B$6*1000</f>
        <v>2455.0850811238624</v>
      </c>
      <c r="C14" s="1">
        <f>+BS!C14/Assumptions!C$6*1000</f>
        <v>1241.2852379508943</v>
      </c>
      <c r="D14" s="1">
        <f>+BS!D14/Assumptions!D$6*1000</f>
        <v>2236.6266375545852</v>
      </c>
      <c r="E14" s="1">
        <f>+BS!E14/Assumptions!E$6*1000</f>
        <v>2093.8582677165355</v>
      </c>
      <c r="F14" s="1">
        <f>+BS!F14/Assumptions!F$6*1000</f>
        <v>325.55425904317389</v>
      </c>
      <c r="G14" s="1">
        <f>+BS!G14/Assumptions!G$6*1000</f>
        <v>295.23809523809524</v>
      </c>
      <c r="H14" s="1">
        <f>+BS!H14/Assumptions!H$6*1000</f>
        <v>268.39826839826844</v>
      </c>
      <c r="I14" s="1">
        <f>+BS!I14/Assumptions!I$6*1000</f>
        <v>243.99842581660764</v>
      </c>
      <c r="J14" s="1">
        <f>+BS!J14/Assumptions!J$6*1000</f>
        <v>221.81675074237057</v>
      </c>
      <c r="K14" s="1">
        <f>+BS!K14/Assumptions!K$6*1000</f>
        <v>201.65159158397321</v>
      </c>
      <c r="L14" s="1">
        <f>+BS!L14/Assumptions!L$6*1000</f>
        <v>183.31962871270292</v>
      </c>
      <c r="M14" s="1">
        <f>+BS!M14/Assumptions!M$6*1000</f>
        <v>166.65420792063901</v>
      </c>
      <c r="N14" s="1">
        <f>+BS!N14/Assumptions!N$6*1000</f>
        <v>151.5038253823991</v>
      </c>
      <c r="O14" s="1">
        <f>+BS!O14/Assumptions!O$6*1000</f>
        <v>137.73075034763551</v>
      </c>
      <c r="P14" s="1">
        <f>+BS!P14/Assumptions!P$6*1000</f>
        <v>125.20977304330502</v>
      </c>
      <c r="Q14" s="1">
        <f>+BS!Q14/Assumptions!Q$6*1000</f>
        <v>113.82706640300455</v>
      </c>
    </row>
    <row r="15" spans="1:17" x14ac:dyDescent="0.25">
      <c r="A15" s="231" t="s">
        <v>27</v>
      </c>
      <c r="B15" s="8">
        <f>SUM(B10:B14)</f>
        <v>58388.603086664029</v>
      </c>
      <c r="C15" s="8">
        <f t="shared" ref="C15:N15" si="7">SUM(C10:C14)</f>
        <v>86769.475572669617</v>
      </c>
      <c r="D15" s="8">
        <f t="shared" si="7"/>
        <v>108795.7150655022</v>
      </c>
      <c r="E15" s="8">
        <f t="shared" si="7"/>
        <v>109123.77952755908</v>
      </c>
      <c r="F15" s="8">
        <f t="shared" si="7"/>
        <v>105896.73278882829</v>
      </c>
      <c r="G15" s="8">
        <f t="shared" ca="1" si="7"/>
        <v>92167.71579203436</v>
      </c>
      <c r="H15" s="8">
        <f t="shared" ca="1" si="7"/>
        <v>96555.667463940466</v>
      </c>
      <c r="I15" s="8">
        <f t="shared" ca="1" si="7"/>
        <v>97096.142054585085</v>
      </c>
      <c r="J15" s="8">
        <f t="shared" ca="1" si="7"/>
        <v>100559.93414090126</v>
      </c>
      <c r="K15" s="8">
        <f t="shared" ca="1" si="7"/>
        <v>106299.90167596476</v>
      </c>
      <c r="L15" s="8">
        <f t="shared" ca="1" si="7"/>
        <v>110733.54767405688</v>
      </c>
      <c r="M15" s="8">
        <f t="shared" ca="1" si="7"/>
        <v>114941.94309573478</v>
      </c>
      <c r="N15" s="8">
        <f t="shared" ca="1" si="7"/>
        <v>118894.36216181205</v>
      </c>
      <c r="O15" s="8">
        <f t="shared" ref="O15:Q15" ca="1" si="8">SUM(O10:O14)</f>
        <v>128893.78139132632</v>
      </c>
      <c r="P15" s="8">
        <f t="shared" ca="1" si="8"/>
        <v>138285.17938384583</v>
      </c>
      <c r="Q15" s="8">
        <f t="shared" ca="1" si="8"/>
        <v>147417.94779740449</v>
      </c>
    </row>
    <row r="16" spans="1:17" x14ac:dyDescent="0.25">
      <c r="A16" s="231" t="s">
        <v>23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 ht="9" customHeight="1" x14ac:dyDescent="0.25">
      <c r="A17" s="225"/>
    </row>
    <row r="18" spans="1:17" s="184" customFormat="1" ht="20.25" x14ac:dyDescent="0.3">
      <c r="A18" s="238" t="s">
        <v>25</v>
      </c>
      <c r="B18" s="181">
        <f>ROUND(+B15+B8+B16,1)</f>
        <v>65672.3</v>
      </c>
      <c r="C18" s="181">
        <f t="shared" ref="C18:N18" si="9">ROUND(+C15+C8+C16,1)</f>
        <v>93955</v>
      </c>
      <c r="D18" s="181">
        <f t="shared" si="9"/>
        <v>117770.9</v>
      </c>
      <c r="E18" s="181">
        <f t="shared" si="9"/>
        <v>122057.3</v>
      </c>
      <c r="F18" s="181">
        <f t="shared" si="9"/>
        <v>120077.9</v>
      </c>
      <c r="G18" s="181">
        <f t="shared" ca="1" si="9"/>
        <v>104924.3</v>
      </c>
      <c r="H18" s="181">
        <f t="shared" ca="1" si="9"/>
        <v>130570.7</v>
      </c>
      <c r="I18" s="181">
        <f t="shared" ca="1" si="9"/>
        <v>132288.6</v>
      </c>
      <c r="J18" s="181">
        <f t="shared" ca="1" si="9"/>
        <v>129662.1</v>
      </c>
      <c r="K18" s="181">
        <f t="shared" ca="1" si="9"/>
        <v>130075.5</v>
      </c>
      <c r="L18" s="181">
        <f t="shared" ca="1" si="9"/>
        <v>129844.9</v>
      </c>
      <c r="M18" s="181">
        <f t="shared" ca="1" si="9"/>
        <v>129980.8</v>
      </c>
      <c r="N18" s="181">
        <f t="shared" ca="1" si="9"/>
        <v>130388.9</v>
      </c>
      <c r="O18" s="181">
        <f t="shared" ref="O18:Q18" ca="1" si="10">ROUND(+O15+O8+O16,1)</f>
        <v>137514.70000000001</v>
      </c>
      <c r="P18" s="181">
        <f t="shared" ca="1" si="10"/>
        <v>144804.5</v>
      </c>
      <c r="Q18" s="181">
        <f t="shared" ca="1" si="10"/>
        <v>152146.4</v>
      </c>
    </row>
    <row r="19" spans="1:17" x14ac:dyDescent="0.25">
      <c r="A19" s="225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s="183" customFormat="1" ht="18.75" x14ac:dyDescent="0.3">
      <c r="A20" s="237" t="s">
        <v>28</v>
      </c>
      <c r="B20" s="21">
        <f t="shared" ref="B20:N20" si="11">+B3</f>
        <v>2007</v>
      </c>
      <c r="C20" s="21">
        <f t="shared" si="11"/>
        <v>2008</v>
      </c>
      <c r="D20" s="21">
        <f t="shared" si="11"/>
        <v>2009</v>
      </c>
      <c r="E20" s="21">
        <f t="shared" si="11"/>
        <v>2010</v>
      </c>
      <c r="F20" s="21">
        <f t="shared" si="11"/>
        <v>2011</v>
      </c>
      <c r="G20" s="21">
        <f t="shared" si="11"/>
        <v>2012</v>
      </c>
      <c r="H20" s="21">
        <f t="shared" si="11"/>
        <v>2013</v>
      </c>
      <c r="I20" s="21">
        <f t="shared" si="11"/>
        <v>2014</v>
      </c>
      <c r="J20" s="21">
        <f t="shared" si="11"/>
        <v>2015</v>
      </c>
      <c r="K20" s="21">
        <f t="shared" si="11"/>
        <v>2016</v>
      </c>
      <c r="L20" s="21">
        <f t="shared" si="11"/>
        <v>2017</v>
      </c>
      <c r="M20" s="21">
        <f t="shared" si="11"/>
        <v>2018</v>
      </c>
      <c r="N20" s="21">
        <f t="shared" si="11"/>
        <v>2019</v>
      </c>
      <c r="O20" s="21">
        <f t="shared" ref="O20:Q20" si="12">+O3</f>
        <v>2020</v>
      </c>
      <c r="P20" s="21">
        <f t="shared" si="12"/>
        <v>2021</v>
      </c>
      <c r="Q20" s="21">
        <f t="shared" si="12"/>
        <v>2022</v>
      </c>
    </row>
    <row r="21" spans="1:17" ht="9" customHeight="1" x14ac:dyDescent="0.25">
      <c r="A21" s="225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5">
      <c r="A22" s="227" t="s">
        <v>29</v>
      </c>
      <c r="B22" s="1">
        <f>+BS!B22/Assumptions!B$6*1000</f>
        <v>3908.9829837752272</v>
      </c>
      <c r="C22" s="1">
        <f>+BS!C22/Assumptions!C$6*1000</f>
        <v>3742.8008487420434</v>
      </c>
      <c r="D22" s="1">
        <f>+BS!D22/Assumptions!D$6*1000</f>
        <v>3369.9508733624457</v>
      </c>
      <c r="E22" s="1">
        <f>+BS!E22/Assumptions!E$6*1000</f>
        <v>3111.1811023622049</v>
      </c>
      <c r="F22" s="1">
        <f>+BS!F22/Assumptions!F$6*1000</f>
        <v>2881.563593932322</v>
      </c>
      <c r="G22" s="1">
        <f>+BS!G22/Assumptions!G$6*1000</f>
        <v>2613.2275132275131</v>
      </c>
      <c r="H22" s="1">
        <f>+BS!H22/Assumptions!H$6*1000</f>
        <v>2375.6613756613756</v>
      </c>
      <c r="I22" s="1">
        <f>+BS!I22/Assumptions!I$6*1000</f>
        <v>2159.6921596921597</v>
      </c>
      <c r="J22" s="1">
        <f>+BS!J22/Assumptions!J$6*1000</f>
        <v>1963.356508811054</v>
      </c>
      <c r="K22" s="1">
        <f>+BS!K22/Assumptions!K$6*1000</f>
        <v>1784.8695534645947</v>
      </c>
      <c r="L22" s="1">
        <f>+BS!L22/Assumptions!L$6*1000</f>
        <v>1622.6086849678129</v>
      </c>
      <c r="M22" s="1">
        <f>+BS!M22/Assumptions!M$6*1000</f>
        <v>1475.0988045161937</v>
      </c>
      <c r="N22" s="1">
        <f>+BS!N22/Assumptions!N$6*1000</f>
        <v>1340.9989131965397</v>
      </c>
      <c r="O22" s="1">
        <f>+BS!O22/Assumptions!O$6*1000</f>
        <v>1219.0899210877631</v>
      </c>
      <c r="P22" s="1">
        <f>+BS!P22/Assumptions!P$6*1000</f>
        <v>1108.2635646252393</v>
      </c>
      <c r="Q22" s="1">
        <f>+BS!Q22/Assumptions!Q$6*1000</f>
        <v>1007.5123314774901</v>
      </c>
    </row>
    <row r="23" spans="1:17" x14ac:dyDescent="0.25">
      <c r="A23" s="227" t="s">
        <v>30</v>
      </c>
      <c r="B23" s="1">
        <f>+BS!B23/Assumptions!B$6*1000</f>
        <v>4676.6917293233082</v>
      </c>
      <c r="C23" s="1">
        <f>+BS!C23/Assumptions!C$6*1000</f>
        <v>8031.2215822976668</v>
      </c>
      <c r="D23" s="1">
        <f>+BS!D23/Assumptions!D$6*1000</f>
        <v>23425.218340611355</v>
      </c>
      <c r="E23" s="1">
        <f>+BS!E23/Assumptions!E$6*1000</f>
        <v>29906.771653543306</v>
      </c>
      <c r="F23" s="1">
        <f>+BS!F23/Assumptions!F$6*1000</f>
        <v>27614.489394820244</v>
      </c>
      <c r="G23" s="1">
        <f>+BS!G23/Assumptions!G$6*1000</f>
        <v>28189.369053027458</v>
      </c>
      <c r="H23" s="1">
        <f ca="1">+BS!H23/Assumptions!H$6*1000</f>
        <v>32282.646918192229</v>
      </c>
      <c r="I23" s="1">
        <f ca="1">+BS!I23/Assumptions!I$6*1000</f>
        <v>34134.74282952644</v>
      </c>
      <c r="J23" s="1">
        <f ca="1">+BS!J23/Assumptions!J$6*1000</f>
        <v>33244.602802972338</v>
      </c>
      <c r="K23" s="1">
        <f ca="1">+BS!K23/Assumptions!K$6*1000</f>
        <v>34206.754887865238</v>
      </c>
      <c r="L23" s="1">
        <f ca="1">+BS!L23/Assumptions!L$6*1000</f>
        <v>35663.206842793523</v>
      </c>
      <c r="M23" s="1">
        <f ca="1">+BS!M23/Assumptions!M$6*1000</f>
        <v>37521.082817550072</v>
      </c>
      <c r="N23" s="1">
        <f ca="1">+BS!N23/Assumptions!N$6*1000</f>
        <v>39682.659080511607</v>
      </c>
      <c r="O23" s="1">
        <f ca="1">+BS!O23/Assumptions!O$6*1000</f>
        <v>42057.614135829797</v>
      </c>
      <c r="P23" s="1">
        <f ca="1">+BS!P23/Assumptions!P$6*1000</f>
        <v>44625.698987665193</v>
      </c>
      <c r="Q23" s="1">
        <f ca="1">+BS!Q23/Assumptions!Q$6*1000</f>
        <v>47193.607306870537</v>
      </c>
    </row>
    <row r="24" spans="1:17" x14ac:dyDescent="0.25">
      <c r="A24" s="227" t="s">
        <v>31</v>
      </c>
      <c r="B24" s="1">
        <f>+BS!B24/Assumptions!B$6*1000</f>
        <v>2289.6715472892761</v>
      </c>
      <c r="C24" s="1">
        <f>+BS!C24/Assumptions!C$6*1000</f>
        <v>26428.463170657778</v>
      </c>
      <c r="D24" s="1">
        <f>+BS!D24/Assumptions!D$6*1000</f>
        <v>593.613537117904</v>
      </c>
      <c r="E24" s="1">
        <f>+BS!E24/Assumptions!E$6*1000</f>
        <v>9036.2204724409457</v>
      </c>
      <c r="F24" s="1">
        <f>+BS!F24/Assumptions!F$6*1000</f>
        <v>6490.2991175612588</v>
      </c>
      <c r="G24" s="1">
        <f ca="1">+BS!G24/Assumptions!G$6*1000</f>
        <v>7321.5425569839945</v>
      </c>
      <c r="H24" s="1">
        <f ca="1">+BS!H24/Assumptions!H$6*1000</f>
        <v>5265.5701942868527</v>
      </c>
      <c r="I24" s="1">
        <f ca="1">+BS!I24/Assumptions!I$6*1000</f>
        <v>6085.8006343578454</v>
      </c>
      <c r="J24" s="1">
        <f ca="1">+BS!J24/Assumptions!J$6*1000</f>
        <v>10957.068934198569</v>
      </c>
      <c r="K24" s="1">
        <f ca="1">+BS!K24/Assumptions!K$6*1000</f>
        <v>12556.931598019095</v>
      </c>
      <c r="L24" s="1">
        <f ca="1">+BS!L24/Assumptions!L$6*1000</f>
        <v>14024.960641278887</v>
      </c>
      <c r="M24" s="1">
        <f ca="1">+BS!M24/Assumptions!M$6*1000</f>
        <v>15324.605427531746</v>
      </c>
      <c r="N24" s="1">
        <f ca="1">+BS!N24/Assumptions!N$6*1000</f>
        <v>16451.791172252928</v>
      </c>
      <c r="O24" s="1">
        <f ca="1">+BS!O24/Assumptions!O$6*1000</f>
        <v>17576.636876504836</v>
      </c>
      <c r="P24" s="1">
        <f ca="1">+BS!P24/Assumptions!P$6*1000</f>
        <v>18218.172624731022</v>
      </c>
      <c r="Q24" s="1">
        <f ca="1">+BS!Q24/Assumptions!Q$6*1000</f>
        <v>18341.803661706097</v>
      </c>
    </row>
    <row r="25" spans="1:17" x14ac:dyDescent="0.25">
      <c r="A25" s="231" t="s">
        <v>32</v>
      </c>
      <c r="B25" s="8">
        <f t="shared" ref="B25" si="13">SUM(B22:B24)</f>
        <v>10875.346260387811</v>
      </c>
      <c r="C25" s="8">
        <f t="shared" ref="C25:N25" si="14">SUM(C22:C24)</f>
        <v>38202.485601697488</v>
      </c>
      <c r="D25" s="8">
        <f t="shared" si="14"/>
        <v>27388.782751091705</v>
      </c>
      <c r="E25" s="8">
        <f t="shared" si="14"/>
        <v>42054.173228346459</v>
      </c>
      <c r="F25" s="8">
        <f t="shared" si="14"/>
        <v>36986.352106313825</v>
      </c>
      <c r="G25" s="8">
        <f t="shared" ca="1" si="14"/>
        <v>38124.139123238965</v>
      </c>
      <c r="H25" s="8">
        <f t="shared" ca="1" si="14"/>
        <v>39923.878488140457</v>
      </c>
      <c r="I25" s="8">
        <f t="shared" ca="1" si="14"/>
        <v>42380.235623576446</v>
      </c>
      <c r="J25" s="8">
        <f t="shared" ca="1" si="14"/>
        <v>46165.028245981965</v>
      </c>
      <c r="K25" s="8">
        <f t="shared" ca="1" si="14"/>
        <v>48548.556039348929</v>
      </c>
      <c r="L25" s="8">
        <f t="shared" ca="1" si="14"/>
        <v>51310.776169040219</v>
      </c>
      <c r="M25" s="8">
        <f t="shared" ca="1" si="14"/>
        <v>54320.78704959801</v>
      </c>
      <c r="N25" s="8">
        <f t="shared" ca="1" si="14"/>
        <v>57475.449165961079</v>
      </c>
      <c r="O25" s="8">
        <f t="shared" ref="O25:Q25" ca="1" si="15">SUM(O22:O24)</f>
        <v>60853.340933422398</v>
      </c>
      <c r="P25" s="8">
        <f t="shared" ca="1" si="15"/>
        <v>63952.135177021453</v>
      </c>
      <c r="Q25" s="8">
        <f t="shared" ca="1" si="15"/>
        <v>66542.923300054128</v>
      </c>
    </row>
    <row r="26" spans="1:17" x14ac:dyDescent="0.25">
      <c r="A26" s="225"/>
    </row>
    <row r="27" spans="1:17" ht="17.25" customHeight="1" x14ac:dyDescent="0.25">
      <c r="A27" s="227" t="s">
        <v>33</v>
      </c>
      <c r="B27" s="1">
        <f>+BS!B27/Assumptions!B$6*1000</f>
        <v>1024.9307479224376</v>
      </c>
      <c r="C27" s="1">
        <f>+BS!C27/Assumptions!C$6*1000</f>
        <v>5780.0201909705547</v>
      </c>
      <c r="D27" s="1">
        <f>+BS!D27/Assumptions!D$6*1000</f>
        <v>9347.0251091703067</v>
      </c>
      <c r="E27" s="1">
        <f>+BS!E27/Assumptions!E$6*1000</f>
        <v>3052.5984251968503</v>
      </c>
      <c r="F27" s="1">
        <f>+BS!F27/Assumptions!F$6*1000</f>
        <v>4791.1318553092178</v>
      </c>
      <c r="G27" s="1">
        <f ca="1">+BS!G27/Assumptions!G$6*1000</f>
        <v>799.18635390157942</v>
      </c>
      <c r="H27" s="1">
        <f ca="1">+BS!H27/Assumptions!H$6*1000</f>
        <v>0</v>
      </c>
      <c r="I27" s="1">
        <f ca="1">+BS!I27/Assumptions!I$6*1000</f>
        <v>0</v>
      </c>
      <c r="J27" s="1">
        <f ca="1">+BS!J27/Assumptions!J$6*1000</f>
        <v>0</v>
      </c>
      <c r="K27" s="1">
        <f ca="1">+BS!K27/Assumptions!K$6*1000</f>
        <v>0</v>
      </c>
      <c r="L27" s="1">
        <f ca="1">+BS!L27/Assumptions!L$6*1000</f>
        <v>0</v>
      </c>
      <c r="M27" s="1">
        <f ca="1">+BS!M27/Assumptions!M$6*1000</f>
        <v>0</v>
      </c>
      <c r="N27" s="1">
        <f ca="1">+BS!N27/Assumptions!N$6*1000</f>
        <v>0</v>
      </c>
      <c r="O27" s="1">
        <f ca="1">+BS!O27/Assumptions!O$6*1000</f>
        <v>0</v>
      </c>
      <c r="P27" s="1">
        <f ca="1">+BS!P27/Assumptions!P$6*1000</f>
        <v>0</v>
      </c>
      <c r="Q27" s="1">
        <f ca="1">+BS!Q27/Assumptions!Q$6*1000</f>
        <v>0</v>
      </c>
    </row>
    <row r="28" spans="1:17" x14ac:dyDescent="0.25">
      <c r="A28" s="227" t="s">
        <v>34</v>
      </c>
      <c r="B28" s="1">
        <f>+BS!B28/Assumptions!B$6*1000</f>
        <v>11.87178472497032</v>
      </c>
      <c r="C28" s="1">
        <f>+BS!C28/Assumptions!C$6*1000</f>
        <v>11.367080933616249</v>
      </c>
      <c r="D28" s="1">
        <f>+BS!D28/Assumptions!D$6*1000</f>
        <v>156.93231441048036</v>
      </c>
      <c r="E28" s="1">
        <f>+BS!E28/Assumptions!E$6*1000</f>
        <v>9.4488188976377945</v>
      </c>
      <c r="F28" s="1">
        <f>+BS!F28/Assumptions!F$6*1000</f>
        <v>0</v>
      </c>
      <c r="G28" s="1">
        <f>+BS!G28/Assumptions!G$6*1000</f>
        <v>0</v>
      </c>
      <c r="H28" s="1">
        <f>+BS!H28/Assumptions!H$6*1000</f>
        <v>22715.999999999996</v>
      </c>
      <c r="I28" s="1">
        <f>+BS!I28/Assumptions!I$6*1000</f>
        <v>24000</v>
      </c>
      <c r="J28" s="1">
        <f>+BS!J28/Assumptions!J$6*1000</f>
        <v>19456.8</v>
      </c>
      <c r="K28" s="1">
        <f>+BS!K28/Assumptions!K$6*1000</f>
        <v>14656.800000000001</v>
      </c>
      <c r="L28" s="1">
        <f>+BS!L28/Assumptions!L$6*1000</f>
        <v>9856.7999999999993</v>
      </c>
      <c r="M28" s="1">
        <f>+BS!M28/Assumptions!M$6*1000</f>
        <v>5056.8</v>
      </c>
      <c r="N28" s="1">
        <f>+BS!N28/Assumptions!N$6*1000</f>
        <v>256.7999999999999</v>
      </c>
      <c r="O28" s="1">
        <f>+BS!O28/Assumptions!O$6*1000</f>
        <v>0</v>
      </c>
      <c r="P28" s="1">
        <f>+BS!P28/Assumptions!P$6*1000</f>
        <v>0</v>
      </c>
      <c r="Q28" s="1">
        <f>+BS!Q28/Assumptions!Q$6*1000</f>
        <v>0</v>
      </c>
    </row>
    <row r="29" spans="1:17" x14ac:dyDescent="0.25">
      <c r="A29" s="227" t="s">
        <v>35</v>
      </c>
      <c r="B29" s="1">
        <f>+BS!B29/Assumptions!B$6*1000</f>
        <v>44564.305500593589</v>
      </c>
      <c r="C29" s="1">
        <f>+BS!C29/Assumptions!C$6*1000</f>
        <v>34056.532282509856</v>
      </c>
      <c r="D29" s="1">
        <f>+BS!D29/Assumptions!D$6*1000</f>
        <v>59826.692139737992</v>
      </c>
      <c r="E29" s="1">
        <f>+BS!E29/Assumptions!E$6*1000</f>
        <v>72372.283464566935</v>
      </c>
      <c r="F29" s="1">
        <f>+BS!F29/Assumptions!F$6*1000</f>
        <v>68137.106184364078</v>
      </c>
      <c r="G29" s="1">
        <f ca="1">+BS!G29/Assumptions!G$6*1000</f>
        <v>63238.360337911574</v>
      </c>
      <c r="H29" s="1">
        <f ca="1">+BS!H29/Assumptions!H$6*1000</f>
        <v>65019.817680387263</v>
      </c>
      <c r="I29" s="1">
        <f ca="1">+BS!I29/Assumptions!I$6*1000</f>
        <v>62839.765210799444</v>
      </c>
      <c r="J29" s="1">
        <f ca="1">+BS!J29/Assumptions!J$6*1000</f>
        <v>60798.455053633654</v>
      </c>
      <c r="K29" s="1">
        <f ca="1">+BS!K29/Assumptions!K$6*1000</f>
        <v>63437.51795343127</v>
      </c>
      <c r="L29" s="1">
        <f ca="1">+BS!L29/Assumptions!L$6*1000</f>
        <v>65034.394803061259</v>
      </c>
      <c r="M29" s="1">
        <f ca="1">+BS!M29/Assumptions!M$6*1000</f>
        <v>66728.684215334142</v>
      </c>
      <c r="N29" s="1">
        <f ca="1">+BS!N29/Assumptions!N$6*1000</f>
        <v>68526.8573405856</v>
      </c>
      <c r="O29" s="1">
        <f ca="1">+BS!O29/Assumptions!O$6*1000</f>
        <v>72249.940074324622</v>
      </c>
      <c r="P29" s="1">
        <f ca="1">+BS!P29/Assumptions!P$6*1000</f>
        <v>76130.14724058444</v>
      </c>
      <c r="Q29" s="1">
        <f ca="1">+BS!Q29/Assumptions!Q$6*1000</f>
        <v>80538.150251497282</v>
      </c>
    </row>
    <row r="30" spans="1:17" x14ac:dyDescent="0.25">
      <c r="A30" s="227" t="s">
        <v>38</v>
      </c>
      <c r="B30" s="1">
        <f>+BS!B30/Assumptions!B$6*1000</f>
        <v>9195.8844479620093</v>
      </c>
      <c r="C30" s="1">
        <f>+BS!C30/Assumptions!C$6*1000</f>
        <v>15928.311609578663</v>
      </c>
      <c r="D30" s="1">
        <f>+BS!D30/Assumptions!D$6*1000</f>
        <v>21052.811135371179</v>
      </c>
      <c r="E30" s="1">
        <f>+BS!E30/Assumptions!E$6*1000</f>
        <v>4568.1889763779527</v>
      </c>
      <c r="F30" s="1">
        <f>+BS!F30/Assumptions!F$6*1000</f>
        <v>10163.348405289771</v>
      </c>
      <c r="G30" s="1">
        <f>+BS!G30/Assumptions!G$6*1000</f>
        <v>2761.8165784832454</v>
      </c>
      <c r="H30" s="1">
        <f>+BS!H30/Assumptions!H$6*1000</f>
        <v>2911.2746512746512</v>
      </c>
      <c r="I30" s="1">
        <f>+BS!I30/Assumptions!I$6*1000</f>
        <v>3068.8457446033203</v>
      </c>
      <c r="J30" s="1">
        <f>+BS!J30/Assumptions!J$6*1000</f>
        <v>3242.0611731906492</v>
      </c>
      <c r="K30" s="1">
        <f>+BS!K30/Assumptions!K$6*1000</f>
        <v>3432.8593557243694</v>
      </c>
      <c r="L30" s="1">
        <f>+BS!L30/Assumptions!L$6*1000</f>
        <v>3643.0768143082864</v>
      </c>
      <c r="M30" s="1">
        <f>+BS!M30/Assumptions!M$6*1000</f>
        <v>3874.6734989954002</v>
      </c>
      <c r="N30" s="1">
        <f>+BS!N30/Assumptions!N$6*1000</f>
        <v>4129.964413578693</v>
      </c>
      <c r="O30" s="1">
        <f>+BS!O30/Assumptions!O$6*1000</f>
        <v>4411.609728769411</v>
      </c>
      <c r="P30" s="1">
        <f>+BS!P30/Assumptions!P$6*1000</f>
        <v>4722.3209968369711</v>
      </c>
      <c r="Q30" s="1">
        <f>+BS!Q30/Assumptions!Q$6*1000</f>
        <v>5065.4887269468163</v>
      </c>
    </row>
    <row r="31" spans="1:17" x14ac:dyDescent="0.25">
      <c r="A31" s="231" t="s">
        <v>39</v>
      </c>
      <c r="B31" s="8">
        <f t="shared" ref="B31" si="16">SUM(B27:B30)</f>
        <v>54796.992481203008</v>
      </c>
      <c r="C31" s="8">
        <f t="shared" ref="C31:N31" si="17">SUM(C27:C30)</f>
        <v>55776.231163992685</v>
      </c>
      <c r="D31" s="8">
        <f t="shared" si="17"/>
        <v>90383.460698689945</v>
      </c>
      <c r="E31" s="8">
        <f t="shared" si="17"/>
        <v>80002.51968503937</v>
      </c>
      <c r="F31" s="8">
        <f t="shared" si="17"/>
        <v>83091.586444963061</v>
      </c>
      <c r="G31" s="8">
        <f t="shared" ca="1" si="17"/>
        <v>66799.363270296395</v>
      </c>
      <c r="H31" s="8">
        <f t="shared" ca="1" si="17"/>
        <v>90647.092331661916</v>
      </c>
      <c r="I31" s="8">
        <f t="shared" ca="1" si="17"/>
        <v>89908.61095540275</v>
      </c>
      <c r="J31" s="8">
        <f t="shared" ca="1" si="17"/>
        <v>83497.316226824303</v>
      </c>
      <c r="K31" s="8">
        <f t="shared" ca="1" si="17"/>
        <v>81527.177309155639</v>
      </c>
      <c r="L31" s="8">
        <f t="shared" ca="1" si="17"/>
        <v>78534.271617369537</v>
      </c>
      <c r="M31" s="8">
        <f t="shared" ca="1" si="17"/>
        <v>75660.157714329544</v>
      </c>
      <c r="N31" s="8">
        <f t="shared" ca="1" si="17"/>
        <v>72913.621754164298</v>
      </c>
      <c r="O31" s="8">
        <f t="shared" ref="O31:Q31" ca="1" si="18">SUM(O27:O30)</f>
        <v>76661.549803094036</v>
      </c>
      <c r="P31" s="8">
        <f t="shared" ca="1" si="18"/>
        <v>80852.468237421417</v>
      </c>
      <c r="Q31" s="8">
        <f t="shared" ca="1" si="18"/>
        <v>85603.638978444098</v>
      </c>
    </row>
    <row r="32" spans="1:17" x14ac:dyDescent="0.25">
      <c r="A32" s="231" t="s">
        <v>23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 ht="9" customHeight="1" x14ac:dyDescent="0.25">
      <c r="A33" s="225"/>
    </row>
    <row r="34" spans="1:17" s="184" customFormat="1" ht="21" thickBot="1" x14ac:dyDescent="0.35">
      <c r="A34" s="232" t="s">
        <v>360</v>
      </c>
      <c r="B34" s="233">
        <f t="shared" ref="B34:Q34" si="19">ROUND(+B32+B31+B25,1)</f>
        <v>65672.3</v>
      </c>
      <c r="C34" s="233">
        <f t="shared" si="19"/>
        <v>93978.7</v>
      </c>
      <c r="D34" s="233">
        <f t="shared" si="19"/>
        <v>117772.2</v>
      </c>
      <c r="E34" s="233">
        <f t="shared" si="19"/>
        <v>122056.7</v>
      </c>
      <c r="F34" s="233">
        <f t="shared" si="19"/>
        <v>120077.9</v>
      </c>
      <c r="G34" s="233">
        <f t="shared" ca="1" si="19"/>
        <v>104923.5</v>
      </c>
      <c r="H34" s="233">
        <f t="shared" ca="1" si="19"/>
        <v>130571</v>
      </c>
      <c r="I34" s="233">
        <f t="shared" ca="1" si="19"/>
        <v>132288.79999999999</v>
      </c>
      <c r="J34" s="233">
        <f t="shared" ca="1" si="19"/>
        <v>129662.3</v>
      </c>
      <c r="K34" s="233">
        <f t="shared" ca="1" si="19"/>
        <v>130075.7</v>
      </c>
      <c r="L34" s="233">
        <f t="shared" ca="1" si="19"/>
        <v>129845</v>
      </c>
      <c r="M34" s="233">
        <f t="shared" ca="1" si="19"/>
        <v>129980.9</v>
      </c>
      <c r="N34" s="233">
        <f t="shared" ca="1" si="19"/>
        <v>130389.1</v>
      </c>
      <c r="O34" s="233">
        <f t="shared" ca="1" si="19"/>
        <v>137514.9</v>
      </c>
      <c r="P34" s="233">
        <f t="shared" ca="1" si="19"/>
        <v>144804.6</v>
      </c>
      <c r="Q34" s="233">
        <f t="shared" ca="1" si="19"/>
        <v>152146.6</v>
      </c>
    </row>
    <row r="37" spans="1:17" x14ac:dyDescent="0.25">
      <c r="A37" s="1" t="s">
        <v>419</v>
      </c>
      <c r="B37" s="1">
        <f t="shared" ref="B37:Q37" si="20">B18-B34</f>
        <v>0</v>
      </c>
      <c r="C37" s="1">
        <f t="shared" si="20"/>
        <v>-23.69999999999709</v>
      </c>
      <c r="D37" s="1">
        <f t="shared" si="20"/>
        <v>-1.3000000000029104</v>
      </c>
      <c r="E37" s="1">
        <f t="shared" si="20"/>
        <v>0.60000000000582077</v>
      </c>
      <c r="F37" s="1">
        <f t="shared" si="20"/>
        <v>0</v>
      </c>
      <c r="G37" s="1">
        <f t="shared" ca="1" si="20"/>
        <v>0.80000000000291038</v>
      </c>
      <c r="H37" s="1">
        <f t="shared" ca="1" si="20"/>
        <v>-0.30000000000291038</v>
      </c>
      <c r="I37" s="1">
        <f t="shared" ca="1" si="20"/>
        <v>-0.1999999999825377</v>
      </c>
      <c r="J37" s="1">
        <f t="shared" ca="1" si="20"/>
        <v>-0.19999999999708962</v>
      </c>
      <c r="K37" s="1">
        <f t="shared" ca="1" si="20"/>
        <v>-0.19999999999708962</v>
      </c>
      <c r="L37" s="1">
        <f t="shared" ca="1" si="20"/>
        <v>-0.10000000000582077</v>
      </c>
      <c r="M37" s="1">
        <f t="shared" ca="1" si="20"/>
        <v>-9.9999999991268851E-2</v>
      </c>
      <c r="N37" s="1">
        <f t="shared" ca="1" si="20"/>
        <v>-0.20000000001164153</v>
      </c>
      <c r="O37" s="1">
        <f t="shared" ca="1" si="20"/>
        <v>-0.1999999999825377</v>
      </c>
      <c r="P37" s="1">
        <f t="shared" ca="1" si="20"/>
        <v>-0.10000000000582077</v>
      </c>
      <c r="Q37" s="1">
        <f t="shared" ca="1" si="20"/>
        <v>-0.20000000001164153</v>
      </c>
    </row>
    <row r="52" spans="2:7" ht="16.5" thickBot="1" x14ac:dyDescent="0.3"/>
    <row r="53" spans="2:7" ht="24.75" x14ac:dyDescent="0.25">
      <c r="B53" s="186" t="s">
        <v>363</v>
      </c>
      <c r="C53" s="744">
        <v>2009</v>
      </c>
      <c r="D53" s="745"/>
      <c r="E53" s="744">
        <v>2010</v>
      </c>
      <c r="F53" s="745"/>
      <c r="G53" s="748" t="s">
        <v>365</v>
      </c>
    </row>
    <row r="54" spans="2:7" ht="37.5" thickBot="1" x14ac:dyDescent="0.3">
      <c r="B54" s="187" t="s">
        <v>364</v>
      </c>
      <c r="C54" s="746"/>
      <c r="D54" s="747"/>
      <c r="E54" s="746"/>
      <c r="F54" s="747"/>
      <c r="G54" s="749"/>
    </row>
    <row r="55" spans="2:7" ht="16.5" thickBot="1" x14ac:dyDescent="0.3">
      <c r="B55" s="188" t="s">
        <v>366</v>
      </c>
      <c r="C55" s="189" t="s">
        <v>367</v>
      </c>
      <c r="D55" s="189" t="s">
        <v>368</v>
      </c>
      <c r="E55" s="189" t="s">
        <v>367</v>
      </c>
      <c r="F55" s="189" t="s">
        <v>368</v>
      </c>
      <c r="G55" s="189" t="s">
        <v>204</v>
      </c>
    </row>
    <row r="56" spans="2:7" ht="16.5" thickBot="1" x14ac:dyDescent="0.3">
      <c r="B56" s="190" t="s">
        <v>369</v>
      </c>
      <c r="C56" s="191">
        <v>80.5</v>
      </c>
      <c r="D56" s="192">
        <f>C56/$C$56</f>
        <v>1</v>
      </c>
      <c r="E56" s="191">
        <v>92.9</v>
      </c>
      <c r="F56" s="192">
        <f>E56/$E$56</f>
        <v>1</v>
      </c>
      <c r="G56" s="193">
        <f>(E56/C56)</f>
        <v>1.1540372670807455</v>
      </c>
    </row>
    <row r="57" spans="2:7" ht="16.5" thickBot="1" x14ac:dyDescent="0.3">
      <c r="B57" s="190" t="s">
        <v>370</v>
      </c>
      <c r="C57" s="191">
        <v>14.3</v>
      </c>
      <c r="D57" s="192">
        <f>C57/$C$56</f>
        <v>0.17763975155279504</v>
      </c>
      <c r="E57" s="191">
        <v>20.6</v>
      </c>
      <c r="F57" s="192">
        <f>E57/$E$56</f>
        <v>0.2217438105489774</v>
      </c>
      <c r="G57" s="193">
        <f>(E57/C57)</f>
        <v>1.4405594405594406</v>
      </c>
    </row>
    <row r="58" spans="2:7" ht="16.5" thickBot="1" x14ac:dyDescent="0.3">
      <c r="B58" s="190" t="s">
        <v>5</v>
      </c>
      <c r="C58" s="191">
        <v>4.2</v>
      </c>
      <c r="D58" s="192">
        <f>C58/$C$56</f>
        <v>5.2173913043478265E-2</v>
      </c>
      <c r="E58" s="191">
        <v>10.4</v>
      </c>
      <c r="F58" s="192">
        <f>E58/$E$56</f>
        <v>0.11194833153928956</v>
      </c>
      <c r="G58" s="193">
        <f>(E58/C58)</f>
        <v>2.4761904761904763</v>
      </c>
    </row>
    <row r="59" spans="2:7" ht="16.5" thickBot="1" x14ac:dyDescent="0.3">
      <c r="B59" s="190" t="s">
        <v>371</v>
      </c>
      <c r="C59" s="191">
        <v>2.4</v>
      </c>
      <c r="D59" s="192">
        <f>C59/$C$56</f>
        <v>2.9813664596273291E-2</v>
      </c>
      <c r="E59" s="191">
        <v>6.9</v>
      </c>
      <c r="F59" s="192">
        <f>E59/$E$56</f>
        <v>7.4273412271259415E-2</v>
      </c>
      <c r="G59" s="193">
        <f>(E59/C59)</f>
        <v>2.8750000000000004</v>
      </c>
    </row>
    <row r="60" spans="2:7" ht="25.5" thickBot="1" x14ac:dyDescent="0.3">
      <c r="B60" s="187" t="s">
        <v>372</v>
      </c>
      <c r="C60" s="189" t="s">
        <v>367</v>
      </c>
      <c r="D60" s="189" t="s">
        <v>368</v>
      </c>
      <c r="E60" s="189" t="s">
        <v>367</v>
      </c>
      <c r="F60" s="189" t="s">
        <v>368</v>
      </c>
      <c r="G60" s="189" t="s">
        <v>204</v>
      </c>
    </row>
    <row r="61" spans="2:7" ht="24.75" thickBot="1" x14ac:dyDescent="0.3">
      <c r="B61" s="190" t="s">
        <v>332</v>
      </c>
      <c r="C61" s="191">
        <v>63</v>
      </c>
      <c r="D61" s="192">
        <f>C61/$C$56</f>
        <v>0.78260869565217395</v>
      </c>
      <c r="E61" s="191">
        <v>62.2</v>
      </c>
      <c r="F61" s="192">
        <f>E61/$E$56</f>
        <v>0.66953713670613557</v>
      </c>
      <c r="G61" s="193">
        <f>(E61/C61)</f>
        <v>0.98730158730158735</v>
      </c>
    </row>
    <row r="62" spans="2:7" ht="16.5" thickBot="1" x14ac:dyDescent="0.3">
      <c r="B62" s="190" t="s">
        <v>373</v>
      </c>
      <c r="C62" s="191">
        <v>23.3</v>
      </c>
      <c r="D62" s="192">
        <f>C62/$C$56</f>
        <v>0.28944099378881988</v>
      </c>
      <c r="E62" s="191">
        <v>24.2</v>
      </c>
      <c r="F62" s="192">
        <f>E62/$E$56</f>
        <v>0.2604951560818084</v>
      </c>
      <c r="G62" s="193">
        <f>(E62/C62)</f>
        <v>1.03862660944206</v>
      </c>
    </row>
    <row r="63" spans="2:7" ht="24.75" thickBot="1" x14ac:dyDescent="0.3">
      <c r="B63" s="190" t="s">
        <v>374</v>
      </c>
      <c r="C63" s="191">
        <v>54.9</v>
      </c>
      <c r="D63" s="192">
        <f>C63/$C$56</f>
        <v>0.68198757763975149</v>
      </c>
      <c r="E63" s="191">
        <v>53.4</v>
      </c>
      <c r="F63" s="192">
        <f>E63/$E$56</f>
        <v>0.57481162540365982</v>
      </c>
      <c r="G63" s="193">
        <f>(E63/C63)</f>
        <v>0.97267759562841527</v>
      </c>
    </row>
    <row r="64" spans="2:7" ht="16.5" thickBot="1" x14ac:dyDescent="0.3">
      <c r="B64" s="187" t="s">
        <v>375</v>
      </c>
      <c r="C64" s="189" t="s">
        <v>367</v>
      </c>
      <c r="D64" s="189"/>
      <c r="E64" s="189" t="s">
        <v>367</v>
      </c>
      <c r="F64" s="189"/>
      <c r="G64" s="189" t="s">
        <v>204</v>
      </c>
    </row>
    <row r="65" spans="2:7" ht="24.75" thickBot="1" x14ac:dyDescent="0.3">
      <c r="B65" s="190" t="s">
        <v>376</v>
      </c>
      <c r="C65" s="191">
        <v>0</v>
      </c>
      <c r="D65" s="191"/>
      <c r="E65" s="191">
        <v>2.4</v>
      </c>
      <c r="F65" s="191"/>
      <c r="G65" s="193" t="e">
        <f>(E65/C65)</f>
        <v>#DIV/0!</v>
      </c>
    </row>
    <row r="66" spans="2:7" ht="24.75" thickBot="1" x14ac:dyDescent="0.3">
      <c r="B66" s="190" t="s">
        <v>377</v>
      </c>
      <c r="C66" s="191">
        <v>1.1000000000000001</v>
      </c>
      <c r="D66" s="191"/>
      <c r="E66" s="191">
        <v>1</v>
      </c>
      <c r="F66" s="191"/>
      <c r="G66" s="193">
        <f>(E66/C66)</f>
        <v>0.90909090909090906</v>
      </c>
    </row>
    <row r="67" spans="2:7" ht="36.75" thickBot="1" x14ac:dyDescent="0.3">
      <c r="B67" s="190" t="s">
        <v>378</v>
      </c>
      <c r="C67" s="191">
        <v>0</v>
      </c>
      <c r="D67" s="191"/>
      <c r="E67" s="191">
        <v>7.5</v>
      </c>
      <c r="F67" s="191"/>
      <c r="G67" s="193" t="e">
        <f>(E67/C67)</f>
        <v>#DIV/0!</v>
      </c>
    </row>
    <row r="68" spans="2:7" ht="24.75" thickBot="1" x14ac:dyDescent="0.3">
      <c r="B68" s="190" t="s">
        <v>354</v>
      </c>
      <c r="C68" s="191">
        <v>-4</v>
      </c>
      <c r="D68" s="191"/>
      <c r="E68" s="191">
        <v>8.8000000000000007</v>
      </c>
      <c r="F68" s="191"/>
      <c r="G68" s="193">
        <f>(E68/C68)</f>
        <v>-2.2000000000000002</v>
      </c>
    </row>
    <row r="69" spans="2:7" ht="16.5" thickBot="1" x14ac:dyDescent="0.3"/>
    <row r="70" spans="2:7" ht="24.75" x14ac:dyDescent="0.25">
      <c r="B70" s="186" t="s">
        <v>379</v>
      </c>
      <c r="C70" s="744">
        <v>2011</v>
      </c>
      <c r="D70" s="745"/>
      <c r="E70" s="744">
        <v>2012</v>
      </c>
      <c r="F70" s="745"/>
      <c r="G70" s="748" t="s">
        <v>365</v>
      </c>
    </row>
    <row r="71" spans="2:7" ht="37.5" thickBot="1" x14ac:dyDescent="0.3">
      <c r="B71" s="187" t="s">
        <v>380</v>
      </c>
      <c r="C71" s="746"/>
      <c r="D71" s="747"/>
      <c r="E71" s="746"/>
      <c r="F71" s="747"/>
      <c r="G71" s="749"/>
    </row>
    <row r="72" spans="2:7" ht="16.5" thickBot="1" x14ac:dyDescent="0.3">
      <c r="B72" s="188" t="s">
        <v>366</v>
      </c>
      <c r="C72" s="189" t="s">
        <v>367</v>
      </c>
      <c r="D72" s="189" t="s">
        <v>368</v>
      </c>
      <c r="E72" s="189" t="s">
        <v>367</v>
      </c>
      <c r="F72" s="189" t="s">
        <v>368</v>
      </c>
      <c r="G72" s="189" t="s">
        <v>204</v>
      </c>
    </row>
    <row r="73" spans="2:7" ht="16.5" thickBot="1" x14ac:dyDescent="0.3">
      <c r="B73" s="190" t="s">
        <v>369</v>
      </c>
      <c r="C73" s="191">
        <v>95.1</v>
      </c>
      <c r="D73" s="192">
        <f>C73/$C$73</f>
        <v>1</v>
      </c>
      <c r="E73" s="191">
        <v>111.8</v>
      </c>
      <c r="F73" s="192">
        <f>E73/$E$73</f>
        <v>1</v>
      </c>
      <c r="G73" s="193">
        <f>(E73/C73)</f>
        <v>1.1756046267087277</v>
      </c>
    </row>
    <row r="74" spans="2:7" ht="16.5" thickBot="1" x14ac:dyDescent="0.3">
      <c r="B74" s="190" t="s">
        <v>370</v>
      </c>
      <c r="C74" s="191">
        <v>21.6</v>
      </c>
      <c r="D74" s="192">
        <f>C74/$C$73</f>
        <v>0.22712933753943221</v>
      </c>
      <c r="E74" s="191">
        <v>28.1</v>
      </c>
      <c r="F74" s="192">
        <f>E74/$E$73</f>
        <v>0.25134168157423975</v>
      </c>
      <c r="G74" s="193">
        <f>(E74/C74)</f>
        <v>1.3009259259259258</v>
      </c>
    </row>
    <row r="75" spans="2:7" ht="16.5" thickBot="1" x14ac:dyDescent="0.3">
      <c r="B75" s="190" t="s">
        <v>5</v>
      </c>
      <c r="C75" s="191">
        <v>11.2</v>
      </c>
      <c r="D75" s="192">
        <f>C75/$C$73</f>
        <v>0.11777076761303891</v>
      </c>
      <c r="E75" s="191">
        <v>16.7</v>
      </c>
      <c r="F75" s="192">
        <f>E75/$E$73</f>
        <v>0.14937388193202147</v>
      </c>
      <c r="G75" s="193">
        <f>(E75/C75)</f>
        <v>1.4910714285714286</v>
      </c>
    </row>
    <row r="76" spans="2:7" ht="16.5" thickBot="1" x14ac:dyDescent="0.3">
      <c r="B76" s="190" t="s">
        <v>371</v>
      </c>
      <c r="C76" s="191">
        <v>5.9</v>
      </c>
      <c r="D76" s="192">
        <f>C76/$C$73</f>
        <v>6.2039957939011577E-2</v>
      </c>
      <c r="E76" s="191">
        <v>10.7</v>
      </c>
      <c r="F76" s="192">
        <f>E76/$E$73</f>
        <v>9.5706618962432918E-2</v>
      </c>
      <c r="G76" s="193">
        <f>(E76/C76)</f>
        <v>1.8135593220338981</v>
      </c>
    </row>
    <row r="77" spans="2:7" ht="25.5" thickBot="1" x14ac:dyDescent="0.3">
      <c r="B77" s="187" t="s">
        <v>372</v>
      </c>
      <c r="C77" s="189" t="s">
        <v>367</v>
      </c>
      <c r="D77" s="189" t="s">
        <v>368</v>
      </c>
      <c r="E77" s="189" t="s">
        <v>367</v>
      </c>
      <c r="F77" s="189" t="s">
        <v>368</v>
      </c>
      <c r="G77" s="189" t="s">
        <v>204</v>
      </c>
    </row>
    <row r="78" spans="2:7" ht="24.75" thickBot="1" x14ac:dyDescent="0.3">
      <c r="B78" s="190" t="s">
        <v>332</v>
      </c>
      <c r="C78" s="191">
        <v>58.8</v>
      </c>
      <c r="D78" s="192">
        <f>C78/$C$73</f>
        <v>0.6182965299684543</v>
      </c>
      <c r="E78" s="191">
        <v>51.8</v>
      </c>
      <c r="F78" s="192">
        <f>E78/$E$73</f>
        <v>0.46332737030411447</v>
      </c>
      <c r="G78" s="193">
        <f>(E78/C78)</f>
        <v>0.88095238095238093</v>
      </c>
    </row>
    <row r="79" spans="2:7" ht="16.5" thickBot="1" x14ac:dyDescent="0.3">
      <c r="B79" s="190" t="s">
        <v>373</v>
      </c>
      <c r="C79" s="191">
        <v>23.8</v>
      </c>
      <c r="D79" s="192">
        <f>C79/$C$73</f>
        <v>0.25026288117770767</v>
      </c>
      <c r="E79" s="191">
        <v>26.8</v>
      </c>
      <c r="F79" s="192">
        <f>E79/$E$73</f>
        <v>0.23971377459749554</v>
      </c>
      <c r="G79" s="193">
        <f>(E79/C79)</f>
        <v>1.1260504201680672</v>
      </c>
    </row>
    <row r="80" spans="2:7" ht="24.75" thickBot="1" x14ac:dyDescent="0.3">
      <c r="B80" s="190" t="s">
        <v>374</v>
      </c>
      <c r="C80" s="191">
        <v>46.8</v>
      </c>
      <c r="D80" s="192">
        <f>C80/$C$73</f>
        <v>0.49211356466876971</v>
      </c>
      <c r="E80" s="191">
        <v>40.799999999999997</v>
      </c>
      <c r="F80" s="192">
        <f>E80/$E$73</f>
        <v>0.36493738819320215</v>
      </c>
      <c r="G80" s="193">
        <f>(E80/C80)</f>
        <v>0.87179487179487181</v>
      </c>
    </row>
    <row r="81" spans="2:7" ht="16.5" thickBot="1" x14ac:dyDescent="0.3">
      <c r="B81" s="187" t="s">
        <v>375</v>
      </c>
      <c r="C81" s="189" t="s">
        <v>367</v>
      </c>
      <c r="D81" s="194"/>
      <c r="E81" s="189" t="s">
        <v>367</v>
      </c>
      <c r="F81" s="194"/>
      <c r="G81" s="189" t="s">
        <v>204</v>
      </c>
    </row>
    <row r="82" spans="2:7" ht="24.75" thickBot="1" x14ac:dyDescent="0.3">
      <c r="B82" s="190" t="s">
        <v>376</v>
      </c>
      <c r="C82" s="191">
        <v>2.8</v>
      </c>
      <c r="D82" s="191"/>
      <c r="E82" s="191">
        <v>3.2</v>
      </c>
      <c r="F82" s="191"/>
      <c r="G82" s="193">
        <f>(E82/C82)</f>
        <v>1.142857142857143</v>
      </c>
    </row>
    <row r="83" spans="2:7" ht="24.75" thickBot="1" x14ac:dyDescent="0.3">
      <c r="B83" s="190" t="s">
        <v>377</v>
      </c>
      <c r="C83" s="191">
        <v>0.9</v>
      </c>
      <c r="D83" s="191"/>
      <c r="E83" s="191">
        <v>0.8</v>
      </c>
      <c r="F83" s="191"/>
      <c r="G83" s="193">
        <f>(E83/C83)</f>
        <v>0.88888888888888895</v>
      </c>
    </row>
    <row r="84" spans="2:7" ht="36.75" thickBot="1" x14ac:dyDescent="0.3">
      <c r="B84" s="190" t="s">
        <v>378</v>
      </c>
      <c r="C84" s="191">
        <v>16</v>
      </c>
      <c r="D84" s="191"/>
      <c r="E84" s="191">
        <v>20.100000000000001</v>
      </c>
      <c r="F84" s="191"/>
      <c r="G84" s="193">
        <f>(E84/C84)</f>
        <v>1.2562500000000001</v>
      </c>
    </row>
    <row r="85" spans="2:7" ht="24.75" thickBot="1" x14ac:dyDescent="0.3">
      <c r="B85" s="190" t="s">
        <v>354</v>
      </c>
      <c r="C85" s="191">
        <v>-15.2</v>
      </c>
      <c r="D85" s="191"/>
      <c r="E85" s="191">
        <v>-16.8</v>
      </c>
      <c r="F85" s="191"/>
      <c r="G85" s="193">
        <f>(E85/C85)</f>
        <v>1.1052631578947369</v>
      </c>
    </row>
  </sheetData>
  <mergeCells count="6">
    <mergeCell ref="C53:D54"/>
    <mergeCell ref="E53:F54"/>
    <mergeCell ref="G53:G54"/>
    <mergeCell ref="C70:D71"/>
    <mergeCell ref="E70:F71"/>
    <mergeCell ref="G70:G71"/>
  </mergeCells>
  <phoneticPr fontId="73" type="noConversion"/>
  <conditionalFormatting sqref="B37:Q37">
    <cfRule type="cellIs" dxfId="26" priority="1" operator="equal">
      <formula>0</formula>
    </cfRule>
  </conditionalFormatting>
  <printOptions horizontalCentered="1" headings="1"/>
  <pageMargins left="0.6" right="0.6" top="0.6" bottom="0.6" header="0.3" footer="0.3"/>
  <pageSetup scale="43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6</vt:i4>
      </vt:variant>
    </vt:vector>
  </HeadingPairs>
  <TitlesOfParts>
    <vt:vector size="34" baseType="lpstr">
      <vt:lpstr>Sensitivity</vt:lpstr>
      <vt:lpstr>Assumptions</vt:lpstr>
      <vt:lpstr>Summary</vt:lpstr>
      <vt:lpstr>PL</vt:lpstr>
      <vt:lpstr>PL USD</vt:lpstr>
      <vt:lpstr>PL NPK</vt:lpstr>
      <vt:lpstr>PL NPK USD</vt:lpstr>
      <vt:lpstr>BS</vt:lpstr>
      <vt:lpstr>BS USD</vt:lpstr>
      <vt:lpstr>CF</vt:lpstr>
      <vt:lpstr>CF USD</vt:lpstr>
      <vt:lpstr>Detail Invest</vt:lpstr>
      <vt:lpstr>USD-DSCR</vt:lpstr>
      <vt:lpstr>Invest</vt:lpstr>
      <vt:lpstr>Loan</vt:lpstr>
      <vt:lpstr>Payroll</vt:lpstr>
      <vt:lpstr>WC parameters</vt:lpstr>
      <vt:lpstr>turnover</vt:lpstr>
      <vt:lpstr>break down export</vt:lpstr>
      <vt:lpstr>cogs</vt:lpstr>
      <vt:lpstr>Cost RMs</vt:lpstr>
      <vt:lpstr>Ammofos Price</vt:lpstr>
      <vt:lpstr>bom</vt:lpstr>
      <vt:lpstr>operating expenses</vt:lpstr>
      <vt:lpstr>tax</vt:lpstr>
      <vt:lpstr>equity</vt:lpstr>
      <vt:lpstr>Sheet1</vt:lpstr>
      <vt:lpstr>graphs</vt:lpstr>
      <vt:lpstr>BS!Print_Area</vt:lpstr>
      <vt:lpstr>CF!Print_Area</vt:lpstr>
      <vt:lpstr>'CF USD'!Print_Area</vt:lpstr>
      <vt:lpstr>Sensitivity!Print_Area</vt:lpstr>
      <vt:lpstr>Summary!Print_Area</vt:lpstr>
      <vt:lpstr>bom!Print_Titles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Kenz Hilton</cp:lastModifiedBy>
  <cp:lastPrinted>2013-01-14T04:52:11Z</cp:lastPrinted>
  <dcterms:created xsi:type="dcterms:W3CDTF">2006-08-01T08:05:18Z</dcterms:created>
  <dcterms:modified xsi:type="dcterms:W3CDTF">2025-08-02T00:56:15Z</dcterms:modified>
</cp:coreProperties>
</file>