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ngsathit\Desktop\"/>
    </mc:Choice>
  </mc:AlternateContent>
  <xr:revisionPtr revIDLastSave="0" documentId="13_ncr:1_{FADF68FC-20E8-4236-A656-3786713ABAF9}" xr6:coauthVersionLast="43" xr6:coauthVersionMax="43" xr10:uidLastSave="{00000000-0000-0000-0000-000000000000}"/>
  <bookViews>
    <workbookView xWindow="-110" yWindow="-110" windowWidth="19420" windowHeight="10420" tabRatio="701" firstSheet="1" activeTab="3" xr2:uid="{00000000-000D-0000-FFFF-FFFF00000000}"/>
  </bookViews>
  <sheets>
    <sheet name="Total" sheetId="14" r:id="rId1"/>
    <sheet name="Total (2)" sheetId="31" r:id="rId2"/>
    <sheet name="Total (4)" sheetId="33" r:id="rId3"/>
    <sheet name="ວຽກສ່ວນຕົວປະທານ" sheetId="34" r:id="rId4"/>
    <sheet name="Total (3)" sheetId="32" r:id="rId5"/>
    <sheet name="ຕິດຕາມຮັບໃນເດືອນ" sheetId="24" r:id="rId6"/>
    <sheet name="ປະນອນ 101" sheetId="3" r:id="rId7"/>
    <sheet name="ຊ່ອງຕະອູ" sheetId="4" r:id="rId8"/>
    <sheet name="ທາງປູຢາງປະທຸມພອນ" sheetId="5" r:id="rId9"/>
    <sheet name="ສາງທ່າບົກ-ທ່າແຂກ" sheetId="6" r:id="rId10"/>
    <sheet name="ສະໜາມບິນຫຼວງພະບາງ" sheetId="7" r:id="rId11"/>
    <sheet name="ທາງລົງພາວເວີ້ເຮົ້າອີມູນ" sheetId="9" r:id="rId12"/>
    <sheet name="ແຄ້ມອີມູນ" sheetId="11" r:id="rId13"/>
    <sheet name="ໂຮງຂົບຫີນ" sheetId="12" r:id="rId14"/>
    <sheet name="ໂຮງແຮມພູສະເຫຼົ່າ" sheetId="13" r:id="rId15"/>
    <sheet name="ບໍລິຫານ ສໍານັກງານໃຫຍ່" sheetId="8" r:id="rId16"/>
    <sheet name="ແຮບໍລິຫານຮັບແຂກ" sheetId="20" r:id="rId17"/>
    <sheet name="ສ້ອມແປງເຊນໍ້ານ້ອຍ 1,6" sheetId="21" r:id="rId18"/>
    <sheet name="ສ່ວນຕົວປະທານ" sheetId="10" r:id="rId19"/>
    <sheet name="ສໍາຮອງແລ່ນເງິນພາກລັດ" sheetId="15" r:id="rId20"/>
    <sheet name="BOL" sheetId="19" r:id="rId21"/>
    <sheet name="ກະລ່າ" sheetId="25" r:id="rId22"/>
    <sheet name="ຊີເອັສຊີ VTE" sheetId="22" r:id="rId23"/>
    <sheet name="ເຮືອນປະທານ ຫລັກ 10" sheetId="23" r:id="rId24"/>
    <sheet name="ວຽກສາຍສົ່ງປາກຫົງສາ" sheetId="26" r:id="rId25"/>
    <sheet name="ວຽກປັບປຸງຕາຂ່າຍເຂື່ອນນ້ຳອີ່ມູນ" sheetId="27" r:id="rId26"/>
    <sheet name="ເຂື່ອນນ້ຳກົງ2+3" sheetId="28" r:id="rId27"/>
    <sheet name="ດອກເບ້ຍທະນາຄານ" sheetId="30" r:id="rId28"/>
  </sheets>
  <definedNames>
    <definedName name="_xlnm.Print_Area" localSheetId="2">'Total (4)'!$A$1:$J$57</definedName>
    <definedName name="_xlnm.Print_Area" localSheetId="27">ດອກເບ້ຍທະນາຄານ!$A$1:$H$44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4" l="1"/>
  <c r="I8" i="34"/>
  <c r="I5" i="34"/>
  <c r="E7" i="34"/>
  <c r="I7" i="34"/>
  <c r="I6" i="34"/>
  <c r="F7" i="34"/>
  <c r="G46" i="33"/>
  <c r="H46" i="33"/>
  <c r="J46" i="33"/>
  <c r="J37" i="33"/>
  <c r="I37" i="33"/>
  <c r="I46" i="33" s="1"/>
  <c r="H37" i="33"/>
  <c r="G37" i="33"/>
  <c r="F37" i="33"/>
  <c r="F46" i="33" s="1"/>
  <c r="H33" i="33"/>
  <c r="J5" i="33"/>
  <c r="I5" i="33"/>
  <c r="H5" i="33"/>
  <c r="F5" i="33"/>
  <c r="D11" i="34"/>
  <c r="C11" i="34"/>
  <c r="F8" i="34"/>
  <c r="F9" i="34"/>
  <c r="F10" i="34"/>
  <c r="G8" i="34"/>
  <c r="G9" i="34"/>
  <c r="H38" i="33"/>
  <c r="J38" i="33" s="1"/>
  <c r="H16" i="33"/>
  <c r="G11" i="33"/>
  <c r="I45" i="33"/>
  <c r="J43" i="33"/>
  <c r="J45" i="33"/>
  <c r="I10" i="33"/>
  <c r="F6" i="33"/>
  <c r="J27" i="33"/>
  <c r="I27" i="33"/>
  <c r="J36" i="33"/>
  <c r="I36" i="33"/>
  <c r="J42" i="33"/>
  <c r="J25" i="33"/>
  <c r="J26" i="33"/>
  <c r="I25" i="33"/>
  <c r="I26" i="33"/>
  <c r="I43" i="33"/>
  <c r="I40" i="33"/>
  <c r="I42" i="33"/>
  <c r="G7" i="34" l="1"/>
  <c r="E11" i="34"/>
  <c r="F6" i="34"/>
  <c r="F11" i="34" s="1"/>
  <c r="G6" i="34"/>
  <c r="J19" i="33"/>
  <c r="I19" i="33"/>
  <c r="I20" i="33"/>
  <c r="J20" i="33"/>
  <c r="G11" i="34" l="1"/>
  <c r="J6" i="33"/>
  <c r="G5" i="33"/>
  <c r="G29" i="33"/>
  <c r="G33" i="33"/>
  <c r="H29" i="33"/>
  <c r="H12" i="33"/>
  <c r="I7" i="33"/>
  <c r="I9" i="33"/>
  <c r="I6" i="33"/>
  <c r="J7" i="33"/>
  <c r="J9" i="33"/>
  <c r="I38" i="33"/>
  <c r="F32" i="33"/>
  <c r="I31" i="33"/>
  <c r="J30" i="33"/>
  <c r="J29" i="33" s="1"/>
  <c r="I30" i="33"/>
  <c r="I24" i="33"/>
  <c r="J15" i="33"/>
  <c r="J17" i="33"/>
  <c r="J18" i="33"/>
  <c r="J22" i="33"/>
  <c r="I13" i="33"/>
  <c r="I14" i="33"/>
  <c r="I15" i="33"/>
  <c r="I17" i="33"/>
  <c r="I18" i="33"/>
  <c r="I22" i="33"/>
  <c r="I32" i="33" l="1"/>
  <c r="I29" i="33" s="1"/>
  <c r="F29" i="33"/>
  <c r="H21" i="33"/>
  <c r="L9" i="33"/>
  <c r="H8" i="33"/>
  <c r="I16" i="33" l="1"/>
  <c r="J16" i="33"/>
  <c r="I21" i="33"/>
  <c r="G35" i="31" l="1"/>
  <c r="G35" i="32"/>
  <c r="G21" i="32"/>
  <c r="G20" i="32"/>
  <c r="G19" i="32"/>
  <c r="H20" i="32"/>
  <c r="E31" i="32"/>
  <c r="F31" i="32" s="1"/>
  <c r="H31" i="32" s="1"/>
  <c r="H20" i="31"/>
  <c r="G29" i="31"/>
  <c r="G22" i="31"/>
  <c r="G21" i="31"/>
  <c r="G15" i="31"/>
  <c r="E31" i="31"/>
  <c r="F31" i="31" s="1"/>
  <c r="H31" i="31" s="1"/>
  <c r="H11" i="33" l="1"/>
  <c r="J28" i="33"/>
  <c r="G36" i="32"/>
  <c r="G36" i="31"/>
  <c r="D13" i="10" l="1"/>
  <c r="G13" i="10" s="1"/>
  <c r="G14" i="10" s="1"/>
  <c r="G15" i="10" s="1"/>
  <c r="G16" i="10" s="1"/>
  <c r="G17" i="10" s="1"/>
  <c r="G18" i="10" s="1"/>
  <c r="G19" i="10" s="1"/>
  <c r="G20" i="10" s="1"/>
  <c r="G21" i="10" s="1"/>
  <c r="D12" i="20"/>
  <c r="G13" i="28"/>
  <c r="G14" i="28" s="1"/>
  <c r="G15" i="28" s="1"/>
  <c r="G16" i="28" s="1"/>
  <c r="G17" i="28" s="1"/>
  <c r="G18" i="28" s="1"/>
  <c r="G19" i="28" s="1"/>
  <c r="G12" i="22"/>
  <c r="D54" i="12" l="1"/>
  <c r="E13" i="5"/>
  <c r="G12" i="8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H42" i="14"/>
  <c r="H44" i="14" s="1"/>
  <c r="H41" i="14"/>
  <c r="F32" i="30"/>
  <c r="E34" i="14" s="1"/>
  <c r="E32" i="30"/>
  <c r="D32" i="30"/>
  <c r="G12" i="30"/>
  <c r="C21" i="32" l="1"/>
  <c r="C21" i="31"/>
  <c r="C28" i="33"/>
  <c r="C34" i="14"/>
  <c r="C43" i="33"/>
  <c r="C35" i="32"/>
  <c r="F35" i="32" s="1"/>
  <c r="H35" i="32" s="1"/>
  <c r="C35" i="31"/>
  <c r="G13" i="30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D34" i="14"/>
  <c r="D35" i="32"/>
  <c r="D35" i="31"/>
  <c r="D43" i="33"/>
  <c r="E35" i="32"/>
  <c r="E35" i="31"/>
  <c r="E43" i="33"/>
  <c r="G32" i="30"/>
  <c r="F59" i="22"/>
  <c r="F60" i="22"/>
  <c r="F34" i="14" l="1"/>
  <c r="F35" i="31"/>
  <c r="H35" i="31" s="1"/>
  <c r="E30" i="14"/>
  <c r="F30" i="14" s="1"/>
  <c r="F41" i="10" l="1"/>
  <c r="E110" i="8"/>
  <c r="E68" i="9"/>
  <c r="F41" i="7"/>
  <c r="F37" i="6"/>
  <c r="F42" i="3"/>
  <c r="F23" i="13"/>
  <c r="F22" i="13"/>
  <c r="F18" i="11"/>
  <c r="F40" i="8"/>
  <c r="G40" i="8" s="1"/>
  <c r="G41" i="8" s="1"/>
  <c r="E30" i="33" l="1"/>
  <c r="E16" i="32"/>
  <c r="E16" i="31"/>
  <c r="D17" i="32"/>
  <c r="D12" i="33"/>
  <c r="D17" i="31"/>
  <c r="D23" i="32"/>
  <c r="D23" i="31"/>
  <c r="D38" i="33"/>
  <c r="E12" i="32"/>
  <c r="E12" i="31"/>
  <c r="E15" i="32"/>
  <c r="E15" i="31"/>
  <c r="E15" i="14"/>
  <c r="E26" i="32"/>
  <c r="E26" i="31"/>
  <c r="F42" i="12"/>
  <c r="F21" i="13"/>
  <c r="F51" i="13" s="1"/>
  <c r="F46" i="4"/>
  <c r="F19" i="21"/>
  <c r="F43" i="8"/>
  <c r="F42" i="8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E34" i="33" l="1"/>
  <c r="E22" i="31"/>
  <c r="E22" i="32"/>
  <c r="E33" i="28"/>
  <c r="D33" i="28"/>
  <c r="F33" i="28"/>
  <c r="G12" i="28"/>
  <c r="F41" i="12"/>
  <c r="F40" i="12"/>
  <c r="F39" i="12"/>
  <c r="F38" i="12"/>
  <c r="F29" i="12"/>
  <c r="F41" i="4"/>
  <c r="F20" i="4"/>
  <c r="F19" i="4"/>
  <c r="F18" i="4"/>
  <c r="F17" i="4"/>
  <c r="F23" i="9"/>
  <c r="C28" i="14" l="1"/>
  <c r="C29" i="32"/>
  <c r="C29" i="31"/>
  <c r="D29" i="32"/>
  <c r="D29" i="31"/>
  <c r="D28" i="14"/>
  <c r="E28" i="14"/>
  <c r="E29" i="32"/>
  <c r="E29" i="31"/>
  <c r="F63" i="4"/>
  <c r="G33" i="28"/>
  <c r="G20" i="28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F29" i="32" l="1"/>
  <c r="H29" i="32" s="1"/>
  <c r="F28" i="14"/>
  <c r="F29" i="31"/>
  <c r="H29" i="31" s="1"/>
  <c r="E13" i="32"/>
  <c r="E6" i="33"/>
  <c r="E13" i="31"/>
  <c r="F66" i="27"/>
  <c r="E66" i="27"/>
  <c r="D66" i="27"/>
  <c r="G12" i="27"/>
  <c r="G13" i="27" s="1"/>
  <c r="G14" i="27" s="1"/>
  <c r="D18" i="14" l="1"/>
  <c r="D15" i="33"/>
  <c r="D18" i="32"/>
  <c r="D18" i="31"/>
  <c r="C18" i="14"/>
  <c r="C15" i="33"/>
  <c r="C18" i="32"/>
  <c r="C18" i="31"/>
  <c r="E18" i="32"/>
  <c r="E18" i="31"/>
  <c r="E15" i="33"/>
  <c r="E18" i="14"/>
  <c r="G15" i="27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/>
  <c r="D31" i="24"/>
  <c r="F110" i="8"/>
  <c r="F18" i="14" l="1"/>
  <c r="F18" i="32"/>
  <c r="H18" i="32" s="1"/>
  <c r="E22" i="14"/>
  <c r="E38" i="33"/>
  <c r="E23" i="32"/>
  <c r="E23" i="31"/>
  <c r="F18" i="31"/>
  <c r="H18" i="31" s="1"/>
  <c r="F56" i="22"/>
  <c r="F57" i="22"/>
  <c r="F68" i="9"/>
  <c r="F53" i="22"/>
  <c r="F49" i="22"/>
  <c r="F48" i="22"/>
  <c r="F47" i="22"/>
  <c r="F46" i="22"/>
  <c r="F45" i="22"/>
  <c r="F19" i="22"/>
  <c r="F18" i="22"/>
  <c r="F14" i="22"/>
  <c r="F13" i="22"/>
  <c r="E17" i="14" l="1"/>
  <c r="E12" i="33"/>
  <c r="E17" i="32"/>
  <c r="E17" i="31"/>
  <c r="F62" i="22"/>
  <c r="F15" i="23"/>
  <c r="F13" i="23"/>
  <c r="F32" i="26"/>
  <c r="E32" i="26"/>
  <c r="D32" i="26"/>
  <c r="G12" i="26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C33" i="14" l="1"/>
  <c r="C34" i="32"/>
  <c r="C34" i="31"/>
  <c r="D33" i="14"/>
  <c r="D34" i="32"/>
  <c r="D34" i="31"/>
  <c r="E31" i="14"/>
  <c r="E32" i="32"/>
  <c r="E32" i="31"/>
  <c r="E35" i="33"/>
  <c r="E33" i="14"/>
  <c r="E34" i="31"/>
  <c r="E34" i="32"/>
  <c r="F32" i="23"/>
  <c r="G32" i="26"/>
  <c r="F33" i="14" l="1"/>
  <c r="E30" i="32"/>
  <c r="E30" i="31"/>
  <c r="E29" i="14"/>
  <c r="F34" i="31"/>
  <c r="H34" i="31" s="1"/>
  <c r="F34" i="32"/>
  <c r="H34" i="32" s="1"/>
  <c r="F14" i="12"/>
  <c r="F31" i="20" l="1"/>
  <c r="F54" i="12"/>
  <c r="F41" i="11"/>
  <c r="E12" i="14"/>
  <c r="D110" i="8"/>
  <c r="C23" i="32" l="1"/>
  <c r="F23" i="32" s="1"/>
  <c r="H23" i="32" s="1"/>
  <c r="C23" i="31"/>
  <c r="F23" i="31" s="1"/>
  <c r="H23" i="31" s="1"/>
  <c r="C38" i="33"/>
  <c r="E24" i="32"/>
  <c r="E24" i="31"/>
  <c r="E39" i="33"/>
  <c r="E23" i="14"/>
  <c r="E19" i="14"/>
  <c r="E19" i="32"/>
  <c r="E19" i="31"/>
  <c r="E28" i="33"/>
  <c r="E21" i="32"/>
  <c r="E21" i="31"/>
  <c r="E20" i="14"/>
  <c r="G110" i="8"/>
  <c r="E21" i="14" l="1"/>
  <c r="E63" i="4"/>
  <c r="D6" i="33" l="1"/>
  <c r="D13" i="32"/>
  <c r="D13" i="31"/>
  <c r="D32" i="23"/>
  <c r="D62" i="22"/>
  <c r="D32" i="25"/>
  <c r="G12" i="25"/>
  <c r="G13" i="25" s="1"/>
  <c r="D32" i="19"/>
  <c r="G12" i="19"/>
  <c r="G13" i="15"/>
  <c r="D33" i="15"/>
  <c r="G12" i="10"/>
  <c r="D41" i="10"/>
  <c r="D37" i="21"/>
  <c r="G12" i="21"/>
  <c r="D31" i="20"/>
  <c r="G11" i="20"/>
  <c r="G12" i="20" s="1"/>
  <c r="G13" i="20" s="1"/>
  <c r="G14" i="20" s="1"/>
  <c r="G15" i="20" s="1"/>
  <c r="G16" i="20" s="1"/>
  <c r="G17" i="20" s="1"/>
  <c r="G18" i="20" s="1"/>
  <c r="C22" i="14"/>
  <c r="G12" i="13"/>
  <c r="D51" i="13"/>
  <c r="C20" i="14"/>
  <c r="G12" i="12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D41" i="11"/>
  <c r="G12" i="11"/>
  <c r="D68" i="9"/>
  <c r="G12" i="9"/>
  <c r="D41" i="7"/>
  <c r="G13" i="7"/>
  <c r="D37" i="6"/>
  <c r="G13" i="6"/>
  <c r="G14" i="6" s="1"/>
  <c r="D37" i="5"/>
  <c r="G12" i="5"/>
  <c r="G12" i="4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D63" i="4"/>
  <c r="G63" i="4" s="1"/>
  <c r="D42" i="3"/>
  <c r="G12" i="3"/>
  <c r="C15" i="32" l="1"/>
  <c r="C15" i="31"/>
  <c r="C17" i="14"/>
  <c r="C12" i="33"/>
  <c r="F12" i="33" s="1"/>
  <c r="C17" i="32"/>
  <c r="F17" i="32" s="1"/>
  <c r="H17" i="32" s="1"/>
  <c r="C17" i="31"/>
  <c r="F17" i="31" s="1"/>
  <c r="H17" i="31" s="1"/>
  <c r="C25" i="14"/>
  <c r="C26" i="32"/>
  <c r="C26" i="31"/>
  <c r="C31" i="14"/>
  <c r="C32" i="31"/>
  <c r="C35" i="33"/>
  <c r="C32" i="32"/>
  <c r="C21" i="14"/>
  <c r="C22" i="32"/>
  <c r="C22" i="31"/>
  <c r="C34" i="33"/>
  <c r="C23" i="14"/>
  <c r="C39" i="33"/>
  <c r="C24" i="32"/>
  <c r="C24" i="31"/>
  <c r="C27" i="14"/>
  <c r="C9" i="33"/>
  <c r="C28" i="31"/>
  <c r="C28" i="32"/>
  <c r="C29" i="14"/>
  <c r="C30" i="32"/>
  <c r="C30" i="31"/>
  <c r="C12" i="14"/>
  <c r="C12" i="32"/>
  <c r="C12" i="31"/>
  <c r="C14" i="14"/>
  <c r="C8" i="33"/>
  <c r="C14" i="32"/>
  <c r="C14" i="31"/>
  <c r="C16" i="31"/>
  <c r="C30" i="33"/>
  <c r="C16" i="32"/>
  <c r="C19" i="14"/>
  <c r="C19" i="32"/>
  <c r="C19" i="31"/>
  <c r="C26" i="14"/>
  <c r="C27" i="32"/>
  <c r="C44" i="33"/>
  <c r="C27" i="31"/>
  <c r="C13" i="32"/>
  <c r="F13" i="32" s="1"/>
  <c r="H13" i="32" s="1"/>
  <c r="C13" i="31"/>
  <c r="F13" i="31" s="1"/>
  <c r="H13" i="31" s="1"/>
  <c r="C6" i="33"/>
  <c r="C24" i="14"/>
  <c r="C23" i="33"/>
  <c r="C25" i="31"/>
  <c r="C25" i="32"/>
  <c r="C33" i="32"/>
  <c r="C41" i="33"/>
  <c r="C33" i="31"/>
  <c r="C32" i="14"/>
  <c r="C16" i="14"/>
  <c r="C13" i="14"/>
  <c r="C15" i="14"/>
  <c r="I12" i="33" l="1"/>
  <c r="C46" i="33"/>
  <c r="C36" i="31"/>
  <c r="C36" i="32"/>
  <c r="C35" i="14"/>
  <c r="F32" i="25" l="1"/>
  <c r="E32" i="25"/>
  <c r="G14" i="25"/>
  <c r="G15" i="25" s="1"/>
  <c r="G16" i="25" s="1"/>
  <c r="G17" i="25" s="1"/>
  <c r="G18" i="25" s="1"/>
  <c r="D33" i="31" l="1"/>
  <c r="D41" i="33"/>
  <c r="D33" i="32"/>
  <c r="E32" i="14"/>
  <c r="E41" i="33"/>
  <c r="E33" i="32"/>
  <c r="E33" i="31"/>
  <c r="D32" i="14"/>
  <c r="G32" i="25"/>
  <c r="E32" i="23"/>
  <c r="G12" i="23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E62" i="22"/>
  <c r="G13" i="22"/>
  <c r="F33" i="31" l="1"/>
  <c r="H33" i="31" s="1"/>
  <c r="D29" i="14"/>
  <c r="F29" i="14" s="1"/>
  <c r="D30" i="31"/>
  <c r="F30" i="31" s="1"/>
  <c r="H30" i="31" s="1"/>
  <c r="D30" i="32"/>
  <c r="F30" i="32" s="1"/>
  <c r="H30" i="32" s="1"/>
  <c r="D31" i="14"/>
  <c r="F31" i="14" s="1"/>
  <c r="D35" i="33"/>
  <c r="D32" i="31"/>
  <c r="F32" i="31" s="1"/>
  <c r="H32" i="31" s="1"/>
  <c r="D32" i="32"/>
  <c r="F32" i="32" s="1"/>
  <c r="H32" i="32" s="1"/>
  <c r="F32" i="14"/>
  <c r="F33" i="32"/>
  <c r="H33" i="32" s="1"/>
  <c r="F41" i="33"/>
  <c r="G32" i="23"/>
  <c r="G62" i="22"/>
  <c r="G14" i="22"/>
  <c r="G15" i="22" s="1"/>
  <c r="G16" i="22" s="1"/>
  <c r="G17" i="22" s="1"/>
  <c r="G18" i="22" s="1"/>
  <c r="J41" i="33" l="1"/>
  <c r="I41" i="33"/>
  <c r="J35" i="33"/>
  <c r="I35" i="33"/>
  <c r="G19" i="22"/>
  <c r="G20" i="22" s="1"/>
  <c r="G21" i="22" s="1"/>
  <c r="G22" i="22" s="1"/>
  <c r="G23" i="22" s="1"/>
  <c r="G24" i="22" s="1"/>
  <c r="G25" i="22" s="1"/>
  <c r="G26" i="22" l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F37" i="21"/>
  <c r="E37" i="21"/>
  <c r="G13" i="2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E31" i="20"/>
  <c r="G19" i="20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D23" i="33" l="1"/>
  <c r="D25" i="32"/>
  <c r="D25" i="31"/>
  <c r="E24" i="14"/>
  <c r="E25" i="32"/>
  <c r="E23" i="33"/>
  <c r="E25" i="31"/>
  <c r="D23" i="14"/>
  <c r="F23" i="14" s="1"/>
  <c r="D24" i="32"/>
  <c r="F24" i="32" s="1"/>
  <c r="H24" i="32" s="1"/>
  <c r="D24" i="31"/>
  <c r="F24" i="31" s="1"/>
  <c r="H24" i="31" s="1"/>
  <c r="D39" i="33"/>
  <c r="F39" i="33" s="1"/>
  <c r="G55" i="22"/>
  <c r="G56" i="22" s="1"/>
  <c r="G57" i="22" s="1"/>
  <c r="G58" i="22" s="1"/>
  <c r="G59" i="22" s="1"/>
  <c r="G60" i="22" s="1"/>
  <c r="G61" i="22" s="1"/>
  <c r="D24" i="14"/>
  <c r="G37" i="21"/>
  <c r="G31" i="20"/>
  <c r="J39" i="33" l="1"/>
  <c r="I39" i="33"/>
  <c r="F24" i="14"/>
  <c r="F23" i="33"/>
  <c r="F11" i="33" s="1"/>
  <c r="F25" i="31"/>
  <c r="H25" i="31" s="1"/>
  <c r="F25" i="32"/>
  <c r="H25" i="32" s="1"/>
  <c r="E13" i="14"/>
  <c r="F32" i="19"/>
  <c r="E32" i="19"/>
  <c r="G13" i="19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F33" i="15"/>
  <c r="E33" i="15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I23" i="33" l="1"/>
  <c r="J23" i="33"/>
  <c r="J11" i="33" s="1"/>
  <c r="D27" i="14"/>
  <c r="D28" i="32"/>
  <c r="D28" i="31"/>
  <c r="D9" i="33"/>
  <c r="D27" i="32"/>
  <c r="D27" i="31"/>
  <c r="D44" i="33"/>
  <c r="E27" i="14"/>
  <c r="E28" i="32"/>
  <c r="E28" i="31"/>
  <c r="E9" i="33"/>
  <c r="E26" i="14"/>
  <c r="E44" i="33"/>
  <c r="E27" i="32"/>
  <c r="E27" i="31"/>
  <c r="D26" i="14"/>
  <c r="F26" i="14" s="1"/>
  <c r="G33" i="15"/>
  <c r="G32" i="19"/>
  <c r="E51" i="13"/>
  <c r="G13" i="13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E54" i="12"/>
  <c r="E41" i="11"/>
  <c r="G13" i="1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E25" i="14"/>
  <c r="E41" i="10"/>
  <c r="D17" i="14"/>
  <c r="E41" i="7"/>
  <c r="G14" i="7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E37" i="6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F37" i="5"/>
  <c r="E37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F28" i="32" l="1"/>
  <c r="H28" i="32" s="1"/>
  <c r="F27" i="32"/>
  <c r="H27" i="32" s="1"/>
  <c r="F28" i="31"/>
  <c r="H28" i="31" s="1"/>
  <c r="D15" i="14"/>
  <c r="D15" i="31"/>
  <c r="F15" i="31" s="1"/>
  <c r="H15" i="31" s="1"/>
  <c r="D15" i="32"/>
  <c r="F15" i="32" s="1"/>
  <c r="H15" i="32" s="1"/>
  <c r="D25" i="14"/>
  <c r="F25" i="14" s="1"/>
  <c r="D26" i="31"/>
  <c r="F26" i="31" s="1"/>
  <c r="H26" i="31" s="1"/>
  <c r="D26" i="32"/>
  <c r="F26" i="32" s="1"/>
  <c r="H26" i="32" s="1"/>
  <c r="G54" i="12"/>
  <c r="D21" i="32"/>
  <c r="F21" i="32" s="1"/>
  <c r="H21" i="32" s="1"/>
  <c r="D21" i="31"/>
  <c r="F21" i="31" s="1"/>
  <c r="H21" i="31" s="1"/>
  <c r="D28" i="33"/>
  <c r="D14" i="14"/>
  <c r="D14" i="32"/>
  <c r="D14" i="31"/>
  <c r="D8" i="33"/>
  <c r="E8" i="33"/>
  <c r="E46" i="33" s="1"/>
  <c r="E14" i="32"/>
  <c r="E36" i="32" s="1"/>
  <c r="E14" i="31"/>
  <c r="E36" i="31" s="1"/>
  <c r="D30" i="33"/>
  <c r="D16" i="32"/>
  <c r="F16" i="32" s="1"/>
  <c r="H16" i="32" s="1"/>
  <c r="D16" i="31"/>
  <c r="F16" i="31" s="1"/>
  <c r="D21" i="14"/>
  <c r="F21" i="14" s="1"/>
  <c r="D34" i="33"/>
  <c r="F34" i="33" s="1"/>
  <c r="F33" i="33" s="1"/>
  <c r="D22" i="31"/>
  <c r="F22" i="31" s="1"/>
  <c r="H22" i="31" s="1"/>
  <c r="D22" i="32"/>
  <c r="F22" i="32" s="1"/>
  <c r="H22" i="32" s="1"/>
  <c r="D19" i="14"/>
  <c r="D19" i="32"/>
  <c r="F19" i="32" s="1"/>
  <c r="H19" i="32" s="1"/>
  <c r="D19" i="31"/>
  <c r="F19" i="31" s="1"/>
  <c r="H19" i="31" s="1"/>
  <c r="F27" i="31"/>
  <c r="D16" i="14"/>
  <c r="G41" i="7"/>
  <c r="G57" i="4"/>
  <c r="G58" i="4" s="1"/>
  <c r="G59" i="4" s="1"/>
  <c r="G60" i="4" s="1"/>
  <c r="G61" i="4" s="1"/>
  <c r="G62" i="4" s="1"/>
  <c r="F17" i="14"/>
  <c r="G68" i="9"/>
  <c r="E16" i="14"/>
  <c r="F15" i="14"/>
  <c r="G37" i="6"/>
  <c r="E14" i="14"/>
  <c r="G37" i="5"/>
  <c r="F27" i="14"/>
  <c r="D13" i="14"/>
  <c r="F13" i="14" s="1"/>
  <c r="F19" i="14"/>
  <c r="G41" i="11"/>
  <c r="D20" i="14"/>
  <c r="F20" i="14" s="1"/>
  <c r="G51" i="13"/>
  <c r="G41" i="10"/>
  <c r="G13" i="9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69" i="8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E42" i="3"/>
  <c r="I44" i="33" l="1"/>
  <c r="J34" i="33"/>
  <c r="J33" i="33" s="1"/>
  <c r="I34" i="33"/>
  <c r="I33" i="33" s="1"/>
  <c r="I28" i="33"/>
  <c r="I11" i="33" s="1"/>
  <c r="F8" i="33"/>
  <c r="D12" i="14"/>
  <c r="D12" i="32"/>
  <c r="D12" i="31"/>
  <c r="F14" i="14"/>
  <c r="F14" i="31"/>
  <c r="H14" i="31" s="1"/>
  <c r="F14" i="32"/>
  <c r="H14" i="32" s="1"/>
  <c r="E35" i="14"/>
  <c r="F16" i="14"/>
  <c r="G49" i="12"/>
  <c r="G50" i="12" s="1"/>
  <c r="G51" i="12" s="1"/>
  <c r="G52" i="12" s="1"/>
  <c r="G53" i="12" s="1"/>
  <c r="D22" i="14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I8" i="33" l="1"/>
  <c r="J8" i="33"/>
  <c r="D35" i="14"/>
  <c r="D36" i="31"/>
  <c r="F12" i="31"/>
  <c r="D36" i="32"/>
  <c r="F12" i="32"/>
  <c r="D46" i="33"/>
  <c r="G42" i="3"/>
  <c r="H12" i="31" l="1"/>
  <c r="H36" i="31" s="1"/>
  <c r="F36" i="31"/>
  <c r="H12" i="32"/>
  <c r="H36" i="32" s="1"/>
  <c r="F36" i="32"/>
  <c r="F12" i="14"/>
  <c r="F22" i="14" l="1"/>
  <c r="F35" i="14" s="1"/>
  <c r="H40" i="14" s="1"/>
  <c r="H46" i="14" s="1"/>
</calcChain>
</file>

<file path=xl/sharedStrings.xml><?xml version="1.0" encoding="utf-8"?>
<sst xmlns="http://schemas.openxmlformats.org/spreadsheetml/2006/main" count="1598" uniqueCount="389">
  <si>
    <t>ລ/ດ</t>
  </si>
  <si>
    <t>ໝາຍເຫດ</t>
  </si>
  <si>
    <t>ລວມ:</t>
  </si>
  <si>
    <t>ວັນເດືອນປີ</t>
  </si>
  <si>
    <t>ເນື້ອໃນລາຍການ</t>
  </si>
  <si>
    <t>ສາທາລະນະລັດ ປະຊາທິປະໄຕ ປະຊາຊົນລາວ</t>
  </si>
  <si>
    <t>ສັນຕິພາບ ເອກະລາດ ປະຊາທິປະໄຕ ເອກະພາບ ວັດທະນາຖາວອນ</t>
  </si>
  <si>
    <t>ຍັງຄ້າງ</t>
  </si>
  <si>
    <t>ຮັບ</t>
  </si>
  <si>
    <t>ຈ່າຍ</t>
  </si>
  <si>
    <t>ຍອດຍົກມາ</t>
  </si>
  <si>
    <t xml:space="preserve">ບັນຊີຕິດຕາມການຮັບ - ຈ່າຍເງິນ ໂຄງການປູຢາງປະທຸມພອນ </t>
  </si>
  <si>
    <t>ບັນຊີຕິດຕາມການຮັບ - ຈ່າຍເງິນ ໂຄງການສາງທ່າບົກ - ທ່າແຂກ</t>
  </si>
  <si>
    <t>ບັນຊີຕິດຕາມການຮັບ - ຈ່າຍເງິນ ໂຄງການສ້າງສະໜາມບິນຫຼວງພະບາງ</t>
  </si>
  <si>
    <t>ບັນຊີຕິດຕາມການຮັບ - ຈ່າຍເງິນແຮ (ບໍລິຫານ)</t>
  </si>
  <si>
    <t>ບັນຊີຕິດຕາມການຮັບ - ຈ່າຍເງິນໂຄງການພາວເວີ້ເຮົ້າອີມູນ</t>
  </si>
  <si>
    <t>ບັນຊີຕິດຕາມການຮັບ - ຈ່າຍເງິນສ່ວນຕົວປະທານ</t>
  </si>
  <si>
    <t>ບັນຊີຕິດຕາມການຮັບ - ຈ່າຍເງິນວຽກແຄ້ມອີມູນ</t>
  </si>
  <si>
    <t>ບັນຊີຕິດຕາມການຮັບ - ຈ່າຍ ວຽກໂຮງຂົບຫີນ (ນໍ້າກົງ 3)</t>
  </si>
  <si>
    <t>ບັນຊີຕິດຕາມການຮັບ - ຈ່າຍ ວຽກໂຮງແຮມພູສະເຫຼົ້າ</t>
  </si>
  <si>
    <t>ບັນຊີຕິດຕາມການຮັບ - ຈ່າຍ ບໍລິສັດ ຈະເລີນເຊກອງ ກຣຸບ</t>
  </si>
  <si>
    <t>ໂຄງການກໍ່ສ້າງເສັ້ນທາງປະນອນ 101</t>
  </si>
  <si>
    <t>ໂຄງການກໍ່ສ້າງເສັ້ນທາງປູຢາງປະທຸມພອນ</t>
  </si>
  <si>
    <t>ໂຄງການ ສາງທ່າບົກ - ທ່າແຂກ</t>
  </si>
  <si>
    <t>ໂຄງການກໍ່ສ້າງສະໜາມບິນຫຼວງພະບາງ</t>
  </si>
  <si>
    <t>ໂຄງການກໍ່ສ້າງທາງລົງ Power House (ພາວເວີ້ເຮົ້າ)</t>
  </si>
  <si>
    <t>ໂຄງການກໍ່ສ້າງແຄ້ມອີມູນ</t>
  </si>
  <si>
    <t>ໂຮງງານຂົບຫີນນໍ້າກົງ 3</t>
  </si>
  <si>
    <t>ໂຄງການກໍ່ສ້າງໂຮງແຮມພູສະເຫລົ້າ</t>
  </si>
  <si>
    <t>ເງິນສ່ວນຕົວປະທານ</t>
  </si>
  <si>
    <r>
      <t xml:space="preserve">     </t>
    </r>
    <r>
      <rPr>
        <b/>
        <u/>
        <sz val="12"/>
        <color theme="1"/>
        <rFont val="Phetsarath OT"/>
      </rPr>
      <t>ຜູ້ອໍານວຍການ</t>
    </r>
    <r>
      <rPr>
        <b/>
        <sz val="12"/>
        <color theme="1"/>
        <rFont val="Phetsarath OT"/>
      </rPr>
      <t xml:space="preserve">                                </t>
    </r>
    <r>
      <rPr>
        <b/>
        <u/>
        <sz val="12"/>
        <color theme="1"/>
        <rFont val="Phetsarath OT"/>
      </rPr>
      <t>ຮອງອໍານວຍການຝ່າຍບັນຊີ - ການເງິນ</t>
    </r>
    <r>
      <rPr>
        <b/>
        <sz val="12"/>
        <color theme="1"/>
        <rFont val="Phetsarath OT"/>
      </rPr>
      <t xml:space="preserve">                              </t>
    </r>
    <r>
      <rPr>
        <b/>
        <u/>
        <sz val="12"/>
        <color theme="1"/>
        <rFont val="Phetsarath OT"/>
      </rPr>
      <t>ຫົວໜ້າພະແນກການເງິນ</t>
    </r>
  </si>
  <si>
    <t>ບັນຊີຕິດຕາມການຮັບ-ຈ່າຍເງິນສໍາຮອງໄວ້ຈ່າຍແລ່ນງິນພາກລັດ(ອ້າຍຕີນ້ອຍ)</t>
  </si>
  <si>
    <t>ແຮບໍລິຫານສໍາຮອງໄວ້ແລ່ນເງິນພາກລັດ(ອ້າຍຕີນ້ອຍ)</t>
  </si>
  <si>
    <t>ບັນຊີຕິດຕາມການຮັບ - ຈ່າຍເງິນ ໂຄງການກໍ່ສ້າງສໍານັກງານທະນາຄານກາງ</t>
  </si>
  <si>
    <t>ໂຄງການກໍ່ສ້າງ BOL</t>
  </si>
  <si>
    <t xml:space="preserve">ບັນຊີຕິດຕາມການຮັບ - ຈ່າຍເງິນໂຄງການສ້າງທາງປະນອນ 101 </t>
  </si>
  <si>
    <t>30.04.2019</t>
  </si>
  <si>
    <t>"</t>
  </si>
  <si>
    <t>ບັນຊີຕິດຕາມການຮັບ - ຈ່າຍເງິນແຮ (ບໍລິຫານຮັບແຂກ)</t>
  </si>
  <si>
    <t>ບັນຊີຕິດຕາມການຮັບ - ຈ່າຍໂຄງການສ້ອມແປງຄອງເຂື່ອນເຊນໍ້ານ້ອຍ 1,6</t>
  </si>
  <si>
    <t>ເງິນແຮບໍລິຫານ (ສໍານັກງານໃຫຍ່)</t>
  </si>
  <si>
    <t>ເງິນແຮບໍລິຫານ (ຮັບແຂກ)</t>
  </si>
  <si>
    <t>ໂຄງການກໍ່ສ້າງປັບປຸງຄອງນໍ້າເຂື່ອນເຊນໍ້ານ້ອຍ 1,6</t>
  </si>
  <si>
    <t>ຊໍາລະໂຄງການກໍ່ສ້າງ ຊີເອັສຊີ ສາຂານະຄອນຫຼວງວຽງຈັນ</t>
  </si>
  <si>
    <t>ວຽກເຮືອນປະທານຫລັກ 10 (ປາກເຊ)</t>
  </si>
  <si>
    <t>ບັນຊີຕິດຕາມການຮັບ - ຈ່າຍເງິນ ໂຄງການກໍ່ສ້າງ ຊີເອັສຊີ (ນະຄອນຫຼວງວຽງຈັນ)</t>
  </si>
  <si>
    <t>ບັນຊີຕິດຕາມການຮັບ - ຈ່າຍເງິນ ໂຄງການກໍ່ສ້າງເຮືອນພັກປະທານ (ຫລັກ 10) ປາກເຊ</t>
  </si>
  <si>
    <t>ບັນຊີຕິດຕາມພາກຮັບເງິນເຂົ້າບັນຊີ ຂອງ ບໍລິສັດ ຈະເລີນເຊກອງ ກຣຸບ</t>
  </si>
  <si>
    <t>ໜ່ວຍງານສ້ອມແປງກະລ່າລົດ(ຝ່າຍຂົວທາງ-ຄຸ້ມຄອງພາຫານະ)</t>
  </si>
  <si>
    <t>ບັນຊີຕິດຕາມການຮັບ - ຈ່າຍໜ່ວຍງານສ້ອມແປງກະລ່າ (ຝ່າຍຂົວທາງ-ພາຫານະກົນຈັກ)</t>
  </si>
  <si>
    <t>30.05.2019</t>
  </si>
  <si>
    <t>31.05.2019</t>
  </si>
  <si>
    <t>ຈ່າຍຄ່າດິນບ້ວງ 12 ລ້ານບາດ</t>
  </si>
  <si>
    <r>
      <t xml:space="preserve">ປະຈໍາວັນທີ </t>
    </r>
    <r>
      <rPr>
        <b/>
        <u/>
        <sz val="16"/>
        <color theme="1"/>
        <rFont val="Times New Roman"/>
        <family val="1"/>
      </rPr>
      <t>01-/06/2019</t>
    </r>
  </si>
  <si>
    <r>
      <t>ປະຈໍາວັນທີ</t>
    </r>
    <r>
      <rPr>
        <b/>
        <u/>
        <sz val="16"/>
        <color theme="1"/>
        <rFont val="Times New Roman"/>
        <family val="1"/>
      </rPr>
      <t xml:space="preserve"> 01-/06/2019</t>
    </r>
  </si>
  <si>
    <r>
      <t xml:space="preserve">ປະຈໍາວັນທີ </t>
    </r>
    <r>
      <rPr>
        <b/>
        <u/>
        <sz val="16"/>
        <color theme="1"/>
        <rFont val="Times New Roman"/>
        <family val="1"/>
      </rPr>
      <t>01-/05/2019</t>
    </r>
  </si>
  <si>
    <t>ຈ່າຍຊື້ຕະແກງໃໝ່ພ້ອມອຸປະກອນເພື່ອປັບປຸງແກ້ໄຂວຽກໂຮງງານຂົບຫີນນ້ຳກົງ 3 (2,179.21*8870)</t>
  </si>
  <si>
    <t>ຈ່າຍຊຳລະຄ່ານ້ຳມັນໃຫ້ປ້ຳຈະເລີນ ງວດ 1 ເດືອນ 5/2019</t>
  </si>
  <si>
    <t>03.06.2019</t>
  </si>
  <si>
    <t>ຮັບຄືນຜິດດ່ຽງອັດຕາແລກປ່ຽນ</t>
  </si>
  <si>
    <t>03.05.2019</t>
  </si>
  <si>
    <t>ຈ່າຍຊຳລະຄ່ານ້ຳມັນໃຫ້ປ້ຳຈະເລີນ ງວດ 1 ເດືອນ 5/2019 ວຽກທາງເຂື່ອນອີ່ມູນ</t>
  </si>
  <si>
    <t>ຈ່າຍຊຳລະຄ່ານ້ຳມັນໃຫ້ປ້ຳຈະເລີນ ງວດ 1 ເດືອນ 5/2019 ວຽກແຄ້ມອີ່ມູນ</t>
  </si>
  <si>
    <t>ຮັບເງິນບໍລິຫານ 1% ສັນຍາເລກທີ 1905 ສັນຍາກັບຜູ້ຮັບເໝົາ Mr Amnual ໂຄງການກໍ່ສ້າງເຮືອນປະທານຫຼັກ10</t>
  </si>
  <si>
    <t>ສໍາລະດອກເບ້ຍເງິນກູ້ເດືອນ 03-4/2019 ບ້ວງ 150 ຕື້</t>
  </si>
  <si>
    <t>ສໍາລະດອກເບ້ຍເງິນກູ້ເດືອນ 03-4/2019 ບ້ວງ 350 ຕື້</t>
  </si>
  <si>
    <r>
      <t xml:space="preserve"> </t>
    </r>
    <r>
      <rPr>
        <b/>
        <u/>
        <sz val="12"/>
        <color theme="1"/>
        <rFont val="Phetsarath OT"/>
      </rPr>
      <t>ຜູ້ອໍານວຍການ</t>
    </r>
    <r>
      <rPr>
        <b/>
        <sz val="12"/>
        <color theme="1"/>
        <rFont val="Phetsarath OT"/>
      </rPr>
      <t xml:space="preserve">                                                                             </t>
    </r>
    <r>
      <rPr>
        <b/>
        <u/>
        <sz val="12"/>
        <color theme="1"/>
        <rFont val="Phetsarath OT"/>
      </rPr>
      <t>ຮອງອໍານວຍການຝ່າຍບັນຊີ - ການເງິນ</t>
    </r>
  </si>
  <si>
    <r>
      <t xml:space="preserve"> </t>
    </r>
    <r>
      <rPr>
        <b/>
        <u/>
        <sz val="12"/>
        <color theme="1"/>
        <rFont val="Phetsarath OT"/>
      </rPr>
      <t>ຜູ້ອໍານວຍການ</t>
    </r>
    <r>
      <rPr>
        <b/>
        <sz val="12"/>
        <color theme="1"/>
        <rFont val="Phetsarath OT"/>
      </rPr>
      <t xml:space="preserve">                                                                                   </t>
    </r>
    <r>
      <rPr>
        <b/>
        <u/>
        <sz val="12"/>
        <color theme="1"/>
        <rFont val="Phetsarath OT"/>
      </rPr>
      <t>ຮອງອໍານວຍການຝ່າຍບັນຊີ - ການເງິນ</t>
    </r>
  </si>
  <si>
    <r>
      <t xml:space="preserve"> </t>
    </r>
    <r>
      <rPr>
        <b/>
        <u/>
        <sz val="12"/>
        <color theme="1"/>
        <rFont val="Phetsarath OT"/>
      </rPr>
      <t>ຫົວໜ້າຝ່າຍບັນຊີ-ການເງິນ</t>
    </r>
    <r>
      <rPr>
        <b/>
        <sz val="12"/>
        <color theme="1"/>
        <rFont val="Phetsarath OT"/>
      </rPr>
      <t xml:space="preserve">                                           </t>
    </r>
    <r>
      <rPr>
        <b/>
        <u/>
        <sz val="12"/>
        <color theme="1"/>
        <rFont val="Phetsarath OT"/>
      </rPr>
      <t>ຫົວໜ້າພະແນກບັນຊີ-ການເງິນ</t>
    </r>
    <r>
      <rPr>
        <b/>
        <sz val="12"/>
        <color theme="1"/>
        <rFont val="Phetsarath OT"/>
      </rPr>
      <t xml:space="preserve">                                           </t>
    </r>
    <r>
      <rPr>
        <b/>
        <u/>
        <sz val="12"/>
        <color theme="1"/>
        <rFont val="Phetsarath OT"/>
      </rPr>
      <t>ບັນຊີຕິດຕາມ</t>
    </r>
    <r>
      <rPr>
        <b/>
        <sz val="12"/>
        <color theme="1"/>
        <rFont val="Phetsarath OT"/>
      </rPr>
      <t xml:space="preserve">            </t>
    </r>
  </si>
  <si>
    <r>
      <t xml:space="preserve"> </t>
    </r>
    <r>
      <rPr>
        <b/>
        <u/>
        <sz val="12"/>
        <color theme="1"/>
        <rFont val="Phetsarath OT"/>
      </rPr>
      <t>ຫົວໜ້າຝ່າຍບັນຊີ-ການເງິນ</t>
    </r>
    <r>
      <rPr>
        <b/>
        <sz val="12"/>
        <color theme="1"/>
        <rFont val="Phetsarath OT"/>
      </rPr>
      <t xml:space="preserve">                                           </t>
    </r>
    <r>
      <rPr>
        <b/>
        <u/>
        <sz val="12"/>
        <color theme="1"/>
        <rFont val="Phetsarath OT"/>
      </rPr>
      <t>ຫົວໜ້າພະແນກບັນຊີ-ການເງິນ</t>
    </r>
    <r>
      <rPr>
        <b/>
        <sz val="12"/>
        <color theme="1"/>
        <rFont val="Phetsarath OT"/>
      </rPr>
      <t xml:space="preserve">                                              </t>
    </r>
    <r>
      <rPr>
        <b/>
        <u/>
        <sz val="12"/>
        <color theme="1"/>
        <rFont val="Phetsarath OT"/>
      </rPr>
      <t>ບັນຊີຕິດຕາມ</t>
    </r>
    <r>
      <rPr>
        <b/>
        <sz val="12"/>
        <color theme="1"/>
        <rFont val="Phetsarath OT"/>
      </rPr>
      <t xml:space="preserve">            </t>
    </r>
  </si>
  <si>
    <t>04.06.2019</t>
  </si>
  <si>
    <t>ຮັບເງິນໂຄງການກສາຍສົ່ງ115 ກວ ຈາກສະຖານີ ໄຟຟ້າ ປາກແບ່ງຫາສະຖານີໄຟຟ້າຫົງສາ</t>
  </si>
  <si>
    <t xml:space="preserve">ບໍລິສັດ ຈະເລີນເຊກອງ ກຣູບ ຈຳກັດຜູ້ດຽວ                                                                                                                                                    </t>
  </si>
  <si>
    <r>
      <t>ຖະໜົນເລກທີ</t>
    </r>
    <r>
      <rPr>
        <sz val="8"/>
        <color theme="1"/>
        <rFont val="Times New Roman"/>
        <family val="1"/>
      </rPr>
      <t xml:space="preserve"> 13</t>
    </r>
    <r>
      <rPr>
        <sz val="8"/>
        <color theme="1"/>
        <rFont val="Phetsarath OT"/>
      </rPr>
      <t xml:space="preserve"> ໄຕ້, ບ້ານລົ່ມສັກເໜືອ,ເມືອງບາຈຽງ,ແຂວງຈຳປາສັກ</t>
    </r>
  </si>
  <si>
    <r>
      <rPr>
        <sz val="8"/>
        <color theme="1"/>
        <rFont val="Times New Roman"/>
        <family val="1"/>
      </rPr>
      <t xml:space="preserve">Tel: (+856-31)259 999,fax:(+856-31)259 111     </t>
    </r>
    <r>
      <rPr>
        <sz val="8"/>
        <color theme="1"/>
        <rFont val="Phetsarath OT"/>
      </rPr>
      <t xml:space="preserve">                                                                                                              </t>
    </r>
  </si>
  <si>
    <t>E-mail:clgroup2012@gmail.com</t>
  </si>
  <si>
    <r>
      <t xml:space="preserve">ປະຈໍາວັນທີ </t>
    </r>
    <r>
      <rPr>
        <b/>
        <u/>
        <sz val="14"/>
        <color theme="1"/>
        <rFont val="Times New Roman"/>
        <family val="1"/>
      </rPr>
      <t>01-/06/2019</t>
    </r>
  </si>
  <si>
    <t xml:space="preserve">ບັນຊີຕິດຕາມການຮັບ - ຈ່າຍເງິນໂຄງການການຊ່ອງຕະອູ (ໂນນຢາງ - ນາຈານ) </t>
  </si>
  <si>
    <t>05.06.2019</t>
  </si>
  <si>
    <t>ຮັບເງິນຄືນທ່ານສາລີໃຊ້ໜີ້</t>
  </si>
  <si>
    <t xml:space="preserve">ຮັບຈາກບໍລິສັດຊົງດາ ວຽກຮັບເໝົາກໍ່ສ້າງແຄ້ມຊົງດາ </t>
  </si>
  <si>
    <t>ຄ່າທຳນຽມໂອນຂ້າມ</t>
  </si>
  <si>
    <t>Auto Payment SMS Banking Auto</t>
  </si>
  <si>
    <t>Auto Payment New Ibank SMS</t>
  </si>
  <si>
    <t>ຊຳລະຄ່າອຸປະກອນສາຍສົ່ງວຽກປາກແບ່ງຫົງສາໃຫ້ບ/ສ CGGC (ທ ອາຊົງ)</t>
  </si>
  <si>
    <t>ບັນຊີຕິດຕາມການຮັບ - ຈ່າຍເງິນ ໂຄງການສາຍສົ່ງປາກແບ່ງ-ຫົງສາ</t>
  </si>
  <si>
    <t>ວຽກໂຄງການສາຍສົ່ງປາກແບ່ງ-ຫົງສາ</t>
  </si>
  <si>
    <t>ຄ່າທຳນຽມໂອນ</t>
  </si>
  <si>
    <t>ຈ່າຍຄ່າແຮງງານ ແລະ ວັດສະດຸ ງວດ 01 (378.574*275) ວຽກປັບປຸງເຮືອນປະທ່ານບ້ານພະຂາວ (ສັນຍາ 0390)</t>
  </si>
  <si>
    <t>ຈ່າຍຄ່າແຮງງານ ແລະ ວັດສະດຸ ງວດ 04 (2.071.273*275) ວຽກປັບປຸງເຮືອນປະທ່ານບ້ານພະຂາວ (ສັນຍາ1669)</t>
  </si>
  <si>
    <t>ຈ່າຍຄ່າແຮງງານ ແລະ ວັດສະດຸ ງວດ 02 (1.186.517*275) ວຽກປັບປຸງເຮືອນປະທ່ານບ້ານພະຂາວ (ສັນຍາ 0859)</t>
  </si>
  <si>
    <t>ຈ່າຍຄ່າແຮງງານ ແລະ ວັດສະດູ ໃຫ້ບ/ສ TipTop Engingeein (3.735.870*280)ວຽກຕິດຕັ້ງແອ ໂຄງການກໍ່ສ້າງ ຊີເອັດຊີ ວຽງຈັນ</t>
  </si>
  <si>
    <t>ຈ່າຍຄ່າແຮງງານ ແລະ ວັດສະດຸ ໃຫ້ບ/ສ TipTop Engineering (3.000.000*280)ວຽກຕິດຕັ້ງແອ ໂຄງການກໍ່ສ້າງ ຊີເອັດຊີ ວຽງຈັນ</t>
  </si>
  <si>
    <t>10.06.2019</t>
  </si>
  <si>
    <t>ຄ່າທຳນຽມໂອນ (ມາດາມຢືມ)</t>
  </si>
  <si>
    <t>ຈ່າຍອ່ວຍໜີ້ໃຫ້ ບ/ສ ຊີເອັດຊີ ບໍລິຄຳໄຊ ງວດ 2 ເດືອນ 3/2019 ຄ່າວັດສະດູ ວຽກຊີເອັດຊີ ວຽງຈັນ</t>
  </si>
  <si>
    <t>ຈ່າຍອ່ວຍໜີ້ໃຫ້ ບ/ສ ຊີເອັດຊີ ວຽງຈັນ ງວດ 01 ເດືອນ 03.2019 ຄ່າວັດສະດູ</t>
  </si>
  <si>
    <t>ຈ່າຍອ່ວຍໜີ້ໃຫ້ ບ/ສ ຊີເອັດຊີ ວຽງຈັນ ງວດ 02 ເດືອນ 03.2019 ຄ່າວັດສະດູ</t>
  </si>
  <si>
    <t>ຈ່າຍອ່ວຍໜີ້ ຄ່າຄອນກີດ ວຽງຈັນ ງວດ 2 ເດືອນ 3/2019 (23.100*280) ວຽກຊີເອັດຊີວຽງຈັນ</t>
  </si>
  <si>
    <t>ຈ່າຍຄ່າຄອນກີດສຳເລັດຮູບ (19.950*280) ໃຫ້ບ/ສ ຊີເອັດຊີຄອນກີດ ວຽງຈັນ ໂຄງການກໍ່ສ້າງ ຊີເອັດຊີ ວຽງຈັນ</t>
  </si>
  <si>
    <t>ຈ່າຍຄ່າແຮງງານ ຊ່າງແມ້ງ  ງວດ 02 ວຽກກໍ່ສ້າງທາງ, ພື້ນ ແລະ ຮ່ອງລະບາຍນ້ຳ (ສັນຍາ 489)</t>
  </si>
  <si>
    <t>ຈ່າຍຄ່າແຮງງານ ຊ່າງແມ້ງ  ງວດ 02 ວຽກສະຖາປັດ, ກາໂລ, ແລະ ຕິດຕັ້ງສູຂະພັນ (ສັນຍາ 0592)</t>
  </si>
  <si>
    <t>ຈ່າຍອັດຕາກິນ ຊ່າງແມ້ງ ວັນທີ 01-15.03.2019 (ສັນຍາ 489) ວຽກຊີເອັດຊີ ວຽງຈັນ</t>
  </si>
  <si>
    <t>ຈ່າຍອັດຕາກິນ ຊ່າງແມ້ງ ວັນທີ 01-15.03.2019 (ສັນຍາ 592) ວຽກຊີເອັດຊີ ວຽງຈັນ</t>
  </si>
  <si>
    <t>ຈ່າຍຄ່າແຮງງານ ຊ່າງແມ້ງ ງວດ 02 (ມຸນຄ່າຄ້າງຈ່າຍ) ວຽກກໍ່ສ້າງທາງ, ພື້ນ ແລະ ຮ່ອງລະບາຍນ້ຳ (ສັນຍາ 489)</t>
  </si>
  <si>
    <t>ຈ່າຍຊື້ເບ້ຍໄມ້, ຄ່າແຮງງານປູກ ວຽກຊີເອັດຊິ ວຽງຈັນ</t>
  </si>
  <si>
    <t>ຈ່າຍຄ່ານ້ຳປະປາ ວັນທີ 12.02.2019 ວຽກຊີເອັດຊີ ວຽງຈັນ</t>
  </si>
  <si>
    <t>ຈ່າຍຄ່ານ້ຳປະປາ ວັນທີ 15.02.2019 ວຽກຊີເອັດຊີ ວຽງຈັນ</t>
  </si>
  <si>
    <t>ຈ່າຍຄ່ານ້ຳປະປາ ວັນທີ 17.02.2019 ວຽກຊີເອັດຊີ ວຽງຈັນ</t>
  </si>
  <si>
    <t>ຈ່າຍຄ່ານ້ຳປະປາ ວັນທີ 19.02.2019 ວຽກຊີເອັດຊີ ວຽງຈັນ</t>
  </si>
  <si>
    <t>ຈ່າຍຄ່ານ້ຳປະປາ ວັນທີ 21.02.2019 ວຽກຊີເອັດຊີ ວຽງຈັນ</t>
  </si>
  <si>
    <t>ຈ່າຍຄ່າຈ້າງກຳມະກອນອະນາໄມ ວັນທີ 09-13.02.2019 ວຽກຊີເອັດຊີ ວຽງຈັນ</t>
  </si>
  <si>
    <t>ຈ່າຍຄ່າແຮງງານ ແກ້ວຽກຮົ້ວຕາໜ່າງ ວຽກຊີເອັດຊີ ວຽງຈັນ</t>
  </si>
  <si>
    <t>ຈ່າຍຄ່າແຮງງານເທເຝປິດເມັນໂຮນ ແລະ ເທພື້ນຟູດບາດ ວຽກຊີເອັດຊີ ວຽງຈັນ</t>
  </si>
  <si>
    <t>ຈ່າຍຄ່າແຮງງານຈ້າງກຳມະກອນມ້າງແຄ້ມ, ເກັບມ້ຽນໄມ້ ວຽກຊີເອັດຊີ ວຽງຈັນ</t>
  </si>
  <si>
    <t>ຈ່າຍຄ່າສ້ອມແປງລົດລີໂວ້ ທ່ານ ສີວິໄຊ ວຽກຊີເອັດຊີ ວຽງຈັນ</t>
  </si>
  <si>
    <t>ຈ່າຍຄ່າແຮ່-ຊາຍ ວຽກຈັດສວນປູກຫຍ້າ ວຽກຊີເອັດຊີ ວຽງຈັນ</t>
  </si>
  <si>
    <t>ຈ່າຍຄ່ານ້ຳບາດານ ວັນທີ 06.03.2019 ວຽກຊີເອັດຊີ ວຽງຈັນ</t>
  </si>
  <si>
    <t xml:space="preserve">ຈ່າຍຄ່ານ້ຳມັນເຄຢູ ໃຫ້ປ້ຳພລັດ ປະຈຳເດືອນ 02.2019 </t>
  </si>
  <si>
    <t>ຈ່າຍຊື້ແຜ່ນໂຕນ ໜ້າວຽກຂັ້ນໄດ ແລະ  ໂຄງຫຼັງຄາ ວຽກຊີເອັດຊີ ວຽງຈັນ</t>
  </si>
  <si>
    <t>ຈ່າຍຄ່ານ້ຳມັນເຄື່ອງລົດ ກທ 3121 ວຽກຊີເອັດຊີ ວຽງຈັນ</t>
  </si>
  <si>
    <t>ຈ່າຍຄ່າຈ້າງກຳມະກອນອະນາໄມອ້ອມຮອບອາຄານ ວຽກຊີເອັດຊີ ວຽງຈັນ</t>
  </si>
  <si>
    <t>ຈ່າຍຄ່າແຮ່-ຊາຍ ວຽກທາງ, ພື້ນ, ຮ່ອງລະບາຍນ້ຳ ວຽກຊີເອັດຊີ ວຽງຈັນ</t>
  </si>
  <si>
    <t>ຈ່າຍຊື້ນ໋ອດກຽວເລີຍ ວຽກໂຄງຫຼັງຄາລະບົບແອ ວຽກຊີເອັດຊີ ວຽງຈັນ</t>
  </si>
  <si>
    <t>ຈ່າຍຄ່າເຊົ່າລົດຈົກໃຫ້ຜູ້ຮັບເໝົາ ທ ຕູ່ ວຽກຮ່ອງລະບາຍນ້ຳ ວຽກຊີເອັດຊີ ວຽງຈັນ</t>
  </si>
  <si>
    <t>ຈ່າຍຄ່າລົດລາກແກ່ເຫຼັກຈາກຊີເອັດຊີໄປແຄ້ມສີບູນເຮືອງ (16.000*280)</t>
  </si>
  <si>
    <t xml:space="preserve">ຈ່າຍຄ່າເຊົ່າລົດຈົກ ແລະ ລົດລາກແກ່ (16.000*280) </t>
  </si>
  <si>
    <t>ຈ່າຍຊື້ແຜນມຸງຫຼັງຄາແອ້ມຝາລະບົບແອ (71.520*280)</t>
  </si>
  <si>
    <t>ຈ່າຍຊື້ລົດເຄນ50 ໂຕນມາໃຊ້ວຽກຍົກໂຄງຫຼັງຄາ (25.000*280)</t>
  </si>
  <si>
    <t>ຈ່າຍຄ່າເຊົ່າລົດເຄນໃຫ້ຮ້ານໄອເດຍປ້າຍ ແລະ ການພິມ (8.000*280) ວຽກຊີເອັດຊີ ວຽງຈັນ</t>
  </si>
  <si>
    <t xml:space="preserve">ຈ່າຍຊຳລະຄ່າຕິດຕັ້ງກົງເຕີນ້ຳປະປາ ແລະ ອຸດໜຸນພະນັກງານວິຊາການທີ່ລົງກວດສອບ ແລະ ຄິດໄລ່ </t>
  </si>
  <si>
    <t>ຈ່າຍຄ່າແຮງງານ ຊ່າງຕຸ້ຍ ງວດ 01-02 ວຽກເສີມໂຄງເຫຼັກອ່າງເກັບນ້ຳ (ສັນຍາ 0227)</t>
  </si>
  <si>
    <t>ຄ່າທຳນຽມໂອນ(118.346.250)</t>
  </si>
  <si>
    <t xml:space="preserve">ຈ່າຍຄ່າແຮງງານ ແລະ ວັດສະດຸ ໃຫ້ຮ້ານ DN  ງວດ 02 (1.125.000*280) ວຽກຕິດຕັ້ງລະບົບເນັດເວີກ </t>
  </si>
  <si>
    <t>ຄ່າທຳຍໜມໂອນ (315.000.000)</t>
  </si>
  <si>
    <t>ຈ່າຍຄ່າແຮງງານ ແລະ ວັດສະດຸ ໃຫ້ບ/ສ ໄລປ້າຍ ງວດ 02 ວຽກຕິດຕັ້ງປ້າຍໄຮເວ ໂຄງການກໍ່ສ້າງຊີເອັດຊີ ວຽງຈັນ</t>
  </si>
  <si>
    <t>ຈ່າຍຄ່າແຮງງານ ແລະ ວັດສະດຸ ໃຫ້ບ/ສ ໄລປ້າຍ ງວດ 02 ວຽກຕິດຕັ້ງລະບົບໄຟຟ້າ (5.378.907*280)</t>
  </si>
  <si>
    <t>ຈ່າຍຄ່າແຮງງານ ແລະ ວັດສະດຸ ໃຫ້ບ/ສ ໄລປ້າຍ ງວດ 03 ວຽກຕິດຕັ້ງປ້າຍໜ້າກາກ (3.375.000*280)</t>
  </si>
  <si>
    <t>11.06.2019</t>
  </si>
  <si>
    <t>ຈ່າຍໃຫ້ທ່ານ ວິໄລພອນ ຄຳພາວົງ ແລ່ນຕໍ່ທະບຽນອາກອນ ບໍລິສັດຈະເລີນເຊກອງກຣຸບ ປີ2018  (ຢູ່ແຂວງເຊກອງ)</t>
  </si>
  <si>
    <t>ຮັບເງິນງວດ02 (40%) ວຽກກໍ່ສ້າງທາງ 02ຊັ້ນໂຄງການເຂື່ອນໄຟຟ້ານ້ຳອີ່ມູນ</t>
  </si>
  <si>
    <t>ໂຄງການປັບປຸງຕາຂ່າຍ 22 ກວ Phase2 ເຂື່ອນໄຟຟ້ານ້ຳອີ່ມູນ</t>
  </si>
  <si>
    <t>ຮັບເງິນງວດ02 (40%) ຄ່າປັບປຸງຕາຂ່າຍ22ກວ Phase2ເຂື່ອນໄຟຟ້ານ້ຳອີ່ມູນ</t>
  </si>
  <si>
    <t>ບັນຊີຕິດຕາມການຮັບ - ຈ່າຍເງິນໂຄງການປັບປຸງຕາຂ່າຍ22ກວ Phase ເຂື່ອນໄຟຟ້າເຂື່ອນອີ່ມູນ</t>
  </si>
  <si>
    <r>
      <rPr>
        <b/>
        <u/>
        <sz val="12"/>
        <color theme="1"/>
        <rFont val="Phetsarath OT"/>
      </rPr>
      <t>ຫົວໜ້າຝ່າຍບັນຊີ-ການເງິນ</t>
    </r>
    <r>
      <rPr>
        <b/>
        <sz val="12"/>
        <color theme="1"/>
        <rFont val="Phetsarath OT"/>
      </rPr>
      <t xml:space="preserve">                                              </t>
    </r>
    <r>
      <rPr>
        <b/>
        <u/>
        <sz val="12"/>
        <color theme="1"/>
        <rFont val="Phetsarath OT"/>
      </rPr>
      <t>ຫົວໜ້າພະແນກການເງິນ</t>
    </r>
    <r>
      <rPr>
        <b/>
        <sz val="12"/>
        <color theme="1"/>
        <rFont val="Phetsarath OT"/>
      </rPr>
      <t xml:space="preserve">                                                        </t>
    </r>
    <r>
      <rPr>
        <b/>
        <u/>
        <sz val="12"/>
        <color theme="1"/>
        <rFont val="Phetsarath OT"/>
      </rPr>
      <t>ບັນຊີຕິດຕາມ</t>
    </r>
    <r>
      <rPr>
        <b/>
        <sz val="12"/>
        <color theme="1"/>
        <rFont val="Phetsarath OT"/>
      </rPr>
      <t xml:space="preserve">            </t>
    </r>
  </si>
  <si>
    <t>12.06.2019</t>
  </si>
  <si>
    <t xml:space="preserve">ຈ່າຍຊຳລະໜີ້ ໃຫ້ ບ/ສ ຊີເອັດຊີ ປາກເຊ ງວດ 01 ເດືອນ 05.2019 </t>
  </si>
  <si>
    <t>ຈ່າຍຊຳລະໜີ້ ໃຫ້ບ/ສ ຊີເອັດຊີ ປາກເຊ ງວດ 01 ເດືອນ 05.2019</t>
  </si>
  <si>
    <t>ຈ່າຍຊຳລະລະໜີ້ ໃຫ້ບ/ສ ຊີເອັດຊີ ປາກເຊ ງວດ  ເດືອນ 05.2019</t>
  </si>
  <si>
    <t>ຈ່າຍຊຳລະໜີ້ ໃຫ້ບ/ສ ຊີເອັດຊີ ປາກເຊ ງວດ 02 ເດືອນ 05.2019</t>
  </si>
  <si>
    <t>ຈ່າຍຊຳລະໜີ້ໃຫ້ ບ/ສ ຊີເອັດຊີ ປາກເຊ ງວດ 01 ເດືອນ 05.2019</t>
  </si>
  <si>
    <t>ຈ່າຍຊຳລະໜີ້ ໃຫ້ບ/ສ ຊີເອັດຊີ ປາກເຊ ງວດ 01 ເດືອນ 05.2019 (ວຽກແຄ້ມຖາວອນເຂື່ອນອີ່ມູນ)</t>
  </si>
  <si>
    <t>ຈ່າຍຊຳລະໜີ້້ ໃຫ້ບ/ສ ຊີເອັດຊີ ປາກເຊ ງວດ 01 ເດືອນ 05.2019 (ວຽກແຄ້ມຖາວອນຊົງດາ)</t>
  </si>
  <si>
    <t>ຈ່າຍຊຳລະໜີ້ ໃຫ້ບ/ສ ຊີເອັດຊີ ປາກເຊ ງວດ 01 ເດືອນ 05.2019 ວຽກບໍລິຫານພະແນກຄຸ້ມຄອງ</t>
  </si>
  <si>
    <t>ຈ່າຍເງິນເດືອນພະນັກງານ ສຳນັກໃຫຍ່ ປະຈຳເດືອນ 05.2019</t>
  </si>
  <si>
    <t>ຈ່າຍເງິນສົມທົບກອງທຶນ (ສຳນັກງານໃຫຍ່) 4% ປະຈຳເດືອນ 05.2019</t>
  </si>
  <si>
    <t>ຈ່າຍເງິນເດືອນພະນັກງານ ຝ່າຍຄຸ້ມຄອງກໍ່ສ້າງເຄຫາ ປະຈຳເດືອນ 05.2019</t>
  </si>
  <si>
    <t>ຈ່າຍເງິນສົມທົບກອງທຶນ (ຝ່າຍຄຸ້ມຄອງໂຄງການ) 4% ປະຈຳເດືອນ 05.2019</t>
  </si>
  <si>
    <t>ຈ່າຍເງິນເດືອນພະນັກງານ ຝ່າຍກໍ່ສ້າງຂົວທາງ-ພາຫະນະ-ກົນຈັກ ປະຈຳເດືອນ 05.2019</t>
  </si>
  <si>
    <t>ຈ່າຍເງິນສົມທົບກອງທຶນ (ຝ່າຍກໍ່ສ້າງຂົວທາງ-ພາຫະນະ-ກົນຈັກ) 4% ປະຈຳເດືອນ 05.2019</t>
  </si>
  <si>
    <t>ຂໍເງິນເຂົ້າຄັງແຮສຳນັກງານໃຫຍ່ ບ້ວງ 100 ລ້ານ</t>
  </si>
  <si>
    <t>13.06.2019</t>
  </si>
  <si>
    <t>ຈ່າຍຄ່ານ້ຳມັນງວດ 01 ເດືອນ 05/2019 ວຽກທາງບ້ານປະນອນ</t>
  </si>
  <si>
    <t xml:space="preserve">ຈ່າຍເງິນເດືອນພະນັກງານ ໂຄງການກໍ່ສ້າງເສັ້ນທາງບ້ານປະນອນ </t>
  </si>
  <si>
    <t>14.06.2019</t>
  </si>
  <si>
    <t>ຈ່າຍຄ່າເຊົ່າລົກຈົກ KOBELCO (ສັນຍາ0226) ໃຫ້ຮ້ານ ຄຳຈວນ ປະຈຳເດືອນ 04.2019 ໂຄງການກໍ່ສ້າງທາງເຂື່ອນອີ່ມູນ</t>
  </si>
  <si>
    <t>ຈ່າຍຄ່າເຊົ່າລົກຈົກ KOBELCO (ສັນຍາ0230) ໃຫ້ຮ້ານ ຄຳຈວນ ປະຈຳເດືອນ 04.2019 ໂຄງການກໍ່ສ້າງທາງເຂື່ອນອີ່ມູນ</t>
  </si>
  <si>
    <t>ຈ່າຍເງິນເດືອນພະນັກງານ ໂຄງການກໍ່ສ້າງ ວຽກຄອງດາດເຂື່ອນອີ່ມູນ ປະຈຳເດືອນ 05.2019</t>
  </si>
  <si>
    <t>ຈ່າຍເງິນເດືອນພະນັກງານ ໂຄງການກໍ່ສ້າງ ເສັ້ນທາງເຂື່ອນໄຟຟ້ານ້ຳອີ່ມູນ ປະຈຳເດືອນ 05.2020</t>
  </si>
  <si>
    <t>ຈ່າຍເງິນສົມທົບກອງທຶນ (ວຽກຄອງດາດ ແລະ ເສັ້ນທາງ) 4% ປະຈຳເດືອນ 05.2019</t>
  </si>
  <si>
    <t>ອ່ວຍສໍາລະໜີ້ຄ່ານໍ້າມັນງວດທີ 02 ປະຈໍາເດືອນ 05/2019 ວຽກທາງລົງພາວເວີ້ເຮົ້າ</t>
  </si>
  <si>
    <r>
      <t xml:space="preserve">ຈ່າຍຊື້ວັດຖຸລະເບີດ </t>
    </r>
    <r>
      <rPr>
        <b/>
        <sz val="10"/>
        <color theme="1"/>
        <rFont val="Phetsarath OT"/>
      </rPr>
      <t>(21.200*8664)</t>
    </r>
    <r>
      <rPr>
        <sz val="10"/>
        <color theme="1"/>
        <rFont val="Phetsarath OT"/>
      </rPr>
      <t xml:space="preserve"> ວຽກລະເບີດຫີນທາງທະລຸລົງເຮືອນຈັກ (ຕັດເງິນຜູ້ຮັບເໝົາກົມຊ່າງແສງ)</t>
    </r>
  </si>
  <si>
    <r>
      <t xml:space="preserve">ຈ່າຍຄ່າເຊົ່າລົດດາມ ຟູຍໂຊ ທະບຽນ 1557 </t>
    </r>
    <r>
      <rPr>
        <b/>
        <sz val="10"/>
        <rFont val="Phetsarath OT"/>
      </rPr>
      <t>(56.594*280)</t>
    </r>
    <r>
      <rPr>
        <sz val="10"/>
        <rFont val="Phetsarath OT"/>
      </rPr>
      <t xml:space="preserve"> ໃຫ້ທ່ານ ສົມລິດ ປະຈຳເດືອນ 04.2019 (ສະໜາມ01) </t>
    </r>
  </si>
  <si>
    <r>
      <t xml:space="preserve">ຈ່າຍຄ່າເຊົ່າລົດດາມ ຟູຍໂຊ ທະບຽນ 1103 </t>
    </r>
    <r>
      <rPr>
        <b/>
        <sz val="10"/>
        <rFont val="Phetsarath OT"/>
      </rPr>
      <t>(59.833*280)</t>
    </r>
    <r>
      <rPr>
        <sz val="10"/>
        <rFont val="Phetsarath OT"/>
      </rPr>
      <t xml:space="preserve"> ໃຫ້ທ່ານ ສົມລິດ ປະຈຳເດືອນ 04.2019 (ສະໜາມ01)</t>
    </r>
  </si>
  <si>
    <r>
      <t xml:space="preserve">ຈ່າຍຄ່າເຊົ່າລົດດາມ IZUZU ທະບຽນ 1711 </t>
    </r>
    <r>
      <rPr>
        <b/>
        <sz val="10"/>
        <rFont val="Phetsarath OT"/>
      </rPr>
      <t>(53.872*280</t>
    </r>
    <r>
      <rPr>
        <sz val="10"/>
        <rFont val="Phetsarath OT"/>
      </rPr>
      <t>) ໃຫ້ທ່ານ ສົມລິດ ປະຈຳເດືອນ 04.2019 (ສະໜາມ 02)</t>
    </r>
  </si>
  <si>
    <r>
      <t xml:space="preserve">ຈ່າຍຄ່າເຊົ່າລົດ ຟຸຍໂຊ ທະບຽນ 2673 </t>
    </r>
    <r>
      <rPr>
        <b/>
        <sz val="10"/>
        <rFont val="Phetsarath OT"/>
      </rPr>
      <t>(51.248*280</t>
    </r>
    <r>
      <rPr>
        <sz val="10"/>
        <rFont val="Phetsarath OT"/>
      </rPr>
      <t>) ໃຫ້ທ່ານ ສົມລິດ ປະຈຳເດືອນ 04.2019 (ສະໜາມ 01)</t>
    </r>
  </si>
  <si>
    <t>ຈ່າຍຄ່າເຊົ່າລົກຈົກ ໂກມັດສຸ ໃຫ້ທ່ານ ສົມລິດ ປະຈຳເດືອນ 04.2019 (ສະໜາມ01)</t>
  </si>
  <si>
    <t>ຈ່າຍຄ່າເຊົ່າລົດດາມ ຟຸຍໂຊ ທະບຽນ 4011 ໃຫ້ທ່ານ ສົມລິດ ປະຈຳເດືອນ 04.2019 (ສະໜາມ 01)</t>
  </si>
  <si>
    <t>ຈ່າຍຄ່າເຊົ່າລົດດາມ ຟຸຍໂຊ ທະບຽນ 1549 ໃຫ້ທ່ານ ສົມລິດ ປະຈຳເດືອນ 04.2019 (ສະໜາມ 02)</t>
  </si>
  <si>
    <t>ຈ່າຍຄ່າເຊົ່າລົດດາມ ອີຊຸຊຸ ທະບຽນ 6740 ໃຫ້ທ່ານ ສົມລິດ ປະຈຳເດືອນ 04.2019 (ສະໜາມ 02)</t>
  </si>
  <si>
    <t>ຈ່າຍຄ່າເຊົ່າລົດເກດ CAT 140G ໃຫ້ທ່ານ ສົມລິດ ປະຈຳເດືອນ 04.2019 (ສະໜາມ 02)</t>
  </si>
  <si>
    <t>ຈ່າຍຄ່າເຊົ່າລົດດາມ IZUZU ທະບຽນ 1195 ໃຫ້ທ່ານ ສົມລິດ ປະຈຳເດືອນ 04.2019 (ສະໜາມ 02)</t>
  </si>
  <si>
    <t>ຈ່າຍຄ່າເຊົ່າລົດດາມ ອີຊຸຊຸ ທະບຽນ 6082 ໃຫ້ນ ສີໝ້ວຍ ປະຈຳເດືອນ 04.2019 (ສະໜາມ 01)</t>
  </si>
  <si>
    <t>ຈ່າຍຄ່າເຊົ່າລົດດາມ ອີຊຸຊຸ ທະບຽນ 1793 ໃຫ້ນ ສີໝ້ວຍ ປະຈຳເດືອນ 04.2019 (ສະໜາມ 01)</t>
  </si>
  <si>
    <t>ຈ່າຍຄ່າເຊົ່າລົດເກດ ໂກມັດສຸ ໃຫ້ ທ ແພງ ປະຈຳເດືອນ 05.2019</t>
  </si>
  <si>
    <t>ຈ່າຍຄ່າເຊົ່າລົດຈົກ KOMATSU U 228 ໃຫ້ບ/ສ ຄຳຈວນ ປະຈຳເດືອນ 04.2019 (ສະໜາມ 02)</t>
  </si>
  <si>
    <t>ຈ່າຍຄ່າເຊົ່າລົດໂລ INGERSOLLRAND ໃຫ້ບ/ສ ຄຳຈວນ ປະຈຳເດືອນ 04.2019  (ສະໜາມ 02)</t>
  </si>
  <si>
    <t>ຈ່າຍຄ່າເຊົ່າລົດຈົກ CAT320B ໃຫ້ບ/ສ ຄຳຈວນ ປະຈຳເດືອນ 04.2019(ສະໜາມ 02)</t>
  </si>
  <si>
    <t>ຈ່າຍຄ່າເຊົ່າລົດນ້ຳ ISUZU ທະບຽນ 0873 ໃຫ້ບ/ສ ຄຳຈວນ ປະຈຳເດືອນ 04.2019 (ສະໜາມ 01)</t>
  </si>
  <si>
    <t>ຈ່າຍຄ່າເຊົ່າລົດຈົກ CAT320B ໃຫ້ບ/ສ ຄຳຈວນ ປະຈຳເດືອນ 04.2019 (ສະໜາມ 01)</t>
  </si>
  <si>
    <r>
      <t>ຈ່າຍຄ່າເຊົ່າລົດຈົກ</t>
    </r>
    <r>
      <rPr>
        <sz val="10"/>
        <rFont val="Times New Roman"/>
        <family val="1"/>
      </rPr>
      <t xml:space="preserve"> COBELCO</t>
    </r>
    <r>
      <rPr>
        <sz val="10"/>
        <rFont val="Phetsarath OT"/>
      </rPr>
      <t xml:space="preserve"> ປະຈຳເດືອນ ໃຫ້ບ/ສ ຄຳຈວນ 04.2019 (ສະໜາມ 01)</t>
    </r>
  </si>
  <si>
    <t>ຈ່າຍຄ່າເຊົ່າລົດດໂລ STA ໃຫ້ບ/ສ ຄຳຈວນ ປະຈຳເດືອນ 04.2019 (ສະໜາມ 01)</t>
  </si>
  <si>
    <t xml:space="preserve">ຈ່າຍເງິນເດືອນພະນັກງານ ໂຄງການກໍ່ສ້າງເສັ້ນທາງຊ່ອງຕາອູ (ທິມ01) ປະຈຳເດືອນ 05.2019 </t>
  </si>
  <si>
    <t>ຈ່າຍເງິນເດືອນພະນັກງານ ໂຄງການກໍ່ສ້າງເສັ້ນທາງຊ່ອງຕາອູ (ທິມ02) ປະຈຳເດືອນ 05.2019</t>
  </si>
  <si>
    <t>ຈ່າຍເງິນສົມທົບກອງທຶນ ໂຄງການກໍາສ້າງເສັ້ນທາງຊ່ອງຕາອູ (ທິມ01+ທິມ02) ປະຈຳເດືອນ 05.2019</t>
  </si>
  <si>
    <t>ອ່ວຍສໍາລະໜີ້ຄ່ານໍ້າມັນ ງວດທີ 02 ປະຈໍາເດືອນ 05/2019 ວຽກທາງຊ່ອງຕະອູ</t>
  </si>
  <si>
    <t>ຈ່າຍປຸ໋ຍລະເບີດ + ຄ່າຂົນສົ່ງຈາກວຽງຈັນ - ປາກເຊ ( ປຸ໋ຍລະເບີດ 5 ໂຕ່ນ) 7.200*8664</t>
  </si>
  <si>
    <t>ຈ່າຍເງິນເດືອນພະນັກງານ ໂຄງການກໍ່ສ້າງໂຮມແຮມເຊັນທາຣາ ປະຈຳເດືອນ 05.2019</t>
  </si>
  <si>
    <t>ຈ່າຍເງິນສົມທົບກອງທຶນ 4% ປະຈຳເດືອນ 05.2019</t>
  </si>
  <si>
    <t>ຈ່າຍຄ່ານ້ຳມັນ ງວດ 01 ເດືອນ 05/2019 ວຽກໂຮງແຮມພູສະເຫລົ້າ</t>
  </si>
  <si>
    <t>ຈ່າຍຄ່ານ້ຳມັນ ງວດ 02 ເດືອນ 05/2019 ວຽກໂຮງແຮມພູສະເຫລົ້າ</t>
  </si>
  <si>
    <t>ຈ່າຍຄ່ານ້ຳປະປາ ປະຈຳເດືອນ 05.2019 ໂຄງການກໍ່ສ້າງ ໂຮມແຮມເຊັນທາຣາ</t>
  </si>
  <si>
    <t>ຈ່າຍຊື້ໄມ້ 4*8 ຍາວ 01 ແມັດ ວຽກໂຄງສ້າງ  VIP phase II ໂຄງການກໍ່ສ້າງໂຮງແຮມເຊັນທາຣາ</t>
  </si>
  <si>
    <t>ຈ່າຍຄ່າໄມ້ 4*8 ຍາວ 04 ແມັດ ວຽກໂຄງສ້າງ VIP phase II ໂຄງການກໍ່ສ້າງໂຮງແຮມເຊັນທາຣາ</t>
  </si>
  <si>
    <t>ຈ່າຍຄ່າເຊົ່າຈົກ CAT 330B ໃຫ້ບ/ສ ຄໍາຈວນ ປະຈໍາເດືອນ 04/2019</t>
  </si>
  <si>
    <t>ຈ່າຍຄ່າເຊົ່າລົດດາມໃຫ້ ທ.ວັນນີ ພົມວິໄລ ປະຈໍາເດືອນ 04/2019</t>
  </si>
  <si>
    <t>ຈ່າຍແກ້ໄຂເງິນຄ່າຮັບເໝົາແຮງງານໃຫ້ ທ່ານ ເຕສະພັດ ກ່ອມຈິດ (ທີມໄທ) ເພື່ອແກ້ໄຂລູກນ້ອງ</t>
  </si>
  <si>
    <t>ຈ່າຍແກ້ໄຂເງິນຄ່າຮັບເໝົາແຮງງານໃຫ້ ອົງຕິ (ທີມຫວຽດ) ເພື່ອແກ້ໄຂລູກນ້ອງ</t>
  </si>
  <si>
    <t>ຈ່າຍຊື້ຖັງອັດຈາລະບີໃສ່ລົມ+ໂສ້ດ່ຽວ+ເຟື້ອງສ້ອງ (ອຸປະກອນເຄື່ອງມີສ້ອມແປງຮັບໃຊ້ໂຮງຂົບຫີນນໍ້າກົງ 3)</t>
  </si>
  <si>
    <t xml:space="preserve">ຈ່າຍຄ່າຈອດຢາງ + ປ່ຽນຢາງລົດ REVO 9524 ລົດບໍລິຫານສະໜາມໂຮງງານຂົບຫີນນໍ້າກົງ 3 </t>
  </si>
  <si>
    <t xml:space="preserve">ຈ່າຍຊື້ໂຟນີ ຈໍານວນ 22 ເຄື່ອງ ໃຫ້ທີມງານໂຮງງານຂົບຫີນ </t>
  </si>
  <si>
    <t>ຈ່າຍເງິນອອອກວຽກນອກ ທ ທະນາວັນ, ວັນທີ 02-07/05/2019 ເພື່ອໄປວຽກທີ່ໂຮງງານຂົບຫີນນ້ຳກົງ 03</t>
  </si>
  <si>
    <t>ຈ່າຍອັດຕາກິນທີ່ພັກ ທ່ານ ວັນຊະນະ ທ່ານສູພາຊັບ, ທ ດອນນາ ວັນທີ 02-03.05.2019 ວຽກໂຮງຂົບຫີນນ້ຳກົງ03</t>
  </si>
  <si>
    <t>ຈ່າຍອັດຕາກິນທີ່ພັກ ທ່ານ ວັນຊະນະ ທ່ານສູພາຊັບ, ທ ດອນນາ ວັນທີ 07-08.05.2019 ວຽກໂຮງຂົບຫີນນ້ຳກົງ03</t>
  </si>
  <si>
    <t>ຈ່າຍອັດຕາກິນ ທ ສຸພາຊັບ ທ ທະນາວັນ ວັນທີ 22-23 ວຽກໂຮງຂົບຫີນນ້ຳກກົງ 03</t>
  </si>
  <si>
    <t>ຈ່າຍເງິນເດືອນ ທ ອາເຈິນ, ທ ວິໄຈ2.200$, ທ ເສກສັນ14.000B ວິຊາການປະຈຳໂຮງຂົບຫີນນ້ຳກົງ 03 ເດືອນ 05/19</t>
  </si>
  <si>
    <t>ຈ່າຍຊື້ກິບໜີບສາຍພານ+ນ໋ອດດໍາ + ຄ່າຝາກ ວຽກໂຮງງານຂົບຫີນ</t>
  </si>
  <si>
    <t>ຈ່າຍເງິນແຮງງານໃຫ້ຊ່າງຮັບເໝົາສ້ອມແປງກຳແພງຝາກັ້ນຫີນທີ່ເປ່ເພວຽກໂຮງງານຂົບຫີນ</t>
  </si>
  <si>
    <t>ຈ່າຍຄ່າກວດເຊັກລົດຈົກໂວນໂວ</t>
  </si>
  <si>
    <t>ອ່ວຍສໍາລະໜີ້ຄ່ານໍ້າມັນ ງວດທີ 02 ປະຈໍາເດືອນ 05/2019 ວຽກເຂື່ອນນໍ້າກົງ 03</t>
  </si>
  <si>
    <t>ອ່ວຍສໍາລະໜີ້ຄ່ານໍ້າມັນ ງວດທີ 02 ປະຈໍາເດືອນ 05/2019 ວຽກໂຮງງານຂົບຫີນ ນໍ້າກົງ 03</t>
  </si>
  <si>
    <t>ຊື້ໄດສະຕາດລົດຈົກ ວຽກໂຮງຂົບຫີນ</t>
  </si>
  <si>
    <t>ຈ່າຍຄ່າສະປັອກເກັດລົດຈົກໂວນໂວ ວຽກໂຮງງານຂົບຫີນ</t>
  </si>
  <si>
    <t>ຈ່າຍຄ່າຕຸກກະຕາ+ສາຍພານລໍາລຽງຫີນ ວຽກໂຮງຂົບຫີນ + ຄ່າຝາກເຄື່ອງ</t>
  </si>
  <si>
    <t>ຈ່າຍຊື້ດິນລະເບີດ 03 ໂຕ່ນ + ປຸ໋ຍລະເລີດ 3 ໂຕ່ນ + ຖົງປາສຕິກ 89 ມມ ຈໍານວນ 100 ກິໂລ + ຄ່າຂົນສົ່ງ(14.400*8664)</t>
  </si>
  <si>
    <t>ຈ່າຍຊື້ຄ້ອນເຄື່ອງຄ້ອນຕີຊາຍ 1010Cr 99*269*100 ຈຳນວນ 235 ກິໂລ, ອາໄລ່ແຜ່ນປະທະເຄື່ອງຕີຊາຍ1010 30ກິໂລ(5.226*8654)</t>
  </si>
  <si>
    <t>ຈ່າຍເງິນໃຫ້ວິຊາການມາກວດເຊັກເຄື່ອງໂຮງງານຂົບຫີນ (500*8654)</t>
  </si>
  <si>
    <t>ຈ່າຍຊື້ຈັກອະໄລ່ຕີຊາຍ1315 ແພ້ນ 2,ຈໍຄຣັດເຊີ(ແຂ້ວເປັນ + ແຂ້ວຕາຍ ) ແພ້ນ 03 (13.344.5*8654)</t>
  </si>
  <si>
    <t>ຈ່າຍຄ່າແຮງງານ ຊ່າງມີສາ ກໍ່ສ້າງແຄ້ມຖາວອນ ສັນຍາ 756 ວຽກເຂື່ອນນ້ຳກົງ 3 ເຟດ 03</t>
  </si>
  <si>
    <t>ຈ່າຍຄ່າແຮງງານ ຊ່າງມີສາ ຍ້າຍບ້ານນ໋ອກດາວ ປຸກສ້າງ, ຫ້ອງຄົວ ສັນຍາ 140 ວຽກແຄ້ມຖາວອນເຂື່ອນນ້ຳກົງ 03 ເຟດ 03</t>
  </si>
  <si>
    <t>ຈ່າຍຄ່ານ້ຳມັນ ງວດ 01 ເດືອນ 05/2019 ວຽກເຂື່ອນນ້ຳກົງ 02</t>
  </si>
  <si>
    <t>ຈ່າຍອັດຕາກິນ+ຄ່າທີ່ພັກ+ນ້ຳມັນລົດ ທ່ານ ວິໄລພອນ, ທ່ານ ສຸກສະຖິດ, ທ ຈັນສະໃໝ ວັນທີ 26-28/05/19</t>
  </si>
  <si>
    <t>ຈ່າຍຄ່າເສົາ,ຄ່າໝໍ້ນັບໄຟ, ຄ່າມັດຈຳໝໍ້ນັບໄຟ, ສາຍດຶງ ແລະ ຄ່າງແຮງງານຕິດຕັ້ງ ວຽກປັບປຸບອາຄານຜູ້ໂດຍສານ</t>
  </si>
  <si>
    <t>ຈ່າຍຄ່າແຮງງານ ແລະ ວັດສະດຸ ງວດ 01 ໃຫ້ບ/ສ ຊູວັນ ກໍ່ສ້າງ ຮັບເໝົາຕິດຕັ້ງຕາຂ່າຍໄຟຟ້າ 22KV ເຝດ02 ແຄ້ມຖາວອນເຂື່ອນອີ່ມູນ</t>
  </si>
  <si>
    <t xml:space="preserve">ຈ່າຍຄ່າແຮງງານ ແລະ ວັດສະດຸ ງວດ 02ມູນຄ່າ 632.319.000 (ແບ່ງຈ່າຍກ່ອນ 206.558.000) ໃຫ້ບ/ສ ຊູວັນ ກໍ່ສ້າງ </t>
  </si>
  <si>
    <t xml:space="preserve">  ຮັບເໝົາຕິດຕັ້ງຕາຂ່າຍໄຟຟ້າ 22KV ເຝດ02 ແຄ້ມຖາວອນເຂື່ອນອີ່ມູນ</t>
  </si>
  <si>
    <t>ຮັບເງິນບໍລິຫານ 10% ບ/ສ ຊູວັນ ກໍ່ສ້າງ ຮັບເໝົາຕິດຕັ້ງຕາຂ່າຍໄຟຟ້າ 22KV ເຝດ02 ແຄ້ມຖາວອນເຂື່ອນອີ່ມູນ</t>
  </si>
  <si>
    <t>ຈ່າຍຄ່ານ້ຳມັນ ງວດ 01 ເດືອນ 05/2019 ວຽກບໍລິຫານສຳນັກງານໃຫຍ່</t>
  </si>
  <si>
    <t>ຈ່າຍຄ່ານ້ຳມັນງວດ 01 ເດືອນ 05/2019 ວຽກຈັດຊື້ຝ່າຍຄູ້ມຄອງໂຄງການ</t>
  </si>
  <si>
    <t>ຈ່າຍຄ່ານ້ຳມັນງວດ 01 ເດືອນ 05/2019 ວຽກຝ່າຍຂົວ-ທາງ ແລະ ພາຫະນະກົນຈັກ (ໃສ່ນໍ້າມັນລົດນໍ້າເມືອສົ່ງ CSC ວຽງຈັນ)</t>
  </si>
  <si>
    <t>ຈ່າຍຄ່ານ້ຳມັນ ງວດ 02 ເດືອນ 05/2019 ວຽກບໍລິຫານສຳນັກງານໃຫຍ່</t>
  </si>
  <si>
    <t>ຈ່າຍຄ່ານ້ຳມັນ ງວດ 02 ເດືອນ 05/2019 ຝ່າຍຂົວ-ທາງ ແລະ ພາຫະນະກົນຈັກ</t>
  </si>
  <si>
    <t>ຈ່າຍຄ່ານ້ຳມັນ ງວດ 02 ເດືອນ 05/2019 ວຽກນໍ້າງຽບ 3 A</t>
  </si>
  <si>
    <t>ຈ່າຍຄ່ານ້ຳມັນ ງວດ 02 ເດືອນ 05/2019 ວຽກທາງປະສົມ - ທົ່ງສະ</t>
  </si>
  <si>
    <t>ຈ່າຍຄ່າແຮງງານຊ່າງຕຸ້ຍ ວຽກທາສີກຳແພງຫ້ອງການຫຼັກ 10</t>
  </si>
  <si>
    <t>ຈ່າຍສໍາລະຄ່າໂຊກອັບດ້ານຫຼັງເບື້ອງຊ້າຍລົດຟໍຈູນເນີ່ 9279  (17.600*282)</t>
  </si>
  <si>
    <t>ຈ່າຍສໍາລະຄ່າໂຊກອັບດ້ານຫຼັງເບື້ອງຂົວລົດຟໍຈູນເນີ່ 9279 (17.600*282)</t>
  </si>
  <si>
    <t>ຈ່າຍຄ່າແຮງງານຊ່າງ ເວດ ຄ່າສ້ອມແປງລະບົບນໍ້າດ້ານຫຼັງຫ້ອງການ,ກວດສອບແທ້ງເກັບນໍ້າ,ສ້ອມແປງຫ້ອງນໍ້າ ສໍານັກງານໃຫຍ່</t>
  </si>
  <si>
    <t>ຈ່າຍຄ່າກັອບແບບກໍ່ສ້າງແຫຼ່ງທ່ອງທ່ຽວສວນຜາສ້ວມ</t>
  </si>
  <si>
    <t>ຈ່າຍຄ່າອາຫານທ່ຽງ ທີ່ເຮືອແພຈອນນາງ ແລະ ຈ່າຍຄ່າອາຫານຄ່ຳ ທີ່ sala gang kong 02 ຮັບແຂກ BCEL ວັນທີ 25/05/19</t>
  </si>
  <si>
    <t>ຈ່າຍອັດຕາກິນ ແລະ ທີ່ພັກ ທ ພູໄຊ ວັນທີ 28/04-04/05/2019 ໂຄງການສ້ອມແປງຄອງສົ່ງນ້ຳເຂື່ອນ ເຊນ້ຳນ້ອຍ 1.6</t>
  </si>
  <si>
    <t>ຈ່າຍອັດຕາກິນ ແລະ ທີ່ພັກ ທ ພູໄຊ ວັນທີ 06-12/05/2019 ໂຄງການສ້ອມແປງຄອງສົ່ງນ້ຳເຂື່ອນ ເຊນ້ຳນ້ອຍ 1.6</t>
  </si>
  <si>
    <t>ຈ່າຍອັດຕາກິນ ທ ໄພລິນ ວັນທີ 12.05.2019 ໄປສົ່ງເຄື່ອງ ວຽກສ້ອມແປງຄອງເຊນ້ຳນ້ອຍ1-6</t>
  </si>
  <si>
    <t>ຈ່າຍເງິນແຮງວດ 02 ວຽກສ້ອມແປງຄອງສົ່ງນ້ຳເຂື່ອນເຊນ້ຳນ້ອຍ 1-6</t>
  </si>
  <si>
    <t>ຈ່າຍຄ່າແຮງງານລ່ວງໜ້າ ໃຫ້ ບ/ສ ແກ້ວອຸດົມດີຮຸ່ງເຮືອງຂົນສົ່ງ ວຽກເປີດໜ້າດິນທ້າຍ ແລະ ອະນາໄມໜ້າເຂື່ອນ ວຽກເຂື່ອນເຊນ້ຳນ້ອຍ 1-6</t>
  </si>
  <si>
    <t>ຈ່າຍຄ່າເຊົ່າລົດຈົກ ແລະ ລົດນ້ຳມັນ ລ່ວງໜ້າ ໃຫ້ ທ່ານສົມຊາຍ ວຽກສ້ອມແປງຄອງສົ່ງນ້ຳ ວຽກເຂື່ອນເຊນ້ຳນ້ອຍ 1-6(120.000*280)</t>
  </si>
  <si>
    <t>ຈ່າຍຄ່ານ້ຳມັນງວດ 01 ເດືອນ 05/2019 ວຽກເຂື່ອນນ້ຳນ້ອຍ 01</t>
  </si>
  <si>
    <t>ຈ່າຍເງິນຄ່າແຮງງານ ຊ່າງແດງ ວຽກຄອງລະບາຍນ້ຳຂ້າງທາງ(ສັນຍາ 036) ວຽກເຂື່ອນໄຟຟ້ານ້ຳອີ່ມູນ</t>
  </si>
  <si>
    <t>ຈ່າຍເງິນຄ່າແຮງງານ ຊ່າງເວດ ວຽກຄອງລະບາຍນ້ຳຂ້າງທາງ(ສັນຍາ 024) ວຽກເຂື່ອນໄຟຟ້ານ້ຳອີ່ມູນ</t>
  </si>
  <si>
    <t xml:space="preserve">ຈ່າຍອັດຕາກິນ ທພຸດທະສອນ, ທ ສົມພອນ, ທ ບົວສອນ ງັນທີ 09-10/05/2019 ໄປເກັບກຳປະຫວັດພະນັກງານ </t>
  </si>
  <si>
    <t>ຈ່າຍອັດຕາກິນ ທ່ານ ວິໄຊ, ທ່ານ ວັນຊະນະ,ທ ໄຂ່ຄຳ, ທ ແກ້ວອູດອນ ລົງໄປປະຕິບັດວຽກຢູ່ພາກສະໜາມວັນທີ11/5/19</t>
  </si>
  <si>
    <t>ຈ່າຍອັດຕາກິນ ທ່ານ ວິໄຊ, ທ່ານ ວັນຊະນະ,ທ ໄຂ່ຄຳ, ທ ບົວສອນ ລົງໄປປະຕິບັດວຽກຢູ່ພາກສະໜາມວັນທີ21-22/5/19</t>
  </si>
  <si>
    <t>ຈ່າຍອັດຕາກິນ ທ ໄຂ່ຄຳ, ທ ຈັນສະໃໝ ວັນທີ 10.05.2019 ວຽກເຂື່ອນອີ່ມູນ</t>
  </si>
  <si>
    <t>ຈ່າຍຄ່າຖ້ຽວລົດໂຊເຟີວຽກລົງດິນແດງ ວຽກເສັ້ນທາງພາຍໃນເຂື່ອນອີມູນ</t>
  </si>
  <si>
    <t>ຈ່າຍເງິນແຮງວດ 03 ໃຫ້ພາກສະໜາມ ວຽກຄອງດາດເຂື່ອນອີ່ມູນ</t>
  </si>
  <si>
    <t>ຈ່າຍເງິນສໍາລະຄ່າອະໄລ່ໃຫ້ ບໍລິສັດ ລາວທານີ ເພື່ອສ້ອມແປງລົດຈົກໂກມັດສຸ 350 ວຽກທາງເຂື່ອນອີມູນ</t>
  </si>
  <si>
    <t>ຈ່າຍອັດຕາກິນ ຊ່າງແປະ (ສັນຍາ035) ວຽກຄອງລະບາຍນ້ຳຂ້າງທາງເຂື່ອນອີ່ມູນ</t>
  </si>
  <si>
    <t>ຈ່າຍອັດຕາກິນ ຊ່າງເວດ (ສັນຍາ024) ວຽກຄອງລະບາຍນ້ຳຂ້າງທາງເຂື່ອນອີ່ມູນ</t>
  </si>
  <si>
    <t>ຈ່າຍອັດຕາກິນ ຊ່າງແກ້ວຈະເລີນ (ສັນຍາ 034) ວຽກຄອງລະບາຍນ້ຳຂ້າງທາງເຂື່ອນອີ່ມູນ</t>
  </si>
  <si>
    <t>ຈ່າຍອັດຕາກິນໃກ້ ຊ່າງແດງ (ສັນຍາ 036) ວຽກຄອງລະບາຍນ້ຳຂ້າງທາງເຂື່ອນອີ່ມູນ</t>
  </si>
  <si>
    <t>ຈ່າຍອັດຕາກິນ ຊ່າງວຽງ (ສັນຍາ 035) ວຽກປຸກແຄ້ມຊົງດາ(ແຄມ02)</t>
  </si>
  <si>
    <t>ຈ່າຍເງິນເດືອນ ທ່ານ ວິລະເດດ ປະຈຳເດືອນ 04.2019 (5.000$ ) ເງິນເດືອນປະຈຳເດືອນ 05(09ວັນ) (1.494 $)</t>
  </si>
  <si>
    <t>ຈ່າຍໃຫ້ ທ່ານ ວິໄລພອນ ຄຳພາວົງ ເພື່ອເປັນຄ່າໃຊ້ຈ່າຍໃນການລ້ຽງອາຫານ ທ່ານ ເຈົ້າແຂວງ,ຄະນະພະແນກ ຍທຂ ວັນທີ 06.06.2019</t>
  </si>
  <si>
    <t>ຈ່າຍເງິນແຮພາກສະໜາມ ງວດ 10 (ທິມ01)ໂຄງການກໍ່ສ້າງທາງບ້ານໂນນຍາງ-ນາຈານ</t>
  </si>
  <si>
    <t>ຈ່າຍອັດຕາກິນ ຊ່າງສະຫຽວນສັກ ວຽກວາງທໍ່ລອດທາງ ແລະ ບ໋ອກຄອນເວີດ ໂຄງການກໍ່ສ້າງເສັ້ນທາງຊ່ອງຕາອູ</t>
  </si>
  <si>
    <t>ຈ່າຍຊຳລະຄ່າໄມ້ແບບ + ຄ່າແຮ່-ຊາຍ ໂຄງການກໍ່ສ້າງທາງ ໂນນຍາງ-ນາຈານ</t>
  </si>
  <si>
    <t>ຈ່າຍຄ່າແຮງງານ ທ.ຫົງມະນີ ຄ່າສໍາລວດອອກແບບເສັ້ນທາງແຕ່ບ້ານໂນນຢາງ - ນາຈານ (3.705*8830)</t>
  </si>
  <si>
    <t>ຈ່າຍຄ່າເຊົ່າລົດເຈາະຕີນເຫຼັກ ປະຈຳເດືອນ 04/2019 ໃຫ້ ທ່ານ ຄຳຫຼ້າ ວຽກໂຄງສ້າງອາຄານ VIP ໂຮງແຮມເຊັນທາຣາ(138.667*280)</t>
  </si>
  <si>
    <t>ຈ່າຍອັດຕາເງິນກິນຂອງພະນັກງານ ບ/ສ ປະຊາໂຊກ ປະຈໍາເດືອນ 05/2019 ວຽກພູສະເຫລົ້າ</t>
  </si>
  <si>
    <t>ຈ່າຍເງິນເດືອນພະນັກງານ (ບໍລິສັດປະຊາໂຊກ) ປະຈຳເດືອນ 05.2019 ໂຄງການກໍ່ສ້າງໂຮມແຮມເຊັນທາຣາ</t>
  </si>
  <si>
    <t>ຈ່າຍຊື້ແຂ້ວເຟືອງຂອງໂຮງງານຂົບຫີນນໍ້າກົງ 3 (12.000*280)</t>
  </si>
  <si>
    <t>ອ່ວຍສໍາລະໜີ້ຄ່ານໍ້າມັນ ງວດທີ 02 ປະຈໍາເດືອນ 05/2019 (ຜອ ນໍາໃຊ້ລົດບໍລິຫານເມືອວຽກ ຊີເອັສຊີ ວຽງຈັນ)</t>
  </si>
  <si>
    <t>ຈ່າຍອັດຕາກິນ ທ.ວິໄລພອນ + ທ່ານພູວຽງ 03-06/06/2019</t>
  </si>
  <si>
    <t>ຈ່າຍອັດຕາກິນ ທ.ວິໄລພອນ + ທ່ານພູວຽງ 06-07/06/2019</t>
  </si>
  <si>
    <t>ຈ່າຍອັດຕາກິນ ທ່ານ ສິວິໄຊ ວັນທີ 25-30/03/2019 ວຽກທະນາຄານກາງວຽງຈັນ</t>
  </si>
  <si>
    <t>ຈ່າຍອັດຕາກິນ ທ່ານ ສິວິໄຊ ວັນທີ 02-08/04/2019 ວຽກທະນາຄານກາງວຽງຈັນ</t>
  </si>
  <si>
    <t>ຈ່າຍອັດຕາກິນ ທ່ານ ສິວິໄຊ ວັນທີ 09-13/04/2019 ວຽກທະນາຄານກາງວຽງຈັນ</t>
  </si>
  <si>
    <t>ຈ່າຍອັດຕາກິນ ທ່ານ ສິວິໄຊ ວັນທີ 19-25/04/2019 ວຽກທະນາຄານກາງວຽງຈັນ</t>
  </si>
  <si>
    <t>ຈ່າຍອັດຕາກິນ, ຄ່າທີ່ພັກ, ເງິນອູດໜູນ ທ່ານ ສິວິໄຊ ວັນທີ 26/04-02/05//2019 ວຽກທະນາຄານກາງວຽງຈັນ</t>
  </si>
  <si>
    <t>ຈ່າຍອັດຕາກິນ,ຄ່າທີ່ພັກ ແລະ ນ້ຳມັນລົດ ທ ສີວິໄຊ ວັນທີ 03-05/05/2019 ວຽກທະນາຄານກາງວຽງຈັນ</t>
  </si>
  <si>
    <t>ຈ່າຍອັດຕາກິນ, ຄ່າທີ່ພັກ ແລະ ເງິນອູດໜູນ ວັນທີ 07-10/05/2019 ວຽກທະນາຄານກາງວຽງຈັນ</t>
  </si>
  <si>
    <t>ຈ່າຍເງິນອັດຕາກິນ ທ ບັງອອນ ປະຈຳເດືອນ 05.2019</t>
  </si>
  <si>
    <t>ຈ່າຍຊື້ນ້ຳໜອງ ເຂົ້າໂຄງການກໍ່ສ້າງ ທະນາຄານກາງວຽງຈັນ</t>
  </si>
  <si>
    <t>ຈ່າຍຄ່າເຊົ່າລົດຈົກໃຫ້ຜູ້ຮັບເໝົາ ທ ຕູ່ ໂຄງການກໍ່ສ້າງທະນາຄານກາງ</t>
  </si>
  <si>
    <t>ຈ່າຍເງິນແຮສະໜາມ ງວດ 02 ໂຄງການກໍ່ສ້າງ ທະນາຄານກາງ</t>
  </si>
  <si>
    <t>ຈ່າຍເງິນເດືອນ ພະນັກງານພາກສະໜາມ ປະຈຳເດືອນ 05.2019 ໂຄງການກໍ່ສ້າງທະນາຄານກາງ ວຽງຈັນ</t>
  </si>
  <si>
    <t>ຈ່າຍຄ່າແຮງງານຕິດຕັ້ງຂັ້ນໃດ (600.000*280) ໂຄງການກໍ່ສ້າງ ຊີເອັດຊີ ວຽງຈັນ</t>
  </si>
  <si>
    <t>ຈ່າຍຄ່າແຮງງານຕິດຕັ້ງຖານຮອງຮັບ AHU (150.000*280) ໂຄງການກໍ່ສ້າງ ຊີເອັດຊີ ວຽງຈັນ</t>
  </si>
  <si>
    <t>ຈ່າຍຄ່າແຮງງານ ກໍ່ສ້າງຮົ້ວອ້ອມຂອບເຂດ ໂຄງການກໍ່ສ້າງຊີເອັດຊີ ວຽງຈັນ</t>
  </si>
  <si>
    <t>ຮັບເງິນບໍລິຫານ1% ບໍລິສັດ ແກ້ວອຸດົມດີຮຸງ່ເຮືອງ ວຽກເຂື່ອນເຊນ້ຳນ້ອຍ1.6</t>
  </si>
  <si>
    <t xml:space="preserve">ຮັບຄືນ(ໂອນຄ່າຖ້ຽວແກ່ດິນໃຫ້ໂຊເຟີລົດ ເອກະສານຊ້ຳກັນ) </t>
  </si>
  <si>
    <t>ຮັບເງິນບໍລິຫານ1% ຊ່າງແດງ ວຽກຄອງລະບາຍນ້ຳຂ້າງທາງ ເຂື່ອນໄຟ້ານ້ຳອີ່ມູນ</t>
  </si>
  <si>
    <t>ຮັບເງິນບໍລິຫານ1% ຊ່າງເວດ ວຽກຄອງລະບາຍນ້ຳຂ້າງທາງ ເຂື່ອນໄຟ້ານ້ຳອີ່ມູນ</t>
  </si>
  <si>
    <t>ຈ່າຍອ່ວຍໜີ້ຄ່າຄອນກີດປາກເຊ ງວດ 02 ເດືອນ 03/2019 (16.800*282) ວຽກສ້ອມແປງທາງໜ້າຫ້ອງການຂົວທາງ</t>
  </si>
  <si>
    <t>ຈ່າຍຄ່າແຮງງານງວດທີ 18 ໃຫ້ບ/ສ ແມເນັດເມັ້ນປະຈຳເດືອນ03/2019 ຄ່າບໍລິຫານໂຄງການ ວຽກໂຮງແຮມເຊັນທາຣາ (400.000*284)</t>
  </si>
  <si>
    <r>
      <t>ຈ່າຍຄ່າແຮງງານໃຫ້ ບ/ສ</t>
    </r>
    <r>
      <rPr>
        <sz val="8"/>
        <rFont val="Times New Roman"/>
        <family val="1"/>
      </rPr>
      <t xml:space="preserve"> INTERIOR VISIONS CO.,LTD </t>
    </r>
    <r>
      <rPr>
        <sz val="8"/>
        <rFont val="Phetsarath OT"/>
      </rPr>
      <t>ວຽກອອກແບບສະຖາປັດ,ຕົບແຕ່ງພາຍໃນ (ສັນຍາCSG/IV)(200.000*284)</t>
    </r>
  </si>
  <si>
    <r>
      <t xml:space="preserve">ປະຈໍາວັນທີ </t>
    </r>
    <r>
      <rPr>
        <b/>
        <u/>
        <sz val="14"/>
        <color theme="1"/>
        <rFont val="Times New Roman"/>
        <family val="1"/>
      </rPr>
      <t>01-17/06/2019</t>
    </r>
  </si>
  <si>
    <t>ຈ່າຍຄ່າແຮງງານ ແລະ ວັດສະດຸ ວຽກເຮືອນທ່ານສອນໄຊ (5.400.000*284.5)</t>
  </si>
  <si>
    <t>ຮັບເງິນບໍລິຫານ1% ຊ່າງມີສາ ວຽກຮັບເໝົາກໍ່ສ້າງແຄ້ມຖາວອນເຂື່ອນນ້ຳກົງ3 ເຝດ 3</t>
  </si>
  <si>
    <t>17.06.2019</t>
  </si>
  <si>
    <t>ໂຄງການກໍ່ສາ້ງເຂື່ອນໄຟຟ້ານ້ຳກົງ  02+03 (ຈ່າຍເງິນຄໍ້າປະກັນຊ່າງ)</t>
  </si>
  <si>
    <t>ຮັບເງິນງວດ02 (40%) ຄ່າປັບປຸງຕາຂ່າຍ 22ກວ Phase2 ວຽກກໍ່ສ້າງເສັ້ນທາງປູຢາງ02ຊັ້ນເຂື່ອນໄຟຟ້ານ້ຳອີ່ມູນ</t>
  </si>
  <si>
    <t>ພາກຮັບ</t>
  </si>
  <si>
    <t>ຮັບເງິນງວດ02 (40%) ວຽກກໍ່ສ້າງເສັ້ນທາງປູຢາງ 02 ຊັ້ນພາຍໃນເຂື່ອນໄຟຟ້ານ້ຳອີ່ມູນ</t>
  </si>
  <si>
    <t>18.06.2019</t>
  </si>
  <si>
    <t>ຮັບເງິນຈາກບ້ວງສາຍສົ່ງ ECI (ປາກແບ່ງ-ຫົງສາ) 
ບ້ວງ: 3,331,550,250 ກີບ .</t>
  </si>
  <si>
    <t>ຈ່າຍໃຫ້ ບ/ສ KSC ຮັບເໝົາສ້າງທາງເທດສະບານປະທຸມພອນ</t>
  </si>
  <si>
    <t>ໂຄງການກໍ່ສ້າງເສັ້ນທາງຊ່ອງຕະອູ (ໂນນຢາງ-ນາຈານ)</t>
  </si>
  <si>
    <t>ບັນຊີຕິດຕາມການຮັບ - ຈ່າຍເງິນ ດອກເບ້ຍທະນາຄານການຄ້າ ແລະ ສົ່ງເສີມກະສິກຳ</t>
  </si>
  <si>
    <t>ຮັບເງິນດອກເບ້ຍ ແລະ ຕົ້ນທຶນຂອງບັນດາທຸລະກິດໃນເຄືອ 05/2019</t>
  </si>
  <si>
    <t>ຮັບຈາກບ້ວງ ຊີເອັສຊີ ສົ່ງດອກເບ້ຍ+ຕົ້ນທືນ ສາຂາປາກເຊ+ປາກຊັນ</t>
  </si>
  <si>
    <r>
      <t xml:space="preserve">ປະຈໍາເດືອນ </t>
    </r>
    <r>
      <rPr>
        <b/>
        <u/>
        <sz val="16"/>
        <color theme="1"/>
        <rFont val="Times New Roman"/>
        <family val="1"/>
      </rPr>
      <t>06/2019</t>
    </r>
  </si>
  <si>
    <t>ຮັບ-ຈ່າຍ ເງິນດອກເບ້ຍ ແລະ ຕົ້ນທຶນ ຂອງບັນດາທຸລະກິດໃນເຄືອ</t>
  </si>
  <si>
    <t>ຮັບເງິນຈາກ CSE ຈ່າຍ Advance ໃນ 04 ໜ້າວຽກ (ຈຳນວນ3ຕື້)</t>
  </si>
  <si>
    <t xml:space="preserve">ຮັບຈາກຖອນເງິນກູ້ ຈໍານວນ 16 ຕື້ </t>
  </si>
  <si>
    <t>ຮັບເງິນຈາກ CSE ຈ່າຍ Advance ໃນ 04 ໜ້າວຽກ (ຈຳນວນ 3 ຕື້)</t>
  </si>
  <si>
    <t>ຮັບເງິນທີ່ໄດ້ຮັບຈາກວຽກສາຍສົ່ງຮ່ວມກັບ ECI (ຈຳນວນ 3.062.508.600 ກີບ)</t>
  </si>
  <si>
    <t>......</t>
  </si>
  <si>
    <t>........</t>
  </si>
  <si>
    <t>ແຜນຈ່າຍ</t>
  </si>
  <si>
    <t>ຈຳນວນເງີນທີ່ຕ້ອງການ</t>
  </si>
  <si>
    <t>ແຜນລາຍຈ່າຍ ບໍລິສັດ ຈະເລີນເຊກອງ ກຣຸບ</t>
  </si>
  <si>
    <r>
      <t>ປະຈໍາວັນເດືອນ</t>
    </r>
    <r>
      <rPr>
        <b/>
        <u/>
        <sz val="14"/>
        <color theme="1"/>
        <rFont val="Times New Roman"/>
        <family val="1"/>
      </rPr>
      <t>/07/2019</t>
    </r>
  </si>
  <si>
    <t>ຍອດເງີນຍົກມາ</t>
  </si>
  <si>
    <r>
      <rPr>
        <b/>
        <u/>
        <sz val="12"/>
        <color theme="1"/>
        <rFont val="Phetsarath OT"/>
      </rPr>
      <t>ຫົວໜ້າຝ່າຍບັນຊີ-ການເງິນ</t>
    </r>
    <r>
      <rPr>
        <b/>
        <sz val="12"/>
        <color theme="1"/>
        <rFont val="Phetsarath OT"/>
      </rPr>
      <t xml:space="preserve">                                                                                        </t>
    </r>
    <r>
      <rPr>
        <b/>
        <u/>
        <sz val="12"/>
        <color theme="1"/>
        <rFont val="Phetsarath OT"/>
      </rPr>
      <t>ຫົວໜ້າພະແນກການເງິນ</t>
    </r>
    <r>
      <rPr>
        <b/>
        <sz val="12"/>
        <color theme="1"/>
        <rFont val="Phetsarath OT"/>
      </rPr>
      <t xml:space="preserve">                                                       </t>
    </r>
    <r>
      <rPr>
        <b/>
        <sz val="12"/>
        <color theme="1"/>
        <rFont val="Phetsarath OT"/>
      </rPr>
      <t xml:space="preserve">      </t>
    </r>
  </si>
  <si>
    <t>ວຽກທາງ ເຂື່ອນອີມູນ</t>
  </si>
  <si>
    <t>ໂຄງການກໍ່ສ້າງເຂື່ອນໄຟຟ້ານ້ຳກົງ  02+03 (ຈ່າຍເງິນຄໍ້າປະກັນຊ່າງ)</t>
  </si>
  <si>
    <t>ແຜນຮັບ</t>
  </si>
  <si>
    <t xml:space="preserve"> ເງິນດອກເບ້ຍ ແລະ ຕົ້ນທຶນ ຂອງບັນດາທຸລະກິດໃນເຄືອ</t>
  </si>
  <si>
    <t>ແຜນລາຍຮັບ-ລາຍຈ່າຍ ບໍລິສັດ ຈະເລີນເຊກອງ ກຣຸບ</t>
  </si>
  <si>
    <t>ວຽກເຮືອນທ່ານສຊ (5.400.000*284.5)</t>
  </si>
  <si>
    <t>ໂຄງການກໍ່ສ້າງ ຊີເອັສຊີ ສາຂານະຄອນຫຼວງວຽງຈັນ</t>
  </si>
  <si>
    <t>I</t>
  </si>
  <si>
    <t xml:space="preserve">II </t>
  </si>
  <si>
    <t>III</t>
  </si>
  <si>
    <t>IV</t>
  </si>
  <si>
    <t>ແຜນລາຍຈ່າຍບໍລິຫານ</t>
  </si>
  <si>
    <t>ຮັບເໝົາຈາກພາກລັດ</t>
  </si>
  <si>
    <t>THB</t>
  </si>
  <si>
    <t>ເງິນຄຳ້ປະກັນວຽກ 5% ໄຟຟ້າ 0.4ແຄ້ມອີມູນ</t>
  </si>
  <si>
    <t>ວຽກຕະຂ່າຍໄຟຟ້າ ເຟສ 1 ເຂື່ອນໄຟຟ້ານ້ຳອີ່ມູນ</t>
  </si>
  <si>
    <t>ວຽກຕະຂ່າຍໄຟຟ້າ ເຟສ 1 ເຂື່ອນໄຟຟ້ານ້ຳກົງ2</t>
  </si>
  <si>
    <t>V</t>
  </si>
  <si>
    <t>ສວນທ່າແຕງ</t>
  </si>
  <si>
    <t>ວຽກເຮືອນປະທານຫລັກ 10 ແລະ ຫຼັກ 7 (ປາກເຊ)</t>
  </si>
  <si>
    <t xml:space="preserve">ໂຄງການກໍ່ສ້າງທາງລົງ ພາວເວີ້ເຮົ້າ </t>
  </si>
  <si>
    <t>ໂຄງການປັບປຸງຕາຂ່າຍ 22 ກວ ເຟສ 2 ເຂື່ອນນ້ຳອີ່ມູນ</t>
  </si>
  <si>
    <t>ກໍ່ສ້າງເດີນເຕະບານຫຍ້າທຽມ ເຂື່ອນນ້ຳອີ່ມູນ</t>
  </si>
  <si>
    <t>ລວມ</t>
  </si>
  <si>
    <t>ຈ່າຍຄ່າປີ້ຍົນໃຫ້ບໍລີສັດອູໄລວັນ ເດືອນ 1.2.3</t>
  </si>
  <si>
    <t>ຍອດຍົກມາ(ກ)</t>
  </si>
  <si>
    <t>ແຜນຮັບ(ຂ)</t>
  </si>
  <si>
    <t>ແຜນຈ່າຍ(ຄ)</t>
  </si>
  <si>
    <t>ຍອດເຫຼືອ (ກ+ຂ-ຄ)</t>
  </si>
  <si>
    <t>ເງີນຕ້ອງການ(ຄ-ກ-ຂ)</t>
  </si>
  <si>
    <t>ເງິນຄຳ້ປະກັນວຽກ 5% ເຟສ 1 ໄຟຟ້າ 0.4ແຄ້ມອີມູນ</t>
  </si>
  <si>
    <t>ອັດຕາກີນການເດີນທາງ</t>
  </si>
  <si>
    <t>ຮັບເງິນສວນຕົວປະທານ</t>
  </si>
  <si>
    <r>
      <t xml:space="preserve">ປະຈໍາວັນເດືອນ </t>
    </r>
    <r>
      <rPr>
        <b/>
        <u/>
        <sz val="14"/>
        <color theme="1"/>
        <rFont val="Times New Roman"/>
        <family val="1"/>
      </rPr>
      <t>07/2019</t>
    </r>
  </si>
  <si>
    <t>ໂຄງການກໍ່ສ້າງເສັ້ນທາງປະສົມ - ທົ່ງຊະ</t>
  </si>
  <si>
    <t>ໂຄງການກໍ່ສ້າງເສັ້ນທາງປູຢາງເທດສະບານປະທຸມພອນ</t>
  </si>
  <si>
    <t>ໂຄງການຮັບຈາກ CSE</t>
  </si>
  <si>
    <t>ໂຄງການກໍ່ສ້າງທາງລົງ ພາວເວີ້ເຮົ້າ  (ວຽກລະເບີດຫິນ)</t>
  </si>
  <si>
    <t>ຮັບເໝົາກໍ່ສ້າງບ້ານນັອກດາວ(ແຄ້ມຈີນ)ເຂື່ອນໄຟຟ້ານ້ຳອີ່ມູນ</t>
  </si>
  <si>
    <t>ໂຄງການປັບປຸງຕາຂ່າຍ 22ກວ ເຟສ1ເຂື່ອນນ້ຳອີ່ມູນ</t>
  </si>
  <si>
    <t>ໂຄງການກໍ່ສ້າງເດີນເຕະບານຫຍ້າທຽມ ເຂື່ອນນ້ຳງຽບ 3A</t>
  </si>
  <si>
    <t>ໂຄງການປັບປຸງເຂື່ອນນໍ້າງຽບ 3A</t>
  </si>
  <si>
    <t>ຫ້ອງການ CSE ວຽງຈັນ ຕຶກ7ຊັ້ນ</t>
  </si>
  <si>
    <t>ວຽກກໍ່ສ້າງສາາລະນຸປະໂພກທາງພາຍໃນເຂືອນອີມຸນ</t>
  </si>
  <si>
    <t>ໂຄງການກໍ່ສ້າງເຂື່ອນໄຟຟ້ານ້ຳກົງ02+03 (ຈ່າຍເງິນຄໍ້າປະກັນຊ່າງ)</t>
  </si>
  <si>
    <t>ໂຄງການລົງທຶນໃຫມ່ຂອງບໍລິສັດຈະເລີນ</t>
  </si>
  <si>
    <t>ໂຄງການແຈ້ງຄົນເຂົ້າເມືອງ APPS</t>
  </si>
  <si>
    <t>ໂຄງກາລົງທຶນສາງທ່ານາແລ້ງ - ທ່າແຂກ</t>
  </si>
  <si>
    <t>ວຽກ CSC ປາກຊັນ</t>
  </si>
  <si>
    <t>ໂຄງການທີ່ໄດ້ລົງທຶນໄປແລ້ວແຕ່ຍັງຄ້າງຊໍາລະ</t>
  </si>
  <si>
    <t>ວຽກເຮືອນປະທານ (ວຽງຈັນ)</t>
  </si>
  <si>
    <t>ສ້ອມແປງ ແລະ ບຳລຸງຮັກສາລົດບໍລິຫານ</t>
  </si>
  <si>
    <r>
      <t xml:space="preserve">ປາກເຊ,ວັນທີ : 08/07/2019                                  </t>
    </r>
    <r>
      <rPr>
        <b/>
        <u val="singleAccounting"/>
        <sz val="11"/>
        <color theme="1"/>
        <rFont val="Phetsarath OT"/>
      </rPr>
      <t xml:space="preserve"> ຝ່າຍບັນຊີ-ການເງິນ </t>
    </r>
    <r>
      <rPr>
        <b/>
        <sz val="11"/>
        <color theme="1"/>
        <rFont val="Phetsarath OT"/>
      </rPr>
      <t xml:space="preserve">       </t>
    </r>
  </si>
  <si>
    <t>ແຜນລາຍຮັບ-ລາຍຈ່າຍ ວຽກສວນຕົວປະທານ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</si>
</sst>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11"/>
      <color theme="1"/>
      <name val="Phetsarath OT"/>
    </font>
    <font>
      <b/>
      <u/>
      <sz val="16"/>
      <color theme="1"/>
      <name val="Phetsarath OT"/>
    </font>
    <font>
      <b/>
      <sz val="12"/>
      <color theme="1"/>
      <name val="Phetsarath OT"/>
    </font>
    <font>
      <b/>
      <sz val="11"/>
      <color theme="1"/>
      <name val="Phetsarath OT"/>
    </font>
    <font>
      <sz val="9"/>
      <color theme="1"/>
      <name val="Phetsarath OT"/>
    </font>
    <font>
      <b/>
      <sz val="15"/>
      <color theme="1"/>
      <name val="Phetsarath OT"/>
    </font>
    <font>
      <b/>
      <u/>
      <sz val="12"/>
      <color theme="1"/>
      <name val="Phetsarath OT"/>
    </font>
    <font>
      <b/>
      <sz val="10"/>
      <color theme="1"/>
      <name val="Phetsarath OT"/>
    </font>
    <font>
      <sz val="10"/>
      <color theme="1"/>
      <name val="Phetsarath OT"/>
    </font>
    <font>
      <sz val="11"/>
      <color theme="1"/>
      <name val="Times New Roman"/>
      <family val="1"/>
    </font>
    <font>
      <sz val="10"/>
      <color theme="1"/>
      <name val="Phetsarath OT"/>
      <family val="2"/>
    </font>
    <font>
      <b/>
      <sz val="9"/>
      <color theme="1"/>
      <name val="Phetsarath OT"/>
    </font>
    <font>
      <b/>
      <sz val="8"/>
      <color theme="1"/>
      <name val="Phetsarath OT"/>
    </font>
    <font>
      <sz val="10"/>
      <color theme="1"/>
      <name val="Times New Roman"/>
      <family val="1"/>
    </font>
    <font>
      <sz val="9"/>
      <color rgb="FF00B050"/>
      <name val="Times New Roman"/>
      <family val="1"/>
    </font>
    <font>
      <sz val="9"/>
      <color theme="1"/>
      <name val="Times New Roman"/>
      <family val="1"/>
    </font>
    <font>
      <sz val="10"/>
      <name val="Phetsarath OT"/>
    </font>
    <font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Phetsarath OT"/>
    </font>
    <font>
      <sz val="8"/>
      <color theme="1"/>
      <name val="Times New Roman"/>
      <family val="1"/>
    </font>
    <font>
      <b/>
      <u/>
      <sz val="14"/>
      <color theme="1"/>
      <name val="Phetsarath OT"/>
    </font>
    <font>
      <b/>
      <u/>
      <sz val="14"/>
      <color theme="1"/>
      <name val="Times New Roman"/>
      <family val="1"/>
    </font>
    <font>
      <sz val="11"/>
      <color rgb="FFFF0000"/>
      <name val="Times New Roman"/>
      <family val="1"/>
    </font>
    <font>
      <b/>
      <sz val="10"/>
      <name val="Phetsarath OT"/>
    </font>
    <font>
      <sz val="10"/>
      <name val="Times New Roman"/>
      <family val="1"/>
    </font>
    <font>
      <sz val="10"/>
      <color rgb="FFFF0000"/>
      <name val="Phetsarath OT"/>
    </font>
    <font>
      <sz val="9"/>
      <color rgb="FFFF0000"/>
      <name val="Phetsarath OT"/>
    </font>
    <font>
      <sz val="9"/>
      <color rgb="FFFF0000"/>
      <name val="Times New Roman"/>
      <family val="1"/>
    </font>
    <font>
      <sz val="9"/>
      <name val="Phetsarath OT"/>
    </font>
    <font>
      <sz val="11"/>
      <name val="Times New Roman"/>
      <family val="1"/>
    </font>
    <font>
      <sz val="10"/>
      <name val="Phetsarath OT"/>
      <family val="2"/>
    </font>
    <font>
      <sz val="8"/>
      <name val="Phetsarath OT"/>
    </font>
    <font>
      <sz val="8"/>
      <name val="Times New Roman"/>
      <family val="1"/>
    </font>
    <font>
      <sz val="9"/>
      <name val="Times New Roman"/>
      <family val="1"/>
    </font>
    <font>
      <b/>
      <u/>
      <sz val="11"/>
      <color theme="1"/>
      <name val="Phetsarath OT"/>
    </font>
    <font>
      <b/>
      <u val="singleAccounting"/>
      <sz val="12"/>
      <color theme="1"/>
      <name val="Arial Narrow"/>
      <family val="2"/>
    </font>
    <font>
      <b/>
      <u val="singleAccounting"/>
      <sz val="12"/>
      <color theme="1"/>
      <name val="Times New Roman"/>
      <family val="1"/>
    </font>
    <font>
      <b/>
      <u val="singleAccounting"/>
      <sz val="11"/>
      <color theme="1"/>
      <name val="Times New Roman"/>
      <family val="1"/>
    </font>
    <font>
      <b/>
      <u val="singleAccounting"/>
      <sz val="11"/>
      <name val="Times New Roman"/>
      <family val="1"/>
    </font>
    <font>
      <b/>
      <u val="singleAccounting"/>
      <sz val="10"/>
      <color theme="1"/>
      <name val="Times New Roman"/>
      <family val="1"/>
    </font>
    <font>
      <b/>
      <u val="singleAccounting"/>
      <sz val="10"/>
      <color rgb="FFFF0000"/>
      <name val="Times New Roman"/>
      <family val="1"/>
    </font>
    <font>
      <b/>
      <u val="singleAccounting"/>
      <sz val="11"/>
      <color theme="1"/>
      <name val="Phetsarath OT"/>
    </font>
    <font>
      <b/>
      <u/>
      <sz val="12"/>
      <color rgb="FF000000"/>
      <name val="Phetsarath OT"/>
    </font>
    <font>
      <b/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0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vertical="top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/>
    </xf>
    <xf numFmtId="164" fontId="3" fillId="0" borderId="0" xfId="0" applyNumberFormat="1" applyFo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/>
    </xf>
    <xf numFmtId="0" fontId="3" fillId="0" borderId="3" xfId="0" applyNumberFormat="1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11" fillId="0" borderId="3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164" fontId="10" fillId="0" borderId="6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3" fillId="0" borderId="0" xfId="0" applyFont="1" applyFill="1"/>
    <xf numFmtId="0" fontId="2" fillId="0" borderId="3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3" fillId="0" borderId="3" xfId="0" applyFont="1" applyBorder="1"/>
    <xf numFmtId="0" fontId="13" fillId="0" borderId="5" xfId="0" applyFont="1" applyBorder="1"/>
    <xf numFmtId="0" fontId="7" fillId="3" borderId="3" xfId="0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164" fontId="16" fillId="3" borderId="6" xfId="1" applyNumberFormat="1" applyFont="1" applyFill="1" applyBorder="1"/>
    <xf numFmtId="164" fontId="16" fillId="3" borderId="3" xfId="1" applyNumberFormat="1" applyFont="1" applyFill="1" applyBorder="1"/>
    <xf numFmtId="164" fontId="16" fillId="0" borderId="3" xfId="1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NumberFormat="1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left"/>
    </xf>
    <xf numFmtId="164" fontId="16" fillId="3" borderId="5" xfId="1" applyNumberFormat="1" applyFont="1" applyFill="1" applyBorder="1"/>
    <xf numFmtId="0" fontId="10" fillId="3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0" borderId="5" xfId="0" applyFont="1" applyBorder="1"/>
    <xf numFmtId="0" fontId="14" fillId="3" borderId="3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164" fontId="16" fillId="3" borderId="3" xfId="1" applyNumberFormat="1" applyFont="1" applyFill="1" applyBorder="1" applyAlignment="1"/>
    <xf numFmtId="164" fontId="16" fillId="3" borderId="5" xfId="1" applyNumberFormat="1" applyFont="1" applyFill="1" applyBorder="1" applyAlignment="1"/>
    <xf numFmtId="0" fontId="11" fillId="0" borderId="3" xfId="0" applyFont="1" applyBorder="1" applyAlignment="1">
      <alignment horizontal="left" vertical="top" wrapText="1"/>
    </xf>
    <xf numFmtId="164" fontId="16" fillId="3" borderId="9" xfId="1" applyNumberFormat="1" applyFont="1" applyFill="1" applyBorder="1"/>
    <xf numFmtId="164" fontId="18" fillId="3" borderId="3" xfId="1" applyNumberFormat="1" applyFont="1" applyFill="1" applyBorder="1"/>
    <xf numFmtId="0" fontId="19" fillId="3" borderId="3" xfId="0" applyFont="1" applyFill="1" applyBorder="1" applyAlignment="1">
      <alignment horizontal="left"/>
    </xf>
    <xf numFmtId="0" fontId="19" fillId="3" borderId="9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164" fontId="16" fillId="0" borderId="9" xfId="1" applyNumberFormat="1" applyFont="1" applyBorder="1" applyAlignment="1">
      <alignment horizontal="center"/>
    </xf>
    <xf numFmtId="0" fontId="11" fillId="0" borderId="3" xfId="0" applyFont="1" applyBorder="1"/>
    <xf numFmtId="0" fontId="11" fillId="0" borderId="9" xfId="0" applyFont="1" applyFill="1" applyBorder="1" applyAlignment="1">
      <alignment horizontal="left" vertical="center"/>
    </xf>
    <xf numFmtId="164" fontId="16" fillId="0" borderId="5" xfId="1" applyNumberFormat="1" applyFont="1" applyBorder="1" applyAlignment="1">
      <alignment horizontal="center"/>
    </xf>
    <xf numFmtId="164" fontId="12" fillId="0" borderId="6" xfId="1" applyNumberFormat="1" applyFont="1" applyBorder="1" applyAlignment="1">
      <alignment horizontal="center" vertical="center" wrapText="1"/>
    </xf>
    <xf numFmtId="164" fontId="12" fillId="3" borderId="6" xfId="1" applyNumberFormat="1" applyFont="1" applyFill="1" applyBorder="1" applyAlignment="1">
      <alignment horizontal="left" vertical="center" wrapText="1"/>
    </xf>
    <xf numFmtId="164" fontId="12" fillId="3" borderId="3" xfId="1" applyNumberFormat="1" applyFont="1" applyFill="1" applyBorder="1" applyAlignment="1">
      <alignment horizontal="left" vertical="center" wrapText="1"/>
    </xf>
    <xf numFmtId="164" fontId="12" fillId="0" borderId="6" xfId="1" applyNumberFormat="1" applyFont="1" applyFill="1" applyBorder="1" applyAlignment="1">
      <alignment horizontal="left" vertical="center" wrapText="1"/>
    </xf>
    <xf numFmtId="164" fontId="12" fillId="0" borderId="3" xfId="1" applyNumberFormat="1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164" fontId="16" fillId="0" borderId="3" xfId="1" applyNumberFormat="1" applyFont="1" applyFill="1" applyBorder="1" applyAlignment="1">
      <alignment horizontal="left" vertical="center" wrapText="1"/>
    </xf>
    <xf numFmtId="164" fontId="22" fillId="2" borderId="1" xfId="1" applyNumberFormat="1" applyFont="1" applyFill="1" applyBorder="1" applyAlignment="1">
      <alignment horizontal="center"/>
    </xf>
    <xf numFmtId="164" fontId="22" fillId="2" borderId="1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12" fillId="0" borderId="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4" fontId="16" fillId="0" borderId="6" xfId="0" applyNumberFormat="1" applyFont="1" applyFill="1" applyBorder="1" applyAlignment="1">
      <alignment horizontal="center"/>
    </xf>
    <xf numFmtId="14" fontId="16" fillId="0" borderId="6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64" fontId="16" fillId="0" borderId="2" xfId="1" applyNumberFormat="1" applyFont="1" applyBorder="1" applyAlignment="1">
      <alignment horizontal="center" vertical="center" wrapText="1"/>
    </xf>
    <xf numFmtId="164" fontId="22" fillId="0" borderId="2" xfId="1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/>
    </xf>
    <xf numFmtId="164" fontId="16" fillId="0" borderId="6" xfId="1" applyNumberFormat="1" applyFont="1" applyBorder="1" applyAlignment="1">
      <alignment horizontal="center" vertical="center" wrapText="1"/>
    </xf>
    <xf numFmtId="164" fontId="16" fillId="0" borderId="6" xfId="1" applyNumberFormat="1" applyFont="1" applyFill="1" applyBorder="1" applyAlignment="1">
      <alignment horizontal="center" vertical="center" wrapText="1"/>
    </xf>
    <xf numFmtId="164" fontId="16" fillId="0" borderId="6" xfId="1" applyNumberFormat="1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164" fontId="16" fillId="3" borderId="6" xfId="1" applyNumberFormat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/>
    </xf>
    <xf numFmtId="0" fontId="16" fillId="0" borderId="3" xfId="0" applyNumberFormat="1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1" xfId="1" applyNumberFormat="1" applyFont="1" applyFill="1" applyBorder="1" applyAlignment="1">
      <alignment horizontal="left"/>
    </xf>
    <xf numFmtId="0" fontId="12" fillId="0" borderId="2" xfId="0" applyFont="1" applyBorder="1" applyAlignment="1">
      <alignment horizontal="center" vertical="center"/>
    </xf>
    <xf numFmtId="164" fontId="24" fillId="0" borderId="2" xfId="1" applyNumberFormat="1" applyFont="1" applyBorder="1" applyAlignment="1">
      <alignment horizontal="center" vertical="center" wrapText="1"/>
    </xf>
    <xf numFmtId="164" fontId="25" fillId="0" borderId="2" xfId="1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/>
    </xf>
    <xf numFmtId="164" fontId="16" fillId="3" borderId="6" xfId="1" applyNumberFormat="1" applyFont="1" applyFill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64" fontId="22" fillId="2" borderId="1" xfId="0" applyNumberFormat="1" applyFont="1" applyFill="1" applyBorder="1" applyAlignment="1">
      <alignment horizontal="center"/>
    </xf>
    <xf numFmtId="164" fontId="12" fillId="0" borderId="2" xfId="1" applyNumberFormat="1" applyFont="1" applyBorder="1" applyAlignment="1">
      <alignment horizontal="center" vertical="center" wrapText="1"/>
    </xf>
    <xf numFmtId="164" fontId="26" fillId="0" borderId="2" xfId="1" applyNumberFormat="1" applyFont="1" applyBorder="1" applyAlignment="1">
      <alignment horizontal="center" vertical="center" wrapText="1"/>
    </xf>
    <xf numFmtId="164" fontId="12" fillId="0" borderId="6" xfId="1" applyNumberFormat="1" applyFont="1" applyFill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left" vertical="center"/>
    </xf>
    <xf numFmtId="164" fontId="12" fillId="2" borderId="1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164" fontId="12" fillId="0" borderId="7" xfId="1" applyNumberFormat="1" applyFont="1" applyBorder="1" applyAlignment="1">
      <alignment horizontal="center" vertical="center" wrapText="1"/>
    </xf>
    <xf numFmtId="164" fontId="26" fillId="0" borderId="7" xfId="1" applyNumberFormat="1" applyFont="1" applyBorder="1" applyAlignment="1">
      <alignment horizontal="center" vertical="center" wrapText="1"/>
    </xf>
    <xf numFmtId="164" fontId="12" fillId="0" borderId="3" xfId="1" applyNumberFormat="1" applyFont="1" applyBorder="1" applyAlignment="1">
      <alignment horizontal="center" vertical="center" wrapText="1"/>
    </xf>
    <xf numFmtId="0" fontId="16" fillId="0" borderId="6" xfId="0" applyFont="1" applyBorder="1"/>
    <xf numFmtId="0" fontId="16" fillId="0" borderId="3" xfId="0" applyFont="1" applyFill="1" applyBorder="1" applyAlignment="1">
      <alignment horizontal="left" vertical="center"/>
    </xf>
    <xf numFmtId="164" fontId="16" fillId="3" borderId="3" xfId="1" applyNumberFormat="1" applyFont="1" applyFill="1" applyBorder="1" applyAlignment="1">
      <alignment horizontal="left" vertical="center" wrapText="1"/>
    </xf>
    <xf numFmtId="164" fontId="16" fillId="0" borderId="5" xfId="1" applyNumberFormat="1" applyFont="1" applyFill="1" applyBorder="1" applyAlignment="1">
      <alignment horizontal="left" vertical="center" wrapText="1"/>
    </xf>
    <xf numFmtId="164" fontId="16" fillId="3" borderId="9" xfId="1" applyNumberFormat="1" applyFont="1" applyFill="1" applyBorder="1" applyAlignment="1">
      <alignment horizontal="center" vertical="center" wrapText="1"/>
    </xf>
    <xf numFmtId="164" fontId="16" fillId="3" borderId="3" xfId="1" applyNumberFormat="1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left" vertical="center"/>
    </xf>
    <xf numFmtId="0" fontId="16" fillId="0" borderId="0" xfId="0" applyFont="1"/>
    <xf numFmtId="0" fontId="16" fillId="0" borderId="9" xfId="0" applyFont="1" applyBorder="1" applyAlignment="1">
      <alignment horizontal="left"/>
    </xf>
    <xf numFmtId="164" fontId="16" fillId="2" borderId="1" xfId="1" applyNumberFormat="1" applyFont="1" applyFill="1" applyBorder="1" applyAlignment="1">
      <alignment horizontal="left" vertical="center"/>
    </xf>
    <xf numFmtId="164" fontId="16" fillId="0" borderId="11" xfId="1" applyNumberFormat="1" applyFont="1" applyFill="1" applyBorder="1" applyAlignment="1">
      <alignment horizontal="left" vertical="center" wrapText="1"/>
    </xf>
    <xf numFmtId="164" fontId="21" fillId="0" borderId="2" xfId="1" applyNumberFormat="1" applyFont="1" applyBorder="1" applyAlignment="1">
      <alignment horizontal="center" vertical="center" wrapText="1"/>
    </xf>
    <xf numFmtId="164" fontId="16" fillId="3" borderId="6" xfId="1" applyNumberFormat="1" applyFont="1" applyFill="1" applyBorder="1" applyAlignment="1">
      <alignment horizontal="right" vertical="center" wrapText="1"/>
    </xf>
    <xf numFmtId="0" fontId="16" fillId="0" borderId="6" xfId="0" applyFont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3" xfId="0" applyFont="1" applyFill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/>
    </xf>
    <xf numFmtId="164" fontId="12" fillId="0" borderId="3" xfId="1" applyNumberFormat="1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center"/>
    </xf>
    <xf numFmtId="164" fontId="17" fillId="3" borderId="3" xfId="1" applyNumberFormat="1" applyFont="1" applyFill="1" applyBorder="1"/>
    <xf numFmtId="164" fontId="22" fillId="0" borderId="6" xfId="1" applyNumberFormat="1" applyFont="1" applyBorder="1" applyAlignment="1">
      <alignment horizontal="center" vertical="center" wrapText="1"/>
    </xf>
    <xf numFmtId="164" fontId="26" fillId="0" borderId="6" xfId="1" applyNumberFormat="1" applyFont="1" applyFill="1" applyBorder="1" applyAlignment="1">
      <alignment horizontal="center" vertical="center" wrapText="1"/>
    </xf>
    <xf numFmtId="164" fontId="24" fillId="0" borderId="7" xfId="1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164" fontId="16" fillId="0" borderId="7" xfId="1" applyNumberFormat="1" applyFont="1" applyBorder="1" applyAlignment="1">
      <alignment horizontal="center" vertical="center" wrapText="1"/>
    </xf>
    <xf numFmtId="164" fontId="16" fillId="0" borderId="3" xfId="1" applyNumberFormat="1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left" vertical="top" wrapText="1"/>
    </xf>
    <xf numFmtId="164" fontId="16" fillId="0" borderId="3" xfId="1" applyNumberFormat="1" applyFont="1" applyBorder="1"/>
    <xf numFmtId="0" fontId="16" fillId="0" borderId="3" xfId="0" applyFont="1" applyBorder="1" applyAlignment="1"/>
    <xf numFmtId="0" fontId="16" fillId="3" borderId="3" xfId="0" applyFont="1" applyFill="1" applyBorder="1" applyAlignment="1">
      <alignment horizontal="left" vertical="center"/>
    </xf>
    <xf numFmtId="0" fontId="26" fillId="0" borderId="6" xfId="0" applyFont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0" fillId="2" borderId="1" xfId="0" applyFont="1" applyFill="1" applyBorder="1"/>
    <xf numFmtId="0" fontId="11" fillId="0" borderId="3" xfId="0" applyFont="1" applyBorder="1" applyAlignment="1"/>
    <xf numFmtId="0" fontId="11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1" fillId="0" borderId="10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1" fillId="0" borderId="5" xfId="0" applyFont="1" applyFill="1" applyBorder="1" applyAlignment="1">
      <alignment horizontal="left" vertical="center"/>
    </xf>
    <xf numFmtId="0" fontId="11" fillId="2" borderId="1" xfId="0" applyFont="1" applyFill="1" applyBorder="1"/>
    <xf numFmtId="0" fontId="16" fillId="0" borderId="12" xfId="0" applyFont="1" applyBorder="1"/>
    <xf numFmtId="14" fontId="16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/>
    </xf>
    <xf numFmtId="0" fontId="16" fillId="0" borderId="8" xfId="0" applyFont="1" applyFill="1" applyBorder="1" applyAlignment="1">
      <alignment horizontal="left" vertical="center"/>
    </xf>
    <xf numFmtId="164" fontId="16" fillId="0" borderId="8" xfId="1" applyNumberFormat="1" applyFont="1" applyFill="1" applyBorder="1" applyAlignment="1">
      <alignment horizontal="left" vertical="center" wrapText="1"/>
    </xf>
    <xf numFmtId="164" fontId="16" fillId="3" borderId="8" xfId="1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4" fontId="16" fillId="0" borderId="3" xfId="0" applyNumberFormat="1" applyFont="1" applyFill="1" applyBorder="1" applyAlignment="1">
      <alignment horizontal="center"/>
    </xf>
    <xf numFmtId="14" fontId="12" fillId="0" borderId="6" xfId="0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4" fontId="25" fillId="0" borderId="6" xfId="1" applyNumberFormat="1" applyFont="1" applyBorder="1" applyAlignment="1">
      <alignment horizontal="center" vertical="center"/>
    </xf>
    <xf numFmtId="164" fontId="21" fillId="0" borderId="6" xfId="1" applyNumberFormat="1" applyFont="1" applyBorder="1" applyAlignment="1">
      <alignment horizontal="left" vertical="center"/>
    </xf>
    <xf numFmtId="164" fontId="12" fillId="0" borderId="6" xfId="1" applyNumberFormat="1" applyFont="1" applyBorder="1" applyAlignment="1">
      <alignment horizontal="left" vertical="center" wrapText="1"/>
    </xf>
    <xf numFmtId="164" fontId="12" fillId="0" borderId="6" xfId="1" applyNumberFormat="1" applyFont="1" applyBorder="1" applyAlignment="1">
      <alignment horizontal="left" vertical="center"/>
    </xf>
    <xf numFmtId="164" fontId="12" fillId="0" borderId="6" xfId="1" applyNumberFormat="1" applyFont="1" applyFill="1" applyBorder="1" applyAlignment="1">
      <alignment horizontal="left" vertical="center"/>
    </xf>
    <xf numFmtId="164" fontId="12" fillId="0" borderId="3" xfId="1" applyNumberFormat="1" applyFont="1" applyFill="1" applyBorder="1" applyAlignment="1">
      <alignment horizontal="left" vertical="center"/>
    </xf>
    <xf numFmtId="164" fontId="12" fillId="0" borderId="3" xfId="1" applyNumberFormat="1" applyFont="1" applyBorder="1" applyAlignment="1">
      <alignment horizontal="left" vertical="center"/>
    </xf>
    <xf numFmtId="164" fontId="21" fillId="2" borderId="1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27" fillId="0" borderId="3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164" fontId="18" fillId="3" borderId="5" xfId="1" applyNumberFormat="1" applyFont="1" applyFill="1" applyBorder="1"/>
    <xf numFmtId="164" fontId="12" fillId="0" borderId="8" xfId="1" applyNumberFormat="1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/>
    </xf>
    <xf numFmtId="14" fontId="16" fillId="0" borderId="9" xfId="0" applyNumberFormat="1" applyFont="1" applyFill="1" applyBorder="1" applyAlignment="1">
      <alignment horizontal="center"/>
    </xf>
    <xf numFmtId="0" fontId="27" fillId="0" borderId="5" xfId="0" applyFont="1" applyBorder="1" applyAlignment="1">
      <alignment horizontal="left"/>
    </xf>
    <xf numFmtId="164" fontId="12" fillId="0" borderId="5" xfId="1" applyNumberFormat="1" applyFont="1" applyFill="1" applyBorder="1" applyAlignment="1">
      <alignment horizontal="left" vertical="center" wrapText="1"/>
    </xf>
    <xf numFmtId="164" fontId="16" fillId="0" borderId="9" xfId="1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left"/>
    </xf>
    <xf numFmtId="164" fontId="12" fillId="0" borderId="3" xfId="1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left" vertical="center"/>
    </xf>
    <xf numFmtId="164" fontId="12" fillId="0" borderId="6" xfId="1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164" fontId="12" fillId="0" borderId="6" xfId="1" applyNumberFormat="1" applyFont="1" applyFill="1" applyBorder="1" applyAlignment="1">
      <alignment horizontal="right" vertical="center" wrapText="1"/>
    </xf>
    <xf numFmtId="164" fontId="26" fillId="0" borderId="3" xfId="1" applyNumberFormat="1" applyFont="1" applyFill="1" applyBorder="1" applyAlignment="1">
      <alignment horizontal="right" vertical="center" wrapText="1"/>
    </xf>
    <xf numFmtId="164" fontId="16" fillId="0" borderId="8" xfId="1" applyNumberFormat="1" applyFont="1" applyFill="1" applyBorder="1" applyAlignment="1">
      <alignment horizontal="right" vertical="center" wrapText="1"/>
    </xf>
    <xf numFmtId="164" fontId="25" fillId="2" borderId="1" xfId="1" applyNumberFormat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31" fillId="0" borderId="6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left"/>
    </xf>
    <xf numFmtId="164" fontId="22" fillId="0" borderId="7" xfId="1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/>
    </xf>
    <xf numFmtId="164" fontId="33" fillId="3" borderId="3" xfId="1" applyNumberFormat="1" applyFont="1" applyFill="1" applyBorder="1"/>
    <xf numFmtId="0" fontId="19" fillId="0" borderId="5" xfId="0" applyFont="1" applyBorder="1" applyAlignment="1">
      <alignment horizontal="left"/>
    </xf>
    <xf numFmtId="164" fontId="33" fillId="3" borderId="5" xfId="1" applyNumberFormat="1" applyFont="1" applyFill="1" applyBorder="1"/>
    <xf numFmtId="0" fontId="19" fillId="3" borderId="5" xfId="0" applyFont="1" applyFill="1" applyBorder="1" applyAlignment="1">
      <alignment horizontal="left"/>
    </xf>
    <xf numFmtId="0" fontId="11" fillId="0" borderId="5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164" fontId="16" fillId="0" borderId="6" xfId="1" applyNumberFormat="1" applyFont="1" applyFill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0" fontId="11" fillId="0" borderId="6" xfId="0" applyFont="1" applyBorder="1"/>
    <xf numFmtId="164" fontId="16" fillId="0" borderId="6" xfId="1" applyNumberFormat="1" applyFont="1" applyBorder="1" applyAlignment="1">
      <alignment horizontal="center"/>
    </xf>
    <xf numFmtId="164" fontId="33" fillId="0" borderId="3" xfId="1" applyNumberFormat="1" applyFont="1" applyBorder="1" applyAlignment="1">
      <alignment horizontal="center"/>
    </xf>
    <xf numFmtId="164" fontId="16" fillId="3" borderId="5" xfId="1" applyNumberFormat="1" applyFont="1" applyFill="1" applyBorder="1" applyAlignment="1">
      <alignment horizontal="left" vertical="center" wrapText="1"/>
    </xf>
    <xf numFmtId="164" fontId="16" fillId="0" borderId="6" xfId="1" applyNumberFormat="1" applyFont="1" applyBorder="1"/>
    <xf numFmtId="0" fontId="7" fillId="0" borderId="6" xfId="0" applyFont="1" applyBorder="1" applyAlignment="1">
      <alignment horizontal="left"/>
    </xf>
    <xf numFmtId="164" fontId="22" fillId="0" borderId="3" xfId="1" applyNumberFormat="1" applyFont="1" applyBorder="1" applyAlignment="1">
      <alignment horizontal="center"/>
    </xf>
    <xf numFmtId="164" fontId="22" fillId="0" borderId="3" xfId="1" applyNumberFormat="1" applyFont="1" applyFill="1" applyBorder="1" applyAlignment="1">
      <alignment horizontal="left" vertical="center" wrapText="1"/>
    </xf>
    <xf numFmtId="164" fontId="20" fillId="0" borderId="3" xfId="1" applyNumberFormat="1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/>
    </xf>
    <xf numFmtId="164" fontId="16" fillId="3" borderId="3" xfId="1" applyNumberFormat="1" applyFont="1" applyFill="1" applyBorder="1" applyAlignment="1">
      <alignment horizontal="center"/>
    </xf>
    <xf numFmtId="0" fontId="35" fillId="0" borderId="3" xfId="0" applyFont="1" applyBorder="1" applyAlignment="1">
      <alignment horizontal="left"/>
    </xf>
    <xf numFmtId="0" fontId="34" fillId="0" borderId="3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164" fontId="16" fillId="0" borderId="9" xfId="1" applyNumberFormat="1" applyFont="1" applyFill="1" applyBorder="1" applyAlignment="1">
      <alignment horizontal="left" vertical="center" wrapText="1"/>
    </xf>
    <xf numFmtId="0" fontId="16" fillId="0" borderId="9" xfId="0" applyFont="1" applyBorder="1"/>
    <xf numFmtId="164" fontId="36" fillId="3" borderId="3" xfId="1" applyNumberFormat="1" applyFont="1" applyFill="1" applyBorder="1"/>
    <xf numFmtId="0" fontId="35" fillId="0" borderId="9" xfId="0" applyFont="1" applyBorder="1" applyAlignment="1">
      <alignment horizontal="left"/>
    </xf>
    <xf numFmtId="164" fontId="36" fillId="3" borderId="9" xfId="1" applyNumberFormat="1" applyFont="1" applyFill="1" applyBorder="1"/>
    <xf numFmtId="0" fontId="37" fillId="0" borderId="3" xfId="0" applyFont="1" applyBorder="1" applyAlignment="1">
      <alignment horizontal="left"/>
    </xf>
    <xf numFmtId="164" fontId="38" fillId="0" borderId="3" xfId="1" applyNumberFormat="1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left"/>
    </xf>
    <xf numFmtId="164" fontId="33" fillId="3" borderId="9" xfId="1" applyNumberFormat="1" applyFont="1" applyFill="1" applyBorder="1"/>
    <xf numFmtId="164" fontId="33" fillId="3" borderId="3" xfId="1" applyNumberFormat="1" applyFont="1" applyFill="1" applyBorder="1" applyAlignment="1">
      <alignment horizontal="left" vertical="center" wrapText="1"/>
    </xf>
    <xf numFmtId="164" fontId="33" fillId="3" borderId="6" xfId="1" applyNumberFormat="1" applyFont="1" applyFill="1" applyBorder="1" applyAlignment="1">
      <alignment horizontal="left" vertical="center" wrapText="1"/>
    </xf>
    <xf numFmtId="164" fontId="33" fillId="0" borderId="3" xfId="1" applyNumberFormat="1" applyFont="1" applyFill="1" applyBorder="1" applyAlignment="1">
      <alignment horizontal="left" vertical="center" wrapText="1"/>
    </xf>
    <xf numFmtId="0" fontId="19" fillId="0" borderId="3" xfId="0" applyFont="1" applyBorder="1"/>
    <xf numFmtId="164" fontId="33" fillId="0" borderId="6" xfId="1" applyNumberFormat="1" applyFont="1" applyFill="1" applyBorder="1" applyAlignment="1">
      <alignment horizontal="left" vertical="center" wrapText="1"/>
    </xf>
    <xf numFmtId="0" fontId="39" fillId="0" borderId="3" xfId="0" applyFont="1" applyBorder="1"/>
    <xf numFmtId="0" fontId="40" fillId="0" borderId="3" xfId="0" applyFont="1" applyBorder="1" applyAlignment="1">
      <alignment horizontal="left"/>
    </xf>
    <xf numFmtId="164" fontId="42" fillId="3" borderId="3" xfId="1" applyNumberFormat="1" applyFont="1" applyFill="1" applyBorder="1"/>
    <xf numFmtId="0" fontId="19" fillId="0" borderId="3" xfId="0" applyFont="1" applyBorder="1" applyAlignment="1">
      <alignment horizontal="left" vertical="center"/>
    </xf>
    <xf numFmtId="164" fontId="33" fillId="3" borderId="3" xfId="1" applyNumberFormat="1" applyFont="1" applyFill="1" applyBorder="1" applyAlignment="1">
      <alignment vertical="center"/>
    </xf>
    <xf numFmtId="0" fontId="19" fillId="0" borderId="3" xfId="0" applyFont="1" applyFill="1" applyBorder="1" applyAlignment="1">
      <alignment horizontal="left"/>
    </xf>
    <xf numFmtId="164" fontId="33" fillId="0" borderId="3" xfId="1" applyNumberFormat="1" applyFont="1" applyFill="1" applyBorder="1" applyAlignment="1">
      <alignment horizontal="center"/>
    </xf>
    <xf numFmtId="164" fontId="19" fillId="0" borderId="6" xfId="1" applyNumberFormat="1" applyFont="1" applyFill="1" applyBorder="1" applyAlignment="1">
      <alignment horizontal="left"/>
    </xf>
    <xf numFmtId="164" fontId="33" fillId="0" borderId="6" xfId="1" applyNumberFormat="1" applyFont="1" applyFill="1" applyBorder="1" applyAlignment="1">
      <alignment horizontal="center"/>
    </xf>
    <xf numFmtId="164" fontId="38" fillId="0" borderId="5" xfId="1" applyNumberFormat="1" applyFont="1" applyFill="1" applyBorder="1" applyAlignment="1">
      <alignment horizontal="left" vertical="center" wrapText="1"/>
    </xf>
    <xf numFmtId="164" fontId="38" fillId="3" borderId="3" xfId="1" applyNumberFormat="1" applyFont="1" applyFill="1" applyBorder="1" applyAlignment="1">
      <alignment horizontal="center" vertical="center" wrapText="1"/>
    </xf>
    <xf numFmtId="164" fontId="38" fillId="3" borderId="3" xfId="1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top" wrapText="1"/>
    </xf>
    <xf numFmtId="0" fontId="22" fillId="0" borderId="3" xfId="0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left" vertical="center"/>
    </xf>
    <xf numFmtId="164" fontId="12" fillId="3" borderId="3" xfId="1" applyNumberFormat="1" applyFont="1" applyFill="1" applyBorder="1" applyAlignment="1">
      <alignment horizontal="center" vertical="center"/>
    </xf>
    <xf numFmtId="164" fontId="12" fillId="0" borderId="6" xfId="1" applyNumberFormat="1" applyFont="1" applyFill="1" applyBorder="1" applyAlignment="1">
      <alignment horizontal="center" vertical="center"/>
    </xf>
    <xf numFmtId="164" fontId="38" fillId="0" borderId="6" xfId="1" applyNumberFormat="1" applyFont="1" applyBorder="1" applyAlignment="1">
      <alignment horizontal="center" vertical="center" wrapText="1"/>
    </xf>
    <xf numFmtId="164" fontId="25" fillId="0" borderId="6" xfId="1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164" fontId="26" fillId="0" borderId="6" xfId="1" applyNumberFormat="1" applyFont="1" applyBorder="1" applyAlignment="1">
      <alignment horizontal="center" vertical="center"/>
    </xf>
    <xf numFmtId="164" fontId="12" fillId="0" borderId="6" xfId="1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/>
    </xf>
    <xf numFmtId="164" fontId="16" fillId="0" borderId="6" xfId="1" applyNumberFormat="1" applyFont="1" applyBorder="1" applyAlignment="1">
      <alignment horizontal="left" vertical="center"/>
    </xf>
    <xf numFmtId="164" fontId="16" fillId="0" borderId="0" xfId="1" applyNumberFormat="1" applyFont="1" applyAlignment="1">
      <alignment horizontal="left"/>
    </xf>
    <xf numFmtId="164" fontId="16" fillId="0" borderId="3" xfId="1" applyNumberFormat="1" applyFont="1" applyBorder="1" applyAlignment="1">
      <alignment horizontal="left" vertical="center"/>
    </xf>
    <xf numFmtId="164" fontId="16" fillId="0" borderId="6" xfId="1" applyNumberFormat="1" applyFont="1" applyFill="1" applyBorder="1" applyAlignment="1">
      <alignment horizontal="left" vertical="center"/>
    </xf>
    <xf numFmtId="164" fontId="16" fillId="2" borderId="1" xfId="1" applyNumberFormat="1" applyFont="1" applyFill="1" applyBorder="1" applyAlignment="1">
      <alignment horizontal="center"/>
    </xf>
    <xf numFmtId="164" fontId="24" fillId="0" borderId="9" xfId="1" applyNumberFormat="1" applyFont="1" applyBorder="1" applyAlignment="1">
      <alignment horizontal="center" vertical="center" wrapText="1"/>
    </xf>
    <xf numFmtId="164" fontId="24" fillId="0" borderId="6" xfId="1" applyNumberFormat="1" applyFont="1" applyBorder="1" applyAlignment="1">
      <alignment horizontal="center" vertical="center" wrapText="1"/>
    </xf>
    <xf numFmtId="164" fontId="21" fillId="0" borderId="6" xfId="1" applyNumberFormat="1" applyFont="1" applyBorder="1" applyAlignment="1">
      <alignment horizontal="center" vertical="center" wrapText="1"/>
    </xf>
    <xf numFmtId="164" fontId="21" fillId="0" borderId="6" xfId="1" applyNumberFormat="1" applyFont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3" fillId="0" borderId="0" xfId="1" applyNumberFormat="1" applyFont="1"/>
    <xf numFmtId="0" fontId="3" fillId="4" borderId="0" xfId="0" applyFont="1" applyFill="1"/>
    <xf numFmtId="43" fontId="3" fillId="0" borderId="0" xfId="1" applyFont="1"/>
    <xf numFmtId="43" fontId="3" fillId="4" borderId="0" xfId="1" applyFont="1" applyFill="1"/>
    <xf numFmtId="0" fontId="3" fillId="5" borderId="0" xfId="0" applyFont="1" applyFill="1"/>
    <xf numFmtId="43" fontId="3" fillId="5" borderId="0" xfId="1" applyFont="1" applyFill="1"/>
    <xf numFmtId="0" fontId="5" fillId="3" borderId="9" xfId="0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 wrapText="1"/>
    </xf>
    <xf numFmtId="164" fontId="45" fillId="3" borderId="9" xfId="0" applyNumberFormat="1" applyFont="1" applyFill="1" applyBorder="1" applyAlignment="1">
      <alignment horizontal="center" vertical="center" wrapText="1"/>
    </xf>
    <xf numFmtId="43" fontId="3" fillId="0" borderId="0" xfId="1" applyFont="1" applyFill="1"/>
    <xf numFmtId="0" fontId="5" fillId="3" borderId="2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64" fontId="44" fillId="3" borderId="9" xfId="0" applyNumberFormat="1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64" fontId="38" fillId="3" borderId="2" xfId="1" applyNumberFormat="1" applyFont="1" applyFill="1" applyBorder="1" applyAlignment="1">
      <alignment horizontal="center" vertical="center" wrapText="1"/>
    </xf>
    <xf numFmtId="164" fontId="38" fillId="3" borderId="6" xfId="1" applyNumberFormat="1" applyFont="1" applyFill="1" applyBorder="1" applyAlignment="1">
      <alignment horizontal="center" vertical="center" wrapText="1"/>
    </xf>
    <xf numFmtId="164" fontId="31" fillId="3" borderId="6" xfId="1" applyNumberFormat="1" applyFont="1" applyFill="1" applyBorder="1" applyAlignment="1">
      <alignment horizontal="center" vertical="center" wrapText="1"/>
    </xf>
    <xf numFmtId="164" fontId="31" fillId="3" borderId="25" xfId="1" applyNumberFormat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/>
    </xf>
    <xf numFmtId="164" fontId="12" fillId="3" borderId="6" xfId="1" applyNumberFormat="1" applyFont="1" applyFill="1" applyBorder="1" applyAlignment="1">
      <alignment horizontal="center" vertical="center" wrapText="1"/>
    </xf>
    <xf numFmtId="0" fontId="12" fillId="3" borderId="2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/>
    </xf>
    <xf numFmtId="164" fontId="12" fillId="3" borderId="15" xfId="1" applyNumberFormat="1" applyFont="1" applyFill="1" applyBorder="1" applyAlignment="1">
      <alignment horizontal="left" vertical="center" wrapText="1"/>
    </xf>
    <xf numFmtId="164" fontId="31" fillId="3" borderId="15" xfId="1" applyNumberFormat="1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164" fontId="31" fillId="3" borderId="9" xfId="1" applyNumberFormat="1" applyFont="1" applyFill="1" applyBorder="1" applyAlignment="1">
      <alignment horizontal="center" vertical="center" wrapText="1"/>
    </xf>
    <xf numFmtId="164" fontId="12" fillId="3" borderId="9" xfId="1" applyNumberFormat="1" applyFont="1" applyFill="1" applyBorder="1" applyAlignment="1">
      <alignment horizontal="center" vertical="center" wrapText="1"/>
    </xf>
    <xf numFmtId="164" fontId="44" fillId="3" borderId="23" xfId="0" applyNumberFormat="1" applyFont="1" applyFill="1" applyBorder="1" applyAlignment="1">
      <alignment horizontal="center" vertical="center" wrapText="1"/>
    </xf>
    <xf numFmtId="164" fontId="45" fillId="3" borderId="23" xfId="0" applyNumberFormat="1" applyFont="1" applyFill="1" applyBorder="1" applyAlignment="1">
      <alignment horizontal="center" vertical="center" wrapText="1"/>
    </xf>
    <xf numFmtId="164" fontId="12" fillId="3" borderId="9" xfId="1" applyNumberFormat="1" applyFont="1" applyFill="1" applyBorder="1" applyAlignment="1">
      <alignment horizontal="left" vertical="center" wrapText="1"/>
    </xf>
    <xf numFmtId="164" fontId="12" fillId="3" borderId="17" xfId="1" applyNumberFormat="1" applyFont="1" applyFill="1" applyBorder="1" applyAlignment="1">
      <alignment horizontal="left" vertical="center" wrapText="1"/>
    </xf>
    <xf numFmtId="164" fontId="45" fillId="3" borderId="16" xfId="0" applyNumberFormat="1" applyFont="1" applyFill="1" applyBorder="1" applyAlignment="1">
      <alignment horizontal="center" vertical="center" wrapText="1"/>
    </xf>
    <xf numFmtId="164" fontId="45" fillId="3" borderId="30" xfId="0" applyNumberFormat="1" applyFont="1" applyFill="1" applyBorder="1" applyAlignment="1">
      <alignment horizontal="center" vertical="center" wrapText="1"/>
    </xf>
    <xf numFmtId="164" fontId="12" fillId="3" borderId="25" xfId="1" applyNumberFormat="1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/>
    </xf>
    <xf numFmtId="164" fontId="31" fillId="3" borderId="3" xfId="1" applyNumberFormat="1" applyFont="1" applyFill="1" applyBorder="1" applyAlignment="1">
      <alignment horizontal="center" vertical="center" wrapText="1"/>
    </xf>
    <xf numFmtId="0" fontId="43" fillId="3" borderId="17" xfId="0" applyFont="1" applyFill="1" applyBorder="1" applyAlignment="1">
      <alignment horizontal="left" vertical="center"/>
    </xf>
    <xf numFmtId="164" fontId="46" fillId="3" borderId="17" xfId="1" applyNumberFormat="1" applyFont="1" applyFill="1" applyBorder="1" applyAlignment="1">
      <alignment horizontal="center" vertical="center" wrapText="1"/>
    </xf>
    <xf numFmtId="164" fontId="46" fillId="3" borderId="32" xfId="1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left" vertical="center"/>
    </xf>
    <xf numFmtId="0" fontId="12" fillId="3" borderId="15" xfId="0" applyFont="1" applyFill="1" applyBorder="1"/>
    <xf numFmtId="0" fontId="3" fillId="3" borderId="29" xfId="0" applyFont="1" applyFill="1" applyBorder="1" applyAlignment="1">
      <alignment horizontal="center"/>
    </xf>
    <xf numFmtId="0" fontId="3" fillId="3" borderId="29" xfId="0" applyFont="1" applyFill="1" applyBorder="1"/>
    <xf numFmtId="164" fontId="12" fillId="3" borderId="35" xfId="1" applyNumberFormat="1" applyFont="1" applyFill="1" applyBorder="1" applyAlignment="1">
      <alignment horizontal="center" vertical="center" wrapText="1"/>
    </xf>
    <xf numFmtId="164" fontId="12" fillId="3" borderId="15" xfId="1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left" vertical="center"/>
    </xf>
    <xf numFmtId="0" fontId="21" fillId="3" borderId="36" xfId="0" applyFont="1" applyFill="1" applyBorder="1" applyAlignment="1">
      <alignment horizontal="center" vertical="center"/>
    </xf>
    <xf numFmtId="164" fontId="12" fillId="3" borderId="37" xfId="1" applyNumberFormat="1" applyFont="1" applyFill="1" applyBorder="1" applyAlignment="1">
      <alignment horizontal="center" vertical="center"/>
    </xf>
    <xf numFmtId="164" fontId="12" fillId="3" borderId="37" xfId="1" applyNumberFormat="1" applyFont="1" applyFill="1" applyBorder="1" applyAlignment="1">
      <alignment horizontal="left" vertical="center" wrapText="1"/>
    </xf>
    <xf numFmtId="164" fontId="12" fillId="3" borderId="37" xfId="1" applyNumberFormat="1" applyFont="1" applyFill="1" applyBorder="1" applyAlignment="1">
      <alignment horizontal="center" vertical="center" wrapText="1"/>
    </xf>
    <xf numFmtId="164" fontId="47" fillId="3" borderId="37" xfId="1" applyNumberFormat="1" applyFont="1" applyFill="1" applyBorder="1" applyAlignment="1">
      <alignment horizontal="center" vertical="center" wrapText="1"/>
    </xf>
    <xf numFmtId="164" fontId="47" fillId="3" borderId="38" xfId="1" applyNumberFormat="1" applyFont="1" applyFill="1" applyBorder="1" applyAlignment="1">
      <alignment horizontal="center" vertical="center" wrapText="1"/>
    </xf>
    <xf numFmtId="164" fontId="12" fillId="3" borderId="23" xfId="1" applyNumberFormat="1" applyFont="1" applyFill="1" applyBorder="1" applyAlignment="1">
      <alignment horizontal="center" vertical="center" wrapText="1"/>
    </xf>
    <xf numFmtId="164" fontId="12" fillId="3" borderId="39" xfId="1" applyNumberFormat="1" applyFont="1" applyFill="1" applyBorder="1" applyAlignment="1">
      <alignment horizontal="center" vertical="center" wrapText="1"/>
    </xf>
    <xf numFmtId="164" fontId="46" fillId="3" borderId="34" xfId="0" applyNumberFormat="1" applyFont="1" applyFill="1" applyBorder="1"/>
    <xf numFmtId="164" fontId="46" fillId="3" borderId="29" xfId="0" applyNumberFormat="1" applyFont="1" applyFill="1" applyBorder="1"/>
    <xf numFmtId="164" fontId="46" fillId="3" borderId="33" xfId="0" applyNumberFormat="1" applyFont="1" applyFill="1" applyBorder="1"/>
    <xf numFmtId="0" fontId="12" fillId="3" borderId="24" xfId="0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left" vertical="center"/>
    </xf>
    <xf numFmtId="164" fontId="12" fillId="3" borderId="5" xfId="1" applyNumberFormat="1" applyFont="1" applyFill="1" applyBorder="1" applyAlignment="1">
      <alignment horizontal="left" vertical="center" wrapText="1"/>
    </xf>
    <xf numFmtId="164" fontId="38" fillId="3" borderId="9" xfId="1" applyNumberFormat="1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/>
    </xf>
    <xf numFmtId="164" fontId="22" fillId="3" borderId="37" xfId="1" applyNumberFormat="1" applyFont="1" applyFill="1" applyBorder="1" applyAlignment="1">
      <alignment horizontal="center"/>
    </xf>
    <xf numFmtId="164" fontId="22" fillId="3" borderId="37" xfId="1" applyNumberFormat="1" applyFont="1" applyFill="1" applyBorder="1" applyAlignment="1">
      <alignment horizontal="left"/>
    </xf>
    <xf numFmtId="164" fontId="46" fillId="3" borderId="38" xfId="1" applyNumberFormat="1" applyFont="1" applyFill="1" applyBorder="1" applyAlignment="1">
      <alignment horizontal="left"/>
    </xf>
    <xf numFmtId="164" fontId="48" fillId="3" borderId="37" xfId="1" applyNumberFormat="1" applyFont="1" applyFill="1" applyBorder="1" applyAlignment="1">
      <alignment horizontal="left"/>
    </xf>
    <xf numFmtId="164" fontId="49" fillId="3" borderId="37" xfId="1" applyNumberFormat="1" applyFont="1" applyFill="1" applyBorder="1" applyAlignment="1">
      <alignment horizontal="left"/>
    </xf>
    <xf numFmtId="0" fontId="6" fillId="0" borderId="19" xfId="0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49" fontId="6" fillId="0" borderId="29" xfId="1" applyNumberFormat="1" applyFont="1" applyFill="1" applyBorder="1" applyAlignment="1"/>
    <xf numFmtId="164" fontId="38" fillId="3" borderId="25" xfId="1" applyNumberFormat="1" applyFont="1" applyFill="1" applyBorder="1" applyAlignment="1">
      <alignment horizontal="center" vertical="center" wrapText="1"/>
    </xf>
    <xf numFmtId="164" fontId="38" fillId="3" borderId="23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 wrapText="1"/>
    </xf>
    <xf numFmtId="164" fontId="6" fillId="0" borderId="7" xfId="1" applyNumberFormat="1" applyFon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164" fontId="12" fillId="3" borderId="6" xfId="1" applyNumberFormat="1" applyFont="1" applyFill="1" applyBorder="1" applyAlignment="1">
      <alignment horizontal="center" vertical="center"/>
    </xf>
    <xf numFmtId="164" fontId="12" fillId="3" borderId="9" xfId="1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164" fontId="31" fillId="3" borderId="40" xfId="1" applyNumberFormat="1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 vertical="center"/>
    </xf>
    <xf numFmtId="164" fontId="12" fillId="3" borderId="41" xfId="1" applyNumberFormat="1" applyFont="1" applyFill="1" applyBorder="1" applyAlignment="1">
      <alignment horizontal="center" vertical="center" wrapText="1"/>
    </xf>
    <xf numFmtId="164" fontId="31" fillId="3" borderId="41" xfId="1" applyNumberFormat="1" applyFont="1" applyFill="1" applyBorder="1" applyAlignment="1">
      <alignment horizontal="center" vertical="center" wrapText="1"/>
    </xf>
    <xf numFmtId="164" fontId="12" fillId="3" borderId="42" xfId="1" applyNumberFormat="1" applyFont="1" applyFill="1" applyBorder="1" applyAlignment="1">
      <alignment horizontal="center" vertical="center" wrapText="1"/>
    </xf>
    <xf numFmtId="164" fontId="38" fillId="3" borderId="15" xfId="1" applyNumberFormat="1" applyFont="1" applyFill="1" applyBorder="1" applyAlignment="1">
      <alignment horizontal="center" vertical="center" wrapText="1"/>
    </xf>
    <xf numFmtId="164" fontId="12" fillId="3" borderId="43" xfId="1" applyNumberFormat="1" applyFont="1" applyFill="1" applyBorder="1" applyAlignment="1">
      <alignment horizontal="center" vertical="center" wrapText="1"/>
    </xf>
    <xf numFmtId="164" fontId="38" fillId="3" borderId="40" xfId="1" applyNumberFormat="1" applyFont="1" applyFill="1" applyBorder="1" applyAlignment="1">
      <alignment horizontal="center" vertical="center" wrapText="1"/>
    </xf>
    <xf numFmtId="164" fontId="31" fillId="3" borderId="5" xfId="1" applyNumberFormat="1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/>
    </xf>
    <xf numFmtId="164" fontId="38" fillId="3" borderId="42" xfId="1" applyNumberFormat="1" applyFont="1" applyFill="1" applyBorder="1" applyAlignment="1">
      <alignment horizontal="center" vertical="center" wrapText="1"/>
    </xf>
    <xf numFmtId="164" fontId="38" fillId="3" borderId="46" xfId="1" applyNumberFormat="1" applyFont="1" applyFill="1" applyBorder="1" applyAlignment="1">
      <alignment horizontal="center" vertical="center" wrapText="1"/>
    </xf>
    <xf numFmtId="164" fontId="38" fillId="3" borderId="44" xfId="1" applyNumberFormat="1" applyFont="1" applyFill="1" applyBorder="1" applyAlignment="1">
      <alignment horizontal="center" vertical="center" wrapText="1"/>
    </xf>
    <xf numFmtId="43" fontId="4" fillId="0" borderId="0" xfId="1" applyFont="1" applyBorder="1" applyAlignment="1">
      <alignment vertical="top"/>
    </xf>
    <xf numFmtId="43" fontId="3" fillId="0" borderId="18" xfId="1" applyFont="1" applyBorder="1"/>
    <xf numFmtId="43" fontId="3" fillId="0" borderId="31" xfId="1" applyFont="1" applyBorder="1"/>
    <xf numFmtId="0" fontId="12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43" fillId="3" borderId="37" xfId="0" applyFont="1" applyFill="1" applyBorder="1" applyAlignment="1">
      <alignment horizontal="left" vertical="center"/>
    </xf>
    <xf numFmtId="0" fontId="51" fillId="3" borderId="49" xfId="0" applyFont="1" applyFill="1" applyBorder="1" applyAlignment="1">
      <alignment horizontal="left"/>
    </xf>
    <xf numFmtId="0" fontId="51" fillId="3" borderId="0" xfId="0" applyFont="1" applyFill="1" applyBorder="1" applyAlignment="1">
      <alignment horizontal="left" vertical="center"/>
    </xf>
    <xf numFmtId="164" fontId="31" fillId="3" borderId="46" xfId="1" applyNumberFormat="1" applyFont="1" applyFill="1" applyBorder="1" applyAlignment="1">
      <alignment horizontal="center" vertical="center" wrapText="1"/>
    </xf>
    <xf numFmtId="164" fontId="46" fillId="3" borderId="17" xfId="0" applyNumberFormat="1" applyFont="1" applyFill="1" applyBorder="1"/>
    <xf numFmtId="164" fontId="12" fillId="3" borderId="3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/>
    <xf numFmtId="0" fontId="12" fillId="3" borderId="3" xfId="0" applyFont="1" applyFill="1" applyBorder="1"/>
    <xf numFmtId="0" fontId="3" fillId="3" borderId="15" xfId="0" applyFont="1" applyFill="1" applyBorder="1"/>
    <xf numFmtId="164" fontId="12" fillId="3" borderId="15" xfId="1" applyNumberFormat="1" applyFont="1" applyFill="1" applyBorder="1"/>
    <xf numFmtId="164" fontId="12" fillId="3" borderId="15" xfId="1" applyNumberFormat="1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164" fontId="12" fillId="3" borderId="1" xfId="1" applyNumberFormat="1" applyFont="1" applyFill="1" applyBorder="1" applyAlignment="1">
      <alignment horizontal="center" vertical="center"/>
    </xf>
    <xf numFmtId="164" fontId="31" fillId="3" borderId="1" xfId="1" applyNumberFormat="1" applyFont="1" applyFill="1" applyBorder="1" applyAlignment="1">
      <alignment horizontal="center" vertical="center" wrapText="1"/>
    </xf>
    <xf numFmtId="164" fontId="12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29" fillId="0" borderId="0" xfId="0" applyFont="1" applyBorder="1" applyAlignment="1">
      <alignment vertical="top"/>
    </xf>
    <xf numFmtId="164" fontId="31" fillId="3" borderId="1" xfId="1" applyNumberFormat="1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164" fontId="12" fillId="3" borderId="51" xfId="1" applyNumberFormat="1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left" vertical="center"/>
    </xf>
    <xf numFmtId="164" fontId="31" fillId="3" borderId="4" xfId="1" applyNumberFormat="1" applyFont="1" applyFill="1" applyBorder="1" applyAlignment="1">
      <alignment horizontal="center" vertical="center"/>
    </xf>
    <xf numFmtId="164" fontId="31" fillId="3" borderId="4" xfId="1" applyNumberFormat="1" applyFont="1" applyFill="1" applyBorder="1" applyAlignment="1">
      <alignment horizontal="center" vertical="center" wrapText="1"/>
    </xf>
    <xf numFmtId="164" fontId="12" fillId="3" borderId="4" xfId="1" applyNumberFormat="1" applyFont="1" applyFill="1" applyBorder="1" applyAlignment="1">
      <alignment horizontal="center" vertical="center" wrapText="1"/>
    </xf>
    <xf numFmtId="164" fontId="12" fillId="3" borderId="53" xfId="1" applyNumberFormat="1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left" vertical="center"/>
    </xf>
    <xf numFmtId="164" fontId="12" fillId="3" borderId="7" xfId="1" applyNumberFormat="1" applyFont="1" applyFill="1" applyBorder="1" applyAlignment="1">
      <alignment horizontal="center" vertical="center"/>
    </xf>
    <xf numFmtId="164" fontId="31" fillId="3" borderId="7" xfId="1" applyNumberFormat="1" applyFont="1" applyFill="1" applyBorder="1" applyAlignment="1">
      <alignment horizontal="center" vertical="center" wrapText="1"/>
    </xf>
    <xf numFmtId="164" fontId="12" fillId="3" borderId="7" xfId="1" applyNumberFormat="1" applyFont="1" applyFill="1" applyBorder="1" applyAlignment="1">
      <alignment horizontal="center" vertical="center" wrapText="1"/>
    </xf>
    <xf numFmtId="164" fontId="12" fillId="3" borderId="54" xfId="1" applyNumberFormat="1" applyFont="1" applyFill="1" applyBorder="1" applyAlignment="1">
      <alignment horizontal="center" vertical="center" wrapText="1"/>
    </xf>
    <xf numFmtId="0" fontId="0" fillId="0" borderId="36" xfId="0" applyBorder="1"/>
    <xf numFmtId="49" fontId="6" fillId="0" borderId="29" xfId="1" applyNumberFormat="1" applyFont="1" applyFill="1" applyBorder="1" applyAlignment="1">
      <alignment horizontal="left"/>
    </xf>
    <xf numFmtId="164" fontId="52" fillId="0" borderId="37" xfId="0" applyNumberFormat="1" applyFont="1" applyBorder="1"/>
    <xf numFmtId="164" fontId="52" fillId="0" borderId="38" xfId="0" applyNumberFormat="1" applyFont="1" applyBorder="1"/>
    <xf numFmtId="0" fontId="6" fillId="3" borderId="36" xfId="0" applyFont="1" applyFill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7" xfId="0" applyFont="1" applyBorder="1" applyAlignment="1">
      <alignment vertical="center" wrapText="1"/>
    </xf>
    <xf numFmtId="0" fontId="6" fillId="0" borderId="38" xfId="0" applyFont="1" applyBorder="1" applyAlignment="1">
      <alignment vertical="center" wrapText="1"/>
    </xf>
    <xf numFmtId="0" fontId="6" fillId="0" borderId="37" xfId="0" applyFont="1" applyBorder="1" applyAlignment="1">
      <alignment horizontal="center"/>
    </xf>
    <xf numFmtId="43" fontId="29" fillId="0" borderId="0" xfId="1" applyFont="1" applyBorder="1" applyAlignment="1">
      <alignment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BCE4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57150</xdr:rowOff>
    </xdr:from>
    <xdr:to>
      <xdr:col>1</xdr:col>
      <xdr:colOff>723900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8575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66675</xdr:rowOff>
    </xdr:from>
    <xdr:to>
      <xdr:col>2</xdr:col>
      <xdr:colOff>123825</xdr:colOff>
      <xdr:row>3</xdr:row>
      <xdr:rowOff>13278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9527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57150</xdr:rowOff>
    </xdr:from>
    <xdr:to>
      <xdr:col>1</xdr:col>
      <xdr:colOff>771525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575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76200</xdr:rowOff>
    </xdr:from>
    <xdr:to>
      <xdr:col>2</xdr:col>
      <xdr:colOff>161925</xdr:colOff>
      <xdr:row>3</xdr:row>
      <xdr:rowOff>22803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0480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47625</xdr:rowOff>
    </xdr:from>
    <xdr:to>
      <xdr:col>1</xdr:col>
      <xdr:colOff>685800</xdr:colOff>
      <xdr:row>2</xdr:row>
      <xdr:rowOff>222828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7622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85725</xdr:rowOff>
    </xdr:from>
    <xdr:to>
      <xdr:col>1</xdr:col>
      <xdr:colOff>666750</xdr:colOff>
      <xdr:row>3</xdr:row>
      <xdr:rowOff>32328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1432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76200</xdr:rowOff>
    </xdr:from>
    <xdr:to>
      <xdr:col>2</xdr:col>
      <xdr:colOff>104775</xdr:colOff>
      <xdr:row>2</xdr:row>
      <xdr:rowOff>22803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620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76200</xdr:rowOff>
    </xdr:from>
    <xdr:to>
      <xdr:col>1</xdr:col>
      <xdr:colOff>771525</xdr:colOff>
      <xdr:row>3</xdr:row>
      <xdr:rowOff>22803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0480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76200</xdr:rowOff>
    </xdr:from>
    <xdr:to>
      <xdr:col>2</xdr:col>
      <xdr:colOff>19050</xdr:colOff>
      <xdr:row>3</xdr:row>
      <xdr:rowOff>22803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0480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57150</xdr:rowOff>
    </xdr:from>
    <xdr:to>
      <xdr:col>1</xdr:col>
      <xdr:colOff>600075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76200</xdr:rowOff>
    </xdr:from>
    <xdr:to>
      <xdr:col>1</xdr:col>
      <xdr:colOff>676275</xdr:colOff>
      <xdr:row>3</xdr:row>
      <xdr:rowOff>22803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0480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57150</xdr:rowOff>
    </xdr:from>
    <xdr:to>
      <xdr:col>1</xdr:col>
      <xdr:colOff>723900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08610"/>
          <a:ext cx="828675" cy="4495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47625</xdr:rowOff>
    </xdr:from>
    <xdr:to>
      <xdr:col>2</xdr:col>
      <xdr:colOff>38100</xdr:colOff>
      <xdr:row>2</xdr:row>
      <xdr:rowOff>222828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7622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66675</xdr:rowOff>
    </xdr:from>
    <xdr:to>
      <xdr:col>1</xdr:col>
      <xdr:colOff>571500</xdr:colOff>
      <xdr:row>3</xdr:row>
      <xdr:rowOff>13278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9527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38100</xdr:rowOff>
    </xdr:from>
    <xdr:to>
      <xdr:col>1</xdr:col>
      <xdr:colOff>638175</xdr:colOff>
      <xdr:row>2</xdr:row>
      <xdr:rowOff>213303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6670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76200</xdr:rowOff>
    </xdr:from>
    <xdr:to>
      <xdr:col>2</xdr:col>
      <xdr:colOff>457200</xdr:colOff>
      <xdr:row>2</xdr:row>
      <xdr:rowOff>175203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0480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66675</xdr:rowOff>
    </xdr:from>
    <xdr:to>
      <xdr:col>2</xdr:col>
      <xdr:colOff>123825</xdr:colOff>
      <xdr:row>2</xdr:row>
      <xdr:rowOff>165678</xdr:rowOff>
    </xdr:to>
    <xdr:pic>
      <xdr:nvPicPr>
        <xdr:cNvPr id="3" name="Picture 2" descr="C:\Users\laocom\Desktop\Real CS group LOGO 12.5 Small.JPE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9527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38100</xdr:rowOff>
    </xdr:from>
    <xdr:to>
      <xdr:col>2</xdr:col>
      <xdr:colOff>190500</xdr:colOff>
      <xdr:row>2</xdr:row>
      <xdr:rowOff>156153</xdr:rowOff>
    </xdr:to>
    <xdr:pic>
      <xdr:nvPicPr>
        <xdr:cNvPr id="3" name="Picture 2" descr="C:\Users\laocom\Desktop\Real CS group LOGO 12.5 Small.JPEG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6670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76200</xdr:rowOff>
    </xdr:from>
    <xdr:to>
      <xdr:col>2</xdr:col>
      <xdr:colOff>426720</xdr:colOff>
      <xdr:row>3</xdr:row>
      <xdr:rowOff>68523</xdr:rowOff>
    </xdr:to>
    <xdr:pic>
      <xdr:nvPicPr>
        <xdr:cNvPr id="4" name="Picture 3" descr="C:\Users\laocom\Desktop\Real CS group LOGO 12.5 Small.JPEG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35280"/>
          <a:ext cx="1066800" cy="3580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57150</xdr:rowOff>
    </xdr:from>
    <xdr:to>
      <xdr:col>1</xdr:col>
      <xdr:colOff>723900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08610"/>
          <a:ext cx="828675" cy="4495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190500</xdr:rowOff>
    </xdr:from>
    <xdr:to>
      <xdr:col>1</xdr:col>
      <xdr:colOff>704850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90500"/>
          <a:ext cx="819150" cy="4990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66675</xdr:rowOff>
    </xdr:from>
    <xdr:to>
      <xdr:col>1</xdr:col>
      <xdr:colOff>733425</xdr:colOff>
      <xdr:row>3</xdr:row>
      <xdr:rowOff>13278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9527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57150</xdr:rowOff>
    </xdr:from>
    <xdr:to>
      <xdr:col>1</xdr:col>
      <xdr:colOff>666750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575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57150</xdr:rowOff>
    </xdr:from>
    <xdr:to>
      <xdr:col>1</xdr:col>
      <xdr:colOff>781050</xdr:colOff>
      <xdr:row>3</xdr:row>
      <xdr:rowOff>3753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5750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47625</xdr:rowOff>
    </xdr:from>
    <xdr:to>
      <xdr:col>2</xdr:col>
      <xdr:colOff>104775</xdr:colOff>
      <xdr:row>2</xdr:row>
      <xdr:rowOff>222828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7622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66675</xdr:rowOff>
    </xdr:from>
    <xdr:to>
      <xdr:col>2</xdr:col>
      <xdr:colOff>38100</xdr:colOff>
      <xdr:row>3</xdr:row>
      <xdr:rowOff>13278</xdr:rowOff>
    </xdr:to>
    <xdr:pic>
      <xdr:nvPicPr>
        <xdr:cNvPr id="2" name="Picture 1" descr="C:\Users\laocom\Desktop\Real CS group LOGO 12.5 Small.JPE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95275"/>
          <a:ext cx="819150" cy="4038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48"/>
  <sheetViews>
    <sheetView view="pageLayout" topLeftCell="B8" zoomScaleNormal="100" workbookViewId="0">
      <selection activeCell="E12" sqref="E12"/>
    </sheetView>
  </sheetViews>
  <sheetFormatPr defaultColWidth="9.1796875" defaultRowHeight="17" x14ac:dyDescent="0.55000000000000004"/>
  <cols>
    <col min="1" max="1" width="5.453125" style="23" customWidth="1"/>
    <col min="2" max="2" width="25.1796875" style="22" customWidth="1"/>
    <col min="3" max="3" width="16.1796875" style="22" customWidth="1"/>
    <col min="4" max="4" width="16.453125" style="23" customWidth="1"/>
    <col min="5" max="5" width="14.81640625" style="23" customWidth="1"/>
    <col min="6" max="6" width="16.453125" style="23" customWidth="1"/>
    <col min="7" max="7" width="9.1796875" style="23" customWidth="1"/>
    <col min="8" max="8" width="17.81640625" style="23" customWidth="1"/>
    <col min="9" max="16384" width="9.1796875" style="23"/>
  </cols>
  <sheetData>
    <row r="1" spans="1:9" ht="18.5" x14ac:dyDescent="0.55000000000000004">
      <c r="A1" s="405" t="s">
        <v>5</v>
      </c>
      <c r="B1" s="405"/>
      <c r="C1" s="405"/>
      <c r="D1" s="405"/>
      <c r="E1" s="405"/>
      <c r="F1" s="405"/>
      <c r="G1" s="405"/>
    </row>
    <row r="2" spans="1:9" ht="18.5" x14ac:dyDescent="0.55000000000000004">
      <c r="A2" s="405" t="s">
        <v>6</v>
      </c>
      <c r="B2" s="405"/>
      <c r="C2" s="405"/>
      <c r="D2" s="405"/>
      <c r="E2" s="405"/>
      <c r="F2" s="405"/>
      <c r="G2" s="405"/>
    </row>
    <row r="3" spans="1:9" s="53" customFormat="1" ht="18.5" x14ac:dyDescent="0.55000000000000004">
      <c r="A3" s="203"/>
      <c r="B3" s="203"/>
      <c r="C3" s="203"/>
      <c r="D3" s="203"/>
      <c r="E3" s="203"/>
      <c r="F3" s="203"/>
      <c r="G3" s="203"/>
    </row>
    <row r="4" spans="1:9" s="53" customFormat="1" ht="14.25" customHeight="1" x14ac:dyDescent="0.55000000000000004">
      <c r="A4" s="205" t="s">
        <v>72</v>
      </c>
      <c r="B4" s="205"/>
      <c r="C4" s="203"/>
      <c r="D4" s="203"/>
      <c r="E4" s="203"/>
      <c r="F4" s="203"/>
      <c r="G4" s="203"/>
    </row>
    <row r="5" spans="1:9" s="53" customFormat="1" ht="14.25" customHeight="1" x14ac:dyDescent="0.55000000000000004">
      <c r="A5" s="205" t="s">
        <v>73</v>
      </c>
      <c r="B5" s="205"/>
      <c r="C5" s="203"/>
      <c r="D5" s="203"/>
      <c r="E5" s="203"/>
      <c r="F5" s="203"/>
      <c r="G5" s="203"/>
    </row>
    <row r="6" spans="1:9" s="53" customFormat="1" ht="14.25" customHeight="1" x14ac:dyDescent="0.55000000000000004">
      <c r="A6" s="205" t="s">
        <v>74</v>
      </c>
      <c r="B6" s="205"/>
      <c r="C6" s="203"/>
      <c r="D6" s="203"/>
      <c r="E6" s="203"/>
      <c r="F6" s="203"/>
      <c r="G6" s="203"/>
    </row>
    <row r="7" spans="1:9" s="53" customFormat="1" ht="14.25" customHeight="1" x14ac:dyDescent="0.55000000000000004">
      <c r="A7" s="206" t="s">
        <v>75</v>
      </c>
      <c r="B7" s="206"/>
      <c r="C7" s="203"/>
      <c r="D7" s="203"/>
      <c r="E7" s="203"/>
      <c r="F7" s="203"/>
      <c r="G7" s="203"/>
    </row>
    <row r="8" spans="1:9" ht="27.65" customHeight="1" x14ac:dyDescent="0.55000000000000004">
      <c r="A8" s="406" t="s">
        <v>20</v>
      </c>
      <c r="B8" s="406"/>
      <c r="C8" s="406"/>
      <c r="D8" s="406"/>
      <c r="E8" s="406"/>
      <c r="F8" s="406"/>
      <c r="G8" s="406"/>
      <c r="H8" s="2"/>
      <c r="I8" s="2"/>
    </row>
    <row r="9" spans="1:9" ht="23.25" customHeight="1" x14ac:dyDescent="0.55000000000000004">
      <c r="A9" s="406" t="s">
        <v>306</v>
      </c>
      <c r="B9" s="406"/>
      <c r="C9" s="406"/>
      <c r="D9" s="406"/>
      <c r="E9" s="406"/>
      <c r="F9" s="406"/>
      <c r="G9" s="406"/>
      <c r="H9" s="2"/>
      <c r="I9" s="2"/>
    </row>
    <row r="10" spans="1:9" ht="20.25" customHeight="1" x14ac:dyDescent="0.55000000000000004">
      <c r="A10" s="410" t="s">
        <v>0</v>
      </c>
      <c r="B10" s="410" t="s">
        <v>4</v>
      </c>
      <c r="C10" s="410" t="s">
        <v>10</v>
      </c>
      <c r="D10" s="412" t="s">
        <v>8</v>
      </c>
      <c r="E10" s="413" t="s">
        <v>9</v>
      </c>
      <c r="F10" s="408" t="s">
        <v>7</v>
      </c>
      <c r="G10" s="408" t="s">
        <v>1</v>
      </c>
    </row>
    <row r="11" spans="1:9" ht="13.5" customHeight="1" x14ac:dyDescent="0.55000000000000004">
      <c r="A11" s="411"/>
      <c r="B11" s="411"/>
      <c r="C11" s="411"/>
      <c r="D11" s="412"/>
      <c r="E11" s="414"/>
      <c r="F11" s="408"/>
      <c r="G11" s="408"/>
    </row>
    <row r="12" spans="1:9" ht="18.5" x14ac:dyDescent="0.55000000000000004">
      <c r="A12" s="106">
        <v>1</v>
      </c>
      <c r="B12" s="5" t="s">
        <v>21</v>
      </c>
      <c r="C12" s="94">
        <f>'ປະນອນ 101'!D42</f>
        <v>133091800</v>
      </c>
      <c r="D12" s="94">
        <f>'ປະນອນ 101'!E42</f>
        <v>0</v>
      </c>
      <c r="E12" s="94">
        <f>'ປະນອນ 101'!F42</f>
        <v>7131067</v>
      </c>
      <c r="F12" s="94">
        <f>C12+D12-E12</f>
        <v>125960733</v>
      </c>
      <c r="G12" s="6"/>
      <c r="H12" s="326">
        <v>1000000000</v>
      </c>
    </row>
    <row r="13" spans="1:9" x14ac:dyDescent="0.55000000000000004">
      <c r="A13" s="100">
        <v>2</v>
      </c>
      <c r="B13" s="5" t="s">
        <v>317</v>
      </c>
      <c r="C13" s="97">
        <f>ຊ່ອງຕະອູ!D63</f>
        <v>1858641064</v>
      </c>
      <c r="D13" s="97">
        <f>ຊ່ອງຕະອູ!E63</f>
        <v>0</v>
      </c>
      <c r="E13" s="97">
        <f>ຊ່ອງຕະອູ!F63</f>
        <v>1482746279</v>
      </c>
      <c r="F13" s="309">
        <f t="shared" ref="F13:F33" si="0">C13+D13-E13</f>
        <v>375894785</v>
      </c>
      <c r="G13" s="7"/>
      <c r="H13" s="326"/>
    </row>
    <row r="14" spans="1:9" x14ac:dyDescent="0.55000000000000004">
      <c r="A14" s="106">
        <v>3</v>
      </c>
      <c r="B14" s="9" t="s">
        <v>22</v>
      </c>
      <c r="C14" s="97">
        <f>ທາງປູຢາງປະທຸມພອນ!D37</f>
        <v>30907000</v>
      </c>
      <c r="D14" s="97">
        <f>ທາງປູຢາງປະທຸມພອນ!E37</f>
        <v>2123441238</v>
      </c>
      <c r="E14" s="97">
        <f>ທາງປູຢາງປະທຸມພອນ!F37</f>
        <v>2000000000</v>
      </c>
      <c r="F14" s="94">
        <f t="shared" si="0"/>
        <v>154348238</v>
      </c>
      <c r="G14" s="7"/>
      <c r="H14" s="326"/>
    </row>
    <row r="15" spans="1:9" x14ac:dyDescent="0.55000000000000004">
      <c r="A15" s="100">
        <v>4</v>
      </c>
      <c r="B15" s="9" t="s">
        <v>23</v>
      </c>
      <c r="C15" s="97">
        <f>'ສາງທ່າບົກ-ທ່າແຂກ'!D37</f>
        <v>173310000</v>
      </c>
      <c r="D15" s="97">
        <f>'ສາງທ່າບົກ-ທ່າແຂກ'!E37</f>
        <v>0</v>
      </c>
      <c r="E15" s="97">
        <f>'ສາງທ່າບົກ-ທ່າແຂກ'!F37+120000000</f>
        <v>124950000</v>
      </c>
      <c r="F15" s="94">
        <f t="shared" si="0"/>
        <v>48360000</v>
      </c>
      <c r="G15" s="10"/>
      <c r="H15" s="326"/>
    </row>
    <row r="16" spans="1:9" x14ac:dyDescent="0.55000000000000004">
      <c r="A16" s="106">
        <v>5</v>
      </c>
      <c r="B16" s="11" t="s">
        <v>24</v>
      </c>
      <c r="C16" s="97">
        <f>ສະໜາມບິນຫຼວງພະບາງ!D41</f>
        <v>990902578</v>
      </c>
      <c r="D16" s="97">
        <f>ສະໜາມບິນຫຼວງພະບາງ!E41</f>
        <v>0</v>
      </c>
      <c r="E16" s="97">
        <f>ສະໜາມບິນຫຼວງພະບາງ!F41</f>
        <v>9465383</v>
      </c>
      <c r="F16" s="94">
        <f t="shared" si="0"/>
        <v>981437195</v>
      </c>
      <c r="G16" s="10"/>
      <c r="H16" s="326"/>
    </row>
    <row r="17" spans="1:8" x14ac:dyDescent="0.55000000000000004">
      <c r="A17" s="100">
        <v>6</v>
      </c>
      <c r="B17" s="5" t="s">
        <v>25</v>
      </c>
      <c r="C17" s="98">
        <f>ທາງລົງພາວເວີ້ເຮົ້າອີມູນ!D68</f>
        <v>765454656</v>
      </c>
      <c r="D17" s="98">
        <f>ທາງລົງພາວເວີ້ເຮົ້າອີມູນ!E68</f>
        <v>2094515000</v>
      </c>
      <c r="E17" s="98">
        <f>ທາງລົງພາວເວີ້ເຮົ້າອີມູນ!F68</f>
        <v>1155500682</v>
      </c>
      <c r="F17" s="94">
        <f t="shared" si="0"/>
        <v>1704468974</v>
      </c>
      <c r="G17" s="10"/>
      <c r="H17" s="326"/>
    </row>
    <row r="18" spans="1:8" s="53" customFormat="1" x14ac:dyDescent="0.55000000000000004">
      <c r="A18" s="106">
        <v>7</v>
      </c>
      <c r="B18" s="5" t="s">
        <v>141</v>
      </c>
      <c r="C18" s="98">
        <f>ວຽກປັບປຸງຕາຂ່າຍເຂື່ອນນ້ຳອີ່ມູນ!D66</f>
        <v>0</v>
      </c>
      <c r="D18" s="98">
        <f>ວຽກປັບປຸງຕາຂ່າຍເຂື່ອນນ້ຳອີ່ມູນ!E66</f>
        <v>944263040</v>
      </c>
      <c r="E18" s="98">
        <f>ວຽກປັບປຸງຕາຂ່າຍເຂື່ອນນ້ຳອີ່ມູນ!F66+100000000</f>
        <v>1044263040</v>
      </c>
      <c r="F18" s="244">
        <f t="shared" si="0"/>
        <v>-100000000</v>
      </c>
      <c r="G18" s="54"/>
      <c r="H18" s="326"/>
    </row>
    <row r="19" spans="1:8" x14ac:dyDescent="0.55000000000000004">
      <c r="A19" s="100">
        <v>8</v>
      </c>
      <c r="B19" s="5" t="s">
        <v>26</v>
      </c>
      <c r="C19" s="98">
        <f>ແຄ້ມອີມູນ!D41</f>
        <v>520007480</v>
      </c>
      <c r="D19" s="98">
        <f>ແຄ້ມອີມູນ!E41</f>
        <v>1191953943</v>
      </c>
      <c r="E19" s="98">
        <f>ແຄ້ມອີມູນ!F41</f>
        <v>123201020</v>
      </c>
      <c r="F19" s="94">
        <f t="shared" si="0"/>
        <v>1588760403</v>
      </c>
      <c r="G19" s="10"/>
      <c r="H19" s="326"/>
    </row>
    <row r="20" spans="1:8" x14ac:dyDescent="0.55000000000000004">
      <c r="A20" s="106">
        <v>9</v>
      </c>
      <c r="B20" s="5" t="s">
        <v>27</v>
      </c>
      <c r="C20" s="98">
        <f>ໂຮງຂົບຫີນ!D54</f>
        <v>764441321</v>
      </c>
      <c r="D20" s="98">
        <f>ໂຮງຂົບຫີນ!E54</f>
        <v>456593</v>
      </c>
      <c r="E20" s="98">
        <f>ໂຮງຂົບຫີນ!F54+61769126</f>
        <v>1211274195.7</v>
      </c>
      <c r="F20" s="244">
        <f t="shared" si="0"/>
        <v>-446376281.70000005</v>
      </c>
      <c r="G20" s="10"/>
      <c r="H20" s="326"/>
    </row>
    <row r="21" spans="1:8" x14ac:dyDescent="0.55000000000000004">
      <c r="A21" s="100">
        <v>10</v>
      </c>
      <c r="B21" s="11" t="s">
        <v>28</v>
      </c>
      <c r="C21" s="98">
        <f>ໂຮງແຮມພູສະເຫຼົ່າ!D51</f>
        <v>-43637802</v>
      </c>
      <c r="D21" s="98">
        <f>ໂຮງແຮມພູສະເຫຼົ່າ!E51</f>
        <v>0</v>
      </c>
      <c r="E21" s="98">
        <f>ໂຮງແຮມພູສະເຫຼົ່າ!F51</f>
        <v>785700867</v>
      </c>
      <c r="F21" s="244">
        <f t="shared" si="0"/>
        <v>-829338669</v>
      </c>
      <c r="G21" s="10"/>
      <c r="H21" s="326"/>
    </row>
    <row r="22" spans="1:8" x14ac:dyDescent="0.55000000000000004">
      <c r="A22" s="106">
        <v>11</v>
      </c>
      <c r="B22" s="5" t="s">
        <v>40</v>
      </c>
      <c r="C22" s="98">
        <f>'ບໍລິຫານ ສໍານັກງານໃຫຍ່'!D110</f>
        <v>649625915</v>
      </c>
      <c r="D22" s="98">
        <f>'ບໍລິຫານ ສໍານັກງານໃຫຍ່'!E110</f>
        <v>33326000</v>
      </c>
      <c r="E22" s="98">
        <f>'ບໍລິຫານ ສໍານັກງານໃຫຍ່'!F110</f>
        <v>564472692</v>
      </c>
      <c r="F22" s="309">
        <f t="shared" si="0"/>
        <v>118479223</v>
      </c>
      <c r="G22" s="10"/>
      <c r="H22" s="326"/>
    </row>
    <row r="23" spans="1:8" x14ac:dyDescent="0.55000000000000004">
      <c r="A23" s="100">
        <v>12</v>
      </c>
      <c r="B23" s="5" t="s">
        <v>41</v>
      </c>
      <c r="C23" s="98">
        <f>ແຮບໍລິຫານຮັບແຂກ!D31</f>
        <v>24370708</v>
      </c>
      <c r="D23" s="98">
        <f>ແຮບໍລິຫານຮັບແຂກ!E31</f>
        <v>0</v>
      </c>
      <c r="E23" s="98">
        <f>ແຮບໍລິຫານຮັບແຂກ!F31</f>
        <v>3272321</v>
      </c>
      <c r="F23" s="309">
        <f t="shared" si="0"/>
        <v>21098387</v>
      </c>
      <c r="G23" s="10"/>
      <c r="H23" s="326"/>
    </row>
    <row r="24" spans="1:8" x14ac:dyDescent="0.55000000000000004">
      <c r="A24" s="106">
        <v>13</v>
      </c>
      <c r="B24" s="5" t="s">
        <v>42</v>
      </c>
      <c r="C24" s="98">
        <f>'ສ້ອມແປງເຊນໍ້ານ້ອຍ 1,6'!D37</f>
        <v>-26260240</v>
      </c>
      <c r="D24" s="98">
        <f>'ສ້ອມແປງເຊນໍ້ານ້ອຍ 1,6'!E37</f>
        <v>0</v>
      </c>
      <c r="E24" s="98">
        <f>'ສ້ອມແປງເຊນໍ້ານ້ອຍ 1,6'!F37</f>
        <v>177623800</v>
      </c>
      <c r="F24" s="244">
        <f t="shared" si="0"/>
        <v>-203884040</v>
      </c>
      <c r="G24" s="10"/>
      <c r="H24" s="326"/>
    </row>
    <row r="25" spans="1:8" x14ac:dyDescent="0.55000000000000004">
      <c r="A25" s="100">
        <v>14</v>
      </c>
      <c r="B25" s="9" t="s">
        <v>29</v>
      </c>
      <c r="C25" s="98">
        <f>ສ່ວນຕົວປະທານ!D41</f>
        <v>1360000000</v>
      </c>
      <c r="D25" s="98">
        <f>ສ່ວນຕົວປະທານ!E41</f>
        <v>0</v>
      </c>
      <c r="E25" s="98">
        <f>ສ່ວນຕົວປະທານ!F41</f>
        <v>1360000000</v>
      </c>
      <c r="F25" s="309">
        <f t="shared" si="0"/>
        <v>0</v>
      </c>
      <c r="G25" s="105"/>
      <c r="H25" s="326"/>
    </row>
    <row r="26" spans="1:8" x14ac:dyDescent="0.55000000000000004">
      <c r="A26" s="106">
        <v>15</v>
      </c>
      <c r="B26" s="11" t="s">
        <v>32</v>
      </c>
      <c r="C26" s="98">
        <f>ສໍາຮອງແລ່ນເງິນພາກລັດ!D33</f>
        <v>300000000</v>
      </c>
      <c r="D26" s="98">
        <f>ສໍາຮອງແລ່ນເງິນພາກລັດ!E33</f>
        <v>0</v>
      </c>
      <c r="E26" s="98">
        <f>ສໍາຮອງແລ່ນເງິນພາກລັດ!F33</f>
        <v>0</v>
      </c>
      <c r="F26" s="94">
        <f t="shared" si="0"/>
        <v>300000000</v>
      </c>
      <c r="G26" s="105"/>
      <c r="H26" s="326"/>
    </row>
    <row r="27" spans="1:8" x14ac:dyDescent="0.55000000000000004">
      <c r="A27" s="100">
        <v>16</v>
      </c>
      <c r="B27" s="5" t="s">
        <v>34</v>
      </c>
      <c r="C27" s="98">
        <f>BOL!D32</f>
        <v>61800828</v>
      </c>
      <c r="D27" s="98">
        <f>BOL!E32</f>
        <v>0</v>
      </c>
      <c r="E27" s="98">
        <f>BOL!F32</f>
        <v>101737514</v>
      </c>
      <c r="F27" s="244">
        <f t="shared" si="0"/>
        <v>-39936686</v>
      </c>
      <c r="G27" s="105"/>
      <c r="H27" s="326"/>
    </row>
    <row r="28" spans="1:8" s="53" customFormat="1" x14ac:dyDescent="0.55000000000000004">
      <c r="A28" s="106">
        <v>17</v>
      </c>
      <c r="B28" s="5" t="s">
        <v>310</v>
      </c>
      <c r="C28" s="98">
        <f>'ເຂື່ອນນ້ຳກົງ2+3'!D33</f>
        <v>62723500</v>
      </c>
      <c r="D28" s="98">
        <f>'ເຂື່ອນນ້ຳກົງ2+3'!E33</f>
        <v>0</v>
      </c>
      <c r="E28" s="98">
        <f>'ເຂື່ອນນ້ຳກົງ2+3'!F33</f>
        <v>62723500</v>
      </c>
      <c r="F28" s="244">
        <f t="shared" si="0"/>
        <v>0</v>
      </c>
      <c r="G28" s="105"/>
      <c r="H28" s="326"/>
    </row>
    <row r="29" spans="1:8" x14ac:dyDescent="0.55000000000000004">
      <c r="A29" s="100">
        <v>18</v>
      </c>
      <c r="B29" s="32" t="s">
        <v>44</v>
      </c>
      <c r="C29" s="232">
        <f>'ເຮືອນປະທານ ຫລັກ 10'!D32</f>
        <v>-288679480</v>
      </c>
      <c r="D29" s="98">
        <f>'ເຮືອນປະທານ ຫລັກ 10'!E32</f>
        <v>0</v>
      </c>
      <c r="E29" s="98">
        <f>'ເຮືອນປະທານ ຫລັກ 10'!F32</f>
        <v>1000018000</v>
      </c>
      <c r="F29" s="244">
        <f t="shared" si="0"/>
        <v>-1288697480</v>
      </c>
      <c r="G29" s="105"/>
      <c r="H29" s="326"/>
    </row>
    <row r="30" spans="1:8" s="53" customFormat="1" x14ac:dyDescent="0.55000000000000004">
      <c r="A30" s="106">
        <v>19</v>
      </c>
      <c r="B30" s="5" t="s">
        <v>307</v>
      </c>
      <c r="C30" s="232"/>
      <c r="D30" s="98"/>
      <c r="E30" s="94">
        <f>5400000*284.5</f>
        <v>1536300000</v>
      </c>
      <c r="F30" s="244">
        <f t="shared" si="0"/>
        <v>-1536300000</v>
      </c>
      <c r="G30" s="105"/>
      <c r="H30" s="326"/>
    </row>
    <row r="31" spans="1:8" x14ac:dyDescent="0.55000000000000004">
      <c r="A31" s="100">
        <v>20</v>
      </c>
      <c r="B31" s="32" t="s">
        <v>43</v>
      </c>
      <c r="C31" s="232">
        <f>'ຊີເອັສຊີ VTE'!D62</f>
        <v>6559205569</v>
      </c>
      <c r="D31" s="98">
        <f>'ຊີເອັສຊີ VTE'!E62</f>
        <v>0</v>
      </c>
      <c r="E31" s="98">
        <f>'ຊີເອັສຊີ VTE'!F62</f>
        <v>6394308465</v>
      </c>
      <c r="F31" s="309">
        <f t="shared" si="0"/>
        <v>164897104</v>
      </c>
      <c r="G31" s="105"/>
      <c r="H31" s="326"/>
    </row>
    <row r="32" spans="1:8" x14ac:dyDescent="0.55000000000000004">
      <c r="A32" s="106">
        <v>21</v>
      </c>
      <c r="B32" s="32" t="s">
        <v>48</v>
      </c>
      <c r="C32" s="99">
        <f>ກະລ່າ!D32</f>
        <v>159931573</v>
      </c>
      <c r="D32" s="98">
        <f>ກະລ່າ!E32</f>
        <v>0</v>
      </c>
      <c r="E32" s="98">
        <f>ກະລ່າ!F32</f>
        <v>159931573</v>
      </c>
      <c r="F32" s="244">
        <f t="shared" si="0"/>
        <v>0</v>
      </c>
      <c r="G32" s="105"/>
      <c r="H32" s="326"/>
    </row>
    <row r="33" spans="1:8" s="53" customFormat="1" x14ac:dyDescent="0.55000000000000004">
      <c r="A33" s="100">
        <v>22</v>
      </c>
      <c r="B33" s="32" t="s">
        <v>86</v>
      </c>
      <c r="C33" s="99">
        <f>ວຽກສາຍສົ່ງປາກຫົງສາ!D32</f>
        <v>0</v>
      </c>
      <c r="D33" s="98">
        <f>ວຽກສາຍສົ່ງປາກຫົງສາ!E32</f>
        <v>1208109012</v>
      </c>
      <c r="E33" s="97">
        <f>ວຽກສາຍສົ່ງປາກຫົງສາ!F32</f>
        <v>1208109012</v>
      </c>
      <c r="F33" s="244">
        <f t="shared" si="0"/>
        <v>0</v>
      </c>
      <c r="G33" s="105"/>
      <c r="H33" s="326"/>
    </row>
    <row r="34" spans="1:8" s="53" customFormat="1" x14ac:dyDescent="0.55000000000000004">
      <c r="A34" s="106">
        <v>23</v>
      </c>
      <c r="B34" s="55" t="s">
        <v>322</v>
      </c>
      <c r="C34" s="308">
        <f>ດອກເບ້ຍທະນາຄານ!D32</f>
        <v>0</v>
      </c>
      <c r="D34" s="98">
        <f>ດອກເບ້ຍທະນາຄານ!E32</f>
        <v>4853409000</v>
      </c>
      <c r="E34" s="98">
        <f>ດອກເບ້ຍທະນາຄານ!F32</f>
        <v>4064667383</v>
      </c>
      <c r="F34" s="309">
        <f>C34+D34-E34</f>
        <v>788741617</v>
      </c>
      <c r="G34" s="105"/>
      <c r="H34" s="326"/>
    </row>
    <row r="35" spans="1:8" ht="21.65" customHeight="1" x14ac:dyDescent="0.55000000000000004">
      <c r="A35" s="16"/>
      <c r="B35" s="17"/>
      <c r="C35" s="103">
        <f>SUM(C12:C34)</f>
        <v>14055836470</v>
      </c>
      <c r="D35" s="104">
        <f>SUM(D12:D34)</f>
        <v>12449473826</v>
      </c>
      <c r="E35" s="104">
        <f>SUM(E12:E34)</f>
        <v>24577396793.700001</v>
      </c>
      <c r="F35" s="104">
        <f>SUM(F12:F34)</f>
        <v>1927913502.3000002</v>
      </c>
      <c r="G35" s="17"/>
      <c r="H35" s="326"/>
    </row>
    <row r="36" spans="1:8" ht="22.5" x14ac:dyDescent="0.7">
      <c r="A36" s="18"/>
      <c r="B36" s="20"/>
      <c r="C36" s="20"/>
      <c r="D36" s="21"/>
      <c r="E36" s="21"/>
      <c r="F36" s="21"/>
      <c r="G36" s="19"/>
    </row>
    <row r="37" spans="1:8" ht="18.5" x14ac:dyDescent="0.55000000000000004">
      <c r="A37" s="409" t="s">
        <v>144</v>
      </c>
      <c r="B37" s="409"/>
      <c r="C37" s="409"/>
      <c r="D37" s="409"/>
      <c r="E37" s="409"/>
      <c r="F37" s="409"/>
      <c r="G37" s="409"/>
    </row>
    <row r="38" spans="1:8" x14ac:dyDescent="0.55000000000000004">
      <c r="A38" s="53"/>
      <c r="D38" s="53"/>
      <c r="E38" s="53"/>
      <c r="F38" s="53"/>
      <c r="G38" s="53"/>
    </row>
    <row r="39" spans="1:8" x14ac:dyDescent="0.55000000000000004">
      <c r="A39" s="53"/>
      <c r="D39" s="52"/>
      <c r="E39" s="52"/>
      <c r="F39" s="52"/>
      <c r="G39" s="53"/>
    </row>
    <row r="40" spans="1:8" x14ac:dyDescent="0.55000000000000004">
      <c r="A40" s="53"/>
      <c r="D40" s="52"/>
      <c r="E40" s="52"/>
      <c r="F40" s="53"/>
      <c r="G40" s="53"/>
      <c r="H40" s="52">
        <f>F35+H44</f>
        <v>2191368829.3000002</v>
      </c>
    </row>
    <row r="41" spans="1:8" x14ac:dyDescent="0.55000000000000004">
      <c r="A41" s="53"/>
      <c r="D41" s="52"/>
      <c r="E41" s="52"/>
      <c r="F41" s="53"/>
      <c r="G41" s="53"/>
      <c r="H41" s="274">
        <f>600000*280</f>
        <v>168000000</v>
      </c>
    </row>
    <row r="42" spans="1:8" x14ac:dyDescent="0.55000000000000004">
      <c r="A42" s="53"/>
      <c r="D42" s="52"/>
      <c r="E42" s="52"/>
      <c r="F42" s="53"/>
      <c r="G42" s="53"/>
      <c r="H42" s="274">
        <f>150000*280</f>
        <v>42000000</v>
      </c>
    </row>
    <row r="43" spans="1:8" x14ac:dyDescent="0.55000000000000004">
      <c r="A43" s="53"/>
      <c r="D43" s="52"/>
      <c r="E43" s="52"/>
      <c r="F43" s="53"/>
      <c r="G43" s="53"/>
      <c r="H43" s="276">
        <v>53455327</v>
      </c>
    </row>
    <row r="44" spans="1:8" x14ac:dyDescent="0.55000000000000004">
      <c r="A44" s="53"/>
      <c r="D44" s="52"/>
      <c r="E44" s="53"/>
      <c r="F44" s="53"/>
      <c r="G44" s="53"/>
      <c r="H44" s="52">
        <f>SUM(H41:H43)</f>
        <v>263455327</v>
      </c>
    </row>
    <row r="45" spans="1:8" x14ac:dyDescent="0.55000000000000004">
      <c r="A45" s="53"/>
      <c r="D45" s="53"/>
      <c r="E45" s="53"/>
      <c r="F45" s="53"/>
      <c r="G45" s="53"/>
    </row>
    <row r="46" spans="1:8" x14ac:dyDescent="0.55000000000000004">
      <c r="A46" s="53"/>
      <c r="D46" s="53"/>
      <c r="E46" s="53"/>
      <c r="F46" s="53"/>
      <c r="G46" s="53"/>
      <c r="H46" s="52">
        <f>H40-2473131395</f>
        <v>-281762565.69999981</v>
      </c>
    </row>
    <row r="47" spans="1:8" x14ac:dyDescent="0.55000000000000004">
      <c r="A47" s="53"/>
      <c r="D47" s="53"/>
      <c r="E47" s="53"/>
      <c r="F47" s="53"/>
      <c r="G47" s="53"/>
    </row>
    <row r="48" spans="1:8" ht="18.5" x14ac:dyDescent="0.6">
      <c r="A48" s="407" t="s">
        <v>66</v>
      </c>
      <c r="B48" s="407"/>
      <c r="C48" s="407"/>
      <c r="D48" s="407"/>
      <c r="E48" s="407"/>
      <c r="F48" s="407"/>
      <c r="G48" s="407"/>
    </row>
  </sheetData>
  <mergeCells count="13">
    <mergeCell ref="A1:G1"/>
    <mergeCell ref="A2:G2"/>
    <mergeCell ref="A8:G8"/>
    <mergeCell ref="A9:G9"/>
    <mergeCell ref="A48:G48"/>
    <mergeCell ref="F10:F11"/>
    <mergeCell ref="G10:G11"/>
    <mergeCell ref="A37:G37"/>
    <mergeCell ref="C10:C11"/>
    <mergeCell ref="A10:A11"/>
    <mergeCell ref="B10:B11"/>
    <mergeCell ref="D10:D11"/>
    <mergeCell ref="E10:E11"/>
  </mergeCells>
  <pageMargins left="0.19" right="0.12" top="0.12968750000000001" bottom="0.38906249999999998" header="0.3" footer="0.3"/>
  <pageSetup scale="8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J49"/>
  <sheetViews>
    <sheetView view="pageLayout" topLeftCell="A10" zoomScaleNormal="100" workbookViewId="0">
      <selection activeCell="D16" sqref="D16"/>
    </sheetView>
  </sheetViews>
  <sheetFormatPr defaultColWidth="8.1796875" defaultRowHeight="17" x14ac:dyDescent="0.55000000000000004"/>
  <cols>
    <col min="1" max="1" width="4.1796875" style="23" customWidth="1"/>
    <col min="2" max="2" width="9.81640625" style="22" customWidth="1"/>
    <col min="3" max="3" width="46.54296875" style="22" customWidth="1"/>
    <col min="4" max="4" width="15.453125" style="22" customWidth="1"/>
    <col min="5" max="5" width="15.453125" style="23" customWidth="1"/>
    <col min="6" max="6" width="14.54296875" style="23" customWidth="1"/>
    <col min="7" max="7" width="15.54296875" style="23" customWidth="1"/>
    <col min="8" max="8" width="9.453125" style="23" customWidth="1"/>
    <col min="9" max="9" width="24.54296875" style="23" customWidth="1"/>
    <col min="10" max="16384" width="8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s="53" customFormat="1" ht="18.5" x14ac:dyDescent="0.55000000000000004">
      <c r="A8" s="203"/>
      <c r="B8" s="203"/>
      <c r="C8" s="203"/>
      <c r="D8" s="203"/>
      <c r="E8" s="203"/>
      <c r="F8" s="203"/>
      <c r="G8" s="203"/>
      <c r="H8" s="203"/>
    </row>
    <row r="9" spans="1:10" ht="27.65" customHeight="1" x14ac:dyDescent="0.55000000000000004">
      <c r="A9" s="418" t="s">
        <v>12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32.15" customHeight="1" x14ac:dyDescent="0.55000000000000004">
      <c r="A10" s="418" t="s">
        <v>53</v>
      </c>
      <c r="B10" s="418"/>
      <c r="C10" s="418"/>
      <c r="D10" s="418"/>
      <c r="E10" s="418"/>
      <c r="F10" s="418"/>
      <c r="G10" s="418"/>
      <c r="H10" s="418"/>
      <c r="I10" s="2"/>
      <c r="J10" s="2"/>
    </row>
    <row r="11" spans="1:10" ht="20.25" customHeight="1" x14ac:dyDescent="0.55000000000000004">
      <c r="A11" s="410" t="s">
        <v>0</v>
      </c>
      <c r="B11" s="410" t="s">
        <v>3</v>
      </c>
      <c r="C11" s="410" t="s">
        <v>4</v>
      </c>
      <c r="D11" s="410" t="s">
        <v>10</v>
      </c>
      <c r="E11" s="412" t="s">
        <v>8</v>
      </c>
      <c r="F11" s="413" t="s">
        <v>9</v>
      </c>
      <c r="G11" s="408" t="s">
        <v>7</v>
      </c>
      <c r="H11" s="408" t="s">
        <v>1</v>
      </c>
    </row>
    <row r="12" spans="1:10" ht="20.25" customHeight="1" x14ac:dyDescent="0.55000000000000004">
      <c r="A12" s="411"/>
      <c r="B12" s="411"/>
      <c r="C12" s="411"/>
      <c r="D12" s="411"/>
      <c r="E12" s="412"/>
      <c r="F12" s="414"/>
      <c r="G12" s="408"/>
      <c r="H12" s="408"/>
    </row>
    <row r="13" spans="1:10" ht="18.5" x14ac:dyDescent="0.55000000000000004">
      <c r="A13" s="129">
        <v>1</v>
      </c>
      <c r="B13" s="107" t="s">
        <v>51</v>
      </c>
      <c r="C13" s="3" t="s">
        <v>10</v>
      </c>
      <c r="D13" s="113">
        <v>173310000</v>
      </c>
      <c r="E13" s="113"/>
      <c r="F13" s="113">
        <v>0</v>
      </c>
      <c r="G13" s="113">
        <f>D13</f>
        <v>173310000</v>
      </c>
      <c r="H13" s="4"/>
    </row>
    <row r="14" spans="1:10" ht="18.5" x14ac:dyDescent="0.55000000000000004">
      <c r="A14" s="106">
        <v>2</v>
      </c>
      <c r="B14" s="108" t="s">
        <v>164</v>
      </c>
      <c r="C14" s="63" t="s">
        <v>282</v>
      </c>
      <c r="D14" s="256"/>
      <c r="E14" s="116"/>
      <c r="F14" s="256">
        <v>3350000</v>
      </c>
      <c r="G14" s="116">
        <f>G13+E14-F14</f>
        <v>169960000</v>
      </c>
      <c r="H14" s="6"/>
    </row>
    <row r="15" spans="1:10" x14ac:dyDescent="0.55000000000000004">
      <c r="A15" s="100">
        <v>3</v>
      </c>
      <c r="B15" s="108" t="s">
        <v>37</v>
      </c>
      <c r="C15" s="64" t="s">
        <v>283</v>
      </c>
      <c r="D15" s="257"/>
      <c r="E15" s="118"/>
      <c r="F15" s="257">
        <v>1600000</v>
      </c>
      <c r="G15" s="116">
        <f>G14+E15-F15</f>
        <v>168360000</v>
      </c>
      <c r="H15" s="7"/>
      <c r="I15" s="8"/>
    </row>
    <row r="16" spans="1:10" x14ac:dyDescent="0.55000000000000004">
      <c r="A16" s="106">
        <v>4</v>
      </c>
      <c r="B16" s="108" t="s">
        <v>37</v>
      </c>
      <c r="C16" s="9"/>
      <c r="D16" s="119"/>
      <c r="E16" s="118"/>
      <c r="F16" s="118"/>
      <c r="G16" s="116">
        <f>G15+E16-F16</f>
        <v>168360000</v>
      </c>
      <c r="H16" s="7"/>
      <c r="I16" s="8"/>
    </row>
    <row r="17" spans="1:8" x14ac:dyDescent="0.55000000000000004">
      <c r="A17" s="100">
        <v>5</v>
      </c>
      <c r="B17" s="108" t="s">
        <v>37</v>
      </c>
      <c r="C17" s="9"/>
      <c r="D17" s="119"/>
      <c r="E17" s="118"/>
      <c r="F17" s="118"/>
      <c r="G17" s="116">
        <f>G16+E17-F17</f>
        <v>168360000</v>
      </c>
      <c r="H17" s="10"/>
    </row>
    <row r="18" spans="1:8" x14ac:dyDescent="0.55000000000000004">
      <c r="A18" s="106">
        <v>6</v>
      </c>
      <c r="B18" s="108" t="s">
        <v>37</v>
      </c>
      <c r="C18" s="11"/>
      <c r="D18" s="120"/>
      <c r="E18" s="118"/>
      <c r="F18" s="118"/>
      <c r="G18" s="116">
        <f>G17+E18-F18</f>
        <v>168360000</v>
      </c>
      <c r="H18" s="10"/>
    </row>
    <row r="19" spans="1:8" x14ac:dyDescent="0.55000000000000004">
      <c r="A19" s="100">
        <v>7</v>
      </c>
      <c r="B19" s="108" t="s">
        <v>37</v>
      </c>
      <c r="C19" s="5"/>
      <c r="D19" s="122"/>
      <c r="E19" s="102"/>
      <c r="F19" s="102"/>
      <c r="G19" s="116">
        <f t="shared" ref="G19:G36" si="0">G18+E19-F19</f>
        <v>168360000</v>
      </c>
      <c r="H19" s="10"/>
    </row>
    <row r="20" spans="1:8" x14ac:dyDescent="0.55000000000000004">
      <c r="A20" s="106">
        <v>8</v>
      </c>
      <c r="B20" s="108" t="s">
        <v>37</v>
      </c>
      <c r="C20" s="5"/>
      <c r="D20" s="122"/>
      <c r="E20" s="102"/>
      <c r="F20" s="102"/>
      <c r="G20" s="116">
        <f t="shared" si="0"/>
        <v>168360000</v>
      </c>
      <c r="H20" s="10"/>
    </row>
    <row r="21" spans="1:8" x14ac:dyDescent="0.55000000000000004">
      <c r="A21" s="100">
        <v>9</v>
      </c>
      <c r="B21" s="108" t="s">
        <v>37</v>
      </c>
      <c r="C21" s="5"/>
      <c r="D21" s="122"/>
      <c r="E21" s="102"/>
      <c r="F21" s="102"/>
      <c r="G21" s="116">
        <f t="shared" si="0"/>
        <v>168360000</v>
      </c>
      <c r="H21" s="10"/>
    </row>
    <row r="22" spans="1:8" x14ac:dyDescent="0.55000000000000004">
      <c r="A22" s="106">
        <v>10</v>
      </c>
      <c r="B22" s="108" t="s">
        <v>37</v>
      </c>
      <c r="C22" s="11"/>
      <c r="D22" s="123"/>
      <c r="E22" s="102"/>
      <c r="F22" s="102"/>
      <c r="G22" s="116">
        <f t="shared" si="0"/>
        <v>168360000</v>
      </c>
      <c r="H22" s="10"/>
    </row>
    <row r="23" spans="1:8" x14ac:dyDescent="0.55000000000000004">
      <c r="A23" s="100">
        <v>11</v>
      </c>
      <c r="B23" s="108" t="s">
        <v>37</v>
      </c>
      <c r="C23" s="5"/>
      <c r="D23" s="122"/>
      <c r="E23" s="102"/>
      <c r="F23" s="102"/>
      <c r="G23" s="116">
        <f t="shared" si="0"/>
        <v>168360000</v>
      </c>
      <c r="H23" s="10"/>
    </row>
    <row r="24" spans="1:8" x14ac:dyDescent="0.55000000000000004">
      <c r="A24" s="106">
        <v>12</v>
      </c>
      <c r="B24" s="108" t="s">
        <v>37</v>
      </c>
      <c r="C24" s="5"/>
      <c r="D24" s="122"/>
      <c r="E24" s="102"/>
      <c r="F24" s="102"/>
      <c r="G24" s="116">
        <f t="shared" si="0"/>
        <v>168360000</v>
      </c>
      <c r="H24" s="10"/>
    </row>
    <row r="25" spans="1:8" x14ac:dyDescent="0.55000000000000004">
      <c r="A25" s="100">
        <v>13</v>
      </c>
      <c r="B25" s="108" t="s">
        <v>37</v>
      </c>
      <c r="C25" s="5"/>
      <c r="D25" s="122"/>
      <c r="E25" s="102"/>
      <c r="F25" s="102"/>
      <c r="G25" s="116">
        <f t="shared" si="0"/>
        <v>168360000</v>
      </c>
      <c r="H25" s="10"/>
    </row>
    <row r="26" spans="1:8" x14ac:dyDescent="0.55000000000000004">
      <c r="A26" s="106">
        <v>14</v>
      </c>
      <c r="B26" s="108" t="s">
        <v>37</v>
      </c>
      <c r="C26" s="12"/>
      <c r="D26" s="119"/>
      <c r="E26" s="102"/>
      <c r="F26" s="102"/>
      <c r="G26" s="116">
        <f t="shared" si="0"/>
        <v>168360000</v>
      </c>
      <c r="H26" s="10"/>
    </row>
    <row r="27" spans="1:8" x14ac:dyDescent="0.55000000000000004">
      <c r="A27" s="100">
        <v>15</v>
      </c>
      <c r="B27" s="108" t="s">
        <v>37</v>
      </c>
      <c r="C27" s="12"/>
      <c r="D27" s="119"/>
      <c r="E27" s="102"/>
      <c r="F27" s="102"/>
      <c r="G27" s="116">
        <f t="shared" si="0"/>
        <v>168360000</v>
      </c>
      <c r="H27" s="10"/>
    </row>
    <row r="28" spans="1:8" x14ac:dyDescent="0.55000000000000004">
      <c r="A28" s="106">
        <v>16</v>
      </c>
      <c r="B28" s="108" t="s">
        <v>37</v>
      </c>
      <c r="C28" s="5"/>
      <c r="D28" s="122"/>
      <c r="E28" s="102"/>
      <c r="F28" s="102"/>
      <c r="G28" s="116">
        <f t="shared" si="0"/>
        <v>168360000</v>
      </c>
      <c r="H28" s="13"/>
    </row>
    <row r="29" spans="1:8" x14ac:dyDescent="0.55000000000000004">
      <c r="A29" s="100">
        <v>17</v>
      </c>
      <c r="B29" s="108" t="s">
        <v>37</v>
      </c>
      <c r="C29" s="11"/>
      <c r="D29" s="123"/>
      <c r="E29" s="102"/>
      <c r="F29" s="102"/>
      <c r="G29" s="116">
        <f t="shared" si="0"/>
        <v>168360000</v>
      </c>
      <c r="H29" s="10"/>
    </row>
    <row r="30" spans="1:8" x14ac:dyDescent="0.55000000000000004">
      <c r="A30" s="106">
        <v>18</v>
      </c>
      <c r="B30" s="108" t="s">
        <v>37</v>
      </c>
      <c r="C30" s="5"/>
      <c r="D30" s="122"/>
      <c r="E30" s="102"/>
      <c r="F30" s="102"/>
      <c r="G30" s="116">
        <f t="shared" si="0"/>
        <v>168360000</v>
      </c>
      <c r="H30" s="10"/>
    </row>
    <row r="31" spans="1:8" x14ac:dyDescent="0.55000000000000004">
      <c r="A31" s="100">
        <v>19</v>
      </c>
      <c r="B31" s="108" t="s">
        <v>37</v>
      </c>
      <c r="C31" s="5"/>
      <c r="D31" s="122"/>
      <c r="E31" s="102"/>
      <c r="F31" s="102"/>
      <c r="G31" s="116">
        <f t="shared" si="0"/>
        <v>168360000</v>
      </c>
      <c r="H31" s="10"/>
    </row>
    <row r="32" spans="1:8" x14ac:dyDescent="0.55000000000000004">
      <c r="A32" s="106">
        <v>20</v>
      </c>
      <c r="B32" s="108" t="s">
        <v>37</v>
      </c>
      <c r="C32" s="5"/>
      <c r="D32" s="122"/>
      <c r="E32" s="102"/>
      <c r="F32" s="102"/>
      <c r="G32" s="116">
        <f t="shared" si="0"/>
        <v>168360000</v>
      </c>
      <c r="H32" s="10"/>
    </row>
    <row r="33" spans="1:8" x14ac:dyDescent="0.55000000000000004">
      <c r="A33" s="100">
        <v>21</v>
      </c>
      <c r="B33" s="108" t="s">
        <v>37</v>
      </c>
      <c r="C33" s="5"/>
      <c r="D33" s="122"/>
      <c r="E33" s="102"/>
      <c r="F33" s="102"/>
      <c r="G33" s="116">
        <f t="shared" si="0"/>
        <v>168360000</v>
      </c>
      <c r="H33" s="10"/>
    </row>
    <row r="34" spans="1:8" x14ac:dyDescent="0.55000000000000004">
      <c r="A34" s="106">
        <v>22</v>
      </c>
      <c r="B34" s="108" t="s">
        <v>37</v>
      </c>
      <c r="C34" s="12"/>
      <c r="D34" s="119"/>
      <c r="E34" s="102"/>
      <c r="F34" s="102"/>
      <c r="G34" s="116">
        <f t="shared" si="0"/>
        <v>168360000</v>
      </c>
      <c r="H34" s="10"/>
    </row>
    <row r="35" spans="1:8" x14ac:dyDescent="0.55000000000000004">
      <c r="A35" s="100">
        <v>23</v>
      </c>
      <c r="B35" s="108" t="s">
        <v>37</v>
      </c>
      <c r="C35" s="14"/>
      <c r="D35" s="119"/>
      <c r="E35" s="102"/>
      <c r="F35" s="102"/>
      <c r="G35" s="116">
        <f t="shared" si="0"/>
        <v>168360000</v>
      </c>
      <c r="H35" s="10"/>
    </row>
    <row r="36" spans="1:8" x14ac:dyDescent="0.55000000000000004">
      <c r="A36" s="106">
        <v>24</v>
      </c>
      <c r="B36" s="108" t="s">
        <v>37</v>
      </c>
      <c r="C36" s="15"/>
      <c r="D36" s="148"/>
      <c r="E36" s="102"/>
      <c r="F36" s="102"/>
      <c r="G36" s="116">
        <f t="shared" si="0"/>
        <v>168360000</v>
      </c>
      <c r="H36" s="10"/>
    </row>
    <row r="37" spans="1:8" ht="21.65" customHeight="1" x14ac:dyDescent="0.55000000000000004">
      <c r="A37" s="16"/>
      <c r="B37" s="17" t="s">
        <v>2</v>
      </c>
      <c r="C37" s="17"/>
      <c r="D37" s="127">
        <f>SUM(D13:D36)</f>
        <v>173310000</v>
      </c>
      <c r="E37" s="128">
        <f>SUM(E13:E36)</f>
        <v>0</v>
      </c>
      <c r="F37" s="128">
        <f>SUM(F13:F36)</f>
        <v>4950000</v>
      </c>
      <c r="G37" s="128">
        <f>D37+E37-F37</f>
        <v>168360000</v>
      </c>
      <c r="H37" s="17"/>
    </row>
    <row r="38" spans="1:8" ht="22.5" x14ac:dyDescent="0.7">
      <c r="A38" s="18"/>
      <c r="B38" s="19"/>
      <c r="C38" s="20"/>
      <c r="D38" s="20"/>
      <c r="E38" s="21"/>
      <c r="F38" s="21"/>
      <c r="G38" s="21"/>
      <c r="H38" s="19"/>
    </row>
    <row r="39" spans="1:8" ht="18.5" x14ac:dyDescent="0.55000000000000004">
      <c r="A39" s="419" t="s">
        <v>68</v>
      </c>
      <c r="B39" s="419"/>
      <c r="C39" s="419"/>
      <c r="D39" s="419"/>
      <c r="E39" s="419"/>
      <c r="F39" s="419"/>
      <c r="G39" s="419"/>
      <c r="H39" s="419"/>
    </row>
    <row r="40" spans="1:8" x14ac:dyDescent="0.55000000000000004">
      <c r="A40" s="53"/>
      <c r="E40" s="53"/>
      <c r="F40" s="53"/>
      <c r="G40" s="53"/>
      <c r="H40" s="53"/>
    </row>
    <row r="41" spans="1:8" x14ac:dyDescent="0.55000000000000004">
      <c r="A41" s="53"/>
      <c r="E41" s="53"/>
      <c r="F41" s="53"/>
      <c r="G41" s="53"/>
      <c r="H41" s="53"/>
    </row>
    <row r="42" spans="1:8" x14ac:dyDescent="0.55000000000000004">
      <c r="A42" s="53"/>
      <c r="E42" s="53"/>
      <c r="F42" s="53"/>
      <c r="G42" s="53"/>
      <c r="H42" s="53"/>
    </row>
    <row r="43" spans="1:8" x14ac:dyDescent="0.55000000000000004">
      <c r="A43" s="53"/>
      <c r="E43" s="53"/>
      <c r="F43" s="53"/>
      <c r="G43" s="53"/>
      <c r="H43" s="53"/>
    </row>
    <row r="44" spans="1:8" x14ac:dyDescent="0.55000000000000004">
      <c r="A44" s="53"/>
      <c r="E44" s="53"/>
      <c r="F44" s="53"/>
      <c r="G44" s="53"/>
      <c r="H44" s="53"/>
    </row>
    <row r="45" spans="1:8" x14ac:dyDescent="0.55000000000000004">
      <c r="A45" s="53"/>
      <c r="E45" s="53"/>
      <c r="F45" s="53"/>
      <c r="G45" s="53"/>
      <c r="H45" s="53"/>
    </row>
    <row r="46" spans="1:8" x14ac:dyDescent="0.55000000000000004">
      <c r="A46" s="53"/>
      <c r="E46" s="53"/>
      <c r="F46" s="53"/>
      <c r="G46" s="53"/>
      <c r="H46" s="53"/>
    </row>
    <row r="47" spans="1:8" x14ac:dyDescent="0.55000000000000004">
      <c r="A47" s="53"/>
      <c r="E47" s="53"/>
      <c r="F47" s="53"/>
      <c r="G47" s="53"/>
      <c r="H47" s="53"/>
    </row>
    <row r="48" spans="1:8" x14ac:dyDescent="0.55000000000000004">
      <c r="A48" s="53"/>
      <c r="E48" s="53"/>
      <c r="F48" s="53"/>
      <c r="G48" s="53"/>
      <c r="H48" s="53"/>
    </row>
    <row r="49" spans="1:8" ht="18.5" x14ac:dyDescent="0.6">
      <c r="A49" s="407" t="s">
        <v>67</v>
      </c>
      <c r="B49" s="407"/>
      <c r="C49" s="407"/>
      <c r="D49" s="407"/>
      <c r="E49" s="407"/>
      <c r="F49" s="407"/>
      <c r="G49" s="407"/>
      <c r="H49" s="407"/>
    </row>
  </sheetData>
  <mergeCells count="14">
    <mergeCell ref="A49:H49"/>
    <mergeCell ref="G11:G12"/>
    <mergeCell ref="H11:H12"/>
    <mergeCell ref="A39:H39"/>
    <mergeCell ref="A1:H1"/>
    <mergeCell ref="A2:H2"/>
    <mergeCell ref="A9:H9"/>
    <mergeCell ref="A10:H10"/>
    <mergeCell ref="A11:A12"/>
    <mergeCell ref="B11:B12"/>
    <mergeCell ref="C11:C12"/>
    <mergeCell ref="E11:E12"/>
    <mergeCell ref="F11:F12"/>
    <mergeCell ref="D11:D12"/>
  </mergeCells>
  <pageMargins left="9.166666666666666E-2" right="0.125" top="0.75" bottom="0.75" header="0.3" footer="0.3"/>
  <pageSetup scale="8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J53"/>
  <sheetViews>
    <sheetView view="pageLayout" topLeftCell="A11" zoomScaleNormal="100" workbookViewId="0">
      <selection activeCell="F42" sqref="F42"/>
    </sheetView>
  </sheetViews>
  <sheetFormatPr defaultColWidth="8.1796875" defaultRowHeight="17" x14ac:dyDescent="0.55000000000000004"/>
  <cols>
    <col min="1" max="1" width="5" style="23" customWidth="1"/>
    <col min="2" max="2" width="9.1796875" style="22" customWidth="1"/>
    <col min="3" max="3" width="45" style="22" customWidth="1"/>
    <col min="4" max="4" width="15.54296875" style="22" customWidth="1"/>
    <col min="5" max="5" width="15.453125" style="23" customWidth="1"/>
    <col min="6" max="6" width="14.54296875" style="23" customWidth="1"/>
    <col min="7" max="7" width="16.453125" style="23" customWidth="1"/>
    <col min="8" max="8" width="10" style="23" customWidth="1"/>
    <col min="9" max="9" width="24.54296875" style="23" customWidth="1"/>
    <col min="10" max="16384" width="8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s="53" customFormat="1" ht="18.5" x14ac:dyDescent="0.55000000000000004">
      <c r="A8" s="203"/>
      <c r="B8" s="203"/>
      <c r="C8" s="203"/>
      <c r="D8" s="203"/>
      <c r="E8" s="203"/>
      <c r="F8" s="203"/>
      <c r="G8" s="203"/>
      <c r="H8" s="203"/>
    </row>
    <row r="9" spans="1:10" ht="27.65" customHeight="1" x14ac:dyDescent="0.55000000000000004">
      <c r="A9" s="418" t="s">
        <v>13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32.15" customHeight="1" x14ac:dyDescent="0.55000000000000004">
      <c r="A10" s="418" t="s">
        <v>53</v>
      </c>
      <c r="B10" s="418"/>
      <c r="C10" s="418"/>
      <c r="D10" s="418"/>
      <c r="E10" s="418"/>
      <c r="F10" s="418"/>
      <c r="G10" s="418"/>
      <c r="H10" s="418"/>
      <c r="I10" s="2"/>
      <c r="J10" s="2"/>
    </row>
    <row r="11" spans="1:10" ht="20.25" customHeight="1" x14ac:dyDescent="0.55000000000000004">
      <c r="A11" s="410" t="s">
        <v>0</v>
      </c>
      <c r="B11" s="410" t="s">
        <v>3</v>
      </c>
      <c r="C11" s="410" t="s">
        <v>4</v>
      </c>
      <c r="D11" s="410" t="s">
        <v>10</v>
      </c>
      <c r="E11" s="412" t="s">
        <v>8</v>
      </c>
      <c r="F11" s="413" t="s">
        <v>9</v>
      </c>
      <c r="G11" s="408" t="s">
        <v>7</v>
      </c>
      <c r="H11" s="408" t="s">
        <v>1</v>
      </c>
    </row>
    <row r="12" spans="1:10" ht="20.25" customHeight="1" x14ac:dyDescent="0.55000000000000004">
      <c r="A12" s="411"/>
      <c r="B12" s="411"/>
      <c r="C12" s="411"/>
      <c r="D12" s="411"/>
      <c r="E12" s="412"/>
      <c r="F12" s="414"/>
      <c r="G12" s="408"/>
      <c r="H12" s="408"/>
    </row>
    <row r="13" spans="1:10" ht="18.5" x14ac:dyDescent="0.55000000000000004">
      <c r="A13" s="129">
        <v>1</v>
      </c>
      <c r="B13" s="107" t="s">
        <v>51</v>
      </c>
      <c r="C13" s="56" t="s">
        <v>10</v>
      </c>
      <c r="D13" s="144">
        <v>990902578</v>
      </c>
      <c r="E13" s="144"/>
      <c r="F13" s="145">
        <v>0</v>
      </c>
      <c r="G13" s="138">
        <f>D13</f>
        <v>990902578</v>
      </c>
      <c r="H13" s="4"/>
    </row>
    <row r="14" spans="1:10" ht="18.5" x14ac:dyDescent="0.55000000000000004">
      <c r="A14" s="143">
        <v>2</v>
      </c>
      <c r="B14" s="108" t="s">
        <v>164</v>
      </c>
      <c r="C14" s="40" t="s">
        <v>231</v>
      </c>
      <c r="D14" s="59"/>
      <c r="E14" s="146"/>
      <c r="F14" s="59">
        <v>3650000</v>
      </c>
      <c r="G14" s="94">
        <f>G13+E14-F14</f>
        <v>987252578</v>
      </c>
      <c r="H14" s="6"/>
    </row>
    <row r="15" spans="1:10" x14ac:dyDescent="0.55000000000000004">
      <c r="A15" s="143">
        <v>3</v>
      </c>
      <c r="B15" s="108" t="s">
        <v>37</v>
      </c>
      <c r="C15" s="40" t="s">
        <v>232</v>
      </c>
      <c r="D15" s="59"/>
      <c r="E15" s="98"/>
      <c r="F15" s="59">
        <v>5815383</v>
      </c>
      <c r="G15" s="94">
        <f t="shared" ref="G15:G40" si="0">G14+E15-F15</f>
        <v>981437195</v>
      </c>
      <c r="H15" s="7"/>
      <c r="I15" s="8"/>
    </row>
    <row r="16" spans="1:10" x14ac:dyDescent="0.55000000000000004">
      <c r="A16" s="143">
        <v>4</v>
      </c>
      <c r="B16" s="108" t="s">
        <v>37</v>
      </c>
      <c r="C16" s="9"/>
      <c r="D16" s="163"/>
      <c r="E16" s="98"/>
      <c r="F16" s="98"/>
      <c r="G16" s="94">
        <f t="shared" si="0"/>
        <v>981437195</v>
      </c>
      <c r="H16" s="7"/>
      <c r="I16" s="8"/>
    </row>
    <row r="17" spans="1:8" x14ac:dyDescent="0.55000000000000004">
      <c r="A17" s="143">
        <v>5</v>
      </c>
      <c r="B17" s="108" t="s">
        <v>37</v>
      </c>
      <c r="C17" s="9"/>
      <c r="D17" s="101"/>
      <c r="E17" s="97"/>
      <c r="F17" s="97"/>
      <c r="G17" s="94">
        <f t="shared" si="0"/>
        <v>981437195</v>
      </c>
      <c r="H17" s="10"/>
    </row>
    <row r="18" spans="1:8" x14ac:dyDescent="0.55000000000000004">
      <c r="A18" s="143">
        <v>6</v>
      </c>
      <c r="B18" s="108" t="s">
        <v>37</v>
      </c>
      <c r="C18" s="5"/>
      <c r="D18" s="124"/>
      <c r="E18" s="98"/>
      <c r="F18" s="98"/>
      <c r="G18" s="94">
        <f t="shared" si="0"/>
        <v>981437195</v>
      </c>
      <c r="H18" s="10"/>
    </row>
    <row r="19" spans="1:8" x14ac:dyDescent="0.55000000000000004">
      <c r="A19" s="143">
        <v>7</v>
      </c>
      <c r="B19" s="108" t="s">
        <v>37</v>
      </c>
      <c r="C19" s="5"/>
      <c r="D19" s="124"/>
      <c r="E19" s="98"/>
      <c r="F19" s="98"/>
      <c r="G19" s="94">
        <f t="shared" si="0"/>
        <v>981437195</v>
      </c>
      <c r="H19" s="10"/>
    </row>
    <row r="20" spans="1:8" x14ac:dyDescent="0.55000000000000004">
      <c r="A20" s="143">
        <v>8</v>
      </c>
      <c r="B20" s="108" t="s">
        <v>37</v>
      </c>
      <c r="C20" s="5"/>
      <c r="D20" s="124"/>
      <c r="E20" s="98"/>
      <c r="F20" s="98"/>
      <c r="G20" s="94">
        <f t="shared" si="0"/>
        <v>981437195</v>
      </c>
      <c r="H20" s="10"/>
    </row>
    <row r="21" spans="1:8" x14ac:dyDescent="0.55000000000000004">
      <c r="A21" s="143">
        <v>9</v>
      </c>
      <c r="B21" s="108" t="s">
        <v>37</v>
      </c>
      <c r="C21" s="11"/>
      <c r="D21" s="134"/>
      <c r="E21" s="98"/>
      <c r="F21" s="98"/>
      <c r="G21" s="94">
        <f t="shared" si="0"/>
        <v>981437195</v>
      </c>
      <c r="H21" s="10"/>
    </row>
    <row r="22" spans="1:8" x14ac:dyDescent="0.55000000000000004">
      <c r="A22" s="143">
        <v>10</v>
      </c>
      <c r="B22" s="108" t="s">
        <v>37</v>
      </c>
      <c r="C22" s="5"/>
      <c r="D22" s="124"/>
      <c r="E22" s="98"/>
      <c r="F22" s="98"/>
      <c r="G22" s="94">
        <f t="shared" si="0"/>
        <v>981437195</v>
      </c>
      <c r="H22" s="10"/>
    </row>
    <row r="23" spans="1:8" x14ac:dyDescent="0.55000000000000004">
      <c r="A23" s="143">
        <v>11</v>
      </c>
      <c r="B23" s="108" t="s">
        <v>37</v>
      </c>
      <c r="C23" s="5"/>
      <c r="D23" s="124"/>
      <c r="E23" s="98"/>
      <c r="F23" s="98"/>
      <c r="G23" s="94">
        <f t="shared" si="0"/>
        <v>981437195</v>
      </c>
      <c r="H23" s="10"/>
    </row>
    <row r="24" spans="1:8" x14ac:dyDescent="0.55000000000000004">
      <c r="A24" s="143">
        <v>12</v>
      </c>
      <c r="B24" s="108" t="s">
        <v>37</v>
      </c>
      <c r="C24" s="5"/>
      <c r="D24" s="124"/>
      <c r="E24" s="98"/>
      <c r="F24" s="98"/>
      <c r="G24" s="94">
        <f t="shared" si="0"/>
        <v>981437195</v>
      </c>
      <c r="H24" s="10"/>
    </row>
    <row r="25" spans="1:8" x14ac:dyDescent="0.55000000000000004">
      <c r="A25" s="143">
        <v>13</v>
      </c>
      <c r="B25" s="108" t="s">
        <v>37</v>
      </c>
      <c r="C25" s="12"/>
      <c r="D25" s="101"/>
      <c r="E25" s="98"/>
      <c r="F25" s="98"/>
      <c r="G25" s="94">
        <f t="shared" si="0"/>
        <v>981437195</v>
      </c>
      <c r="H25" s="10"/>
    </row>
    <row r="26" spans="1:8" x14ac:dyDescent="0.55000000000000004">
      <c r="A26" s="143">
        <v>14</v>
      </c>
      <c r="B26" s="108" t="s">
        <v>37</v>
      </c>
      <c r="C26" s="12"/>
      <c r="D26" s="101"/>
      <c r="E26" s="98"/>
      <c r="F26" s="98"/>
      <c r="G26" s="94">
        <f t="shared" si="0"/>
        <v>981437195</v>
      </c>
      <c r="H26" s="10"/>
    </row>
    <row r="27" spans="1:8" x14ac:dyDescent="0.55000000000000004">
      <c r="A27" s="143">
        <v>15</v>
      </c>
      <c r="B27" s="108" t="s">
        <v>37</v>
      </c>
      <c r="C27" s="5"/>
      <c r="D27" s="124"/>
      <c r="E27" s="98"/>
      <c r="F27" s="98"/>
      <c r="G27" s="94">
        <f t="shared" si="0"/>
        <v>981437195</v>
      </c>
      <c r="H27" s="10"/>
    </row>
    <row r="28" spans="1:8" x14ac:dyDescent="0.55000000000000004">
      <c r="A28" s="143">
        <v>16</v>
      </c>
      <c r="B28" s="108" t="s">
        <v>37</v>
      </c>
      <c r="C28" s="5"/>
      <c r="D28" s="124"/>
      <c r="E28" s="98"/>
      <c r="F28" s="98"/>
      <c r="G28" s="94">
        <f t="shared" si="0"/>
        <v>981437195</v>
      </c>
      <c r="H28" s="13"/>
    </row>
    <row r="29" spans="1:8" x14ac:dyDescent="0.55000000000000004">
      <c r="A29" s="143">
        <v>17</v>
      </c>
      <c r="B29" s="108" t="s">
        <v>37</v>
      </c>
      <c r="C29" s="5"/>
      <c r="D29" s="124"/>
      <c r="E29" s="98"/>
      <c r="F29" s="98"/>
      <c r="G29" s="94">
        <f t="shared" si="0"/>
        <v>981437195</v>
      </c>
      <c r="H29" s="13"/>
    </row>
    <row r="30" spans="1:8" x14ac:dyDescent="0.55000000000000004">
      <c r="A30" s="143">
        <v>18</v>
      </c>
      <c r="B30" s="108" t="s">
        <v>37</v>
      </c>
      <c r="C30" s="5"/>
      <c r="D30" s="124"/>
      <c r="E30" s="98"/>
      <c r="F30" s="98"/>
      <c r="G30" s="94">
        <f t="shared" si="0"/>
        <v>981437195</v>
      </c>
      <c r="H30" s="13"/>
    </row>
    <row r="31" spans="1:8" x14ac:dyDescent="0.55000000000000004">
      <c r="A31" s="143">
        <v>19</v>
      </c>
      <c r="B31" s="108" t="s">
        <v>37</v>
      </c>
      <c r="C31" s="5"/>
      <c r="D31" s="124"/>
      <c r="E31" s="98"/>
      <c r="F31" s="98"/>
      <c r="G31" s="94">
        <f t="shared" si="0"/>
        <v>981437195</v>
      </c>
      <c r="H31" s="10"/>
    </row>
    <row r="32" spans="1:8" x14ac:dyDescent="0.55000000000000004">
      <c r="A32" s="143">
        <v>20</v>
      </c>
      <c r="B32" s="108" t="s">
        <v>37</v>
      </c>
      <c r="C32" s="11"/>
      <c r="D32" s="134"/>
      <c r="E32" s="98"/>
      <c r="F32" s="98"/>
      <c r="G32" s="94">
        <f t="shared" si="0"/>
        <v>981437195</v>
      </c>
      <c r="H32" s="10"/>
    </row>
    <row r="33" spans="1:8" x14ac:dyDescent="0.55000000000000004">
      <c r="A33" s="143">
        <v>21</v>
      </c>
      <c r="B33" s="108" t="s">
        <v>37</v>
      </c>
      <c r="C33" s="5"/>
      <c r="D33" s="124"/>
      <c r="E33" s="98"/>
      <c r="F33" s="98"/>
      <c r="G33" s="94">
        <f t="shared" si="0"/>
        <v>981437195</v>
      </c>
      <c r="H33" s="10"/>
    </row>
    <row r="34" spans="1:8" x14ac:dyDescent="0.55000000000000004">
      <c r="A34" s="143">
        <v>22</v>
      </c>
      <c r="B34" s="108" t="s">
        <v>37</v>
      </c>
      <c r="C34" s="5"/>
      <c r="D34" s="124"/>
      <c r="E34" s="98"/>
      <c r="F34" s="98"/>
      <c r="G34" s="94">
        <f t="shared" si="0"/>
        <v>981437195</v>
      </c>
      <c r="H34" s="10"/>
    </row>
    <row r="35" spans="1:8" x14ac:dyDescent="0.55000000000000004">
      <c r="A35" s="143">
        <v>23</v>
      </c>
      <c r="B35" s="108" t="s">
        <v>37</v>
      </c>
      <c r="C35" s="5"/>
      <c r="D35" s="124"/>
      <c r="E35" s="98"/>
      <c r="F35" s="98"/>
      <c r="G35" s="94">
        <f t="shared" si="0"/>
        <v>981437195</v>
      </c>
      <c r="H35" s="10"/>
    </row>
    <row r="36" spans="1:8" x14ac:dyDescent="0.55000000000000004">
      <c r="A36" s="143">
        <v>24</v>
      </c>
      <c r="B36" s="108" t="s">
        <v>37</v>
      </c>
      <c r="C36" s="12"/>
      <c r="D36" s="101"/>
      <c r="E36" s="98"/>
      <c r="F36" s="98"/>
      <c r="G36" s="94">
        <f t="shared" si="0"/>
        <v>981437195</v>
      </c>
      <c r="H36" s="10"/>
    </row>
    <row r="37" spans="1:8" x14ac:dyDescent="0.55000000000000004">
      <c r="A37" s="143">
        <v>25</v>
      </c>
      <c r="B37" s="108" t="s">
        <v>37</v>
      </c>
      <c r="C37" s="12"/>
      <c r="D37" s="101"/>
      <c r="E37" s="98"/>
      <c r="F37" s="98"/>
      <c r="G37" s="94">
        <f t="shared" si="0"/>
        <v>981437195</v>
      </c>
      <c r="H37" s="10"/>
    </row>
    <row r="38" spans="1:8" x14ac:dyDescent="0.55000000000000004">
      <c r="A38" s="143">
        <v>26</v>
      </c>
      <c r="B38" s="108" t="s">
        <v>37</v>
      </c>
      <c r="C38" s="5"/>
      <c r="D38" s="124"/>
      <c r="E38" s="98"/>
      <c r="F38" s="98"/>
      <c r="G38" s="94">
        <f t="shared" si="0"/>
        <v>981437195</v>
      </c>
      <c r="H38" s="10"/>
    </row>
    <row r="39" spans="1:8" x14ac:dyDescent="0.55000000000000004">
      <c r="A39" s="143">
        <v>27</v>
      </c>
      <c r="B39" s="108" t="s">
        <v>37</v>
      </c>
      <c r="C39" s="14"/>
      <c r="D39" s="125"/>
      <c r="E39" s="98"/>
      <c r="F39" s="98"/>
      <c r="G39" s="94">
        <f t="shared" si="0"/>
        <v>981437195</v>
      </c>
      <c r="H39" s="10"/>
    </row>
    <row r="40" spans="1:8" x14ac:dyDescent="0.55000000000000004">
      <c r="A40" s="143">
        <v>28</v>
      </c>
      <c r="B40" s="108" t="s">
        <v>37</v>
      </c>
      <c r="C40" s="15"/>
      <c r="D40" s="126"/>
      <c r="E40" s="98"/>
      <c r="F40" s="98"/>
      <c r="G40" s="94">
        <f t="shared" si="0"/>
        <v>981437195</v>
      </c>
      <c r="H40" s="10"/>
    </row>
    <row r="41" spans="1:8" ht="21.65" customHeight="1" x14ac:dyDescent="0.55000000000000004">
      <c r="A41" s="16"/>
      <c r="B41" s="17" t="s">
        <v>2</v>
      </c>
      <c r="C41" s="17"/>
      <c r="D41" s="142">
        <f>SUM(D13:D40)</f>
        <v>990902578</v>
      </c>
      <c r="E41" s="128">
        <f>SUM(E13:E40)</f>
        <v>0</v>
      </c>
      <c r="F41" s="128">
        <f>SUM(F13:F40)</f>
        <v>9465383</v>
      </c>
      <c r="G41" s="128">
        <f>D41+E41-F41</f>
        <v>981437195</v>
      </c>
      <c r="H41" s="17"/>
    </row>
    <row r="42" spans="1:8" ht="22.5" x14ac:dyDescent="0.7">
      <c r="A42" s="18"/>
      <c r="B42" s="19"/>
      <c r="C42" s="20"/>
      <c r="D42" s="20"/>
      <c r="E42" s="21"/>
      <c r="F42" s="21"/>
      <c r="G42" s="21"/>
      <c r="H42" s="19"/>
    </row>
    <row r="43" spans="1:8" ht="18.5" x14ac:dyDescent="0.55000000000000004">
      <c r="A43" s="419" t="s">
        <v>68</v>
      </c>
      <c r="B43" s="419"/>
      <c r="C43" s="419"/>
      <c r="D43" s="419"/>
      <c r="E43" s="419"/>
      <c r="F43" s="419"/>
      <c r="G43" s="419"/>
      <c r="H43" s="419"/>
    </row>
    <row r="44" spans="1:8" x14ac:dyDescent="0.55000000000000004">
      <c r="A44" s="53"/>
      <c r="E44" s="53"/>
      <c r="F44" s="53"/>
      <c r="G44" s="53"/>
      <c r="H44" s="53"/>
    </row>
    <row r="45" spans="1:8" x14ac:dyDescent="0.55000000000000004">
      <c r="A45" s="53"/>
      <c r="E45" s="53"/>
      <c r="F45" s="53"/>
      <c r="G45" s="53"/>
      <c r="H45" s="53"/>
    </row>
    <row r="46" spans="1:8" x14ac:dyDescent="0.55000000000000004">
      <c r="A46" s="53"/>
      <c r="E46" s="53"/>
      <c r="F46" s="53"/>
      <c r="G46" s="53"/>
      <c r="H46" s="53"/>
    </row>
    <row r="47" spans="1:8" x14ac:dyDescent="0.55000000000000004">
      <c r="A47" s="53"/>
      <c r="E47" s="53"/>
      <c r="F47" s="53"/>
      <c r="G47" s="53"/>
      <c r="H47" s="53"/>
    </row>
    <row r="48" spans="1:8" x14ac:dyDescent="0.55000000000000004">
      <c r="A48" s="53"/>
      <c r="E48" s="53"/>
      <c r="F48" s="53"/>
      <c r="G48" s="53"/>
      <c r="H48" s="53"/>
    </row>
    <row r="49" spans="1:8" x14ac:dyDescent="0.55000000000000004">
      <c r="A49" s="53"/>
      <c r="E49" s="53"/>
      <c r="F49" s="53"/>
      <c r="G49" s="53"/>
      <c r="H49" s="53"/>
    </row>
    <row r="50" spans="1:8" x14ac:dyDescent="0.55000000000000004">
      <c r="A50" s="53"/>
      <c r="E50" s="53"/>
      <c r="F50" s="53"/>
      <c r="G50" s="53"/>
      <c r="H50" s="53"/>
    </row>
    <row r="51" spans="1:8" x14ac:dyDescent="0.55000000000000004">
      <c r="A51" s="53"/>
      <c r="E51" s="53"/>
      <c r="F51" s="53"/>
      <c r="G51" s="53"/>
      <c r="H51" s="53"/>
    </row>
    <row r="52" spans="1:8" x14ac:dyDescent="0.55000000000000004">
      <c r="A52" s="53"/>
      <c r="E52" s="53"/>
      <c r="F52" s="53"/>
      <c r="G52" s="53"/>
      <c r="H52" s="53"/>
    </row>
    <row r="53" spans="1:8" ht="18.5" x14ac:dyDescent="0.6">
      <c r="A53" s="407" t="s">
        <v>67</v>
      </c>
      <c r="B53" s="407"/>
      <c r="C53" s="407"/>
      <c r="D53" s="407"/>
      <c r="E53" s="407"/>
      <c r="F53" s="407"/>
      <c r="G53" s="407"/>
      <c r="H53" s="407"/>
    </row>
  </sheetData>
  <mergeCells count="14">
    <mergeCell ref="A53:H53"/>
    <mergeCell ref="G11:G12"/>
    <mergeCell ref="H11:H12"/>
    <mergeCell ref="A43:H43"/>
    <mergeCell ref="A1:H1"/>
    <mergeCell ref="A2:H2"/>
    <mergeCell ref="A9:H9"/>
    <mergeCell ref="A10:H10"/>
    <mergeCell ref="A11:A12"/>
    <mergeCell ref="B11:B12"/>
    <mergeCell ref="C11:C12"/>
    <mergeCell ref="E11:E12"/>
    <mergeCell ref="F11:F12"/>
    <mergeCell ref="D11:D12"/>
  </mergeCells>
  <pageMargins left="7.4999999999999997E-2" right="0.16666666666666666" top="0.75" bottom="0.75" header="0.3" footer="0.3"/>
  <pageSetup scale="80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J80"/>
  <sheetViews>
    <sheetView view="pageLayout" topLeftCell="A14" zoomScaleNormal="100" workbookViewId="0">
      <selection activeCell="F68" sqref="F68"/>
    </sheetView>
  </sheetViews>
  <sheetFormatPr defaultColWidth="9.1796875" defaultRowHeight="17" x14ac:dyDescent="0.55000000000000004"/>
  <cols>
    <col min="1" max="1" width="4" style="23" customWidth="1"/>
    <col min="2" max="2" width="9.54296875" style="22" customWidth="1"/>
    <col min="3" max="3" width="44.453125" style="22" customWidth="1"/>
    <col min="4" max="4" width="15.54296875" style="22" customWidth="1"/>
    <col min="5" max="5" width="14.453125" style="23" customWidth="1"/>
    <col min="6" max="6" width="14.81640625" style="23" customWidth="1"/>
    <col min="7" max="7" width="14.54296875" style="23" customWidth="1"/>
    <col min="8" max="8" width="6.453125" style="23" customWidth="1"/>
    <col min="9" max="9" width="24.54296875" style="23" customWidth="1"/>
    <col min="10" max="16384" width="9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15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3.6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22" t="s">
        <v>1</v>
      </c>
    </row>
    <row r="11" spans="1:10" ht="20.25" customHeight="1" x14ac:dyDescent="0.55000000000000004">
      <c r="A11" s="411"/>
      <c r="B11" s="411"/>
      <c r="C11" s="411"/>
      <c r="D11" s="411"/>
      <c r="E11" s="412"/>
      <c r="F11" s="414"/>
      <c r="G11" s="408"/>
      <c r="H11" s="422"/>
    </row>
    <row r="12" spans="1:10" x14ac:dyDescent="0.55000000000000004">
      <c r="A12" s="129">
        <v>1</v>
      </c>
      <c r="B12" s="107" t="s">
        <v>51</v>
      </c>
      <c r="C12" s="175" t="s">
        <v>10</v>
      </c>
      <c r="D12" s="176">
        <v>765454656</v>
      </c>
      <c r="E12" s="176"/>
      <c r="F12" s="176">
        <v>0</v>
      </c>
      <c r="G12" s="113">
        <f>D12</f>
        <v>765454656</v>
      </c>
      <c r="H12" s="61"/>
    </row>
    <row r="13" spans="1:10" x14ac:dyDescent="0.55000000000000004">
      <c r="A13" s="106">
        <v>2</v>
      </c>
      <c r="B13" s="108" t="s">
        <v>58</v>
      </c>
      <c r="C13" s="38" t="s">
        <v>61</v>
      </c>
      <c r="D13" s="59"/>
      <c r="E13" s="177"/>
      <c r="F13" s="59">
        <v>146897500</v>
      </c>
      <c r="G13" s="133">
        <f>G12+E13-F13</f>
        <v>618557156</v>
      </c>
      <c r="H13" s="62"/>
    </row>
    <row r="14" spans="1:10" x14ac:dyDescent="0.55000000000000004">
      <c r="A14" s="100">
        <v>3</v>
      </c>
      <c r="B14" s="110" t="s">
        <v>37</v>
      </c>
      <c r="C14" s="38" t="s">
        <v>62</v>
      </c>
      <c r="D14" s="84"/>
      <c r="E14" s="102"/>
      <c r="F14" s="84">
        <v>3168580</v>
      </c>
      <c r="G14" s="133">
        <f>G13+E14-F14</f>
        <v>615388576</v>
      </c>
      <c r="H14" s="49"/>
      <c r="I14" s="8"/>
    </row>
    <row r="15" spans="1:10" x14ac:dyDescent="0.55000000000000004">
      <c r="A15" s="106">
        <v>4</v>
      </c>
      <c r="B15" s="110" t="s">
        <v>138</v>
      </c>
      <c r="C15" s="234" t="s">
        <v>140</v>
      </c>
      <c r="D15" s="115"/>
      <c r="E15" s="118">
        <v>2093340000</v>
      </c>
      <c r="F15" s="149"/>
      <c r="G15" s="133">
        <f t="shared" ref="G15:G67" si="0">G14+E15-F15</f>
        <v>2708728576</v>
      </c>
      <c r="H15" s="63"/>
      <c r="I15" s="8"/>
    </row>
    <row r="16" spans="1:10" x14ac:dyDescent="0.55000000000000004">
      <c r="A16" s="100">
        <v>5</v>
      </c>
      <c r="B16" s="110" t="s">
        <v>145</v>
      </c>
      <c r="C16" s="234" t="s">
        <v>150</v>
      </c>
      <c r="D16" s="115"/>
      <c r="E16" s="118"/>
      <c r="F16" s="121">
        <v>166721497</v>
      </c>
      <c r="G16" s="133">
        <f t="shared" si="0"/>
        <v>2542007079</v>
      </c>
      <c r="H16" s="63"/>
      <c r="I16" s="8"/>
    </row>
    <row r="17" spans="1:8" x14ac:dyDescent="0.55000000000000004">
      <c r="A17" s="106">
        <v>6</v>
      </c>
      <c r="B17" s="110" t="s">
        <v>164</v>
      </c>
      <c r="C17" s="40" t="s">
        <v>165</v>
      </c>
      <c r="D17" s="58"/>
      <c r="E17" s="118"/>
      <c r="F17" s="58">
        <v>27357384</v>
      </c>
      <c r="G17" s="116">
        <f t="shared" si="0"/>
        <v>2514649695</v>
      </c>
      <c r="H17" s="64"/>
    </row>
    <row r="18" spans="1:8" x14ac:dyDescent="0.55000000000000004">
      <c r="A18" s="100">
        <v>7</v>
      </c>
      <c r="B18" s="110" t="s">
        <v>37</v>
      </c>
      <c r="C18" s="40" t="s">
        <v>166</v>
      </c>
      <c r="D18" s="58"/>
      <c r="E18" s="118"/>
      <c r="F18" s="58">
        <v>30820344</v>
      </c>
      <c r="G18" s="116">
        <f t="shared" si="0"/>
        <v>2483829351</v>
      </c>
      <c r="H18" s="64"/>
    </row>
    <row r="19" spans="1:8" x14ac:dyDescent="0.55000000000000004">
      <c r="A19" s="106">
        <v>8</v>
      </c>
      <c r="B19" s="110" t="s">
        <v>37</v>
      </c>
      <c r="C19" s="39" t="s">
        <v>167</v>
      </c>
      <c r="D19" s="58"/>
      <c r="E19" s="121"/>
      <c r="F19" s="58">
        <v>25990000</v>
      </c>
      <c r="G19" s="116">
        <f t="shared" si="0"/>
        <v>2457839351</v>
      </c>
      <c r="H19" s="64"/>
    </row>
    <row r="20" spans="1:8" x14ac:dyDescent="0.55000000000000004">
      <c r="A20" s="100">
        <v>9</v>
      </c>
      <c r="B20" s="110" t="s">
        <v>37</v>
      </c>
      <c r="C20" s="39" t="s">
        <v>168</v>
      </c>
      <c r="D20" s="58"/>
      <c r="E20" s="121"/>
      <c r="F20" s="58">
        <v>144642417</v>
      </c>
      <c r="G20" s="116">
        <f t="shared" si="0"/>
        <v>2313196934</v>
      </c>
      <c r="H20" s="64"/>
    </row>
    <row r="21" spans="1:8" x14ac:dyDescent="0.55000000000000004">
      <c r="A21" s="106">
        <v>10</v>
      </c>
      <c r="B21" s="110" t="s">
        <v>37</v>
      </c>
      <c r="C21" s="40" t="s">
        <v>169</v>
      </c>
      <c r="D21" s="58"/>
      <c r="E21" s="118"/>
      <c r="F21" s="58">
        <v>4032000</v>
      </c>
      <c r="G21" s="116">
        <f t="shared" si="0"/>
        <v>2309164934</v>
      </c>
      <c r="H21" s="64"/>
    </row>
    <row r="22" spans="1:8" x14ac:dyDescent="0.55000000000000004">
      <c r="A22" s="100">
        <v>11</v>
      </c>
      <c r="B22" s="110" t="s">
        <v>37</v>
      </c>
      <c r="C22" s="40" t="s">
        <v>170</v>
      </c>
      <c r="D22" s="58"/>
      <c r="E22" s="118"/>
      <c r="F22" s="58">
        <v>298890160</v>
      </c>
      <c r="G22" s="116">
        <f t="shared" si="0"/>
        <v>2010274774</v>
      </c>
      <c r="H22" s="64"/>
    </row>
    <row r="23" spans="1:8" x14ac:dyDescent="0.55000000000000004">
      <c r="A23" s="106">
        <v>12</v>
      </c>
      <c r="B23" s="110" t="s">
        <v>37</v>
      </c>
      <c r="C23" s="41" t="s">
        <v>171</v>
      </c>
      <c r="D23" s="69"/>
      <c r="E23" s="272"/>
      <c r="F23" s="69">
        <f>21200*8664</f>
        <v>183676800</v>
      </c>
      <c r="G23" s="116">
        <f t="shared" si="0"/>
        <v>1826597974</v>
      </c>
      <c r="H23" s="64"/>
    </row>
    <row r="24" spans="1:8" x14ac:dyDescent="0.55000000000000004">
      <c r="A24" s="100">
        <v>13</v>
      </c>
      <c r="B24" s="110" t="s">
        <v>164</v>
      </c>
      <c r="C24" s="249" t="s">
        <v>257</v>
      </c>
      <c r="D24" s="250"/>
      <c r="E24" s="283"/>
      <c r="F24" s="250">
        <v>35044000</v>
      </c>
      <c r="G24" s="116">
        <f t="shared" si="0"/>
        <v>1791553974</v>
      </c>
      <c r="H24" s="64"/>
    </row>
    <row r="25" spans="1:8" x14ac:dyDescent="0.55000000000000004">
      <c r="A25" s="106">
        <v>14</v>
      </c>
      <c r="B25" s="110" t="s">
        <v>37</v>
      </c>
      <c r="C25" s="249" t="s">
        <v>258</v>
      </c>
      <c r="D25" s="250"/>
      <c r="E25" s="283"/>
      <c r="F25" s="250">
        <v>16495000</v>
      </c>
      <c r="G25" s="116">
        <f t="shared" si="0"/>
        <v>1775058974</v>
      </c>
      <c r="H25" s="64"/>
    </row>
    <row r="26" spans="1:8" x14ac:dyDescent="0.55000000000000004">
      <c r="A26" s="100">
        <v>15</v>
      </c>
      <c r="B26" s="110" t="s">
        <v>37</v>
      </c>
      <c r="C26" s="284" t="s">
        <v>259</v>
      </c>
      <c r="D26" s="250"/>
      <c r="E26" s="285"/>
      <c r="F26" s="250">
        <v>1130000</v>
      </c>
      <c r="G26" s="116">
        <f t="shared" si="0"/>
        <v>1773928974</v>
      </c>
      <c r="H26" s="64"/>
    </row>
    <row r="27" spans="1:8" x14ac:dyDescent="0.55000000000000004">
      <c r="A27" s="106">
        <v>16</v>
      </c>
      <c r="B27" s="110" t="s">
        <v>37</v>
      </c>
      <c r="C27" s="249" t="s">
        <v>260</v>
      </c>
      <c r="D27" s="250"/>
      <c r="E27" s="285"/>
      <c r="F27" s="250">
        <v>640000</v>
      </c>
      <c r="G27" s="116">
        <f t="shared" si="0"/>
        <v>1773288974</v>
      </c>
      <c r="H27" s="64"/>
    </row>
    <row r="28" spans="1:8" x14ac:dyDescent="0.55000000000000004">
      <c r="A28" s="100">
        <v>17</v>
      </c>
      <c r="B28" s="110" t="s">
        <v>37</v>
      </c>
      <c r="C28" s="249" t="s">
        <v>261</v>
      </c>
      <c r="D28" s="250"/>
      <c r="E28" s="285"/>
      <c r="F28" s="250">
        <v>2030000</v>
      </c>
      <c r="G28" s="116">
        <f t="shared" si="0"/>
        <v>1771258974</v>
      </c>
      <c r="H28" s="64"/>
    </row>
    <row r="29" spans="1:8" x14ac:dyDescent="0.55000000000000004">
      <c r="A29" s="106">
        <v>18</v>
      </c>
      <c r="B29" s="110" t="s">
        <v>37</v>
      </c>
      <c r="C29" s="249" t="s">
        <v>262</v>
      </c>
      <c r="D29" s="250"/>
      <c r="E29" s="285"/>
      <c r="F29" s="250">
        <v>250000</v>
      </c>
      <c r="G29" s="116">
        <f t="shared" si="0"/>
        <v>1771008974</v>
      </c>
      <c r="H29" s="64"/>
    </row>
    <row r="30" spans="1:8" x14ac:dyDescent="0.55000000000000004">
      <c r="A30" s="100">
        <v>19</v>
      </c>
      <c r="B30" s="110" t="s">
        <v>37</v>
      </c>
      <c r="C30" s="249" t="s">
        <v>263</v>
      </c>
      <c r="D30" s="250"/>
      <c r="E30" s="285"/>
      <c r="F30" s="250">
        <v>2120000</v>
      </c>
      <c r="G30" s="116">
        <f t="shared" si="0"/>
        <v>1768888974</v>
      </c>
      <c r="H30" s="64"/>
    </row>
    <row r="31" spans="1:8" x14ac:dyDescent="0.55000000000000004">
      <c r="A31" s="106">
        <v>20</v>
      </c>
      <c r="B31" s="110" t="s">
        <v>37</v>
      </c>
      <c r="C31" s="249" t="s">
        <v>264</v>
      </c>
      <c r="D31" s="250"/>
      <c r="E31" s="285"/>
      <c r="F31" s="250">
        <v>2475000</v>
      </c>
      <c r="G31" s="116">
        <f t="shared" si="0"/>
        <v>1766413974</v>
      </c>
      <c r="H31" s="64"/>
    </row>
    <row r="32" spans="1:8" x14ac:dyDescent="0.55000000000000004">
      <c r="A32" s="100">
        <v>21</v>
      </c>
      <c r="B32" s="110" t="s">
        <v>37</v>
      </c>
      <c r="C32" s="249" t="s">
        <v>265</v>
      </c>
      <c r="D32" s="250"/>
      <c r="E32" s="285"/>
      <c r="F32" s="250">
        <v>4320000</v>
      </c>
      <c r="G32" s="116">
        <f t="shared" si="0"/>
        <v>1762093974</v>
      </c>
      <c r="H32" s="64"/>
    </row>
    <row r="33" spans="1:8" x14ac:dyDescent="0.55000000000000004">
      <c r="A33" s="106">
        <v>22</v>
      </c>
      <c r="B33" s="110" t="s">
        <v>37</v>
      </c>
      <c r="C33" s="251" t="s">
        <v>266</v>
      </c>
      <c r="D33" s="252"/>
      <c r="E33" s="285"/>
      <c r="F33" s="252">
        <v>14700000</v>
      </c>
      <c r="G33" s="116">
        <f t="shared" si="0"/>
        <v>1747393974</v>
      </c>
      <c r="H33" s="64"/>
    </row>
    <row r="34" spans="1:8" x14ac:dyDescent="0.55000000000000004">
      <c r="A34" s="100">
        <v>23</v>
      </c>
      <c r="B34" s="110" t="s">
        <v>37</v>
      </c>
      <c r="C34" s="251" t="s">
        <v>267</v>
      </c>
      <c r="D34" s="252"/>
      <c r="E34" s="285"/>
      <c r="F34" s="252">
        <v>14700000</v>
      </c>
      <c r="G34" s="116">
        <f t="shared" si="0"/>
        <v>1732693974</v>
      </c>
      <c r="H34" s="64"/>
    </row>
    <row r="35" spans="1:8" x14ac:dyDescent="0.55000000000000004">
      <c r="A35" s="106">
        <v>24</v>
      </c>
      <c r="B35" s="110" t="s">
        <v>37</v>
      </c>
      <c r="C35" s="251" t="s">
        <v>268</v>
      </c>
      <c r="D35" s="252"/>
      <c r="E35" s="285"/>
      <c r="F35" s="252">
        <v>14700000</v>
      </c>
      <c r="G35" s="116">
        <f t="shared" si="0"/>
        <v>1717993974</v>
      </c>
      <c r="H35" s="64"/>
    </row>
    <row r="36" spans="1:8" x14ac:dyDescent="0.55000000000000004">
      <c r="A36" s="100">
        <v>25</v>
      </c>
      <c r="B36" s="110" t="s">
        <v>37</v>
      </c>
      <c r="C36" s="251" t="s">
        <v>269</v>
      </c>
      <c r="D36" s="252"/>
      <c r="E36" s="283"/>
      <c r="F36" s="252">
        <v>14700000</v>
      </c>
      <c r="G36" s="116">
        <f t="shared" si="0"/>
        <v>1703293974</v>
      </c>
      <c r="H36" s="64"/>
    </row>
    <row r="37" spans="1:8" x14ac:dyDescent="0.55000000000000004">
      <c r="A37" s="106">
        <v>26</v>
      </c>
      <c r="B37" s="110" t="s">
        <v>37</v>
      </c>
      <c r="C37" s="29" t="s">
        <v>300</v>
      </c>
      <c r="D37" s="119"/>
      <c r="E37" s="102">
        <v>1175000</v>
      </c>
      <c r="F37" s="102"/>
      <c r="G37" s="116">
        <f t="shared" si="0"/>
        <v>1704468974</v>
      </c>
      <c r="H37" s="64"/>
    </row>
    <row r="38" spans="1:8" x14ac:dyDescent="0.55000000000000004">
      <c r="A38" s="100">
        <v>27</v>
      </c>
      <c r="B38" s="110" t="s">
        <v>37</v>
      </c>
      <c r="C38" s="29"/>
      <c r="D38" s="119"/>
      <c r="E38" s="102"/>
      <c r="F38" s="102"/>
      <c r="G38" s="116">
        <f t="shared" si="0"/>
        <v>1704468974</v>
      </c>
      <c r="H38" s="66"/>
    </row>
    <row r="39" spans="1:8" x14ac:dyDescent="0.55000000000000004">
      <c r="A39" s="106">
        <v>28</v>
      </c>
      <c r="B39" s="110" t="s">
        <v>37</v>
      </c>
      <c r="C39" s="29"/>
      <c r="D39" s="119"/>
      <c r="E39" s="102"/>
      <c r="F39" s="102"/>
      <c r="G39" s="116">
        <f t="shared" si="0"/>
        <v>1704468974</v>
      </c>
      <c r="H39" s="66"/>
    </row>
    <row r="40" spans="1:8" x14ac:dyDescent="0.55000000000000004">
      <c r="A40" s="100">
        <v>29</v>
      </c>
      <c r="B40" s="110" t="s">
        <v>37</v>
      </c>
      <c r="C40" s="29"/>
      <c r="D40" s="119"/>
      <c r="E40" s="102"/>
      <c r="F40" s="102"/>
      <c r="G40" s="116">
        <f t="shared" si="0"/>
        <v>1704468974</v>
      </c>
      <c r="H40" s="64"/>
    </row>
    <row r="41" spans="1:8" x14ac:dyDescent="0.55000000000000004">
      <c r="A41" s="106">
        <v>30</v>
      </c>
      <c r="B41" s="110" t="s">
        <v>37</v>
      </c>
      <c r="C41" s="29"/>
      <c r="D41" s="119"/>
      <c r="E41" s="102"/>
      <c r="F41" s="102"/>
      <c r="G41" s="116">
        <f t="shared" si="0"/>
        <v>1704468974</v>
      </c>
      <c r="H41" s="64"/>
    </row>
    <row r="42" spans="1:8" x14ac:dyDescent="0.55000000000000004">
      <c r="A42" s="100">
        <v>31</v>
      </c>
      <c r="B42" s="110" t="s">
        <v>37</v>
      </c>
      <c r="C42" s="29"/>
      <c r="D42" s="119"/>
      <c r="E42" s="102"/>
      <c r="F42" s="149"/>
      <c r="G42" s="133">
        <f t="shared" si="0"/>
        <v>1704468974</v>
      </c>
      <c r="H42" s="70"/>
    </row>
    <row r="43" spans="1:8" x14ac:dyDescent="0.55000000000000004">
      <c r="A43" s="106">
        <v>32</v>
      </c>
      <c r="B43" s="110" t="s">
        <v>37</v>
      </c>
      <c r="C43" s="29"/>
      <c r="D43" s="119"/>
      <c r="E43" s="102"/>
      <c r="F43" s="149"/>
      <c r="G43" s="133">
        <f t="shared" si="0"/>
        <v>1704468974</v>
      </c>
      <c r="H43" s="70"/>
    </row>
    <row r="44" spans="1:8" x14ac:dyDescent="0.55000000000000004">
      <c r="A44" s="100">
        <v>33</v>
      </c>
      <c r="B44" s="110" t="s">
        <v>37</v>
      </c>
      <c r="C44" s="29"/>
      <c r="D44" s="119"/>
      <c r="E44" s="102"/>
      <c r="F44" s="102"/>
      <c r="G44" s="133">
        <f t="shared" si="0"/>
        <v>1704468974</v>
      </c>
      <c r="H44" s="64"/>
    </row>
    <row r="45" spans="1:8" s="53" customFormat="1" x14ac:dyDescent="0.55000000000000004">
      <c r="A45" s="106">
        <v>34</v>
      </c>
      <c r="B45" s="110" t="s">
        <v>37</v>
      </c>
      <c r="C45" s="29"/>
      <c r="D45" s="119"/>
      <c r="E45" s="102"/>
      <c r="F45" s="102"/>
      <c r="G45" s="133">
        <f t="shared" si="0"/>
        <v>1704468974</v>
      </c>
      <c r="H45" s="64"/>
    </row>
    <row r="46" spans="1:8" s="53" customFormat="1" x14ac:dyDescent="0.55000000000000004">
      <c r="A46" s="100">
        <v>35</v>
      </c>
      <c r="B46" s="110" t="s">
        <v>37</v>
      </c>
      <c r="C46" s="29"/>
      <c r="D46" s="119"/>
      <c r="E46" s="102"/>
      <c r="F46" s="102"/>
      <c r="G46" s="133">
        <f t="shared" si="0"/>
        <v>1704468974</v>
      </c>
      <c r="H46" s="64"/>
    </row>
    <row r="47" spans="1:8" x14ac:dyDescent="0.55000000000000004">
      <c r="A47" s="106">
        <v>36</v>
      </c>
      <c r="B47" s="110" t="s">
        <v>37</v>
      </c>
      <c r="C47" s="29"/>
      <c r="D47" s="119"/>
      <c r="E47" s="102"/>
      <c r="F47" s="102"/>
      <c r="G47" s="133">
        <f t="shared" si="0"/>
        <v>1704468974</v>
      </c>
      <c r="H47" s="71"/>
    </row>
    <row r="48" spans="1:8" x14ac:dyDescent="0.55000000000000004">
      <c r="A48" s="100">
        <v>37</v>
      </c>
      <c r="B48" s="110" t="s">
        <v>37</v>
      </c>
      <c r="C48" s="29"/>
      <c r="D48" s="119"/>
      <c r="E48" s="102"/>
      <c r="F48" s="102"/>
      <c r="G48" s="133">
        <f t="shared" si="0"/>
        <v>1704468974</v>
      </c>
      <c r="H48" s="64"/>
    </row>
    <row r="49" spans="1:8" x14ac:dyDescent="0.55000000000000004">
      <c r="A49" s="106">
        <v>38</v>
      </c>
      <c r="B49" s="110" t="s">
        <v>37</v>
      </c>
      <c r="C49" s="29"/>
      <c r="D49" s="119"/>
      <c r="E49" s="102"/>
      <c r="F49" s="102"/>
      <c r="G49" s="133">
        <f t="shared" si="0"/>
        <v>1704468974</v>
      </c>
      <c r="H49" s="64"/>
    </row>
    <row r="50" spans="1:8" x14ac:dyDescent="0.55000000000000004">
      <c r="A50" s="100">
        <v>39</v>
      </c>
      <c r="B50" s="110" t="s">
        <v>37</v>
      </c>
      <c r="C50" s="40"/>
      <c r="D50" s="58"/>
      <c r="E50" s="102"/>
      <c r="F50" s="58"/>
      <c r="G50" s="133">
        <f t="shared" si="0"/>
        <v>1704468974</v>
      </c>
      <c r="H50" s="64"/>
    </row>
    <row r="51" spans="1:8" s="53" customFormat="1" x14ac:dyDescent="0.55000000000000004">
      <c r="A51" s="106">
        <v>40</v>
      </c>
      <c r="B51" s="110" t="s">
        <v>37</v>
      </c>
      <c r="C51" s="43"/>
      <c r="D51" s="57"/>
      <c r="E51" s="102"/>
      <c r="F51" s="58"/>
      <c r="G51" s="133">
        <f t="shared" si="0"/>
        <v>1704468974</v>
      </c>
      <c r="H51" s="64"/>
    </row>
    <row r="52" spans="1:8" s="53" customFormat="1" x14ac:dyDescent="0.55000000000000004">
      <c r="A52" s="100">
        <v>41</v>
      </c>
      <c r="B52" s="110" t="s">
        <v>37</v>
      </c>
      <c r="C52" s="40"/>
      <c r="D52" s="57"/>
      <c r="E52" s="102"/>
      <c r="F52" s="58"/>
      <c r="G52" s="133">
        <f t="shared" si="0"/>
        <v>1704468974</v>
      </c>
      <c r="H52" s="64"/>
    </row>
    <row r="53" spans="1:8" s="53" customFormat="1" x14ac:dyDescent="0.55000000000000004">
      <c r="A53" s="106">
        <v>42</v>
      </c>
      <c r="B53" s="110" t="s">
        <v>37</v>
      </c>
      <c r="C53" s="40"/>
      <c r="D53" s="57"/>
      <c r="E53" s="102"/>
      <c r="F53" s="58"/>
      <c r="G53" s="133">
        <f t="shared" si="0"/>
        <v>1704468974</v>
      </c>
      <c r="H53" s="64"/>
    </row>
    <row r="54" spans="1:8" s="53" customFormat="1" x14ac:dyDescent="0.55000000000000004">
      <c r="A54" s="99">
        <v>43</v>
      </c>
      <c r="B54" s="208" t="s">
        <v>37</v>
      </c>
      <c r="C54" s="39"/>
      <c r="D54" s="58"/>
      <c r="E54" s="102"/>
      <c r="F54" s="58"/>
      <c r="G54" s="152">
        <f t="shared" si="0"/>
        <v>1704468974</v>
      </c>
      <c r="H54" s="64"/>
    </row>
    <row r="55" spans="1:8" s="53" customFormat="1" x14ac:dyDescent="0.55000000000000004">
      <c r="A55" s="143">
        <v>44</v>
      </c>
      <c r="B55" s="208" t="s">
        <v>37</v>
      </c>
      <c r="C55" s="39"/>
      <c r="D55" s="58"/>
      <c r="E55" s="102"/>
      <c r="F55" s="58"/>
      <c r="G55" s="152">
        <f t="shared" si="0"/>
        <v>1704468974</v>
      </c>
      <c r="H55" s="64"/>
    </row>
    <row r="56" spans="1:8" s="53" customFormat="1" x14ac:dyDescent="0.55000000000000004">
      <c r="A56" s="100">
        <v>45</v>
      </c>
      <c r="B56" s="110" t="s">
        <v>37</v>
      </c>
      <c r="C56" s="85"/>
      <c r="D56" s="57"/>
      <c r="E56" s="102"/>
      <c r="F56" s="58"/>
      <c r="G56" s="133">
        <f t="shared" si="0"/>
        <v>1704468974</v>
      </c>
      <c r="H56" s="64"/>
    </row>
    <row r="57" spans="1:8" s="53" customFormat="1" x14ac:dyDescent="0.55000000000000004">
      <c r="A57" s="106">
        <v>46</v>
      </c>
      <c r="B57" s="110" t="s">
        <v>37</v>
      </c>
      <c r="C57" s="86"/>
      <c r="D57" s="83"/>
      <c r="E57" s="150"/>
      <c r="F57" s="69"/>
      <c r="G57" s="151">
        <f t="shared" si="0"/>
        <v>1704468974</v>
      </c>
      <c r="H57" s="87"/>
    </row>
    <row r="58" spans="1:8" s="53" customFormat="1" x14ac:dyDescent="0.55000000000000004">
      <c r="A58" s="100">
        <v>47</v>
      </c>
      <c r="B58" s="110" t="s">
        <v>37</v>
      </c>
      <c r="C58" s="40"/>
      <c r="D58" s="58"/>
      <c r="E58" s="102"/>
      <c r="F58" s="58"/>
      <c r="G58" s="152">
        <f t="shared" si="0"/>
        <v>1704468974</v>
      </c>
      <c r="H58" s="64"/>
    </row>
    <row r="59" spans="1:8" s="53" customFormat="1" x14ac:dyDescent="0.55000000000000004">
      <c r="A59" s="106">
        <v>48</v>
      </c>
      <c r="B59" s="110" t="s">
        <v>37</v>
      </c>
      <c r="C59" s="40"/>
      <c r="D59" s="58"/>
      <c r="E59" s="102"/>
      <c r="F59" s="58"/>
      <c r="G59" s="152">
        <f t="shared" si="0"/>
        <v>1704468974</v>
      </c>
      <c r="H59" s="64"/>
    </row>
    <row r="60" spans="1:8" s="53" customFormat="1" x14ac:dyDescent="0.55000000000000004">
      <c r="A60" s="100">
        <v>49</v>
      </c>
      <c r="B60" s="110" t="s">
        <v>37</v>
      </c>
      <c r="C60" s="43"/>
      <c r="D60" s="57"/>
      <c r="E60" s="102"/>
      <c r="F60" s="58"/>
      <c r="G60" s="133">
        <f t="shared" si="0"/>
        <v>1704468974</v>
      </c>
      <c r="H60" s="64"/>
    </row>
    <row r="61" spans="1:8" s="53" customFormat="1" x14ac:dyDescent="0.55000000000000004">
      <c r="A61" s="106">
        <v>50</v>
      </c>
      <c r="B61" s="110" t="s">
        <v>37</v>
      </c>
      <c r="C61" s="43"/>
      <c r="D61" s="57"/>
      <c r="E61" s="102"/>
      <c r="F61" s="58"/>
      <c r="G61" s="133">
        <f t="shared" si="0"/>
        <v>1704468974</v>
      </c>
      <c r="H61" s="64"/>
    </row>
    <row r="62" spans="1:8" s="53" customFormat="1" x14ac:dyDescent="0.55000000000000004">
      <c r="A62" s="100">
        <v>51</v>
      </c>
      <c r="B62" s="110" t="s">
        <v>37</v>
      </c>
      <c r="C62" s="43"/>
      <c r="D62" s="57"/>
      <c r="E62" s="102"/>
      <c r="F62" s="58"/>
      <c r="G62" s="133">
        <f t="shared" si="0"/>
        <v>1704468974</v>
      </c>
      <c r="H62" s="64"/>
    </row>
    <row r="63" spans="1:8" s="53" customFormat="1" x14ac:dyDescent="0.55000000000000004">
      <c r="A63" s="106">
        <v>52</v>
      </c>
      <c r="B63" s="110" t="s">
        <v>37</v>
      </c>
      <c r="C63" s="43"/>
      <c r="D63" s="57"/>
      <c r="E63" s="102"/>
      <c r="F63" s="58"/>
      <c r="G63" s="133">
        <f t="shared" si="0"/>
        <v>1704468974</v>
      </c>
      <c r="H63" s="64"/>
    </row>
    <row r="64" spans="1:8" s="53" customFormat="1" x14ac:dyDescent="0.55000000000000004">
      <c r="A64" s="100">
        <v>53</v>
      </c>
      <c r="B64" s="110" t="s">
        <v>37</v>
      </c>
      <c r="C64" s="43"/>
      <c r="D64" s="57"/>
      <c r="E64" s="102"/>
      <c r="F64" s="58"/>
      <c r="G64" s="133">
        <f t="shared" si="0"/>
        <v>1704468974</v>
      </c>
      <c r="H64" s="64"/>
    </row>
    <row r="65" spans="1:8" s="53" customFormat="1" x14ac:dyDescent="0.55000000000000004">
      <c r="A65" s="106">
        <v>54</v>
      </c>
      <c r="B65" s="110" t="s">
        <v>37</v>
      </c>
      <c r="C65" s="43"/>
      <c r="D65" s="57"/>
      <c r="E65" s="102"/>
      <c r="F65" s="58"/>
      <c r="G65" s="133">
        <f t="shared" si="0"/>
        <v>1704468974</v>
      </c>
      <c r="H65" s="64"/>
    </row>
    <row r="66" spans="1:8" s="53" customFormat="1" x14ac:dyDescent="0.55000000000000004">
      <c r="A66" s="100">
        <v>55</v>
      </c>
      <c r="B66" s="110" t="s">
        <v>37</v>
      </c>
      <c r="C66" s="43"/>
      <c r="D66" s="57"/>
      <c r="E66" s="102"/>
      <c r="F66" s="58"/>
      <c r="G66" s="133">
        <f t="shared" si="0"/>
        <v>1704468974</v>
      </c>
      <c r="H66" s="64"/>
    </row>
    <row r="67" spans="1:8" x14ac:dyDescent="0.55000000000000004">
      <c r="A67" s="106">
        <v>56</v>
      </c>
      <c r="B67" s="110" t="s">
        <v>37</v>
      </c>
      <c r="C67" s="29"/>
      <c r="D67" s="119"/>
      <c r="E67" s="102"/>
      <c r="F67" s="102"/>
      <c r="G67" s="133">
        <f t="shared" si="0"/>
        <v>1704468974</v>
      </c>
      <c r="H67" s="64"/>
    </row>
    <row r="68" spans="1:8" ht="21.65" customHeight="1" x14ac:dyDescent="0.55000000000000004">
      <c r="A68" s="16"/>
      <c r="B68" s="72" t="s">
        <v>2</v>
      </c>
      <c r="C68" s="72"/>
      <c r="D68" s="127">
        <f>SUM(D12:D67)</f>
        <v>765454656</v>
      </c>
      <c r="E68" s="128">
        <f>SUM(E12:E67)</f>
        <v>2094515000</v>
      </c>
      <c r="F68" s="128">
        <f>SUM(F12:F67)</f>
        <v>1155500682</v>
      </c>
      <c r="G68" s="128">
        <f>D68+E68-F68</f>
        <v>1704468974</v>
      </c>
      <c r="H68" s="72"/>
    </row>
    <row r="69" spans="1:8" ht="22.5" x14ac:dyDescent="0.7">
      <c r="A69" s="18"/>
      <c r="B69" s="19"/>
      <c r="C69" s="20"/>
      <c r="D69" s="20"/>
      <c r="E69" s="21"/>
      <c r="F69" s="21"/>
      <c r="G69" s="21"/>
      <c r="H69" s="19"/>
    </row>
    <row r="70" spans="1:8" ht="18.5" x14ac:dyDescent="0.55000000000000004">
      <c r="A70" s="419" t="s">
        <v>68</v>
      </c>
      <c r="B70" s="419"/>
      <c r="C70" s="419"/>
      <c r="D70" s="419"/>
      <c r="E70" s="419"/>
      <c r="F70" s="419"/>
      <c r="G70" s="419"/>
      <c r="H70" s="419"/>
    </row>
    <row r="71" spans="1:8" x14ac:dyDescent="0.55000000000000004">
      <c r="A71" s="53"/>
      <c r="E71" s="53"/>
      <c r="F71" s="53"/>
      <c r="G71" s="53"/>
      <c r="H71" s="53"/>
    </row>
    <row r="72" spans="1:8" x14ac:dyDescent="0.55000000000000004">
      <c r="A72" s="53"/>
      <c r="E72" s="53"/>
      <c r="F72" s="53"/>
      <c r="G72" s="53"/>
      <c r="H72" s="53"/>
    </row>
    <row r="73" spans="1:8" x14ac:dyDescent="0.55000000000000004">
      <c r="A73" s="53"/>
      <c r="E73" s="53"/>
      <c r="F73" s="53"/>
      <c r="G73" s="53"/>
      <c r="H73" s="53"/>
    </row>
    <row r="74" spans="1:8" x14ac:dyDescent="0.55000000000000004">
      <c r="A74" s="53"/>
      <c r="E74" s="53"/>
      <c r="F74" s="53"/>
      <c r="G74" s="53"/>
      <c r="H74" s="53"/>
    </row>
    <row r="75" spans="1:8" x14ac:dyDescent="0.55000000000000004">
      <c r="A75" s="53"/>
      <c r="E75" s="53"/>
      <c r="F75" s="53"/>
      <c r="G75" s="53"/>
      <c r="H75" s="53"/>
    </row>
    <row r="76" spans="1:8" x14ac:dyDescent="0.55000000000000004">
      <c r="A76" s="53"/>
      <c r="E76" s="53"/>
      <c r="F76" s="53"/>
      <c r="G76" s="53"/>
      <c r="H76" s="53"/>
    </row>
    <row r="77" spans="1:8" x14ac:dyDescent="0.55000000000000004">
      <c r="A77" s="53"/>
      <c r="E77" s="53"/>
      <c r="F77" s="53"/>
      <c r="G77" s="53"/>
      <c r="H77" s="53"/>
    </row>
    <row r="78" spans="1:8" x14ac:dyDescent="0.55000000000000004">
      <c r="A78" s="53"/>
      <c r="E78" s="53"/>
      <c r="F78" s="53"/>
      <c r="G78" s="53"/>
      <c r="H78" s="53"/>
    </row>
    <row r="79" spans="1:8" x14ac:dyDescent="0.55000000000000004">
      <c r="A79" s="53"/>
      <c r="E79" s="53"/>
      <c r="F79" s="53"/>
      <c r="G79" s="53"/>
      <c r="H79" s="53"/>
    </row>
    <row r="80" spans="1:8" ht="18.5" x14ac:dyDescent="0.6">
      <c r="A80" s="407" t="s">
        <v>67</v>
      </c>
      <c r="B80" s="407"/>
      <c r="C80" s="407"/>
      <c r="D80" s="407"/>
      <c r="E80" s="407"/>
      <c r="F80" s="407"/>
      <c r="G80" s="407"/>
      <c r="H80" s="407"/>
    </row>
  </sheetData>
  <mergeCells count="14">
    <mergeCell ref="A80:H80"/>
    <mergeCell ref="G10:G11"/>
    <mergeCell ref="H10:H11"/>
    <mergeCell ref="A70:H70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9.7395833333333334E-2" right="0.11510416666666666" top="0.37" bottom="0.3" header="0.3" footer="0.3"/>
  <pageSetup scale="8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J53"/>
  <sheetViews>
    <sheetView view="pageLayout" topLeftCell="A10" zoomScaleNormal="100" workbookViewId="0">
      <selection activeCell="F41" sqref="F41"/>
    </sheetView>
  </sheetViews>
  <sheetFormatPr defaultColWidth="9.1796875" defaultRowHeight="17" x14ac:dyDescent="0.55000000000000004"/>
  <cols>
    <col min="1" max="1" width="5" style="23" customWidth="1"/>
    <col min="2" max="2" width="11.453125" style="22" customWidth="1"/>
    <col min="3" max="3" width="38" style="22" customWidth="1"/>
    <col min="4" max="4" width="14.54296875" style="22" customWidth="1"/>
    <col min="5" max="5" width="15" style="23" customWidth="1"/>
    <col min="6" max="6" width="14.54296875" style="23" customWidth="1"/>
    <col min="7" max="7" width="16.453125" style="23" customWidth="1"/>
    <col min="8" max="8" width="8.1796875" style="23" customWidth="1"/>
    <col min="9" max="9" width="24.54296875" style="23" customWidth="1"/>
    <col min="10" max="16384" width="9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3.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3.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3.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3.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17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3.6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11"/>
      <c r="E11" s="412"/>
      <c r="F11" s="414"/>
      <c r="G11" s="408"/>
      <c r="H11" s="408"/>
    </row>
    <row r="12" spans="1:10" ht="18.5" x14ac:dyDescent="0.55000000000000004">
      <c r="A12" s="129">
        <v>1</v>
      </c>
      <c r="B12" s="107" t="s">
        <v>51</v>
      </c>
      <c r="C12" s="48" t="s">
        <v>10</v>
      </c>
      <c r="D12" s="113">
        <v>520007480</v>
      </c>
      <c r="E12" s="113"/>
      <c r="F12" s="113">
        <v>0</v>
      </c>
      <c r="G12" s="113">
        <f>D12</f>
        <v>520007480</v>
      </c>
      <c r="H12" s="4"/>
    </row>
    <row r="13" spans="1:10" ht="18.5" x14ac:dyDescent="0.55000000000000004">
      <c r="A13" s="106">
        <v>2</v>
      </c>
      <c r="B13" s="110" t="s">
        <v>78</v>
      </c>
      <c r="C13" s="24" t="s">
        <v>80</v>
      </c>
      <c r="D13" s="115"/>
      <c r="E13" s="116">
        <v>1191953943</v>
      </c>
      <c r="F13" s="117"/>
      <c r="G13" s="116">
        <f>G12+E13-F13</f>
        <v>1711961423</v>
      </c>
      <c r="H13" s="6"/>
    </row>
    <row r="14" spans="1:10" x14ac:dyDescent="0.55000000000000004">
      <c r="A14" s="100">
        <v>3</v>
      </c>
      <c r="B14" s="110" t="s">
        <v>37</v>
      </c>
      <c r="C14" s="24" t="s">
        <v>81</v>
      </c>
      <c r="D14" s="115"/>
      <c r="E14" s="118"/>
      <c r="F14" s="118">
        <v>15000</v>
      </c>
      <c r="G14" s="116">
        <f t="shared" ref="G14:G39" si="0">G13+E14-F14</f>
        <v>1711946423</v>
      </c>
      <c r="H14" s="7"/>
      <c r="I14" s="8"/>
    </row>
    <row r="15" spans="1:10" x14ac:dyDescent="0.55000000000000004">
      <c r="A15" s="106">
        <v>4</v>
      </c>
      <c r="B15" s="110" t="s">
        <v>145</v>
      </c>
      <c r="C15" s="44" t="s">
        <v>151</v>
      </c>
      <c r="D15" s="147"/>
      <c r="E15" s="118"/>
      <c r="F15" s="58">
        <v>11259000</v>
      </c>
      <c r="G15" s="116">
        <f t="shared" si="0"/>
        <v>1700687423</v>
      </c>
      <c r="H15" s="7"/>
      <c r="I15" s="8"/>
    </row>
    <row r="16" spans="1:10" x14ac:dyDescent="0.55000000000000004">
      <c r="A16" s="100">
        <v>5</v>
      </c>
      <c r="B16" s="110" t="s">
        <v>37</v>
      </c>
      <c r="C16" s="45" t="s">
        <v>152</v>
      </c>
      <c r="D16" s="273"/>
      <c r="E16" s="272"/>
      <c r="F16" s="69">
        <v>39885000</v>
      </c>
      <c r="G16" s="116">
        <f t="shared" si="0"/>
        <v>1660802423</v>
      </c>
      <c r="H16" s="10"/>
    </row>
    <row r="17" spans="1:8" x14ac:dyDescent="0.55000000000000004">
      <c r="A17" s="106">
        <v>6</v>
      </c>
      <c r="B17" s="110" t="s">
        <v>164</v>
      </c>
      <c r="C17" s="85" t="s">
        <v>270</v>
      </c>
      <c r="D17" s="250"/>
      <c r="E17" s="281"/>
      <c r="F17" s="250">
        <v>14700000</v>
      </c>
      <c r="G17" s="116">
        <f t="shared" si="0"/>
        <v>1646102423</v>
      </c>
      <c r="H17" s="10"/>
    </row>
    <row r="18" spans="1:8" x14ac:dyDescent="0.55000000000000004">
      <c r="A18" s="100">
        <v>7</v>
      </c>
      <c r="B18" s="110" t="s">
        <v>37</v>
      </c>
      <c r="C18" s="85" t="s">
        <v>271</v>
      </c>
      <c r="D18" s="250"/>
      <c r="E18" s="281"/>
      <c r="F18" s="250">
        <f>6494*8830</f>
        <v>57342020</v>
      </c>
      <c r="G18" s="116">
        <f t="shared" si="0"/>
        <v>1588760403</v>
      </c>
      <c r="H18" s="10"/>
    </row>
    <row r="19" spans="1:8" x14ac:dyDescent="0.55000000000000004">
      <c r="A19" s="106">
        <v>8</v>
      </c>
      <c r="B19" s="110" t="s">
        <v>37</v>
      </c>
      <c r="C19" s="29"/>
      <c r="D19" s="119"/>
      <c r="E19" s="118"/>
      <c r="F19" s="118"/>
      <c r="G19" s="116">
        <f t="shared" si="0"/>
        <v>1588760403</v>
      </c>
      <c r="H19" s="74"/>
    </row>
    <row r="20" spans="1:8" x14ac:dyDescent="0.55000000000000004">
      <c r="A20" s="100">
        <v>9</v>
      </c>
      <c r="B20" s="110" t="s">
        <v>37</v>
      </c>
      <c r="C20" s="29"/>
      <c r="D20" s="119"/>
      <c r="E20" s="102"/>
      <c r="F20" s="102"/>
      <c r="G20" s="116">
        <f t="shared" si="0"/>
        <v>1588760403</v>
      </c>
      <c r="H20" s="74"/>
    </row>
    <row r="21" spans="1:8" x14ac:dyDescent="0.55000000000000004">
      <c r="A21" s="106">
        <v>10</v>
      </c>
      <c r="B21" s="110" t="s">
        <v>37</v>
      </c>
      <c r="C21" s="29"/>
      <c r="D21" s="119"/>
      <c r="E21" s="102"/>
      <c r="F21" s="102"/>
      <c r="G21" s="116">
        <f t="shared" si="0"/>
        <v>1588760403</v>
      </c>
      <c r="H21" s="74"/>
    </row>
    <row r="22" spans="1:8" x14ac:dyDescent="0.55000000000000004">
      <c r="A22" s="100">
        <v>11</v>
      </c>
      <c r="B22" s="110" t="s">
        <v>37</v>
      </c>
      <c r="C22" s="29"/>
      <c r="D22" s="119"/>
      <c r="E22" s="102"/>
      <c r="F22" s="102"/>
      <c r="G22" s="116">
        <f t="shared" si="0"/>
        <v>1588760403</v>
      </c>
      <c r="H22" s="74"/>
    </row>
    <row r="23" spans="1:8" x14ac:dyDescent="0.55000000000000004">
      <c r="A23" s="106">
        <v>12</v>
      </c>
      <c r="B23" s="110" t="s">
        <v>37</v>
      </c>
      <c r="C23" s="29"/>
      <c r="D23" s="119"/>
      <c r="E23" s="102"/>
      <c r="F23" s="102"/>
      <c r="G23" s="116">
        <f t="shared" si="0"/>
        <v>1588760403</v>
      </c>
      <c r="H23" s="74"/>
    </row>
    <row r="24" spans="1:8" x14ac:dyDescent="0.55000000000000004">
      <c r="A24" s="100">
        <v>13</v>
      </c>
      <c r="B24" s="110" t="s">
        <v>37</v>
      </c>
      <c r="C24" s="92"/>
      <c r="D24" s="153"/>
      <c r="E24" s="102"/>
      <c r="F24" s="150"/>
      <c r="G24" s="116">
        <f t="shared" si="0"/>
        <v>1588760403</v>
      </c>
      <c r="H24" s="74"/>
    </row>
    <row r="25" spans="1:8" x14ac:dyDescent="0.55000000000000004">
      <c r="A25" s="106">
        <v>14</v>
      </c>
      <c r="B25" s="110" t="s">
        <v>37</v>
      </c>
      <c r="C25" s="40"/>
      <c r="D25" s="148"/>
      <c r="E25" s="102"/>
      <c r="F25" s="58"/>
      <c r="G25" s="116">
        <f t="shared" si="0"/>
        <v>1588760403</v>
      </c>
      <c r="H25" s="10"/>
    </row>
    <row r="26" spans="1:8" x14ac:dyDescent="0.55000000000000004">
      <c r="A26" s="106">
        <v>15</v>
      </c>
      <c r="B26" s="110" t="s">
        <v>37</v>
      </c>
      <c r="C26" s="91"/>
      <c r="D26" s="148"/>
      <c r="E26" s="102"/>
      <c r="F26" s="58"/>
      <c r="G26" s="116">
        <f t="shared" si="0"/>
        <v>1588760403</v>
      </c>
      <c r="H26" s="10"/>
    </row>
    <row r="27" spans="1:8" x14ac:dyDescent="0.55000000000000004">
      <c r="A27" s="106">
        <v>16</v>
      </c>
      <c r="B27" s="110" t="s">
        <v>37</v>
      </c>
      <c r="C27" s="40"/>
      <c r="D27" s="148"/>
      <c r="E27" s="102"/>
      <c r="F27" s="58"/>
      <c r="G27" s="116">
        <f t="shared" si="0"/>
        <v>1588760403</v>
      </c>
      <c r="H27" s="10"/>
    </row>
    <row r="28" spans="1:8" x14ac:dyDescent="0.55000000000000004">
      <c r="A28" s="106">
        <v>17</v>
      </c>
      <c r="B28" s="110" t="s">
        <v>37</v>
      </c>
      <c r="C28" s="40"/>
      <c r="D28" s="122"/>
      <c r="E28" s="102"/>
      <c r="F28" s="58"/>
      <c r="G28" s="116">
        <f t="shared" si="0"/>
        <v>1588760403</v>
      </c>
      <c r="H28" s="10"/>
    </row>
    <row r="29" spans="1:8" x14ac:dyDescent="0.55000000000000004">
      <c r="A29" s="106">
        <v>18</v>
      </c>
      <c r="B29" s="110" t="s">
        <v>37</v>
      </c>
      <c r="C29" s="40"/>
      <c r="D29" s="122"/>
      <c r="E29" s="102"/>
      <c r="F29" s="58"/>
      <c r="G29" s="116">
        <f t="shared" si="0"/>
        <v>1588760403</v>
      </c>
      <c r="H29" s="13"/>
    </row>
    <row r="30" spans="1:8" x14ac:dyDescent="0.55000000000000004">
      <c r="A30" s="106">
        <v>19</v>
      </c>
      <c r="B30" s="110" t="s">
        <v>37</v>
      </c>
      <c r="C30" s="40"/>
      <c r="D30" s="122"/>
      <c r="E30" s="102"/>
      <c r="F30" s="58"/>
      <c r="G30" s="116">
        <f t="shared" si="0"/>
        <v>1588760403</v>
      </c>
      <c r="H30" s="13"/>
    </row>
    <row r="31" spans="1:8" x14ac:dyDescent="0.55000000000000004">
      <c r="A31" s="106">
        <v>20</v>
      </c>
      <c r="B31" s="110" t="s">
        <v>37</v>
      </c>
      <c r="C31" s="40"/>
      <c r="D31" s="122"/>
      <c r="E31" s="102"/>
      <c r="F31" s="58"/>
      <c r="G31" s="116">
        <f t="shared" si="0"/>
        <v>1588760403</v>
      </c>
      <c r="H31" s="10"/>
    </row>
    <row r="32" spans="1:8" x14ac:dyDescent="0.55000000000000004">
      <c r="A32" s="106">
        <v>21</v>
      </c>
      <c r="B32" s="110" t="s">
        <v>37</v>
      </c>
      <c r="C32" s="24"/>
      <c r="D32" s="122"/>
      <c r="E32" s="102"/>
      <c r="F32" s="102"/>
      <c r="G32" s="116">
        <f t="shared" si="0"/>
        <v>1588760403</v>
      </c>
      <c r="H32" s="10"/>
    </row>
    <row r="33" spans="1:8" x14ac:dyDescent="0.55000000000000004">
      <c r="A33" s="106">
        <v>22</v>
      </c>
      <c r="B33" s="110" t="s">
        <v>37</v>
      </c>
      <c r="C33" s="24"/>
      <c r="D33" s="122"/>
      <c r="E33" s="102"/>
      <c r="F33" s="102"/>
      <c r="G33" s="116">
        <f t="shared" si="0"/>
        <v>1588760403</v>
      </c>
      <c r="H33" s="10"/>
    </row>
    <row r="34" spans="1:8" x14ac:dyDescent="0.55000000000000004">
      <c r="A34" s="106">
        <v>23</v>
      </c>
      <c r="B34" s="110" t="s">
        <v>37</v>
      </c>
      <c r="C34" s="29"/>
      <c r="D34" s="119"/>
      <c r="E34" s="102"/>
      <c r="F34" s="102"/>
      <c r="G34" s="116">
        <f t="shared" si="0"/>
        <v>1588760403</v>
      </c>
      <c r="H34" s="10"/>
    </row>
    <row r="35" spans="1:8" x14ac:dyDescent="0.55000000000000004">
      <c r="A35" s="106">
        <v>24</v>
      </c>
      <c r="B35" s="110" t="s">
        <v>37</v>
      </c>
      <c r="C35" s="29"/>
      <c r="D35" s="119"/>
      <c r="E35" s="102"/>
      <c r="F35" s="102"/>
      <c r="G35" s="116">
        <f t="shared" si="0"/>
        <v>1588760403</v>
      </c>
      <c r="H35" s="10"/>
    </row>
    <row r="36" spans="1:8" x14ac:dyDescent="0.55000000000000004">
      <c r="A36" s="106">
        <v>25</v>
      </c>
      <c r="B36" s="110" t="s">
        <v>37</v>
      </c>
      <c r="C36" s="24"/>
      <c r="D36" s="122"/>
      <c r="E36" s="102"/>
      <c r="F36" s="102"/>
      <c r="G36" s="116">
        <f t="shared" si="0"/>
        <v>1588760403</v>
      </c>
      <c r="H36" s="10"/>
    </row>
    <row r="37" spans="1:8" x14ac:dyDescent="0.55000000000000004">
      <c r="A37" s="106">
        <v>26</v>
      </c>
      <c r="B37" s="110" t="s">
        <v>37</v>
      </c>
      <c r="C37" s="29"/>
      <c r="D37" s="119"/>
      <c r="E37" s="102"/>
      <c r="F37" s="102"/>
      <c r="G37" s="116">
        <f t="shared" si="0"/>
        <v>1588760403</v>
      </c>
      <c r="H37" s="10"/>
    </row>
    <row r="38" spans="1:8" x14ac:dyDescent="0.55000000000000004">
      <c r="A38" s="106">
        <v>27</v>
      </c>
      <c r="B38" s="110" t="s">
        <v>37</v>
      </c>
      <c r="C38" s="25"/>
      <c r="D38" s="148"/>
      <c r="E38" s="102"/>
      <c r="F38" s="102"/>
      <c r="G38" s="116">
        <f t="shared" si="0"/>
        <v>1588760403</v>
      </c>
      <c r="H38" s="10"/>
    </row>
    <row r="39" spans="1:8" x14ac:dyDescent="0.55000000000000004">
      <c r="A39" s="106">
        <v>28</v>
      </c>
      <c r="B39" s="110" t="s">
        <v>37</v>
      </c>
      <c r="C39" s="29"/>
      <c r="D39" s="119"/>
      <c r="E39" s="102"/>
      <c r="F39" s="102"/>
      <c r="G39" s="116">
        <f t="shared" si="0"/>
        <v>1588760403</v>
      </c>
      <c r="H39" s="10"/>
    </row>
    <row r="40" spans="1:8" x14ac:dyDescent="0.55000000000000004">
      <c r="A40" s="106">
        <v>29</v>
      </c>
      <c r="B40" s="110" t="s">
        <v>37</v>
      </c>
      <c r="C40" s="29"/>
      <c r="D40" s="119"/>
      <c r="E40" s="102"/>
      <c r="F40" s="102"/>
      <c r="G40" s="102"/>
      <c r="H40" s="10"/>
    </row>
    <row r="41" spans="1:8" ht="21.65" customHeight="1" x14ac:dyDescent="0.55000000000000004">
      <c r="A41" s="16"/>
      <c r="B41" s="51" t="s">
        <v>2</v>
      </c>
      <c r="C41" s="51"/>
      <c r="D41" s="127">
        <f>SUM(D12:D40)</f>
        <v>520007480</v>
      </c>
      <c r="E41" s="128">
        <f>SUM(E12:E40)</f>
        <v>1191953943</v>
      </c>
      <c r="F41" s="128">
        <f>SUM(F12:F40)</f>
        <v>123201020</v>
      </c>
      <c r="G41" s="128">
        <f>D41+E41-F41</f>
        <v>1588760403</v>
      </c>
      <c r="H41" s="17"/>
    </row>
    <row r="42" spans="1:8" ht="22.5" x14ac:dyDescent="0.7">
      <c r="A42" s="18"/>
      <c r="B42" s="19"/>
      <c r="C42" s="20"/>
      <c r="D42" s="20"/>
      <c r="E42" s="21"/>
      <c r="F42" s="21"/>
      <c r="G42" s="21"/>
      <c r="H42" s="19"/>
    </row>
    <row r="43" spans="1:8" ht="18.5" x14ac:dyDescent="0.55000000000000004">
      <c r="A43" s="419" t="s">
        <v>68</v>
      </c>
      <c r="B43" s="419"/>
      <c r="C43" s="419"/>
      <c r="D43" s="419"/>
      <c r="E43" s="419"/>
      <c r="F43" s="419"/>
      <c r="G43" s="419"/>
      <c r="H43" s="419"/>
    </row>
    <row r="44" spans="1:8" x14ac:dyDescent="0.55000000000000004">
      <c r="A44" s="53"/>
      <c r="E44" s="53"/>
      <c r="F44" s="53"/>
      <c r="G44" s="53"/>
      <c r="H44" s="53"/>
    </row>
    <row r="45" spans="1:8" x14ac:dyDescent="0.55000000000000004">
      <c r="A45" s="53"/>
      <c r="E45" s="53"/>
      <c r="F45" s="53"/>
      <c r="G45" s="53"/>
      <c r="H45" s="53"/>
    </row>
    <row r="46" spans="1:8" x14ac:dyDescent="0.55000000000000004">
      <c r="A46" s="53"/>
      <c r="E46" s="53"/>
      <c r="F46" s="53"/>
      <c r="G46" s="53"/>
      <c r="H46" s="53"/>
    </row>
    <row r="47" spans="1:8" x14ac:dyDescent="0.55000000000000004">
      <c r="A47" s="53"/>
      <c r="E47" s="53"/>
      <c r="F47" s="53"/>
      <c r="G47" s="53"/>
      <c r="H47" s="53"/>
    </row>
    <row r="48" spans="1:8" x14ac:dyDescent="0.55000000000000004">
      <c r="A48" s="53"/>
      <c r="E48" s="53"/>
      <c r="F48" s="53"/>
      <c r="G48" s="53"/>
      <c r="H48" s="53"/>
    </row>
    <row r="49" spans="1:8" x14ac:dyDescent="0.55000000000000004">
      <c r="A49" s="53"/>
      <c r="E49" s="53"/>
      <c r="F49" s="53"/>
      <c r="G49" s="53"/>
      <c r="H49" s="53"/>
    </row>
    <row r="50" spans="1:8" x14ac:dyDescent="0.55000000000000004">
      <c r="A50" s="53"/>
      <c r="E50" s="53"/>
      <c r="F50" s="53"/>
      <c r="G50" s="53"/>
      <c r="H50" s="53"/>
    </row>
    <row r="51" spans="1:8" x14ac:dyDescent="0.55000000000000004">
      <c r="A51" s="53"/>
      <c r="E51" s="53"/>
      <c r="F51" s="53"/>
      <c r="G51" s="53"/>
      <c r="H51" s="53"/>
    </row>
    <row r="52" spans="1:8" x14ac:dyDescent="0.55000000000000004">
      <c r="A52" s="53"/>
      <c r="E52" s="53"/>
      <c r="F52" s="53"/>
      <c r="G52" s="53"/>
      <c r="H52" s="53"/>
    </row>
    <row r="53" spans="1:8" ht="18.5" x14ac:dyDescent="0.6">
      <c r="A53" s="407" t="s">
        <v>67</v>
      </c>
      <c r="B53" s="407"/>
      <c r="C53" s="407"/>
      <c r="D53" s="407"/>
      <c r="E53" s="407"/>
      <c r="F53" s="407"/>
      <c r="G53" s="407"/>
      <c r="H53" s="407"/>
    </row>
  </sheetData>
  <mergeCells count="14">
    <mergeCell ref="A53:H53"/>
    <mergeCell ref="G10:G11"/>
    <mergeCell ref="H10:H11"/>
    <mergeCell ref="A43:H43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2.6562499999999999E-2" right="0.15937499999999999" top="0.48697916666666669" bottom="0.75" header="0.3" footer="0.3"/>
  <pageSetup scale="85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J71"/>
  <sheetViews>
    <sheetView view="pageLayout" zoomScaleNormal="100" workbookViewId="0">
      <selection activeCell="E13" sqref="E13"/>
    </sheetView>
  </sheetViews>
  <sheetFormatPr defaultColWidth="9.1796875" defaultRowHeight="17" x14ac:dyDescent="0.55000000000000004"/>
  <cols>
    <col min="1" max="1" width="3.453125" style="23" customWidth="1"/>
    <col min="2" max="2" width="9.453125" style="22" customWidth="1"/>
    <col min="3" max="3" width="49.453125" style="22" customWidth="1"/>
    <col min="4" max="4" width="14.81640625" style="22" customWidth="1"/>
    <col min="5" max="5" width="13.81640625" style="23" customWidth="1"/>
    <col min="6" max="6" width="14.54296875" style="23" customWidth="1"/>
    <col min="7" max="7" width="14.453125" style="23" customWidth="1"/>
    <col min="8" max="8" width="5.54296875" style="23" customWidth="1"/>
    <col min="9" max="9" width="24.54296875" style="23" customWidth="1"/>
    <col min="10" max="16384" width="9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4.2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4.2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4.2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4.2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18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29.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23" t="s">
        <v>1</v>
      </c>
    </row>
    <row r="11" spans="1:10" ht="20.25" customHeight="1" x14ac:dyDescent="0.55000000000000004">
      <c r="A11" s="411"/>
      <c r="B11" s="411"/>
      <c r="C11" s="411"/>
      <c r="D11" s="411"/>
      <c r="E11" s="412"/>
      <c r="F11" s="414"/>
      <c r="G11" s="408"/>
      <c r="H11" s="423"/>
    </row>
    <row r="12" spans="1:10" ht="18.5" x14ac:dyDescent="0.55000000000000004">
      <c r="A12" s="129">
        <v>1</v>
      </c>
      <c r="B12" s="107" t="s">
        <v>51</v>
      </c>
      <c r="C12" s="3" t="s">
        <v>10</v>
      </c>
      <c r="D12" s="114">
        <v>-177456179</v>
      </c>
      <c r="E12" s="114"/>
      <c r="F12" s="131">
        <v>0</v>
      </c>
      <c r="G12" s="138">
        <f>D12</f>
        <v>-177456179</v>
      </c>
      <c r="H12" s="76"/>
    </row>
    <row r="13" spans="1:10" s="53" customFormat="1" x14ac:dyDescent="0.55000000000000004">
      <c r="A13" s="106">
        <v>2</v>
      </c>
      <c r="B13" s="110" t="s">
        <v>37</v>
      </c>
      <c r="C13" s="311" t="s">
        <v>323</v>
      </c>
      <c r="D13" s="172">
        <v>941897500</v>
      </c>
      <c r="E13" s="172"/>
      <c r="F13" s="310"/>
      <c r="G13" s="94">
        <f>G12+D13+E13-F13</f>
        <v>764441321</v>
      </c>
      <c r="H13" s="77"/>
    </row>
    <row r="14" spans="1:10" x14ac:dyDescent="0.55000000000000004">
      <c r="A14" s="106">
        <v>3</v>
      </c>
      <c r="B14" s="110" t="s">
        <v>58</v>
      </c>
      <c r="C14" s="38" t="s">
        <v>56</v>
      </c>
      <c r="D14" s="84"/>
      <c r="E14" s="116"/>
      <c r="F14" s="84">
        <f>2179.21*8870</f>
        <v>19329592.699999999</v>
      </c>
      <c r="G14" s="94">
        <f>G13+D14+E14-F14</f>
        <v>745111728.29999995</v>
      </c>
      <c r="H14" s="77"/>
    </row>
    <row r="15" spans="1:10" x14ac:dyDescent="0.55000000000000004">
      <c r="A15" s="106">
        <v>4</v>
      </c>
      <c r="B15" s="110" t="s">
        <v>37</v>
      </c>
      <c r="C15" s="38" t="s">
        <v>57</v>
      </c>
      <c r="D15" s="84"/>
      <c r="E15" s="118"/>
      <c r="F15" s="84">
        <v>139717640</v>
      </c>
      <c r="G15" s="94">
        <f t="shared" ref="G15:G48" si="0">G14+D15+E15-F15</f>
        <v>605394088.29999995</v>
      </c>
      <c r="H15" s="78"/>
      <c r="I15" s="8"/>
    </row>
    <row r="16" spans="1:10" x14ac:dyDescent="0.55000000000000004">
      <c r="A16" s="106">
        <v>5</v>
      </c>
      <c r="B16" s="110" t="s">
        <v>37</v>
      </c>
      <c r="C16" s="24" t="s">
        <v>59</v>
      </c>
      <c r="D16" s="115"/>
      <c r="E16" s="118">
        <v>456593</v>
      </c>
      <c r="F16" s="98"/>
      <c r="G16" s="94">
        <f t="shared" si="0"/>
        <v>605850681.29999995</v>
      </c>
      <c r="H16" s="7"/>
      <c r="I16" s="8"/>
    </row>
    <row r="17" spans="1:8" x14ac:dyDescent="0.55000000000000004">
      <c r="A17" s="106">
        <v>6</v>
      </c>
      <c r="B17" s="111" t="s">
        <v>145</v>
      </c>
      <c r="C17" s="25" t="s">
        <v>146</v>
      </c>
      <c r="D17" s="118"/>
      <c r="E17" s="118"/>
      <c r="F17" s="118">
        <v>65018807</v>
      </c>
      <c r="G17" s="94">
        <f t="shared" si="0"/>
        <v>540831874.29999995</v>
      </c>
      <c r="H17" s="10"/>
    </row>
    <row r="18" spans="1:8" x14ac:dyDescent="0.55000000000000004">
      <c r="A18" s="106">
        <v>7</v>
      </c>
      <c r="B18" s="111" t="s">
        <v>164</v>
      </c>
      <c r="C18" s="63" t="s">
        <v>204</v>
      </c>
      <c r="D18" s="256"/>
      <c r="E18" s="118"/>
      <c r="F18" s="256">
        <v>20119000</v>
      </c>
      <c r="G18" s="94">
        <f t="shared" si="0"/>
        <v>520712874.29999995</v>
      </c>
      <c r="H18" s="10"/>
    </row>
    <row r="19" spans="1:8" x14ac:dyDescent="0.55000000000000004">
      <c r="A19" s="106">
        <v>8</v>
      </c>
      <c r="B19" s="110" t="s">
        <v>37</v>
      </c>
      <c r="C19" s="64" t="s">
        <v>205</v>
      </c>
      <c r="D19" s="257"/>
      <c r="E19" s="154"/>
      <c r="F19" s="257">
        <v>8708333</v>
      </c>
      <c r="G19" s="94">
        <f t="shared" si="0"/>
        <v>512004541.29999995</v>
      </c>
      <c r="H19" s="10"/>
    </row>
    <row r="20" spans="1:8" x14ac:dyDescent="0.55000000000000004">
      <c r="A20" s="106">
        <v>9</v>
      </c>
      <c r="B20" s="110" t="s">
        <v>37</v>
      </c>
      <c r="C20" s="64" t="s">
        <v>206</v>
      </c>
      <c r="D20" s="257"/>
      <c r="E20" s="157"/>
      <c r="F20" s="257">
        <v>100000000</v>
      </c>
      <c r="G20" s="94">
        <f t="shared" si="0"/>
        <v>412004541.29999995</v>
      </c>
      <c r="H20" s="10"/>
    </row>
    <row r="21" spans="1:8" x14ac:dyDescent="0.55000000000000004">
      <c r="A21" s="106">
        <v>10</v>
      </c>
      <c r="B21" s="111" t="s">
        <v>37</v>
      </c>
      <c r="C21" s="64" t="s">
        <v>207</v>
      </c>
      <c r="D21" s="257"/>
      <c r="E21" s="157"/>
      <c r="F21" s="257">
        <v>100000000</v>
      </c>
      <c r="G21" s="94">
        <f t="shared" si="0"/>
        <v>312004541.29999995</v>
      </c>
      <c r="H21" s="10"/>
    </row>
    <row r="22" spans="1:8" x14ac:dyDescent="0.55000000000000004">
      <c r="A22" s="106">
        <v>11</v>
      </c>
      <c r="B22" s="111" t="s">
        <v>37</v>
      </c>
      <c r="C22" s="64" t="s">
        <v>208</v>
      </c>
      <c r="D22" s="257"/>
      <c r="E22" s="157"/>
      <c r="F22" s="257">
        <v>13791000</v>
      </c>
      <c r="G22" s="94">
        <f t="shared" si="0"/>
        <v>298213541.29999995</v>
      </c>
      <c r="H22" s="10"/>
    </row>
    <row r="23" spans="1:8" x14ac:dyDescent="0.55000000000000004">
      <c r="A23" s="106">
        <v>12</v>
      </c>
      <c r="B23" s="111" t="s">
        <v>37</v>
      </c>
      <c r="C23" s="64" t="s">
        <v>209</v>
      </c>
      <c r="D23" s="257"/>
      <c r="E23" s="157"/>
      <c r="F23" s="257">
        <v>130000</v>
      </c>
      <c r="G23" s="94">
        <f t="shared" si="0"/>
        <v>298083541.29999995</v>
      </c>
      <c r="H23" s="13"/>
    </row>
    <row r="24" spans="1:8" x14ac:dyDescent="0.55000000000000004">
      <c r="A24" s="106">
        <v>13</v>
      </c>
      <c r="B24" s="111" t="s">
        <v>37</v>
      </c>
      <c r="C24" s="64" t="s">
        <v>210</v>
      </c>
      <c r="D24" s="257"/>
      <c r="E24" s="102"/>
      <c r="F24" s="257">
        <v>2700000</v>
      </c>
      <c r="G24" s="94">
        <f t="shared" si="0"/>
        <v>295383541.29999995</v>
      </c>
      <c r="H24" s="13"/>
    </row>
    <row r="25" spans="1:8" x14ac:dyDescent="0.55000000000000004">
      <c r="A25" s="106">
        <v>14</v>
      </c>
      <c r="B25" s="111" t="s">
        <v>37</v>
      </c>
      <c r="C25" s="258" t="s">
        <v>211</v>
      </c>
      <c r="D25" s="259"/>
      <c r="E25" s="102"/>
      <c r="F25" s="259">
        <v>1620000</v>
      </c>
      <c r="G25" s="94">
        <f t="shared" si="0"/>
        <v>293763541.29999995</v>
      </c>
      <c r="H25" s="13"/>
    </row>
    <row r="26" spans="1:8" s="53" customFormat="1" x14ac:dyDescent="0.55000000000000004">
      <c r="A26" s="106">
        <v>15</v>
      </c>
      <c r="B26" s="111" t="s">
        <v>37</v>
      </c>
      <c r="C26" s="40" t="s">
        <v>212</v>
      </c>
      <c r="D26" s="59"/>
      <c r="E26" s="102"/>
      <c r="F26" s="59">
        <v>1440000</v>
      </c>
      <c r="G26" s="94">
        <f t="shared" si="0"/>
        <v>292323541.29999995</v>
      </c>
      <c r="H26" s="13"/>
    </row>
    <row r="27" spans="1:8" x14ac:dyDescent="0.55000000000000004">
      <c r="A27" s="106">
        <v>16</v>
      </c>
      <c r="B27" s="111" t="s">
        <v>37</v>
      </c>
      <c r="C27" s="40" t="s">
        <v>213</v>
      </c>
      <c r="D27" s="59"/>
      <c r="E27" s="102"/>
      <c r="F27" s="59">
        <v>1440000</v>
      </c>
      <c r="G27" s="94">
        <f t="shared" si="0"/>
        <v>290883541.29999995</v>
      </c>
      <c r="H27" s="31"/>
    </row>
    <row r="28" spans="1:8" x14ac:dyDescent="0.55000000000000004">
      <c r="A28" s="106">
        <v>17</v>
      </c>
      <c r="B28" s="111" t="s">
        <v>37</v>
      </c>
      <c r="C28" s="249" t="s">
        <v>214</v>
      </c>
      <c r="D28" s="260"/>
      <c r="E28" s="102"/>
      <c r="F28" s="260">
        <v>890000</v>
      </c>
      <c r="G28" s="94">
        <f t="shared" si="0"/>
        <v>289993541.29999995</v>
      </c>
      <c r="H28" s="31"/>
    </row>
    <row r="29" spans="1:8" x14ac:dyDescent="0.55000000000000004">
      <c r="A29" s="106">
        <v>18</v>
      </c>
      <c r="B29" s="111" t="s">
        <v>37</v>
      </c>
      <c r="C29" s="249" t="s">
        <v>215</v>
      </c>
      <c r="D29" s="260"/>
      <c r="E29" s="102"/>
      <c r="F29" s="260">
        <f>7000000+3920000+19514000</f>
        <v>30434000</v>
      </c>
      <c r="G29" s="94">
        <f t="shared" si="0"/>
        <v>259559541.29999995</v>
      </c>
      <c r="H29" s="31"/>
    </row>
    <row r="30" spans="1:8" x14ac:dyDescent="0.55000000000000004">
      <c r="A30" s="106">
        <v>19</v>
      </c>
      <c r="B30" s="111" t="s">
        <v>37</v>
      </c>
      <c r="C30" s="64" t="s">
        <v>216</v>
      </c>
      <c r="D30" s="257"/>
      <c r="E30" s="102"/>
      <c r="F30" s="257">
        <v>1704200</v>
      </c>
      <c r="G30" s="94">
        <f t="shared" si="0"/>
        <v>257855341.29999995</v>
      </c>
      <c r="H30" s="10"/>
    </row>
    <row r="31" spans="1:8" x14ac:dyDescent="0.55000000000000004">
      <c r="A31" s="106">
        <v>20</v>
      </c>
      <c r="B31" s="111" t="s">
        <v>37</v>
      </c>
      <c r="C31" s="64" t="s">
        <v>217</v>
      </c>
      <c r="D31" s="257"/>
      <c r="E31" s="102"/>
      <c r="F31" s="257">
        <v>3000000</v>
      </c>
      <c r="G31" s="94">
        <f t="shared" si="0"/>
        <v>254855341.29999995</v>
      </c>
      <c r="H31" s="10"/>
    </row>
    <row r="32" spans="1:8" x14ac:dyDescent="0.55000000000000004">
      <c r="A32" s="106">
        <v>21</v>
      </c>
      <c r="B32" s="111" t="s">
        <v>37</v>
      </c>
      <c r="C32" s="64" t="s">
        <v>218</v>
      </c>
      <c r="D32" s="257"/>
      <c r="E32" s="102"/>
      <c r="F32" s="257">
        <v>2000000</v>
      </c>
      <c r="G32" s="94">
        <f t="shared" si="0"/>
        <v>252855341.29999995</v>
      </c>
      <c r="H32" s="10"/>
    </row>
    <row r="33" spans="1:8" x14ac:dyDescent="0.55000000000000004">
      <c r="A33" s="106">
        <v>22</v>
      </c>
      <c r="B33" s="111" t="s">
        <v>37</v>
      </c>
      <c r="C33" s="64" t="s">
        <v>219</v>
      </c>
      <c r="D33" s="257"/>
      <c r="E33" s="102"/>
      <c r="F33" s="257">
        <v>456040</v>
      </c>
      <c r="G33" s="94">
        <f t="shared" si="0"/>
        <v>252399301.29999995</v>
      </c>
      <c r="H33" s="10"/>
    </row>
    <row r="34" spans="1:8" x14ac:dyDescent="0.55000000000000004">
      <c r="A34" s="106">
        <v>23</v>
      </c>
      <c r="B34" s="111" t="s">
        <v>37</v>
      </c>
      <c r="C34" s="64" t="s">
        <v>220</v>
      </c>
      <c r="D34" s="257"/>
      <c r="E34" s="102"/>
      <c r="F34" s="257">
        <v>337271750</v>
      </c>
      <c r="G34" s="94">
        <f t="shared" si="0"/>
        <v>-84872448.700000048</v>
      </c>
      <c r="H34" s="10"/>
    </row>
    <row r="35" spans="1:8" x14ac:dyDescent="0.55000000000000004">
      <c r="A35" s="106">
        <v>24</v>
      </c>
      <c r="B35" s="111" t="s">
        <v>37</v>
      </c>
      <c r="C35" s="64" t="s">
        <v>221</v>
      </c>
      <c r="D35" s="257"/>
      <c r="E35" s="102"/>
      <c r="F35" s="257">
        <v>2000000</v>
      </c>
      <c r="G35" s="94">
        <f t="shared" si="0"/>
        <v>-86872448.700000048</v>
      </c>
      <c r="H35" s="10"/>
    </row>
    <row r="36" spans="1:8" x14ac:dyDescent="0.55000000000000004">
      <c r="A36" s="106">
        <v>25</v>
      </c>
      <c r="B36" s="111" t="s">
        <v>37</v>
      </c>
      <c r="C36" s="64" t="s">
        <v>222</v>
      </c>
      <c r="D36" s="257"/>
      <c r="E36" s="102"/>
      <c r="F36" s="257">
        <v>1917000</v>
      </c>
      <c r="G36" s="94">
        <f t="shared" si="0"/>
        <v>-88789448.700000048</v>
      </c>
      <c r="H36" s="10"/>
    </row>
    <row r="37" spans="1:8" x14ac:dyDescent="0.55000000000000004">
      <c r="A37" s="106">
        <v>26</v>
      </c>
      <c r="B37" s="111" t="s">
        <v>37</v>
      </c>
      <c r="C37" s="64" t="s">
        <v>223</v>
      </c>
      <c r="D37" s="257"/>
      <c r="E37" s="102"/>
      <c r="F37" s="257">
        <v>2660000</v>
      </c>
      <c r="G37" s="94">
        <f t="shared" si="0"/>
        <v>-91449448.700000048</v>
      </c>
      <c r="H37" s="10"/>
    </row>
    <row r="38" spans="1:8" x14ac:dyDescent="0.55000000000000004">
      <c r="A38" s="106">
        <v>27</v>
      </c>
      <c r="B38" s="111" t="s">
        <v>37</v>
      </c>
      <c r="C38" s="105" t="s">
        <v>224</v>
      </c>
      <c r="D38" s="257"/>
      <c r="E38" s="102"/>
      <c r="F38" s="257">
        <f>14400*8664</f>
        <v>124761600</v>
      </c>
      <c r="G38" s="94">
        <f t="shared" si="0"/>
        <v>-216211048.70000005</v>
      </c>
      <c r="H38" s="10"/>
    </row>
    <row r="39" spans="1:8" s="53" customFormat="1" x14ac:dyDescent="0.55000000000000004">
      <c r="A39" s="106">
        <v>28</v>
      </c>
      <c r="B39" s="111" t="s">
        <v>37</v>
      </c>
      <c r="C39" s="105" t="s">
        <v>225</v>
      </c>
      <c r="D39" s="257"/>
      <c r="E39" s="102"/>
      <c r="F39" s="257">
        <f>5226*8654</f>
        <v>45225804</v>
      </c>
      <c r="G39" s="94">
        <f t="shared" si="0"/>
        <v>-261436852.70000005</v>
      </c>
      <c r="H39" s="54"/>
    </row>
    <row r="40" spans="1:8" s="53" customFormat="1" x14ac:dyDescent="0.55000000000000004">
      <c r="A40" s="106">
        <v>29</v>
      </c>
      <c r="B40" s="111" t="s">
        <v>37</v>
      </c>
      <c r="C40" s="64" t="s">
        <v>226</v>
      </c>
      <c r="D40" s="257"/>
      <c r="E40" s="102"/>
      <c r="F40" s="257">
        <f>500*8654</f>
        <v>4327000</v>
      </c>
      <c r="G40" s="94">
        <f t="shared" si="0"/>
        <v>-265763852.70000005</v>
      </c>
      <c r="H40" s="54"/>
    </row>
    <row r="41" spans="1:8" s="53" customFormat="1" x14ac:dyDescent="0.55000000000000004">
      <c r="A41" s="106">
        <v>30</v>
      </c>
      <c r="B41" s="111" t="s">
        <v>37</v>
      </c>
      <c r="C41" s="63" t="s">
        <v>227</v>
      </c>
      <c r="D41" s="256"/>
      <c r="E41" s="102"/>
      <c r="F41" s="256">
        <f>13344.5*8654</f>
        <v>115483303</v>
      </c>
      <c r="G41" s="94">
        <f t="shared" si="0"/>
        <v>-381247155.70000005</v>
      </c>
      <c r="H41" s="54"/>
    </row>
    <row r="42" spans="1:8" s="53" customFormat="1" x14ac:dyDescent="0.55000000000000004">
      <c r="A42" s="106">
        <v>31</v>
      </c>
      <c r="B42" s="111" t="s">
        <v>164</v>
      </c>
      <c r="C42" s="291" t="s">
        <v>280</v>
      </c>
      <c r="D42" s="292"/>
      <c r="E42" s="283"/>
      <c r="F42" s="292">
        <f>12000*280</f>
        <v>3360000</v>
      </c>
      <c r="G42" s="94">
        <f t="shared" si="0"/>
        <v>-384607155.70000005</v>
      </c>
      <c r="H42" s="54"/>
    </row>
    <row r="43" spans="1:8" s="53" customFormat="1" x14ac:dyDescent="0.55000000000000004">
      <c r="A43" s="106">
        <v>32</v>
      </c>
      <c r="B43" s="111" t="s">
        <v>37</v>
      </c>
      <c r="C43" s="29"/>
      <c r="D43" s="119"/>
      <c r="E43" s="102"/>
      <c r="F43" s="102"/>
      <c r="G43" s="94">
        <f t="shared" si="0"/>
        <v>-384607155.70000005</v>
      </c>
      <c r="H43" s="54"/>
    </row>
    <row r="44" spans="1:8" s="53" customFormat="1" x14ac:dyDescent="0.55000000000000004">
      <c r="A44" s="106">
        <v>33</v>
      </c>
      <c r="B44" s="111" t="s">
        <v>37</v>
      </c>
      <c r="C44" s="29"/>
      <c r="D44" s="119"/>
      <c r="E44" s="102"/>
      <c r="F44" s="102"/>
      <c r="G44" s="94">
        <f t="shared" si="0"/>
        <v>-384607155.70000005</v>
      </c>
      <c r="H44" s="54"/>
    </row>
    <row r="45" spans="1:8" s="53" customFormat="1" x14ac:dyDescent="0.55000000000000004">
      <c r="A45" s="106">
        <v>34</v>
      </c>
      <c r="B45" s="111" t="s">
        <v>37</v>
      </c>
      <c r="C45" s="29"/>
      <c r="D45" s="119"/>
      <c r="E45" s="102"/>
      <c r="F45" s="102"/>
      <c r="G45" s="94">
        <f t="shared" si="0"/>
        <v>-384607155.70000005</v>
      </c>
      <c r="H45" s="54"/>
    </row>
    <row r="46" spans="1:8" s="53" customFormat="1" x14ac:dyDescent="0.55000000000000004">
      <c r="A46" s="106">
        <v>35</v>
      </c>
      <c r="B46" s="111" t="s">
        <v>37</v>
      </c>
      <c r="C46" s="29"/>
      <c r="D46" s="119"/>
      <c r="E46" s="102"/>
      <c r="F46" s="102"/>
      <c r="G46" s="94">
        <f t="shared" si="0"/>
        <v>-384607155.70000005</v>
      </c>
      <c r="H46" s="54"/>
    </row>
    <row r="47" spans="1:8" s="53" customFormat="1" x14ac:dyDescent="0.55000000000000004">
      <c r="A47" s="106">
        <v>36</v>
      </c>
      <c r="B47" s="111" t="s">
        <v>37</v>
      </c>
      <c r="C47" s="29"/>
      <c r="D47" s="119"/>
      <c r="E47" s="102"/>
      <c r="F47" s="102"/>
      <c r="G47" s="94">
        <f t="shared" si="0"/>
        <v>-384607155.70000005</v>
      </c>
      <c r="H47" s="54"/>
    </row>
    <row r="48" spans="1:8" s="53" customFormat="1" x14ac:dyDescent="0.55000000000000004">
      <c r="A48" s="106">
        <v>37</v>
      </c>
      <c r="B48" s="111" t="s">
        <v>37</v>
      </c>
      <c r="C48" s="29"/>
      <c r="D48" s="119"/>
      <c r="E48" s="102"/>
      <c r="F48" s="102"/>
      <c r="G48" s="94">
        <f t="shared" si="0"/>
        <v>-384607155.70000005</v>
      </c>
      <c r="H48" s="54"/>
    </row>
    <row r="49" spans="1:8" s="53" customFormat="1" x14ac:dyDescent="0.55000000000000004">
      <c r="A49" s="106">
        <v>38</v>
      </c>
      <c r="B49" s="111" t="s">
        <v>37</v>
      </c>
      <c r="C49" s="29"/>
      <c r="D49" s="119"/>
      <c r="E49" s="102"/>
      <c r="F49" s="102"/>
      <c r="G49" s="116">
        <f t="shared" ref="G49:G53" si="1">G48+E49-F49</f>
        <v>-384607155.70000005</v>
      </c>
      <c r="H49" s="54"/>
    </row>
    <row r="50" spans="1:8" s="53" customFormat="1" x14ac:dyDescent="0.55000000000000004">
      <c r="A50" s="106">
        <v>39</v>
      </c>
      <c r="B50" s="111" t="s">
        <v>37</v>
      </c>
      <c r="C50" s="29"/>
      <c r="D50" s="119"/>
      <c r="E50" s="102"/>
      <c r="F50" s="102"/>
      <c r="G50" s="116">
        <f t="shared" si="1"/>
        <v>-384607155.70000005</v>
      </c>
      <c r="H50" s="54"/>
    </row>
    <row r="51" spans="1:8" s="53" customFormat="1" x14ac:dyDescent="0.55000000000000004">
      <c r="A51" s="106">
        <v>40</v>
      </c>
      <c r="B51" s="111" t="s">
        <v>37</v>
      </c>
      <c r="C51" s="29"/>
      <c r="D51" s="119"/>
      <c r="E51" s="102"/>
      <c r="F51" s="102"/>
      <c r="G51" s="116">
        <f t="shared" si="1"/>
        <v>-384607155.70000005</v>
      </c>
      <c r="H51" s="54"/>
    </row>
    <row r="52" spans="1:8" s="53" customFormat="1" x14ac:dyDescent="0.55000000000000004">
      <c r="A52" s="106">
        <v>41</v>
      </c>
      <c r="B52" s="111" t="s">
        <v>37</v>
      </c>
      <c r="C52" s="29"/>
      <c r="D52" s="119"/>
      <c r="E52" s="102"/>
      <c r="F52" s="102"/>
      <c r="G52" s="116">
        <f t="shared" si="1"/>
        <v>-384607155.70000005</v>
      </c>
      <c r="H52" s="54"/>
    </row>
    <row r="53" spans="1:8" s="53" customFormat="1" x14ac:dyDescent="0.55000000000000004">
      <c r="A53" s="106">
        <v>42</v>
      </c>
      <c r="B53" s="111" t="s">
        <v>37</v>
      </c>
      <c r="C53" s="29"/>
      <c r="D53" s="119"/>
      <c r="E53" s="102"/>
      <c r="F53" s="102"/>
      <c r="G53" s="116">
        <f t="shared" si="1"/>
        <v>-384607155.70000005</v>
      </c>
      <c r="H53" s="54"/>
    </row>
    <row r="54" spans="1:8" ht="21.65" customHeight="1" x14ac:dyDescent="0.55000000000000004">
      <c r="A54" s="16"/>
      <c r="B54" s="17" t="s">
        <v>2</v>
      </c>
      <c r="C54" s="17"/>
      <c r="D54" s="127">
        <f>SUM(D12:D53)</f>
        <v>764441321</v>
      </c>
      <c r="E54" s="156">
        <f>SUM(E12:E53)</f>
        <v>456593</v>
      </c>
      <c r="F54" s="156">
        <f>SUM(F12:F53)</f>
        <v>1149505069.7</v>
      </c>
      <c r="G54" s="156">
        <f>D54+E54-F54</f>
        <v>-384607155.70000005</v>
      </c>
      <c r="H54" s="51"/>
    </row>
    <row r="55" spans="1:8" ht="22.5" x14ac:dyDescent="0.7">
      <c r="A55" s="18"/>
      <c r="B55" s="19"/>
      <c r="C55" s="20"/>
      <c r="D55" s="20"/>
      <c r="E55" s="21"/>
      <c r="F55" s="21"/>
      <c r="G55" s="21"/>
      <c r="H55" s="19"/>
    </row>
    <row r="56" spans="1:8" ht="18.5" x14ac:dyDescent="0.55000000000000004">
      <c r="A56" s="419" t="s">
        <v>68</v>
      </c>
      <c r="B56" s="419"/>
      <c r="C56" s="419"/>
      <c r="D56" s="419"/>
      <c r="E56" s="419"/>
      <c r="F56" s="419"/>
      <c r="G56" s="419"/>
      <c r="H56" s="419"/>
    </row>
    <row r="57" spans="1:8" x14ac:dyDescent="0.55000000000000004">
      <c r="A57" s="53"/>
      <c r="E57" s="53"/>
      <c r="F57" s="53"/>
      <c r="G57" s="53"/>
      <c r="H57" s="53"/>
    </row>
    <row r="58" spans="1:8" x14ac:dyDescent="0.55000000000000004">
      <c r="A58" s="53"/>
      <c r="E58" s="53"/>
      <c r="F58" s="53"/>
      <c r="G58" s="53"/>
      <c r="H58" s="53"/>
    </row>
    <row r="59" spans="1:8" x14ac:dyDescent="0.55000000000000004">
      <c r="A59" s="53"/>
      <c r="E59" s="53"/>
      <c r="F59" s="53"/>
      <c r="G59" s="53"/>
      <c r="H59" s="53"/>
    </row>
    <row r="60" spans="1:8" x14ac:dyDescent="0.55000000000000004">
      <c r="A60" s="53"/>
      <c r="E60" s="53"/>
      <c r="F60" s="53"/>
      <c r="G60" s="53"/>
      <c r="H60" s="53"/>
    </row>
    <row r="61" spans="1:8" x14ac:dyDescent="0.55000000000000004">
      <c r="A61" s="53"/>
      <c r="E61" s="53"/>
      <c r="F61" s="53"/>
      <c r="G61" s="53"/>
      <c r="H61" s="53"/>
    </row>
    <row r="62" spans="1:8" x14ac:dyDescent="0.55000000000000004">
      <c r="A62" s="53"/>
      <c r="E62" s="53"/>
      <c r="F62" s="53"/>
      <c r="G62" s="53"/>
      <c r="H62" s="53"/>
    </row>
    <row r="63" spans="1:8" x14ac:dyDescent="0.55000000000000004">
      <c r="A63" s="53"/>
      <c r="E63" s="53"/>
      <c r="F63" s="53"/>
      <c r="G63" s="53"/>
      <c r="H63" s="53"/>
    </row>
    <row r="64" spans="1:8" x14ac:dyDescent="0.55000000000000004">
      <c r="A64" s="53"/>
      <c r="E64" s="53"/>
      <c r="F64" s="53"/>
      <c r="G64" s="53"/>
      <c r="H64" s="53"/>
    </row>
    <row r="65" spans="1:8" x14ac:dyDescent="0.55000000000000004">
      <c r="A65" s="53"/>
      <c r="E65" s="53"/>
      <c r="F65" s="53"/>
      <c r="G65" s="53"/>
      <c r="H65" s="53"/>
    </row>
    <row r="66" spans="1:8" ht="18.5" x14ac:dyDescent="0.6">
      <c r="A66" s="407" t="s">
        <v>67</v>
      </c>
      <c r="B66" s="407"/>
      <c r="C66" s="407"/>
      <c r="D66" s="407"/>
      <c r="E66" s="407"/>
      <c r="F66" s="407"/>
      <c r="G66" s="407"/>
      <c r="H66" s="407"/>
    </row>
    <row r="67" spans="1:8" x14ac:dyDescent="0.55000000000000004">
      <c r="D67" s="23"/>
    </row>
    <row r="68" spans="1:8" x14ac:dyDescent="0.55000000000000004">
      <c r="D68" s="23"/>
    </row>
    <row r="69" spans="1:8" x14ac:dyDescent="0.55000000000000004">
      <c r="D69" s="23"/>
    </row>
    <row r="70" spans="1:8" x14ac:dyDescent="0.55000000000000004">
      <c r="D70" s="23"/>
    </row>
    <row r="71" spans="1:8" x14ac:dyDescent="0.55000000000000004">
      <c r="D71" s="23"/>
    </row>
  </sheetData>
  <mergeCells count="14">
    <mergeCell ref="A66:H66"/>
    <mergeCell ref="G10:G11"/>
    <mergeCell ref="H10:H11"/>
    <mergeCell ref="A56:H56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6.1979166666666669E-2" right="7.0833333333333331E-2" top="0.75" bottom="0.75" header="0.3" footer="0.3"/>
  <pageSetup scale="8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J63"/>
  <sheetViews>
    <sheetView view="pageLayout" topLeftCell="A10" zoomScaleNormal="100" workbookViewId="0">
      <selection activeCell="F52" sqref="F52"/>
    </sheetView>
  </sheetViews>
  <sheetFormatPr defaultColWidth="9.1796875" defaultRowHeight="17" x14ac:dyDescent="0.55000000000000004"/>
  <cols>
    <col min="1" max="1" width="5" style="23" customWidth="1"/>
    <col min="2" max="2" width="10.1796875" style="22" customWidth="1"/>
    <col min="3" max="3" width="38.1796875" style="22" customWidth="1"/>
    <col min="4" max="4" width="14.54296875" style="22" customWidth="1"/>
    <col min="5" max="5" width="15.453125" style="23" customWidth="1"/>
    <col min="6" max="6" width="14.54296875" style="23" customWidth="1"/>
    <col min="7" max="7" width="14" style="23" customWidth="1"/>
    <col min="8" max="8" width="9.453125" style="23" customWidth="1"/>
    <col min="9" max="9" width="24.54296875" style="23" customWidth="1"/>
    <col min="10" max="16384" width="9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6.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6.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6.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6.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19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4.4" customHeight="1" x14ac:dyDescent="0.55000000000000004">
      <c r="A9" s="418" t="s">
        <v>54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24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25"/>
      <c r="C11" s="411"/>
      <c r="D11" s="411"/>
      <c r="E11" s="412"/>
      <c r="F11" s="414"/>
      <c r="G11" s="408"/>
      <c r="H11" s="408"/>
    </row>
    <row r="12" spans="1:10" ht="18.5" x14ac:dyDescent="0.55000000000000004">
      <c r="A12" s="107">
        <v>1</v>
      </c>
      <c r="B12" s="107" t="s">
        <v>36</v>
      </c>
      <c r="C12" s="60" t="s">
        <v>10</v>
      </c>
      <c r="D12" s="113">
        <v>-43637802</v>
      </c>
      <c r="E12" s="114"/>
      <c r="F12" s="114">
        <v>0</v>
      </c>
      <c r="G12" s="113">
        <f>D12</f>
        <v>-43637802</v>
      </c>
      <c r="H12" s="4"/>
    </row>
    <row r="13" spans="1:10" x14ac:dyDescent="0.55000000000000004">
      <c r="A13" s="108">
        <v>2</v>
      </c>
      <c r="B13" s="108" t="s">
        <v>145</v>
      </c>
      <c r="C13" s="254" t="s">
        <v>147</v>
      </c>
      <c r="D13" s="255"/>
      <c r="E13" s="229"/>
      <c r="F13" s="159">
        <v>457092907</v>
      </c>
      <c r="G13" s="133">
        <f>G12+E13-F13</f>
        <v>-500730709</v>
      </c>
      <c r="H13" s="26"/>
    </row>
    <row r="14" spans="1:10" x14ac:dyDescent="0.55000000000000004">
      <c r="A14" s="109">
        <v>3</v>
      </c>
      <c r="B14" s="108" t="s">
        <v>164</v>
      </c>
      <c r="C14" s="39" t="s">
        <v>197</v>
      </c>
      <c r="D14" s="58"/>
      <c r="E14" s="149"/>
      <c r="F14" s="58">
        <v>13650000</v>
      </c>
      <c r="G14" s="133">
        <f>G13+E14-F14</f>
        <v>-514380709</v>
      </c>
      <c r="H14" s="63"/>
      <c r="I14" s="8"/>
    </row>
    <row r="15" spans="1:10" x14ac:dyDescent="0.55000000000000004">
      <c r="A15" s="108">
        <v>4</v>
      </c>
      <c r="B15" s="108" t="s">
        <v>37</v>
      </c>
      <c r="C15" s="40" t="s">
        <v>198</v>
      </c>
      <c r="D15" s="58"/>
      <c r="E15" s="118"/>
      <c r="F15" s="58">
        <v>420000</v>
      </c>
      <c r="G15" s="133">
        <f>G14+E15-F15</f>
        <v>-514800709</v>
      </c>
      <c r="H15" s="63"/>
      <c r="I15" s="8"/>
    </row>
    <row r="16" spans="1:10" x14ac:dyDescent="0.55000000000000004">
      <c r="A16" s="109">
        <v>5</v>
      </c>
      <c r="B16" s="108" t="s">
        <v>37</v>
      </c>
      <c r="C16" s="249" t="s">
        <v>199</v>
      </c>
      <c r="D16" s="250"/>
      <c r="E16" s="118"/>
      <c r="F16" s="250">
        <v>12971500</v>
      </c>
      <c r="G16" s="116">
        <f>G15+E16-F16</f>
        <v>-527772209</v>
      </c>
      <c r="H16" s="79"/>
    </row>
    <row r="17" spans="1:8" x14ac:dyDescent="0.55000000000000004">
      <c r="A17" s="108">
        <v>6</v>
      </c>
      <c r="B17" s="108" t="s">
        <v>37</v>
      </c>
      <c r="C17" s="249" t="s">
        <v>200</v>
      </c>
      <c r="D17" s="250"/>
      <c r="E17" s="118"/>
      <c r="F17" s="250">
        <v>7413300</v>
      </c>
      <c r="G17" s="116">
        <f>G16+E17-F17</f>
        <v>-535185509</v>
      </c>
      <c r="H17" s="64"/>
    </row>
    <row r="18" spans="1:8" x14ac:dyDescent="0.55000000000000004">
      <c r="A18" s="108">
        <v>7</v>
      </c>
      <c r="B18" s="108" t="s">
        <v>37</v>
      </c>
      <c r="C18" s="40" t="s">
        <v>201</v>
      </c>
      <c r="D18" s="58"/>
      <c r="E18" s="102"/>
      <c r="F18" s="58">
        <v>3051400</v>
      </c>
      <c r="G18" s="116">
        <f t="shared" ref="G18:G50" si="0">G17+E18-F18</f>
        <v>-538236909</v>
      </c>
      <c r="H18" s="64"/>
    </row>
    <row r="19" spans="1:8" x14ac:dyDescent="0.55000000000000004">
      <c r="A19" s="108">
        <v>8</v>
      </c>
      <c r="B19" s="108" t="s">
        <v>37</v>
      </c>
      <c r="C19" s="40" t="s">
        <v>202</v>
      </c>
      <c r="D19" s="58"/>
      <c r="E19" s="102"/>
      <c r="F19" s="58">
        <v>4000000</v>
      </c>
      <c r="G19" s="116">
        <f t="shared" si="0"/>
        <v>-542236909</v>
      </c>
      <c r="H19" s="79"/>
    </row>
    <row r="20" spans="1:8" x14ac:dyDescent="0.55000000000000004">
      <c r="A20" s="109">
        <v>9</v>
      </c>
      <c r="B20" s="108" t="s">
        <v>37</v>
      </c>
      <c r="C20" s="40" t="s">
        <v>203</v>
      </c>
      <c r="D20" s="58"/>
      <c r="E20" s="102"/>
      <c r="F20" s="58">
        <v>14000000</v>
      </c>
      <c r="G20" s="116">
        <f t="shared" si="0"/>
        <v>-556236909</v>
      </c>
      <c r="H20" s="64"/>
    </row>
    <row r="21" spans="1:8" x14ac:dyDescent="0.55000000000000004">
      <c r="A21" s="108">
        <v>10</v>
      </c>
      <c r="B21" s="108" t="s">
        <v>164</v>
      </c>
      <c r="C21" s="286" t="s">
        <v>277</v>
      </c>
      <c r="D21" s="260"/>
      <c r="E21" s="283"/>
      <c r="F21" s="260">
        <f>138667*280</f>
        <v>38826760</v>
      </c>
      <c r="G21" s="116">
        <f t="shared" si="0"/>
        <v>-595063669</v>
      </c>
      <c r="H21" s="64"/>
    </row>
    <row r="22" spans="1:8" x14ac:dyDescent="0.55000000000000004">
      <c r="A22" s="109">
        <v>11</v>
      </c>
      <c r="B22" s="108" t="s">
        <v>37</v>
      </c>
      <c r="C22" s="287" t="s">
        <v>305</v>
      </c>
      <c r="D22" s="288"/>
      <c r="E22" s="283"/>
      <c r="F22" s="288">
        <f>200000*284</f>
        <v>56800000</v>
      </c>
      <c r="G22" s="116">
        <f t="shared" si="0"/>
        <v>-651863669</v>
      </c>
      <c r="H22" s="64"/>
    </row>
    <row r="23" spans="1:8" x14ac:dyDescent="0.55000000000000004">
      <c r="A23" s="108">
        <v>12</v>
      </c>
      <c r="B23" s="108" t="s">
        <v>37</v>
      </c>
      <c r="C23" s="287" t="s">
        <v>304</v>
      </c>
      <c r="D23" s="288"/>
      <c r="E23" s="283"/>
      <c r="F23" s="288">
        <f>400000*284</f>
        <v>113600000</v>
      </c>
      <c r="G23" s="116">
        <f t="shared" si="0"/>
        <v>-765463669</v>
      </c>
      <c r="H23" s="64"/>
    </row>
    <row r="24" spans="1:8" x14ac:dyDescent="0.55000000000000004">
      <c r="A24" s="109">
        <v>13</v>
      </c>
      <c r="B24" s="108" t="s">
        <v>37</v>
      </c>
      <c r="C24" s="286" t="s">
        <v>278</v>
      </c>
      <c r="D24" s="260"/>
      <c r="E24" s="283"/>
      <c r="F24" s="260">
        <v>21175000</v>
      </c>
      <c r="G24" s="116">
        <f t="shared" si="0"/>
        <v>-786638669</v>
      </c>
      <c r="H24" s="64"/>
    </row>
    <row r="25" spans="1:8" x14ac:dyDescent="0.55000000000000004">
      <c r="A25" s="108">
        <v>14</v>
      </c>
      <c r="B25" s="108" t="s">
        <v>37</v>
      </c>
      <c r="C25" s="289" t="s">
        <v>279</v>
      </c>
      <c r="D25" s="290"/>
      <c r="E25" s="283"/>
      <c r="F25" s="290">
        <v>42700000</v>
      </c>
      <c r="G25" s="116">
        <f t="shared" si="0"/>
        <v>-829338669</v>
      </c>
      <c r="H25" s="64"/>
    </row>
    <row r="26" spans="1:8" x14ac:dyDescent="0.55000000000000004">
      <c r="A26" s="109">
        <v>15</v>
      </c>
      <c r="B26" s="108" t="s">
        <v>37</v>
      </c>
      <c r="C26" s="39"/>
      <c r="D26" s="161"/>
      <c r="E26" s="102"/>
      <c r="F26" s="80"/>
      <c r="G26" s="116">
        <f t="shared" si="0"/>
        <v>-829338669</v>
      </c>
      <c r="H26" s="64"/>
    </row>
    <row r="27" spans="1:8" x14ac:dyDescent="0.55000000000000004">
      <c r="A27" s="108">
        <v>16</v>
      </c>
      <c r="B27" s="108" t="s">
        <v>37</v>
      </c>
      <c r="C27" s="41"/>
      <c r="D27" s="136"/>
      <c r="E27" s="102"/>
      <c r="F27" s="81"/>
      <c r="G27" s="116">
        <f t="shared" si="0"/>
        <v>-829338669</v>
      </c>
      <c r="H27" s="64"/>
    </row>
    <row r="28" spans="1:8" x14ac:dyDescent="0.55000000000000004">
      <c r="A28" s="109">
        <v>17</v>
      </c>
      <c r="B28" s="108" t="s">
        <v>37</v>
      </c>
      <c r="C28" s="40"/>
      <c r="D28" s="135"/>
      <c r="E28" s="102"/>
      <c r="F28" s="80"/>
      <c r="G28" s="116">
        <f t="shared" si="0"/>
        <v>-829338669</v>
      </c>
      <c r="H28" s="66"/>
    </row>
    <row r="29" spans="1:8" x14ac:dyDescent="0.55000000000000004">
      <c r="A29" s="108">
        <v>18</v>
      </c>
      <c r="B29" s="108" t="s">
        <v>37</v>
      </c>
      <c r="C29" s="29"/>
      <c r="D29" s="119"/>
      <c r="E29" s="102"/>
      <c r="F29" s="102"/>
      <c r="G29" s="116">
        <f t="shared" si="0"/>
        <v>-829338669</v>
      </c>
      <c r="H29" s="66"/>
    </row>
    <row r="30" spans="1:8" x14ac:dyDescent="0.55000000000000004">
      <c r="A30" s="109">
        <v>19</v>
      </c>
      <c r="B30" s="108" t="s">
        <v>37</v>
      </c>
      <c r="C30" s="29"/>
      <c r="D30" s="119"/>
      <c r="E30" s="102"/>
      <c r="F30" s="102"/>
      <c r="G30" s="116">
        <f t="shared" si="0"/>
        <v>-829338669</v>
      </c>
      <c r="H30" s="66"/>
    </row>
    <row r="31" spans="1:8" x14ac:dyDescent="0.55000000000000004">
      <c r="A31" s="108">
        <v>20</v>
      </c>
      <c r="B31" s="108" t="s">
        <v>37</v>
      </c>
      <c r="C31" s="29"/>
      <c r="D31" s="119"/>
      <c r="E31" s="102"/>
      <c r="F31" s="102"/>
      <c r="G31" s="116">
        <f t="shared" si="0"/>
        <v>-829338669</v>
      </c>
      <c r="H31" s="64"/>
    </row>
    <row r="32" spans="1:8" x14ac:dyDescent="0.55000000000000004">
      <c r="A32" s="109">
        <v>21</v>
      </c>
      <c r="B32" s="108" t="s">
        <v>37</v>
      </c>
      <c r="C32" s="65"/>
      <c r="D32" s="123"/>
      <c r="E32" s="102"/>
      <c r="F32" s="149"/>
      <c r="G32" s="116">
        <f t="shared" si="0"/>
        <v>-829338669</v>
      </c>
      <c r="H32" s="64"/>
    </row>
    <row r="33" spans="1:8" x14ac:dyDescent="0.55000000000000004">
      <c r="A33" s="108">
        <v>22</v>
      </c>
      <c r="B33" s="108" t="s">
        <v>37</v>
      </c>
      <c r="C33" s="24"/>
      <c r="D33" s="122"/>
      <c r="E33" s="102"/>
      <c r="F33" s="102"/>
      <c r="G33" s="116">
        <f t="shared" si="0"/>
        <v>-829338669</v>
      </c>
      <c r="H33" s="64"/>
    </row>
    <row r="34" spans="1:8" x14ac:dyDescent="0.55000000000000004">
      <c r="A34" s="109">
        <v>23</v>
      </c>
      <c r="B34" s="108" t="s">
        <v>37</v>
      </c>
      <c r="C34" s="24"/>
      <c r="D34" s="122"/>
      <c r="E34" s="102"/>
      <c r="F34" s="102"/>
      <c r="G34" s="116">
        <f t="shared" si="0"/>
        <v>-829338669</v>
      </c>
      <c r="H34" s="64"/>
    </row>
    <row r="35" spans="1:8" x14ac:dyDescent="0.55000000000000004">
      <c r="A35" s="108">
        <v>24</v>
      </c>
      <c r="B35" s="108" t="s">
        <v>37</v>
      </c>
      <c r="C35" s="29"/>
      <c r="D35" s="119"/>
      <c r="E35" s="102"/>
      <c r="F35" s="102"/>
      <c r="G35" s="116">
        <f t="shared" si="0"/>
        <v>-829338669</v>
      </c>
      <c r="H35" s="64"/>
    </row>
    <row r="36" spans="1:8" s="53" customFormat="1" x14ac:dyDescent="0.55000000000000004">
      <c r="A36" s="109">
        <v>25</v>
      </c>
      <c r="B36" s="108" t="s">
        <v>37</v>
      </c>
      <c r="C36" s="40"/>
      <c r="D36" s="119"/>
      <c r="E36" s="102"/>
      <c r="F36" s="59"/>
      <c r="G36" s="116">
        <f t="shared" si="0"/>
        <v>-829338669</v>
      </c>
      <c r="H36" s="64"/>
    </row>
    <row r="37" spans="1:8" s="53" customFormat="1" x14ac:dyDescent="0.55000000000000004">
      <c r="A37" s="108">
        <v>26</v>
      </c>
      <c r="B37" s="108" t="s">
        <v>37</v>
      </c>
      <c r="C37" s="73"/>
      <c r="D37" s="119"/>
      <c r="E37" s="102"/>
      <c r="F37" s="93"/>
      <c r="G37" s="116">
        <f t="shared" si="0"/>
        <v>-829338669</v>
      </c>
      <c r="H37" s="64"/>
    </row>
    <row r="38" spans="1:8" s="53" customFormat="1" x14ac:dyDescent="0.55000000000000004">
      <c r="A38" s="109">
        <v>27</v>
      </c>
      <c r="B38" s="108" t="s">
        <v>37</v>
      </c>
      <c r="C38" s="91"/>
      <c r="D38" s="119"/>
      <c r="E38" s="102"/>
      <c r="F38" s="59"/>
      <c r="G38" s="116">
        <f t="shared" si="0"/>
        <v>-829338669</v>
      </c>
      <c r="H38" s="64"/>
    </row>
    <row r="39" spans="1:8" s="53" customFormat="1" x14ac:dyDescent="0.55000000000000004">
      <c r="A39" s="108">
        <v>28</v>
      </c>
      <c r="B39" s="108" t="s">
        <v>37</v>
      </c>
      <c r="C39" s="41"/>
      <c r="D39" s="119"/>
      <c r="E39" s="102"/>
      <c r="F39" s="93"/>
      <c r="G39" s="116">
        <f t="shared" si="0"/>
        <v>-829338669</v>
      </c>
      <c r="H39" s="64"/>
    </row>
    <row r="40" spans="1:8" s="53" customFormat="1" x14ac:dyDescent="0.55000000000000004">
      <c r="A40" s="109">
        <v>29</v>
      </c>
      <c r="B40" s="108" t="s">
        <v>37</v>
      </c>
      <c r="C40" s="40"/>
      <c r="D40" s="119"/>
      <c r="E40" s="102"/>
      <c r="F40" s="58"/>
      <c r="G40" s="116">
        <f t="shared" si="0"/>
        <v>-829338669</v>
      </c>
      <c r="H40" s="64"/>
    </row>
    <row r="41" spans="1:8" s="53" customFormat="1" x14ac:dyDescent="0.55000000000000004">
      <c r="A41" s="108">
        <v>30</v>
      </c>
      <c r="B41" s="108" t="s">
        <v>37</v>
      </c>
      <c r="C41" s="40"/>
      <c r="D41" s="119"/>
      <c r="E41" s="102"/>
      <c r="F41" s="58"/>
      <c r="G41" s="116">
        <f t="shared" si="0"/>
        <v>-829338669</v>
      </c>
      <c r="H41" s="64"/>
    </row>
    <row r="42" spans="1:8" s="53" customFormat="1" x14ac:dyDescent="0.55000000000000004">
      <c r="A42" s="109">
        <v>31</v>
      </c>
      <c r="B42" s="108" t="s">
        <v>37</v>
      </c>
      <c r="C42" s="40"/>
      <c r="D42" s="119"/>
      <c r="E42" s="102"/>
      <c r="F42" s="58"/>
      <c r="G42" s="116">
        <f t="shared" si="0"/>
        <v>-829338669</v>
      </c>
      <c r="H42" s="64"/>
    </row>
    <row r="43" spans="1:8" s="53" customFormat="1" x14ac:dyDescent="0.55000000000000004">
      <c r="A43" s="108">
        <v>32</v>
      </c>
      <c r="B43" s="108" t="s">
        <v>37</v>
      </c>
      <c r="C43" s="40"/>
      <c r="D43" s="119"/>
      <c r="E43" s="102"/>
      <c r="F43" s="58"/>
      <c r="G43" s="116">
        <f t="shared" si="0"/>
        <v>-829338669</v>
      </c>
      <c r="H43" s="64"/>
    </row>
    <row r="44" spans="1:8" s="53" customFormat="1" x14ac:dyDescent="0.55000000000000004">
      <c r="A44" s="109">
        <v>33</v>
      </c>
      <c r="B44" s="108" t="s">
        <v>37</v>
      </c>
      <c r="C44" s="40"/>
      <c r="D44" s="119"/>
      <c r="E44" s="102"/>
      <c r="F44" s="58"/>
      <c r="G44" s="116">
        <f t="shared" si="0"/>
        <v>-829338669</v>
      </c>
      <c r="H44" s="64"/>
    </row>
    <row r="45" spans="1:8" s="53" customFormat="1" x14ac:dyDescent="0.55000000000000004">
      <c r="A45" s="108">
        <v>34</v>
      </c>
      <c r="B45" s="108" t="s">
        <v>37</v>
      </c>
      <c r="C45" s="40"/>
      <c r="D45" s="119"/>
      <c r="E45" s="102"/>
      <c r="F45" s="58"/>
      <c r="G45" s="116">
        <f t="shared" si="0"/>
        <v>-829338669</v>
      </c>
      <c r="H45" s="64"/>
    </row>
    <row r="46" spans="1:8" s="53" customFormat="1" x14ac:dyDescent="0.55000000000000004">
      <c r="A46" s="109">
        <v>35</v>
      </c>
      <c r="B46" s="108" t="s">
        <v>37</v>
      </c>
      <c r="C46" s="29"/>
      <c r="D46" s="119"/>
      <c r="E46" s="102"/>
      <c r="F46" s="102"/>
      <c r="G46" s="116">
        <f t="shared" si="0"/>
        <v>-829338669</v>
      </c>
      <c r="H46" s="64"/>
    </row>
    <row r="47" spans="1:8" s="53" customFormat="1" x14ac:dyDescent="0.55000000000000004">
      <c r="A47" s="108">
        <v>36</v>
      </c>
      <c r="B47" s="108" t="s">
        <v>37</v>
      </c>
      <c r="C47" s="29"/>
      <c r="D47" s="119"/>
      <c r="E47" s="102"/>
      <c r="F47" s="102"/>
      <c r="G47" s="116">
        <f t="shared" si="0"/>
        <v>-829338669</v>
      </c>
      <c r="H47" s="64"/>
    </row>
    <row r="48" spans="1:8" x14ac:dyDescent="0.55000000000000004">
      <c r="A48" s="109">
        <v>37</v>
      </c>
      <c r="B48" s="108" t="s">
        <v>37</v>
      </c>
      <c r="C48" s="24"/>
      <c r="D48" s="122"/>
      <c r="E48" s="102"/>
      <c r="F48" s="102"/>
      <c r="G48" s="116">
        <f t="shared" si="0"/>
        <v>-829338669</v>
      </c>
      <c r="H48" s="64"/>
    </row>
    <row r="49" spans="1:8" x14ac:dyDescent="0.55000000000000004">
      <c r="A49" s="108">
        <v>38</v>
      </c>
      <c r="B49" s="108" t="s">
        <v>37</v>
      </c>
      <c r="C49" s="29"/>
      <c r="D49" s="119"/>
      <c r="E49" s="102"/>
      <c r="F49" s="102"/>
      <c r="G49" s="116">
        <f t="shared" si="0"/>
        <v>-829338669</v>
      </c>
      <c r="H49" s="64"/>
    </row>
    <row r="50" spans="1:8" x14ac:dyDescent="0.55000000000000004">
      <c r="A50" s="109">
        <v>39</v>
      </c>
      <c r="B50" s="111" t="s">
        <v>37</v>
      </c>
      <c r="C50" s="29"/>
      <c r="D50" s="119"/>
      <c r="E50" s="102"/>
      <c r="F50" s="102"/>
      <c r="G50" s="116">
        <f t="shared" si="0"/>
        <v>-829338669</v>
      </c>
      <c r="H50" s="64"/>
    </row>
    <row r="51" spans="1:8" ht="21.65" customHeight="1" x14ac:dyDescent="0.55000000000000004">
      <c r="A51" s="188"/>
      <c r="B51" s="72" t="s">
        <v>2</v>
      </c>
      <c r="C51" s="72"/>
      <c r="D51" s="127">
        <f>SUM(D12:D50)</f>
        <v>-43637802</v>
      </c>
      <c r="E51" s="128">
        <f>SUM(E12:E50)</f>
        <v>0</v>
      </c>
      <c r="F51" s="128">
        <f>SUM(F12:F50)</f>
        <v>785700867</v>
      </c>
      <c r="G51" s="128">
        <f>D51+E51-F51</f>
        <v>-829338669</v>
      </c>
      <c r="H51" s="72"/>
    </row>
    <row r="52" spans="1:8" ht="22.5" x14ac:dyDescent="0.7">
      <c r="A52" s="18"/>
      <c r="B52" s="19"/>
      <c r="C52" s="20"/>
      <c r="D52" s="20"/>
      <c r="E52" s="21"/>
      <c r="F52" s="21"/>
      <c r="G52" s="21"/>
      <c r="H52" s="19"/>
    </row>
    <row r="53" spans="1:8" ht="18.5" x14ac:dyDescent="0.55000000000000004">
      <c r="A53" s="419" t="s">
        <v>68</v>
      </c>
      <c r="B53" s="419"/>
      <c r="C53" s="419"/>
      <c r="D53" s="419"/>
      <c r="E53" s="419"/>
      <c r="F53" s="419"/>
      <c r="G53" s="419"/>
      <c r="H53" s="419"/>
    </row>
    <row r="54" spans="1:8" x14ac:dyDescent="0.55000000000000004">
      <c r="A54" s="53"/>
      <c r="E54" s="53"/>
      <c r="F54" s="53"/>
      <c r="G54" s="53"/>
      <c r="H54" s="53"/>
    </row>
    <row r="55" spans="1:8" x14ac:dyDescent="0.55000000000000004">
      <c r="A55" s="53"/>
      <c r="E55" s="53"/>
      <c r="F55" s="53"/>
      <c r="G55" s="53"/>
      <c r="H55" s="53"/>
    </row>
    <row r="56" spans="1:8" x14ac:dyDescent="0.55000000000000004">
      <c r="A56" s="53"/>
      <c r="E56" s="53"/>
      <c r="F56" s="53"/>
      <c r="G56" s="53"/>
      <c r="H56" s="53"/>
    </row>
    <row r="57" spans="1:8" x14ac:dyDescent="0.55000000000000004">
      <c r="A57" s="53"/>
      <c r="E57" s="53"/>
      <c r="F57" s="53"/>
      <c r="G57" s="53"/>
      <c r="H57" s="53"/>
    </row>
    <row r="58" spans="1:8" x14ac:dyDescent="0.55000000000000004">
      <c r="A58" s="53"/>
      <c r="E58" s="53"/>
      <c r="F58" s="53"/>
      <c r="G58" s="53"/>
      <c r="H58" s="53"/>
    </row>
    <row r="59" spans="1:8" x14ac:dyDescent="0.55000000000000004">
      <c r="A59" s="53"/>
      <c r="E59" s="53"/>
      <c r="F59" s="53"/>
      <c r="G59" s="53"/>
      <c r="H59" s="53"/>
    </row>
    <row r="60" spans="1:8" x14ac:dyDescent="0.55000000000000004">
      <c r="A60" s="53"/>
      <c r="E60" s="53"/>
      <c r="F60" s="53"/>
      <c r="G60" s="53"/>
      <c r="H60" s="53"/>
    </row>
    <row r="61" spans="1:8" x14ac:dyDescent="0.55000000000000004">
      <c r="A61" s="53"/>
      <c r="E61" s="53"/>
      <c r="F61" s="53"/>
      <c r="G61" s="53"/>
      <c r="H61" s="53"/>
    </row>
    <row r="62" spans="1:8" x14ac:dyDescent="0.55000000000000004">
      <c r="A62" s="53"/>
      <c r="E62" s="53"/>
      <c r="F62" s="53"/>
      <c r="G62" s="53"/>
      <c r="H62" s="53"/>
    </row>
    <row r="63" spans="1:8" ht="18.5" x14ac:dyDescent="0.6">
      <c r="A63" s="407" t="s">
        <v>67</v>
      </c>
      <c r="B63" s="407"/>
      <c r="C63" s="407"/>
      <c r="D63" s="407"/>
      <c r="E63" s="407"/>
      <c r="F63" s="407"/>
      <c r="G63" s="407"/>
      <c r="H63" s="407"/>
    </row>
  </sheetData>
  <mergeCells count="14">
    <mergeCell ref="A63:H63"/>
    <mergeCell ref="G10:G11"/>
    <mergeCell ref="H10:H11"/>
    <mergeCell ref="A53:H53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7.0833333333333331E-2" right="7.9687499999999994E-2" top="0.34531250000000002" bottom="0.75" header="0.3" footer="0.3"/>
  <pageSetup scale="85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I122"/>
  <sheetViews>
    <sheetView view="pageLayout" topLeftCell="A52" zoomScaleNormal="100" workbookViewId="0">
      <selection activeCell="G13" sqref="G13:G68"/>
    </sheetView>
  </sheetViews>
  <sheetFormatPr defaultColWidth="9.1796875" defaultRowHeight="17" x14ac:dyDescent="0.55000000000000004"/>
  <cols>
    <col min="1" max="1" width="4" style="23" customWidth="1"/>
    <col min="2" max="2" width="9.54296875" style="22" customWidth="1"/>
    <col min="3" max="3" width="50.453125" style="22" customWidth="1"/>
    <col min="4" max="4" width="13.453125" style="22" customWidth="1"/>
    <col min="5" max="6" width="14.54296875" style="23" customWidth="1"/>
    <col min="7" max="7" width="16.453125" style="23" customWidth="1"/>
    <col min="8" max="8" width="8.453125" style="23" customWidth="1"/>
    <col min="9" max="16384" width="9.1796875" style="23"/>
  </cols>
  <sheetData>
    <row r="1" spans="1:9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9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9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9" s="53" customFormat="1" ht="15.7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9" s="53" customFormat="1" ht="15.7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9" s="53" customFormat="1" ht="15.7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9" s="53" customFormat="1" ht="15.7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9" ht="27.65" customHeight="1" x14ac:dyDescent="0.55000000000000004">
      <c r="A8" s="418" t="s">
        <v>14</v>
      </c>
      <c r="B8" s="418"/>
      <c r="C8" s="418"/>
      <c r="D8" s="418"/>
      <c r="E8" s="418"/>
      <c r="F8" s="418"/>
      <c r="G8" s="418"/>
      <c r="H8" s="418"/>
      <c r="I8" s="2"/>
    </row>
    <row r="9" spans="1:9" ht="34.4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</row>
    <row r="10" spans="1:9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9" ht="20.25" customHeight="1" x14ac:dyDescent="0.55000000000000004">
      <c r="A11" s="411"/>
      <c r="B11" s="411"/>
      <c r="C11" s="411"/>
      <c r="D11" s="411"/>
      <c r="E11" s="412"/>
      <c r="F11" s="414"/>
      <c r="G11" s="408"/>
      <c r="H11" s="408"/>
    </row>
    <row r="12" spans="1:9" ht="20.149999999999999" customHeight="1" x14ac:dyDescent="0.55000000000000004">
      <c r="A12" s="129">
        <v>1</v>
      </c>
      <c r="B12" s="107" t="s">
        <v>36</v>
      </c>
      <c r="C12" s="60" t="s">
        <v>10</v>
      </c>
      <c r="D12" s="113">
        <v>-250374085</v>
      </c>
      <c r="E12" s="113"/>
      <c r="F12" s="113">
        <v>0</v>
      </c>
      <c r="G12" s="138">
        <f>D12</f>
        <v>-250374085</v>
      </c>
      <c r="H12" s="4"/>
    </row>
    <row r="13" spans="1:9" s="53" customFormat="1" ht="20.149999999999999" customHeight="1" x14ac:dyDescent="0.55000000000000004">
      <c r="A13" s="106">
        <v>2</v>
      </c>
      <c r="B13" s="111" t="s">
        <v>37</v>
      </c>
      <c r="C13" s="311" t="s">
        <v>325</v>
      </c>
      <c r="D13" s="172">
        <v>500000000</v>
      </c>
      <c r="E13" s="116"/>
      <c r="F13" s="116"/>
      <c r="G13" s="94">
        <f>G12+D13+E13-F13</f>
        <v>249625915</v>
      </c>
      <c r="H13" s="6"/>
    </row>
    <row r="14" spans="1:9" s="53" customFormat="1" ht="20.149999999999999" customHeight="1" x14ac:dyDescent="0.55000000000000004">
      <c r="A14" s="106"/>
      <c r="B14" s="111"/>
      <c r="C14" s="311"/>
      <c r="D14" s="172">
        <v>400000000</v>
      </c>
      <c r="E14" s="116"/>
      <c r="F14" s="116"/>
      <c r="G14" s="94">
        <f t="shared" ref="G14:G68" si="0">G13+D14+E14-F14</f>
        <v>649625915</v>
      </c>
      <c r="H14" s="6"/>
    </row>
    <row r="15" spans="1:9" ht="20.149999999999999" customHeight="1" x14ac:dyDescent="0.55000000000000004">
      <c r="A15" s="165">
        <v>3</v>
      </c>
      <c r="B15" s="111" t="s">
        <v>58</v>
      </c>
      <c r="C15" s="50" t="s">
        <v>63</v>
      </c>
      <c r="D15" s="116"/>
      <c r="E15" s="116">
        <v>2109000</v>
      </c>
      <c r="F15" s="116"/>
      <c r="G15" s="94">
        <f t="shared" si="0"/>
        <v>651734915</v>
      </c>
      <c r="H15" s="6"/>
    </row>
    <row r="16" spans="1:9" ht="20.149999999999999" customHeight="1" x14ac:dyDescent="0.55000000000000004">
      <c r="A16" s="106">
        <v>4</v>
      </c>
      <c r="B16" s="111" t="s">
        <v>78</v>
      </c>
      <c r="C16" s="50" t="s">
        <v>79</v>
      </c>
      <c r="D16" s="116"/>
      <c r="E16" s="116">
        <v>15000000</v>
      </c>
      <c r="F16" s="116"/>
      <c r="G16" s="94">
        <f t="shared" si="0"/>
        <v>666734915</v>
      </c>
      <c r="H16" s="6"/>
    </row>
    <row r="17" spans="1:8" ht="18.5" x14ac:dyDescent="0.55000000000000004">
      <c r="A17" s="165">
        <v>5</v>
      </c>
      <c r="B17" s="111" t="s">
        <v>37</v>
      </c>
      <c r="C17" s="24" t="s">
        <v>82</v>
      </c>
      <c r="D17" s="115"/>
      <c r="E17" s="116"/>
      <c r="F17" s="133">
        <v>10000</v>
      </c>
      <c r="G17" s="94">
        <f t="shared" si="0"/>
        <v>666724915</v>
      </c>
      <c r="H17" s="6"/>
    </row>
    <row r="18" spans="1:8" ht="18.5" x14ac:dyDescent="0.55000000000000004">
      <c r="A18" s="106">
        <v>6</v>
      </c>
      <c r="B18" s="111" t="s">
        <v>37</v>
      </c>
      <c r="C18" s="82" t="s">
        <v>83</v>
      </c>
      <c r="D18" s="115"/>
      <c r="E18" s="116"/>
      <c r="F18" s="121">
        <v>20000</v>
      </c>
      <c r="G18" s="94">
        <f t="shared" si="0"/>
        <v>666704915</v>
      </c>
      <c r="H18" s="6"/>
    </row>
    <row r="19" spans="1:8" x14ac:dyDescent="0.55000000000000004">
      <c r="A19" s="165">
        <v>7</v>
      </c>
      <c r="B19" s="111" t="s">
        <v>93</v>
      </c>
      <c r="C19" s="82" t="s">
        <v>94</v>
      </c>
      <c r="D19" s="119"/>
      <c r="E19" s="118"/>
      <c r="F19" s="121">
        <v>6000</v>
      </c>
      <c r="G19" s="94">
        <f t="shared" si="0"/>
        <v>666698915</v>
      </c>
      <c r="H19" s="7"/>
    </row>
    <row r="20" spans="1:8" x14ac:dyDescent="0.55000000000000004">
      <c r="A20" s="106">
        <v>8</v>
      </c>
      <c r="B20" s="111" t="s">
        <v>138</v>
      </c>
      <c r="C20" s="25" t="s">
        <v>139</v>
      </c>
      <c r="D20" s="179"/>
      <c r="E20" s="118"/>
      <c r="F20" s="149">
        <v>50000000</v>
      </c>
      <c r="G20" s="94">
        <f t="shared" si="0"/>
        <v>616698915</v>
      </c>
      <c r="H20" s="10"/>
    </row>
    <row r="21" spans="1:8" x14ac:dyDescent="0.55000000000000004">
      <c r="A21" s="165">
        <v>9</v>
      </c>
      <c r="B21" s="111" t="s">
        <v>37</v>
      </c>
      <c r="C21" s="82" t="s">
        <v>87</v>
      </c>
      <c r="D21" s="119"/>
      <c r="E21" s="118"/>
      <c r="F21" s="149">
        <v>5000</v>
      </c>
      <c r="G21" s="94">
        <f t="shared" si="0"/>
        <v>616693915</v>
      </c>
      <c r="H21" s="10"/>
    </row>
    <row r="22" spans="1:8" x14ac:dyDescent="0.55000000000000004">
      <c r="A22" s="106">
        <v>10</v>
      </c>
      <c r="B22" s="111" t="s">
        <v>37</v>
      </c>
      <c r="C22" s="25" t="s">
        <v>153</v>
      </c>
      <c r="D22" s="179"/>
      <c r="E22" s="118"/>
      <c r="F22" s="149">
        <v>5273139</v>
      </c>
      <c r="G22" s="94">
        <f t="shared" si="0"/>
        <v>611420776</v>
      </c>
      <c r="H22" s="10"/>
    </row>
    <row r="23" spans="1:8" x14ac:dyDescent="0.55000000000000004">
      <c r="A23" s="165">
        <v>11</v>
      </c>
      <c r="B23" s="111" t="s">
        <v>37</v>
      </c>
      <c r="C23" s="25" t="s">
        <v>87</v>
      </c>
      <c r="D23" s="119"/>
      <c r="E23" s="118"/>
      <c r="F23" s="149">
        <v>6300</v>
      </c>
      <c r="G23" s="94">
        <f t="shared" si="0"/>
        <v>611414476</v>
      </c>
      <c r="H23" s="10"/>
    </row>
    <row r="24" spans="1:8" x14ac:dyDescent="0.55000000000000004">
      <c r="A24" s="106">
        <v>12</v>
      </c>
      <c r="B24" s="111" t="s">
        <v>161</v>
      </c>
      <c r="C24" s="39" t="s">
        <v>154</v>
      </c>
      <c r="D24" s="58"/>
      <c r="E24" s="149"/>
      <c r="F24" s="58">
        <v>224305000</v>
      </c>
      <c r="G24" s="94">
        <f t="shared" si="0"/>
        <v>387109476</v>
      </c>
      <c r="H24" s="10"/>
    </row>
    <row r="25" spans="1:8" x14ac:dyDescent="0.55000000000000004">
      <c r="A25" s="165">
        <v>13</v>
      </c>
      <c r="B25" s="111" t="s">
        <v>37</v>
      </c>
      <c r="C25" s="39" t="s">
        <v>155</v>
      </c>
      <c r="D25" s="58"/>
      <c r="E25" s="121"/>
      <c r="F25" s="58">
        <v>5604000</v>
      </c>
      <c r="G25" s="94">
        <f t="shared" si="0"/>
        <v>381505476</v>
      </c>
      <c r="H25" s="10"/>
    </row>
    <row r="26" spans="1:8" x14ac:dyDescent="0.55000000000000004">
      <c r="A26" s="106">
        <v>14</v>
      </c>
      <c r="B26" s="111" t="s">
        <v>37</v>
      </c>
      <c r="C26" s="39" t="s">
        <v>156</v>
      </c>
      <c r="D26" s="58"/>
      <c r="E26" s="121"/>
      <c r="F26" s="58">
        <v>71953333</v>
      </c>
      <c r="G26" s="94">
        <f t="shared" si="0"/>
        <v>309552143</v>
      </c>
      <c r="H26" s="10"/>
    </row>
    <row r="27" spans="1:8" x14ac:dyDescent="0.55000000000000004">
      <c r="A27" s="165">
        <v>15</v>
      </c>
      <c r="B27" s="111" t="s">
        <v>37</v>
      </c>
      <c r="C27" s="39" t="s">
        <v>157</v>
      </c>
      <c r="D27" s="58"/>
      <c r="E27" s="149"/>
      <c r="F27" s="58">
        <v>2040000</v>
      </c>
      <c r="G27" s="94">
        <f t="shared" si="0"/>
        <v>307512143</v>
      </c>
      <c r="H27" s="10"/>
    </row>
    <row r="28" spans="1:8" x14ac:dyDescent="0.55000000000000004">
      <c r="A28" s="106">
        <v>16</v>
      </c>
      <c r="B28" s="111" t="s">
        <v>37</v>
      </c>
      <c r="C28" s="39" t="s">
        <v>158</v>
      </c>
      <c r="D28" s="58"/>
      <c r="E28" s="149"/>
      <c r="F28" s="58">
        <v>105446250</v>
      </c>
      <c r="G28" s="94">
        <f t="shared" si="0"/>
        <v>202065893</v>
      </c>
      <c r="H28" s="10"/>
    </row>
    <row r="29" spans="1:8" x14ac:dyDescent="0.55000000000000004">
      <c r="A29" s="165">
        <v>17</v>
      </c>
      <c r="B29" s="111" t="s">
        <v>37</v>
      </c>
      <c r="C29" s="39" t="s">
        <v>159</v>
      </c>
      <c r="D29" s="58"/>
      <c r="E29" s="149"/>
      <c r="F29" s="58">
        <v>3208000</v>
      </c>
      <c r="G29" s="94">
        <f t="shared" si="0"/>
        <v>198857893</v>
      </c>
      <c r="H29" s="10"/>
    </row>
    <row r="30" spans="1:8" x14ac:dyDescent="0.55000000000000004">
      <c r="A30" s="106">
        <v>18</v>
      </c>
      <c r="B30" s="111" t="s">
        <v>37</v>
      </c>
      <c r="C30" s="247" t="s">
        <v>160</v>
      </c>
      <c r="D30" s="69"/>
      <c r="E30" s="261"/>
      <c r="F30" s="69">
        <v>56309000</v>
      </c>
      <c r="G30" s="94">
        <f t="shared" si="0"/>
        <v>142548893</v>
      </c>
      <c r="H30" s="10"/>
    </row>
    <row r="31" spans="1:8" x14ac:dyDescent="0.55000000000000004">
      <c r="A31" s="165">
        <v>19</v>
      </c>
      <c r="B31" s="111" t="s">
        <v>37</v>
      </c>
      <c r="C31" s="314" t="s">
        <v>236</v>
      </c>
      <c r="D31" s="264"/>
      <c r="E31" s="265">
        <v>10538500</v>
      </c>
      <c r="F31" s="59"/>
      <c r="G31" s="94">
        <f t="shared" si="0"/>
        <v>153087393</v>
      </c>
      <c r="H31" s="10"/>
    </row>
    <row r="32" spans="1:8" x14ac:dyDescent="0.55000000000000004">
      <c r="A32" s="106">
        <v>20</v>
      </c>
      <c r="B32" s="111" t="s">
        <v>37</v>
      </c>
      <c r="C32" s="40" t="s">
        <v>87</v>
      </c>
      <c r="D32" s="59"/>
      <c r="E32" s="102"/>
      <c r="F32" s="59">
        <v>10000</v>
      </c>
      <c r="G32" s="94">
        <f t="shared" si="0"/>
        <v>153077393</v>
      </c>
      <c r="H32" s="10"/>
    </row>
    <row r="33" spans="1:8" x14ac:dyDescent="0.55000000000000004">
      <c r="A33" s="165">
        <v>21</v>
      </c>
      <c r="B33" s="111" t="s">
        <v>164</v>
      </c>
      <c r="C33" s="85" t="s">
        <v>237</v>
      </c>
      <c r="D33" s="250"/>
      <c r="E33" s="281"/>
      <c r="F33" s="250">
        <v>6750900</v>
      </c>
      <c r="G33" s="94">
        <f t="shared" si="0"/>
        <v>146326493</v>
      </c>
      <c r="H33" s="10"/>
    </row>
    <row r="34" spans="1:8" x14ac:dyDescent="0.55000000000000004">
      <c r="A34" s="106">
        <v>22</v>
      </c>
      <c r="B34" s="111" t="s">
        <v>37</v>
      </c>
      <c r="C34" s="85" t="s">
        <v>238</v>
      </c>
      <c r="D34" s="250"/>
      <c r="E34" s="282"/>
      <c r="F34" s="250">
        <v>814200</v>
      </c>
      <c r="G34" s="94">
        <f t="shared" si="0"/>
        <v>145512293</v>
      </c>
      <c r="H34" s="10"/>
    </row>
    <row r="35" spans="1:8" x14ac:dyDescent="0.55000000000000004">
      <c r="A35" s="165">
        <v>23</v>
      </c>
      <c r="B35" s="111" t="s">
        <v>37</v>
      </c>
      <c r="C35" s="85" t="s">
        <v>239</v>
      </c>
      <c r="D35" s="250"/>
      <c r="E35" s="281"/>
      <c r="F35" s="250">
        <v>5207000</v>
      </c>
      <c r="G35" s="94">
        <f t="shared" si="0"/>
        <v>140305293</v>
      </c>
      <c r="H35" s="10"/>
    </row>
    <row r="36" spans="1:8" x14ac:dyDescent="0.55000000000000004">
      <c r="A36" s="106">
        <v>24</v>
      </c>
      <c r="B36" s="111" t="s">
        <v>37</v>
      </c>
      <c r="C36" s="85" t="s">
        <v>240</v>
      </c>
      <c r="D36" s="250"/>
      <c r="E36" s="281"/>
      <c r="F36" s="250">
        <v>6223810</v>
      </c>
      <c r="G36" s="94">
        <f t="shared" si="0"/>
        <v>134081483</v>
      </c>
      <c r="H36" s="10"/>
    </row>
    <row r="37" spans="1:8" x14ac:dyDescent="0.55000000000000004">
      <c r="A37" s="165">
        <v>25</v>
      </c>
      <c r="B37" s="111" t="s">
        <v>37</v>
      </c>
      <c r="C37" s="85" t="s">
        <v>241</v>
      </c>
      <c r="D37" s="250"/>
      <c r="E37" s="281"/>
      <c r="F37" s="250">
        <v>1685280</v>
      </c>
      <c r="G37" s="94">
        <f t="shared" si="0"/>
        <v>132396203</v>
      </c>
      <c r="H37" s="10"/>
    </row>
    <row r="38" spans="1:8" x14ac:dyDescent="0.55000000000000004">
      <c r="A38" s="106">
        <v>26</v>
      </c>
      <c r="B38" s="111" t="s">
        <v>37</v>
      </c>
      <c r="C38" s="85" t="s">
        <v>242</v>
      </c>
      <c r="D38" s="250"/>
      <c r="E38" s="282"/>
      <c r="F38" s="250">
        <v>403420</v>
      </c>
      <c r="G38" s="94">
        <f t="shared" si="0"/>
        <v>131992783</v>
      </c>
      <c r="H38" s="10"/>
    </row>
    <row r="39" spans="1:8" x14ac:dyDescent="0.55000000000000004">
      <c r="A39" s="165">
        <v>27</v>
      </c>
      <c r="B39" s="111" t="s">
        <v>37</v>
      </c>
      <c r="C39" s="85" t="s">
        <v>243</v>
      </c>
      <c r="D39" s="250"/>
      <c r="E39" s="282"/>
      <c r="F39" s="250">
        <v>892060</v>
      </c>
      <c r="G39" s="94">
        <f t="shared" si="0"/>
        <v>131100723</v>
      </c>
      <c r="H39" s="10"/>
    </row>
    <row r="40" spans="1:8" x14ac:dyDescent="0.55000000000000004">
      <c r="A40" s="106">
        <v>28</v>
      </c>
      <c r="B40" s="111" t="s">
        <v>37</v>
      </c>
      <c r="C40" s="85" t="s">
        <v>303</v>
      </c>
      <c r="D40" s="250"/>
      <c r="E40" s="282"/>
      <c r="F40" s="250">
        <f>16800*282</f>
        <v>4737600</v>
      </c>
      <c r="G40" s="94">
        <f t="shared" si="0"/>
        <v>126363123</v>
      </c>
      <c r="H40" s="13"/>
    </row>
    <row r="41" spans="1:8" x14ac:dyDescent="0.55000000000000004">
      <c r="A41" s="165">
        <v>29</v>
      </c>
      <c r="B41" s="111" t="s">
        <v>37</v>
      </c>
      <c r="C41" s="85" t="s">
        <v>244</v>
      </c>
      <c r="D41" s="250"/>
      <c r="E41" s="282"/>
      <c r="F41" s="250">
        <v>1080000</v>
      </c>
      <c r="G41" s="94">
        <f t="shared" si="0"/>
        <v>125283123</v>
      </c>
      <c r="H41" s="13"/>
    </row>
    <row r="42" spans="1:8" x14ac:dyDescent="0.55000000000000004">
      <c r="A42" s="106">
        <v>30</v>
      </c>
      <c r="B42" s="111" t="s">
        <v>37</v>
      </c>
      <c r="C42" s="85" t="s">
        <v>245</v>
      </c>
      <c r="D42" s="250"/>
      <c r="E42" s="282"/>
      <c r="F42" s="250">
        <f>17600*282</f>
        <v>4963200</v>
      </c>
      <c r="G42" s="94">
        <f t="shared" si="0"/>
        <v>120319923</v>
      </c>
      <c r="H42" s="10"/>
    </row>
    <row r="43" spans="1:8" x14ac:dyDescent="0.55000000000000004">
      <c r="A43" s="165">
        <v>31</v>
      </c>
      <c r="B43" s="111" t="s">
        <v>37</v>
      </c>
      <c r="C43" s="85" t="s">
        <v>246</v>
      </c>
      <c r="D43" s="250"/>
      <c r="E43" s="282"/>
      <c r="F43" s="250">
        <f>17600*282</f>
        <v>4963200</v>
      </c>
      <c r="G43" s="94">
        <f t="shared" si="0"/>
        <v>115356723</v>
      </c>
      <c r="H43" s="10"/>
    </row>
    <row r="44" spans="1:8" x14ac:dyDescent="0.55000000000000004">
      <c r="A44" s="106">
        <v>32</v>
      </c>
      <c r="B44" s="111" t="s">
        <v>37</v>
      </c>
      <c r="C44" s="85" t="s">
        <v>247</v>
      </c>
      <c r="D44" s="250"/>
      <c r="E44" s="282"/>
      <c r="F44" s="250">
        <v>2000000</v>
      </c>
      <c r="G44" s="94">
        <f t="shared" si="0"/>
        <v>113356723</v>
      </c>
      <c r="H44" s="10"/>
    </row>
    <row r="45" spans="1:8" x14ac:dyDescent="0.55000000000000004">
      <c r="A45" s="165">
        <v>33</v>
      </c>
      <c r="B45" s="111" t="s">
        <v>37</v>
      </c>
      <c r="C45" s="85" t="s">
        <v>248</v>
      </c>
      <c r="D45" s="250"/>
      <c r="E45" s="282"/>
      <c r="F45" s="250">
        <v>480000</v>
      </c>
      <c r="G45" s="94">
        <f t="shared" si="0"/>
        <v>112876723</v>
      </c>
      <c r="H45" s="10"/>
    </row>
    <row r="46" spans="1:8" x14ac:dyDescent="0.55000000000000004">
      <c r="A46" s="106">
        <v>34</v>
      </c>
      <c r="B46" s="111" t="s">
        <v>37</v>
      </c>
      <c r="C46" s="40" t="s">
        <v>299</v>
      </c>
      <c r="D46" s="160"/>
      <c r="E46" s="118">
        <v>3025000</v>
      </c>
      <c r="F46" s="58"/>
      <c r="G46" s="94">
        <f t="shared" si="0"/>
        <v>115901723</v>
      </c>
      <c r="H46" s="10"/>
    </row>
    <row r="47" spans="1:8" x14ac:dyDescent="0.55000000000000004">
      <c r="A47" s="165">
        <v>35</v>
      </c>
      <c r="B47" s="111" t="s">
        <v>37</v>
      </c>
      <c r="C47" s="40" t="s">
        <v>301</v>
      </c>
      <c r="D47" s="160"/>
      <c r="E47" s="118">
        <v>1371500</v>
      </c>
      <c r="F47" s="58"/>
      <c r="G47" s="94">
        <f t="shared" si="0"/>
        <v>117273223</v>
      </c>
      <c r="H47" s="10"/>
    </row>
    <row r="48" spans="1:8" x14ac:dyDescent="0.55000000000000004">
      <c r="A48" s="106">
        <v>36</v>
      </c>
      <c r="B48" s="111" t="s">
        <v>37</v>
      </c>
      <c r="C48" s="40" t="s">
        <v>302</v>
      </c>
      <c r="D48" s="160"/>
      <c r="E48" s="118">
        <v>1165500</v>
      </c>
      <c r="F48" s="58"/>
      <c r="G48" s="94">
        <f t="shared" si="0"/>
        <v>118438723</v>
      </c>
      <c r="H48" s="10"/>
    </row>
    <row r="49" spans="1:8" x14ac:dyDescent="0.55000000000000004">
      <c r="A49" s="165">
        <v>37</v>
      </c>
      <c r="B49" s="111" t="s">
        <v>37</v>
      </c>
      <c r="C49" s="75" t="s">
        <v>87</v>
      </c>
      <c r="D49" s="187"/>
      <c r="E49" s="118"/>
      <c r="F49" s="118">
        <v>6000</v>
      </c>
      <c r="G49" s="94">
        <f t="shared" si="0"/>
        <v>118432723</v>
      </c>
      <c r="H49" s="10"/>
    </row>
    <row r="50" spans="1:8" x14ac:dyDescent="0.55000000000000004">
      <c r="A50" s="106">
        <v>38</v>
      </c>
      <c r="B50" s="111" t="s">
        <v>309</v>
      </c>
      <c r="C50" s="40" t="s">
        <v>308</v>
      </c>
      <c r="D50" s="160"/>
      <c r="E50" s="118">
        <v>116500</v>
      </c>
      <c r="F50" s="58"/>
      <c r="G50" s="94">
        <f t="shared" si="0"/>
        <v>118549223</v>
      </c>
      <c r="H50" s="10"/>
    </row>
    <row r="51" spans="1:8" x14ac:dyDescent="0.55000000000000004">
      <c r="A51" s="165">
        <v>39</v>
      </c>
      <c r="B51" s="111" t="s">
        <v>37</v>
      </c>
      <c r="C51" s="24" t="s">
        <v>82</v>
      </c>
      <c r="D51" s="160"/>
      <c r="E51" s="118"/>
      <c r="F51" s="58">
        <v>30000</v>
      </c>
      <c r="G51" s="94">
        <f t="shared" si="0"/>
        <v>118519223</v>
      </c>
      <c r="H51" s="10"/>
    </row>
    <row r="52" spans="1:8" x14ac:dyDescent="0.55000000000000004">
      <c r="A52" s="106">
        <v>40</v>
      </c>
      <c r="B52" s="111" t="s">
        <v>37</v>
      </c>
      <c r="C52" s="27" t="s">
        <v>87</v>
      </c>
      <c r="D52" s="162"/>
      <c r="E52" s="146"/>
      <c r="F52" s="167">
        <v>40000</v>
      </c>
      <c r="G52" s="94">
        <f t="shared" si="0"/>
        <v>118479223</v>
      </c>
      <c r="H52" s="10"/>
    </row>
    <row r="53" spans="1:8" x14ac:dyDescent="0.55000000000000004">
      <c r="A53" s="165">
        <v>41</v>
      </c>
      <c r="B53" s="111" t="s">
        <v>37</v>
      </c>
      <c r="C53" s="40"/>
      <c r="D53" s="160"/>
      <c r="E53" s="118"/>
      <c r="F53" s="58"/>
      <c r="G53" s="94">
        <f t="shared" si="0"/>
        <v>118479223</v>
      </c>
      <c r="H53" s="10"/>
    </row>
    <row r="54" spans="1:8" x14ac:dyDescent="0.55000000000000004">
      <c r="A54" s="106">
        <v>42</v>
      </c>
      <c r="B54" s="111" t="s">
        <v>37</v>
      </c>
      <c r="C54" s="40"/>
      <c r="D54" s="160"/>
      <c r="E54" s="118"/>
      <c r="F54" s="58"/>
      <c r="G54" s="94">
        <f t="shared" si="0"/>
        <v>118479223</v>
      </c>
      <c r="H54" s="10"/>
    </row>
    <row r="55" spans="1:8" x14ac:dyDescent="0.55000000000000004">
      <c r="A55" s="165">
        <v>43</v>
      </c>
      <c r="B55" s="166" t="s">
        <v>37</v>
      </c>
      <c r="C55" s="40"/>
      <c r="D55" s="135"/>
      <c r="E55" s="102"/>
      <c r="F55" s="58"/>
      <c r="G55" s="94">
        <f t="shared" si="0"/>
        <v>118479223</v>
      </c>
      <c r="H55" s="54"/>
    </row>
    <row r="56" spans="1:8" x14ac:dyDescent="0.55000000000000004">
      <c r="A56" s="106">
        <v>44</v>
      </c>
      <c r="B56" s="166" t="s">
        <v>37</v>
      </c>
      <c r="C56" s="40"/>
      <c r="D56" s="135"/>
      <c r="E56" s="102"/>
      <c r="F56" s="58"/>
      <c r="G56" s="94">
        <f t="shared" si="0"/>
        <v>118479223</v>
      </c>
      <c r="H56" s="13"/>
    </row>
    <row r="57" spans="1:8" x14ac:dyDescent="0.55000000000000004">
      <c r="A57" s="165">
        <v>45</v>
      </c>
      <c r="B57" s="166" t="s">
        <v>37</v>
      </c>
      <c r="C57" s="25"/>
      <c r="D57" s="148"/>
      <c r="E57" s="102"/>
      <c r="F57" s="102"/>
      <c r="G57" s="94">
        <f t="shared" si="0"/>
        <v>118479223</v>
      </c>
      <c r="H57" s="54"/>
    </row>
    <row r="58" spans="1:8" x14ac:dyDescent="0.55000000000000004">
      <c r="A58" s="106">
        <v>46</v>
      </c>
      <c r="B58" s="166" t="s">
        <v>37</v>
      </c>
      <c r="C58" s="25"/>
      <c r="D58" s="148"/>
      <c r="E58" s="102"/>
      <c r="F58" s="102"/>
      <c r="G58" s="94">
        <f t="shared" si="0"/>
        <v>118479223</v>
      </c>
      <c r="H58" s="54"/>
    </row>
    <row r="59" spans="1:8" x14ac:dyDescent="0.55000000000000004">
      <c r="A59" s="165">
        <v>47</v>
      </c>
      <c r="B59" s="166" t="s">
        <v>37</v>
      </c>
      <c r="C59" s="25"/>
      <c r="D59" s="148"/>
      <c r="E59" s="102"/>
      <c r="F59" s="102"/>
      <c r="G59" s="94">
        <f t="shared" si="0"/>
        <v>118479223</v>
      </c>
      <c r="H59" s="54"/>
    </row>
    <row r="60" spans="1:8" x14ac:dyDescent="0.55000000000000004">
      <c r="A60" s="106">
        <v>48</v>
      </c>
      <c r="B60" s="166" t="s">
        <v>37</v>
      </c>
      <c r="C60" s="25"/>
      <c r="D60" s="148"/>
      <c r="E60" s="102"/>
      <c r="F60" s="102"/>
      <c r="G60" s="94">
        <f t="shared" si="0"/>
        <v>118479223</v>
      </c>
      <c r="H60" s="54"/>
    </row>
    <row r="61" spans="1:8" x14ac:dyDescent="0.55000000000000004">
      <c r="A61" s="165">
        <v>49</v>
      </c>
      <c r="B61" s="166" t="s">
        <v>37</v>
      </c>
      <c r="C61" s="25"/>
      <c r="D61" s="148"/>
      <c r="E61" s="102"/>
      <c r="F61" s="102"/>
      <c r="G61" s="94">
        <f t="shared" si="0"/>
        <v>118479223</v>
      </c>
      <c r="H61" s="54"/>
    </row>
    <row r="62" spans="1:8" x14ac:dyDescent="0.55000000000000004">
      <c r="A62" s="106">
        <v>50</v>
      </c>
      <c r="B62" s="166" t="s">
        <v>37</v>
      </c>
      <c r="C62" s="25"/>
      <c r="D62" s="148"/>
      <c r="E62" s="102"/>
      <c r="F62" s="197"/>
      <c r="G62" s="94">
        <f t="shared" si="0"/>
        <v>118479223</v>
      </c>
      <c r="H62" s="54"/>
    </row>
    <row r="63" spans="1:8" s="53" customFormat="1" x14ac:dyDescent="0.55000000000000004">
      <c r="A63" s="165">
        <v>51</v>
      </c>
      <c r="B63" s="166" t="s">
        <v>37</v>
      </c>
      <c r="C63" s="25"/>
      <c r="D63" s="148"/>
      <c r="E63" s="102"/>
      <c r="F63" s="102"/>
      <c r="G63" s="94">
        <f t="shared" si="0"/>
        <v>118479223</v>
      </c>
      <c r="H63" s="54"/>
    </row>
    <row r="64" spans="1:8" s="53" customFormat="1" x14ac:dyDescent="0.55000000000000004">
      <c r="A64" s="106">
        <v>52</v>
      </c>
      <c r="B64" s="166" t="s">
        <v>37</v>
      </c>
      <c r="C64" s="25"/>
      <c r="D64" s="102"/>
      <c r="E64" s="102"/>
      <c r="F64" s="102"/>
      <c r="G64" s="94">
        <f t="shared" si="0"/>
        <v>118479223</v>
      </c>
      <c r="H64" s="54"/>
    </row>
    <row r="65" spans="1:8" s="53" customFormat="1" x14ac:dyDescent="0.55000000000000004">
      <c r="A65" s="165">
        <v>53</v>
      </c>
      <c r="B65" s="166" t="s">
        <v>37</v>
      </c>
      <c r="C65" s="25"/>
      <c r="D65" s="102"/>
      <c r="E65" s="102"/>
      <c r="F65" s="102"/>
      <c r="G65" s="94">
        <f t="shared" si="0"/>
        <v>118479223</v>
      </c>
      <c r="H65" s="54"/>
    </row>
    <row r="66" spans="1:8" x14ac:dyDescent="0.55000000000000004">
      <c r="A66" s="106">
        <v>54</v>
      </c>
      <c r="B66" s="166" t="s">
        <v>37</v>
      </c>
      <c r="C66" s="25"/>
      <c r="D66" s="148"/>
      <c r="E66" s="102"/>
      <c r="F66" s="102"/>
      <c r="G66" s="94">
        <f t="shared" si="0"/>
        <v>118479223</v>
      </c>
      <c r="H66" s="54"/>
    </row>
    <row r="67" spans="1:8" x14ac:dyDescent="0.55000000000000004">
      <c r="A67" s="165">
        <v>55</v>
      </c>
      <c r="B67" s="166" t="s">
        <v>37</v>
      </c>
      <c r="C67" s="25"/>
      <c r="D67" s="148"/>
      <c r="E67" s="102"/>
      <c r="F67" s="102"/>
      <c r="G67" s="94">
        <f t="shared" si="0"/>
        <v>118479223</v>
      </c>
      <c r="H67" s="54"/>
    </row>
    <row r="68" spans="1:8" x14ac:dyDescent="0.55000000000000004">
      <c r="A68" s="106">
        <v>56</v>
      </c>
      <c r="B68" s="166" t="s">
        <v>37</v>
      </c>
      <c r="C68" s="25"/>
      <c r="D68" s="148"/>
      <c r="E68" s="102"/>
      <c r="F68" s="102"/>
      <c r="G68" s="94">
        <f t="shared" si="0"/>
        <v>118479223</v>
      </c>
      <c r="H68" s="54"/>
    </row>
    <row r="69" spans="1:8" x14ac:dyDescent="0.55000000000000004">
      <c r="A69" s="165">
        <v>57</v>
      </c>
      <c r="B69" s="166" t="s">
        <v>37</v>
      </c>
      <c r="C69" s="178"/>
      <c r="D69" s="182"/>
      <c r="E69" s="149"/>
      <c r="F69" s="149"/>
      <c r="G69" s="177">
        <f t="shared" ref="G69:G109" si="1">G68+E69-F70</f>
        <v>118479223</v>
      </c>
      <c r="H69" s="54"/>
    </row>
    <row r="70" spans="1:8" x14ac:dyDescent="0.55000000000000004">
      <c r="A70" s="106">
        <v>58</v>
      </c>
      <c r="B70" s="166" t="s">
        <v>37</v>
      </c>
      <c r="C70" s="178"/>
      <c r="D70" s="182"/>
      <c r="E70" s="149"/>
      <c r="F70" s="149"/>
      <c r="G70" s="177">
        <f t="shared" si="1"/>
        <v>118479223</v>
      </c>
      <c r="H70" s="54"/>
    </row>
    <row r="71" spans="1:8" x14ac:dyDescent="0.55000000000000004">
      <c r="A71" s="165">
        <v>59</v>
      </c>
      <c r="B71" s="166" t="s">
        <v>37</v>
      </c>
      <c r="C71" s="178"/>
      <c r="D71" s="182"/>
      <c r="E71" s="149"/>
      <c r="F71" s="149"/>
      <c r="G71" s="177">
        <f t="shared" si="1"/>
        <v>118479223</v>
      </c>
      <c r="H71" s="54"/>
    </row>
    <row r="72" spans="1:8" x14ac:dyDescent="0.55000000000000004">
      <c r="A72" s="106">
        <v>60</v>
      </c>
      <c r="B72" s="166" t="s">
        <v>37</v>
      </c>
      <c r="C72" s="178"/>
      <c r="D72" s="182"/>
      <c r="E72" s="149"/>
      <c r="F72" s="149"/>
      <c r="G72" s="177">
        <f t="shared" si="1"/>
        <v>118479223</v>
      </c>
      <c r="H72" s="54"/>
    </row>
    <row r="73" spans="1:8" x14ac:dyDescent="0.55000000000000004">
      <c r="A73" s="165">
        <v>61</v>
      </c>
      <c r="B73" s="166" t="s">
        <v>37</v>
      </c>
      <c r="C73" s="178"/>
      <c r="D73" s="182"/>
      <c r="E73" s="149"/>
      <c r="F73" s="149"/>
      <c r="G73" s="177">
        <f t="shared" si="1"/>
        <v>118479223</v>
      </c>
      <c r="H73" s="54"/>
    </row>
    <row r="74" spans="1:8" x14ac:dyDescent="0.55000000000000004">
      <c r="A74" s="106">
        <v>62</v>
      </c>
      <c r="B74" s="166" t="s">
        <v>37</v>
      </c>
      <c r="C74" s="178"/>
      <c r="D74" s="182"/>
      <c r="E74" s="149"/>
      <c r="F74" s="149"/>
      <c r="G74" s="177">
        <f t="shared" si="1"/>
        <v>118479223</v>
      </c>
      <c r="H74" s="54"/>
    </row>
    <row r="75" spans="1:8" x14ac:dyDescent="0.55000000000000004">
      <c r="A75" s="165">
        <v>63</v>
      </c>
      <c r="B75" s="166" t="s">
        <v>37</v>
      </c>
      <c r="C75" s="178"/>
      <c r="D75" s="182"/>
      <c r="E75" s="149"/>
      <c r="F75" s="149"/>
      <c r="G75" s="177">
        <f t="shared" si="1"/>
        <v>118479223</v>
      </c>
      <c r="H75" s="54"/>
    </row>
    <row r="76" spans="1:8" x14ac:dyDescent="0.55000000000000004">
      <c r="A76" s="106">
        <v>64</v>
      </c>
      <c r="B76" s="166" t="s">
        <v>37</v>
      </c>
      <c r="C76" s="178"/>
      <c r="D76" s="182"/>
      <c r="E76" s="149"/>
      <c r="F76" s="149"/>
      <c r="G76" s="177">
        <f t="shared" si="1"/>
        <v>118479223</v>
      </c>
      <c r="H76" s="54"/>
    </row>
    <row r="77" spans="1:8" x14ac:dyDescent="0.55000000000000004">
      <c r="A77" s="165">
        <v>65</v>
      </c>
      <c r="B77" s="166" t="s">
        <v>37</v>
      </c>
      <c r="C77" s="178"/>
      <c r="D77" s="182"/>
      <c r="E77" s="149"/>
      <c r="F77" s="149"/>
      <c r="G77" s="177">
        <f t="shared" si="1"/>
        <v>118479223</v>
      </c>
      <c r="H77" s="54"/>
    </row>
    <row r="78" spans="1:8" s="53" customFormat="1" x14ac:dyDescent="0.55000000000000004">
      <c r="A78" s="106">
        <v>66</v>
      </c>
      <c r="B78" s="166" t="s">
        <v>37</v>
      </c>
      <c r="C78" s="178"/>
      <c r="D78" s="182"/>
      <c r="E78" s="149"/>
      <c r="F78" s="149"/>
      <c r="G78" s="177">
        <f t="shared" si="1"/>
        <v>118479223</v>
      </c>
      <c r="H78" s="54"/>
    </row>
    <row r="79" spans="1:8" s="53" customFormat="1" x14ac:dyDescent="0.55000000000000004">
      <c r="A79" s="165">
        <v>67</v>
      </c>
      <c r="B79" s="166" t="s">
        <v>37</v>
      </c>
      <c r="C79" s="178"/>
      <c r="D79" s="182"/>
      <c r="E79" s="149"/>
      <c r="F79" s="149"/>
      <c r="G79" s="177">
        <f t="shared" si="1"/>
        <v>118479223</v>
      </c>
      <c r="H79" s="54"/>
    </row>
    <row r="80" spans="1:8" s="53" customFormat="1" x14ac:dyDescent="0.55000000000000004">
      <c r="A80" s="106">
        <v>68</v>
      </c>
      <c r="B80" s="166" t="s">
        <v>37</v>
      </c>
      <c r="C80" s="88"/>
      <c r="D80" s="59"/>
      <c r="E80" s="102"/>
      <c r="F80" s="59"/>
      <c r="G80" s="177">
        <f t="shared" si="1"/>
        <v>118479223</v>
      </c>
      <c r="H80" s="54"/>
    </row>
    <row r="81" spans="1:8" s="53" customFormat="1" x14ac:dyDescent="0.55000000000000004">
      <c r="A81" s="165">
        <v>69</v>
      </c>
      <c r="B81" s="166" t="s">
        <v>37</v>
      </c>
      <c r="C81" s="25"/>
      <c r="D81" s="59"/>
      <c r="E81" s="102"/>
      <c r="F81" s="59"/>
      <c r="G81" s="177">
        <f t="shared" si="1"/>
        <v>118479223</v>
      </c>
      <c r="H81" s="54"/>
    </row>
    <row r="82" spans="1:8" s="53" customFormat="1" x14ac:dyDescent="0.55000000000000004">
      <c r="A82" s="106">
        <v>70</v>
      </c>
      <c r="B82" s="166" t="s">
        <v>37</v>
      </c>
      <c r="C82" s="88"/>
      <c r="D82" s="59"/>
      <c r="E82" s="102"/>
      <c r="F82" s="59"/>
      <c r="G82" s="177">
        <f t="shared" si="1"/>
        <v>118479223</v>
      </c>
      <c r="H82" s="54"/>
    </row>
    <row r="83" spans="1:8" s="53" customFormat="1" x14ac:dyDescent="0.55000000000000004">
      <c r="A83" s="165">
        <v>71</v>
      </c>
      <c r="B83" s="166" t="s">
        <v>37</v>
      </c>
      <c r="C83" s="88"/>
      <c r="D83" s="59"/>
      <c r="E83" s="102"/>
      <c r="F83" s="59"/>
      <c r="G83" s="177">
        <f t="shared" si="1"/>
        <v>118479223</v>
      </c>
      <c r="H83" s="54"/>
    </row>
    <row r="84" spans="1:8" s="53" customFormat="1" x14ac:dyDescent="0.55000000000000004">
      <c r="A84" s="106">
        <v>72</v>
      </c>
      <c r="B84" s="166" t="s">
        <v>37</v>
      </c>
      <c r="C84" s="40"/>
      <c r="D84" s="59"/>
      <c r="E84" s="102"/>
      <c r="F84" s="58"/>
      <c r="G84" s="177">
        <f t="shared" si="1"/>
        <v>118479223</v>
      </c>
      <c r="H84" s="54"/>
    </row>
    <row r="85" spans="1:8" s="53" customFormat="1" x14ac:dyDescent="0.55000000000000004">
      <c r="A85" s="165">
        <v>73</v>
      </c>
      <c r="B85" s="166" t="s">
        <v>37</v>
      </c>
      <c r="C85" s="40"/>
      <c r="D85" s="59"/>
      <c r="E85" s="102"/>
      <c r="F85" s="58"/>
      <c r="G85" s="177">
        <f t="shared" si="1"/>
        <v>118479223</v>
      </c>
      <c r="H85" s="54"/>
    </row>
    <row r="86" spans="1:8" s="53" customFormat="1" x14ac:dyDescent="0.55000000000000004">
      <c r="A86" s="106">
        <v>74</v>
      </c>
      <c r="B86" s="166" t="s">
        <v>37</v>
      </c>
      <c r="C86" s="40"/>
      <c r="D86" s="59"/>
      <c r="E86" s="102"/>
      <c r="F86" s="58"/>
      <c r="G86" s="177">
        <f t="shared" si="1"/>
        <v>118479223</v>
      </c>
      <c r="H86" s="54"/>
    </row>
    <row r="87" spans="1:8" s="53" customFormat="1" x14ac:dyDescent="0.55000000000000004">
      <c r="A87" s="165">
        <v>75</v>
      </c>
      <c r="B87" s="166" t="s">
        <v>37</v>
      </c>
      <c r="C87" s="40"/>
      <c r="D87" s="59"/>
      <c r="E87" s="102"/>
      <c r="F87" s="58"/>
      <c r="G87" s="177">
        <f t="shared" si="1"/>
        <v>118479223</v>
      </c>
      <c r="H87" s="54"/>
    </row>
    <row r="88" spans="1:8" s="53" customFormat="1" x14ac:dyDescent="0.55000000000000004">
      <c r="A88" s="106">
        <v>76</v>
      </c>
      <c r="B88" s="166" t="s">
        <v>37</v>
      </c>
      <c r="C88" s="40"/>
      <c r="D88" s="59"/>
      <c r="E88" s="102"/>
      <c r="F88" s="58"/>
      <c r="G88" s="177">
        <f t="shared" si="1"/>
        <v>118479223</v>
      </c>
      <c r="H88" s="54"/>
    </row>
    <row r="89" spans="1:8" s="53" customFormat="1" x14ac:dyDescent="0.55000000000000004">
      <c r="A89" s="165">
        <v>77</v>
      </c>
      <c r="B89" s="166" t="s">
        <v>37</v>
      </c>
      <c r="C89" s="40"/>
      <c r="D89" s="59"/>
      <c r="E89" s="102"/>
      <c r="F89" s="58"/>
      <c r="G89" s="177">
        <f t="shared" si="1"/>
        <v>118479223</v>
      </c>
      <c r="H89" s="54"/>
    </row>
    <row r="90" spans="1:8" s="53" customFormat="1" x14ac:dyDescent="0.55000000000000004">
      <c r="A90" s="106">
        <v>78</v>
      </c>
      <c r="B90" s="166" t="s">
        <v>37</v>
      </c>
      <c r="C90" s="40"/>
      <c r="D90" s="59"/>
      <c r="E90" s="102"/>
      <c r="F90" s="58"/>
      <c r="G90" s="177">
        <f t="shared" si="1"/>
        <v>118479223</v>
      </c>
      <c r="H90" s="54"/>
    </row>
    <row r="91" spans="1:8" s="53" customFormat="1" x14ac:dyDescent="0.55000000000000004">
      <c r="A91" s="165">
        <v>79</v>
      </c>
      <c r="B91" s="166" t="s">
        <v>37</v>
      </c>
      <c r="C91" s="40"/>
      <c r="D91" s="59"/>
      <c r="E91" s="102"/>
      <c r="F91" s="58"/>
      <c r="G91" s="177">
        <f t="shared" si="1"/>
        <v>118479223</v>
      </c>
      <c r="H91" s="54"/>
    </row>
    <row r="92" spans="1:8" s="53" customFormat="1" x14ac:dyDescent="0.55000000000000004">
      <c r="A92" s="106">
        <v>80</v>
      </c>
      <c r="B92" s="166" t="s">
        <v>37</v>
      </c>
      <c r="C92" s="40"/>
      <c r="D92" s="59"/>
      <c r="E92" s="102"/>
      <c r="F92" s="58"/>
      <c r="G92" s="177">
        <f t="shared" si="1"/>
        <v>118479223</v>
      </c>
      <c r="H92" s="54"/>
    </row>
    <row r="93" spans="1:8" s="53" customFormat="1" x14ac:dyDescent="0.55000000000000004">
      <c r="A93" s="165">
        <v>81</v>
      </c>
      <c r="B93" s="166" t="s">
        <v>37</v>
      </c>
      <c r="C93" s="40"/>
      <c r="D93" s="59"/>
      <c r="E93" s="102"/>
      <c r="F93" s="58"/>
      <c r="G93" s="177">
        <f t="shared" si="1"/>
        <v>118479223</v>
      </c>
      <c r="H93" s="54"/>
    </row>
    <row r="94" spans="1:8" s="53" customFormat="1" x14ac:dyDescent="0.55000000000000004">
      <c r="A94" s="106">
        <v>82</v>
      </c>
      <c r="B94" s="166" t="s">
        <v>37</v>
      </c>
      <c r="C94" s="40"/>
      <c r="D94" s="59"/>
      <c r="E94" s="102"/>
      <c r="F94" s="58"/>
      <c r="G94" s="177">
        <f t="shared" si="1"/>
        <v>118479223</v>
      </c>
      <c r="H94" s="54"/>
    </row>
    <row r="95" spans="1:8" s="53" customFormat="1" x14ac:dyDescent="0.55000000000000004">
      <c r="A95" s="165">
        <v>83</v>
      </c>
      <c r="B95" s="166" t="s">
        <v>37</v>
      </c>
      <c r="C95" s="40"/>
      <c r="D95" s="59"/>
      <c r="E95" s="102"/>
      <c r="F95" s="58"/>
      <c r="G95" s="177">
        <f t="shared" si="1"/>
        <v>118479223</v>
      </c>
      <c r="H95" s="54"/>
    </row>
    <row r="96" spans="1:8" s="53" customFormat="1" x14ac:dyDescent="0.55000000000000004">
      <c r="A96" s="106">
        <v>84</v>
      </c>
      <c r="B96" s="166" t="s">
        <v>37</v>
      </c>
      <c r="C96" s="40"/>
      <c r="D96" s="59"/>
      <c r="E96" s="102"/>
      <c r="F96" s="58"/>
      <c r="G96" s="177">
        <f t="shared" si="1"/>
        <v>118479223</v>
      </c>
      <c r="H96" s="54"/>
    </row>
    <row r="97" spans="1:8" s="53" customFormat="1" x14ac:dyDescent="0.55000000000000004">
      <c r="A97" s="165">
        <v>85</v>
      </c>
      <c r="B97" s="166" t="s">
        <v>37</v>
      </c>
      <c r="C97" s="40"/>
      <c r="D97" s="59"/>
      <c r="E97" s="102"/>
      <c r="F97" s="58"/>
      <c r="G97" s="177">
        <f t="shared" si="1"/>
        <v>118479223</v>
      </c>
      <c r="H97" s="54"/>
    </row>
    <row r="98" spans="1:8" s="53" customFormat="1" x14ac:dyDescent="0.55000000000000004">
      <c r="A98" s="106">
        <v>86</v>
      </c>
      <c r="B98" s="166" t="s">
        <v>37</v>
      </c>
      <c r="C98" s="40"/>
      <c r="D98" s="59"/>
      <c r="E98" s="102"/>
      <c r="F98" s="58"/>
      <c r="G98" s="177">
        <f t="shared" si="1"/>
        <v>118479223</v>
      </c>
      <c r="H98" s="54"/>
    </row>
    <row r="99" spans="1:8" s="53" customFormat="1" x14ac:dyDescent="0.55000000000000004">
      <c r="A99" s="165">
        <v>87</v>
      </c>
      <c r="B99" s="166" t="s">
        <v>37</v>
      </c>
      <c r="C99" s="40"/>
      <c r="D99" s="59"/>
      <c r="E99" s="102"/>
      <c r="F99" s="58"/>
      <c r="G99" s="177">
        <f t="shared" si="1"/>
        <v>118479223</v>
      </c>
      <c r="H99" s="54"/>
    </row>
    <row r="100" spans="1:8" s="53" customFormat="1" x14ac:dyDescent="0.55000000000000004">
      <c r="A100" s="106">
        <v>88</v>
      </c>
      <c r="B100" s="166" t="s">
        <v>37</v>
      </c>
      <c r="C100" s="40"/>
      <c r="D100" s="59"/>
      <c r="E100" s="102"/>
      <c r="F100" s="58"/>
      <c r="G100" s="177">
        <f t="shared" si="1"/>
        <v>118479223</v>
      </c>
      <c r="H100" s="54"/>
    </row>
    <row r="101" spans="1:8" s="53" customFormat="1" x14ac:dyDescent="0.55000000000000004">
      <c r="A101" s="165">
        <v>89</v>
      </c>
      <c r="B101" s="166" t="s">
        <v>37</v>
      </c>
      <c r="C101" s="40"/>
      <c r="D101" s="59"/>
      <c r="E101" s="102"/>
      <c r="F101" s="58"/>
      <c r="G101" s="177">
        <f t="shared" si="1"/>
        <v>118479223</v>
      </c>
      <c r="H101" s="54"/>
    </row>
    <row r="102" spans="1:8" s="53" customFormat="1" x14ac:dyDescent="0.55000000000000004">
      <c r="A102" s="106">
        <v>90</v>
      </c>
      <c r="B102" s="166" t="s">
        <v>37</v>
      </c>
      <c r="C102" s="40"/>
      <c r="D102" s="59"/>
      <c r="E102" s="102"/>
      <c r="F102" s="58"/>
      <c r="G102" s="177">
        <f t="shared" si="1"/>
        <v>118479223</v>
      </c>
      <c r="H102" s="54"/>
    </row>
    <row r="103" spans="1:8" s="53" customFormat="1" x14ac:dyDescent="0.55000000000000004">
      <c r="A103" s="165">
        <v>91</v>
      </c>
      <c r="B103" s="166" t="s">
        <v>37</v>
      </c>
      <c r="C103" s="40"/>
      <c r="D103" s="59"/>
      <c r="E103" s="102"/>
      <c r="F103" s="58"/>
      <c r="G103" s="177">
        <f t="shared" si="1"/>
        <v>118479223</v>
      </c>
      <c r="H103" s="54"/>
    </row>
    <row r="104" spans="1:8" s="53" customFormat="1" x14ac:dyDescent="0.55000000000000004">
      <c r="A104" s="106">
        <v>92</v>
      </c>
      <c r="B104" s="166" t="s">
        <v>37</v>
      </c>
      <c r="C104" s="40"/>
      <c r="D104" s="59"/>
      <c r="E104" s="102"/>
      <c r="F104" s="58"/>
      <c r="G104" s="177">
        <f t="shared" si="1"/>
        <v>118479223</v>
      </c>
      <c r="H104" s="54"/>
    </row>
    <row r="105" spans="1:8" s="53" customFormat="1" x14ac:dyDescent="0.55000000000000004">
      <c r="A105" s="165">
        <v>93</v>
      </c>
      <c r="B105" s="166" t="s">
        <v>37</v>
      </c>
      <c r="C105" s="40"/>
      <c r="D105" s="59"/>
      <c r="E105" s="102"/>
      <c r="F105" s="58"/>
      <c r="G105" s="177">
        <f t="shared" si="1"/>
        <v>118479223</v>
      </c>
      <c r="H105" s="54"/>
    </row>
    <row r="106" spans="1:8" s="53" customFormat="1" x14ac:dyDescent="0.55000000000000004">
      <c r="A106" s="106">
        <v>94</v>
      </c>
      <c r="B106" s="166" t="s">
        <v>37</v>
      </c>
      <c r="C106" s="40"/>
      <c r="D106" s="59"/>
      <c r="E106" s="102"/>
      <c r="F106" s="58"/>
      <c r="G106" s="177">
        <f t="shared" si="1"/>
        <v>118479223</v>
      </c>
      <c r="H106" s="54"/>
    </row>
    <row r="107" spans="1:8" s="53" customFormat="1" x14ac:dyDescent="0.55000000000000004">
      <c r="A107" s="165">
        <v>95</v>
      </c>
      <c r="B107" s="166" t="s">
        <v>37</v>
      </c>
      <c r="C107" s="40"/>
      <c r="D107" s="59"/>
      <c r="E107" s="102"/>
      <c r="F107" s="58"/>
      <c r="G107" s="177">
        <f t="shared" si="1"/>
        <v>118479223</v>
      </c>
      <c r="H107" s="54"/>
    </row>
    <row r="108" spans="1:8" s="53" customFormat="1" x14ac:dyDescent="0.55000000000000004">
      <c r="A108" s="106">
        <v>96</v>
      </c>
      <c r="B108" s="166" t="s">
        <v>37</v>
      </c>
      <c r="C108" s="40"/>
      <c r="D108" s="59"/>
      <c r="E108" s="102"/>
      <c r="F108" s="58"/>
      <c r="G108" s="177">
        <f t="shared" si="1"/>
        <v>118479223</v>
      </c>
      <c r="H108" s="54"/>
    </row>
    <row r="109" spans="1:8" x14ac:dyDescent="0.55000000000000004">
      <c r="A109" s="165">
        <v>97</v>
      </c>
      <c r="B109" s="198" t="s">
        <v>37</v>
      </c>
      <c r="C109" s="199"/>
      <c r="D109" s="200"/>
      <c r="E109" s="201"/>
      <c r="F109" s="202"/>
      <c r="G109" s="177">
        <f t="shared" si="1"/>
        <v>-445993469</v>
      </c>
      <c r="H109" s="37"/>
    </row>
    <row r="110" spans="1:8" ht="21.65" customHeight="1" x14ac:dyDescent="0.55000000000000004">
      <c r="A110" s="16"/>
      <c r="B110" s="17" t="s">
        <v>2</v>
      </c>
      <c r="C110" s="51"/>
      <c r="D110" s="128">
        <f>SUM(D12:D109)</f>
        <v>649625915</v>
      </c>
      <c r="E110" s="128">
        <f>SUM(E12:E109)</f>
        <v>33326000</v>
      </c>
      <c r="F110" s="128">
        <f>SUM(F12:F109)</f>
        <v>564472692</v>
      </c>
      <c r="G110" s="128">
        <f>D110+E110-F110</f>
        <v>118479223</v>
      </c>
      <c r="H110" s="17"/>
    </row>
    <row r="111" spans="1:8" ht="22.5" x14ac:dyDescent="0.7">
      <c r="A111" s="18"/>
      <c r="B111" s="19"/>
      <c r="C111" s="20"/>
      <c r="D111" s="20"/>
      <c r="E111" s="21"/>
      <c r="F111" s="21"/>
      <c r="G111" s="21"/>
      <c r="H111" s="19"/>
    </row>
    <row r="112" spans="1:8" ht="18.5" x14ac:dyDescent="0.55000000000000004">
      <c r="A112" s="419" t="s">
        <v>68</v>
      </c>
      <c r="B112" s="419"/>
      <c r="C112" s="419"/>
      <c r="D112" s="419"/>
      <c r="E112" s="419"/>
      <c r="F112" s="419"/>
      <c r="G112" s="419"/>
      <c r="H112" s="419"/>
    </row>
    <row r="113" spans="1:8" x14ac:dyDescent="0.55000000000000004">
      <c r="A113" s="53"/>
      <c r="E113" s="53"/>
      <c r="F113" s="53"/>
      <c r="G113" s="53"/>
      <c r="H113" s="53"/>
    </row>
    <row r="114" spans="1:8" x14ac:dyDescent="0.55000000000000004">
      <c r="A114" s="53"/>
      <c r="E114" s="53"/>
      <c r="F114" s="53"/>
      <c r="G114" s="53"/>
      <c r="H114" s="53"/>
    </row>
    <row r="115" spans="1:8" x14ac:dyDescent="0.55000000000000004">
      <c r="A115" s="53"/>
      <c r="E115" s="53"/>
      <c r="F115" s="53"/>
      <c r="G115" s="53"/>
      <c r="H115" s="53"/>
    </row>
    <row r="116" spans="1:8" x14ac:dyDescent="0.55000000000000004">
      <c r="A116" s="53"/>
      <c r="E116" s="53"/>
      <c r="F116" s="53"/>
      <c r="G116" s="53"/>
      <c r="H116" s="53"/>
    </row>
    <row r="117" spans="1:8" x14ac:dyDescent="0.55000000000000004">
      <c r="A117" s="53"/>
      <c r="E117" s="53"/>
      <c r="F117" s="53"/>
      <c r="G117" s="53"/>
      <c r="H117" s="53"/>
    </row>
    <row r="118" spans="1:8" x14ac:dyDescent="0.55000000000000004">
      <c r="A118" s="53"/>
      <c r="E118" s="53"/>
      <c r="F118" s="53"/>
      <c r="G118" s="53"/>
      <c r="H118" s="53"/>
    </row>
    <row r="119" spans="1:8" x14ac:dyDescent="0.55000000000000004">
      <c r="A119" s="53"/>
      <c r="E119" s="53"/>
      <c r="F119" s="53"/>
      <c r="G119" s="53"/>
      <c r="H119" s="53"/>
    </row>
    <row r="120" spans="1:8" x14ac:dyDescent="0.55000000000000004">
      <c r="A120" s="53"/>
      <c r="E120" s="53"/>
      <c r="F120" s="53"/>
      <c r="G120" s="53"/>
      <c r="H120" s="53"/>
    </row>
    <row r="121" spans="1:8" x14ac:dyDescent="0.55000000000000004">
      <c r="A121" s="53"/>
      <c r="E121" s="53"/>
      <c r="F121" s="53"/>
      <c r="G121" s="53"/>
      <c r="H121" s="53"/>
    </row>
    <row r="122" spans="1:8" ht="18.5" x14ac:dyDescent="0.6">
      <c r="A122" s="407" t="s">
        <v>67</v>
      </c>
      <c r="B122" s="407"/>
      <c r="C122" s="407"/>
      <c r="D122" s="407"/>
      <c r="E122" s="407"/>
      <c r="F122" s="407"/>
      <c r="G122" s="407"/>
      <c r="H122" s="407"/>
    </row>
  </sheetData>
  <mergeCells count="14">
    <mergeCell ref="A122:H122"/>
    <mergeCell ref="G10:G11"/>
    <mergeCell ref="H10:H11"/>
    <mergeCell ref="A112:H112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9.166666666666666E-2" right="0.12" top="0.75" bottom="0.75" header="0.3" footer="0.3"/>
  <pageSetup scale="80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I43"/>
  <sheetViews>
    <sheetView view="pageLayout" topLeftCell="A7" zoomScaleNormal="100" workbookViewId="0">
      <selection activeCell="E17" sqref="E17"/>
    </sheetView>
  </sheetViews>
  <sheetFormatPr defaultColWidth="9.1796875" defaultRowHeight="17" x14ac:dyDescent="0.55000000000000004"/>
  <cols>
    <col min="1" max="1" width="3.453125" style="23" customWidth="1"/>
    <col min="2" max="2" width="10" style="22" customWidth="1"/>
    <col min="3" max="3" width="41.1796875" style="22" customWidth="1"/>
    <col min="4" max="4" width="16" style="22" customWidth="1"/>
    <col min="5" max="5" width="15.453125" style="23" customWidth="1"/>
    <col min="6" max="6" width="14.54296875" style="23" customWidth="1"/>
    <col min="7" max="7" width="16.453125" style="23" customWidth="1"/>
    <col min="8" max="8" width="10.81640625" style="23" customWidth="1"/>
    <col min="9" max="16384" width="9.1796875" style="23"/>
  </cols>
  <sheetData>
    <row r="1" spans="1:9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9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9" s="53" customFormat="1" ht="15" customHeight="1" x14ac:dyDescent="0.55000000000000004">
      <c r="A3" s="205" t="s">
        <v>72</v>
      </c>
      <c r="B3" s="205"/>
      <c r="C3" s="203"/>
      <c r="D3" s="203"/>
      <c r="E3" s="203"/>
      <c r="F3" s="203"/>
      <c r="G3" s="203"/>
      <c r="H3" s="203"/>
    </row>
    <row r="4" spans="1:9" s="53" customFormat="1" ht="15" customHeight="1" x14ac:dyDescent="0.55000000000000004">
      <c r="A4" s="205" t="s">
        <v>73</v>
      </c>
      <c r="B4" s="205"/>
      <c r="C4" s="203"/>
      <c r="D4" s="203"/>
      <c r="E4" s="203"/>
      <c r="F4" s="203"/>
      <c r="G4" s="203"/>
      <c r="H4" s="203"/>
    </row>
    <row r="5" spans="1:9" s="53" customFormat="1" ht="15" customHeight="1" x14ac:dyDescent="0.55000000000000004">
      <c r="A5" s="205" t="s">
        <v>74</v>
      </c>
      <c r="B5" s="205"/>
      <c r="C5" s="203"/>
      <c r="D5" s="203"/>
      <c r="E5" s="203"/>
      <c r="F5" s="203"/>
      <c r="G5" s="203"/>
      <c r="H5" s="203"/>
    </row>
    <row r="6" spans="1:9" s="53" customFormat="1" ht="15" customHeight="1" x14ac:dyDescent="0.55000000000000004">
      <c r="A6" s="206" t="s">
        <v>75</v>
      </c>
      <c r="B6" s="206"/>
      <c r="C6" s="203"/>
      <c r="D6" s="203"/>
      <c r="E6" s="203"/>
      <c r="F6" s="203"/>
      <c r="G6" s="203"/>
      <c r="H6" s="203"/>
    </row>
    <row r="7" spans="1:9" ht="27.65" customHeight="1" x14ac:dyDescent="0.55000000000000004">
      <c r="A7" s="418" t="s">
        <v>38</v>
      </c>
      <c r="B7" s="418"/>
      <c r="C7" s="418"/>
      <c r="D7" s="418"/>
      <c r="E7" s="418"/>
      <c r="F7" s="418"/>
      <c r="G7" s="418"/>
      <c r="H7" s="418"/>
      <c r="I7" s="2"/>
    </row>
    <row r="8" spans="1:9" ht="34.4" customHeight="1" x14ac:dyDescent="0.55000000000000004">
      <c r="A8" s="418" t="s">
        <v>53</v>
      </c>
      <c r="B8" s="418"/>
      <c r="C8" s="418"/>
      <c r="D8" s="418"/>
      <c r="E8" s="418"/>
      <c r="F8" s="418"/>
      <c r="G8" s="418"/>
      <c r="H8" s="418"/>
      <c r="I8" s="2"/>
    </row>
    <row r="9" spans="1:9" ht="20.25" customHeight="1" x14ac:dyDescent="0.55000000000000004">
      <c r="A9" s="410" t="s">
        <v>0</v>
      </c>
      <c r="B9" s="410" t="s">
        <v>3</v>
      </c>
      <c r="C9" s="410" t="s">
        <v>4</v>
      </c>
      <c r="D9" s="410" t="s">
        <v>10</v>
      </c>
      <c r="E9" s="412" t="s">
        <v>8</v>
      </c>
      <c r="F9" s="413" t="s">
        <v>9</v>
      </c>
      <c r="G9" s="408" t="s">
        <v>7</v>
      </c>
      <c r="H9" s="408" t="s">
        <v>1</v>
      </c>
    </row>
    <row r="10" spans="1:9" ht="20.25" customHeight="1" x14ac:dyDescent="0.55000000000000004">
      <c r="A10" s="411"/>
      <c r="B10" s="411"/>
      <c r="C10" s="411"/>
      <c r="D10" s="411"/>
      <c r="E10" s="412"/>
      <c r="F10" s="414"/>
      <c r="G10" s="408"/>
      <c r="H10" s="408"/>
    </row>
    <row r="11" spans="1:9" ht="20.149999999999999" customHeight="1" x14ac:dyDescent="0.55000000000000004">
      <c r="A11" s="107">
        <v>1</v>
      </c>
      <c r="B11" s="107" t="s">
        <v>51</v>
      </c>
      <c r="C11" s="267" t="s">
        <v>10</v>
      </c>
      <c r="D11" s="176">
        <v>-55482819</v>
      </c>
      <c r="E11" s="176"/>
      <c r="F11" s="176">
        <v>0</v>
      </c>
      <c r="G11" s="113">
        <f>D11</f>
        <v>-55482819</v>
      </c>
      <c r="H11" s="76"/>
    </row>
    <row r="12" spans="1:9" s="53" customFormat="1" ht="20.149999999999999" customHeight="1" x14ac:dyDescent="0.55000000000000004">
      <c r="A12" s="108"/>
      <c r="B12" s="108"/>
      <c r="C12" s="267" t="s">
        <v>328</v>
      </c>
      <c r="D12" s="309">
        <f>3272321+76581206</f>
        <v>79853527</v>
      </c>
      <c r="E12" s="309"/>
      <c r="F12" s="229"/>
      <c r="G12" s="116">
        <f>G11+D12+E12-F12</f>
        <v>24370708</v>
      </c>
      <c r="H12" s="77"/>
    </row>
    <row r="13" spans="1:9" x14ac:dyDescent="0.55000000000000004">
      <c r="A13" s="108">
        <v>2</v>
      </c>
      <c r="B13" s="111" t="s">
        <v>37</v>
      </c>
      <c r="C13" s="46" t="s">
        <v>249</v>
      </c>
      <c r="D13" s="268"/>
      <c r="E13" s="177"/>
      <c r="F13" s="268">
        <v>3272321</v>
      </c>
      <c r="G13" s="116">
        <f>G12+E13-F13</f>
        <v>21098387</v>
      </c>
      <c r="H13" s="77"/>
    </row>
    <row r="14" spans="1:9" ht="18.649999999999999" customHeight="1" x14ac:dyDescent="0.55000000000000004">
      <c r="A14" s="109">
        <v>3</v>
      </c>
      <c r="B14" s="111" t="s">
        <v>37</v>
      </c>
      <c r="C14" s="192"/>
      <c r="D14" s="193"/>
      <c r="E14" s="194"/>
      <c r="F14" s="118"/>
      <c r="G14" s="116">
        <f t="shared" ref="G14:G18" si="0">G13+E14-F14</f>
        <v>21098387</v>
      </c>
      <c r="H14" s="63"/>
    </row>
    <row r="15" spans="1:9" x14ac:dyDescent="0.55000000000000004">
      <c r="A15" s="108">
        <v>4</v>
      </c>
      <c r="B15" s="111" t="s">
        <v>37</v>
      </c>
      <c r="C15" s="25"/>
      <c r="D15" s="119"/>
      <c r="E15" s="118"/>
      <c r="F15" s="118"/>
      <c r="G15" s="116">
        <f t="shared" si="0"/>
        <v>21098387</v>
      </c>
      <c r="H15" s="63"/>
    </row>
    <row r="16" spans="1:9" x14ac:dyDescent="0.55000000000000004">
      <c r="A16" s="109">
        <v>5</v>
      </c>
      <c r="B16" s="111" t="s">
        <v>37</v>
      </c>
      <c r="C16" s="82"/>
      <c r="D16" s="179"/>
      <c r="E16" s="118"/>
      <c r="F16" s="118"/>
      <c r="G16" s="116">
        <f t="shared" si="0"/>
        <v>21098387</v>
      </c>
      <c r="H16" s="64"/>
    </row>
    <row r="17" spans="1:8" x14ac:dyDescent="0.55000000000000004">
      <c r="A17" s="108">
        <v>6</v>
      </c>
      <c r="B17" s="111" t="s">
        <v>37</v>
      </c>
      <c r="C17" s="195"/>
      <c r="D17" s="119"/>
      <c r="E17" s="118"/>
      <c r="F17" s="150"/>
      <c r="G17" s="116">
        <f t="shared" si="0"/>
        <v>21098387</v>
      </c>
      <c r="H17" s="64"/>
    </row>
    <row r="18" spans="1:8" x14ac:dyDescent="0.55000000000000004">
      <c r="A18" s="109">
        <v>7</v>
      </c>
      <c r="B18" s="111" t="s">
        <v>37</v>
      </c>
      <c r="C18" s="40"/>
      <c r="D18" s="179"/>
      <c r="E18" s="118"/>
      <c r="F18" s="58"/>
      <c r="G18" s="116">
        <f t="shared" si="0"/>
        <v>21098387</v>
      </c>
      <c r="H18" s="64"/>
    </row>
    <row r="19" spans="1:8" x14ac:dyDescent="0.55000000000000004">
      <c r="A19" s="108">
        <v>8</v>
      </c>
      <c r="B19" s="111" t="s">
        <v>37</v>
      </c>
      <c r="C19" s="40"/>
      <c r="D19" s="119"/>
      <c r="E19" s="118"/>
      <c r="F19" s="58"/>
      <c r="G19" s="116">
        <f t="shared" ref="G19:G30" si="1">G18+E19-F19</f>
        <v>21098387</v>
      </c>
      <c r="H19" s="64"/>
    </row>
    <row r="20" spans="1:8" x14ac:dyDescent="0.55000000000000004">
      <c r="A20" s="109">
        <v>9</v>
      </c>
      <c r="B20" s="111" t="s">
        <v>37</v>
      </c>
      <c r="C20" s="50"/>
      <c r="D20" s="122"/>
      <c r="E20" s="102"/>
      <c r="F20" s="118"/>
      <c r="G20" s="116">
        <f t="shared" si="1"/>
        <v>21098387</v>
      </c>
      <c r="H20" s="64"/>
    </row>
    <row r="21" spans="1:8" x14ac:dyDescent="0.55000000000000004">
      <c r="A21" s="108">
        <v>10</v>
      </c>
      <c r="B21" s="111" t="s">
        <v>37</v>
      </c>
      <c r="C21" s="25"/>
      <c r="D21" s="119"/>
      <c r="E21" s="118"/>
      <c r="F21" s="118"/>
      <c r="G21" s="116">
        <f t="shared" si="1"/>
        <v>21098387</v>
      </c>
      <c r="H21" s="64"/>
    </row>
    <row r="22" spans="1:8" x14ac:dyDescent="0.55000000000000004">
      <c r="A22" s="109">
        <v>11</v>
      </c>
      <c r="B22" s="111" t="s">
        <v>37</v>
      </c>
      <c r="C22" s="25"/>
      <c r="D22" s="119"/>
      <c r="E22" s="118"/>
      <c r="F22" s="118"/>
      <c r="G22" s="116">
        <f t="shared" si="1"/>
        <v>21098387</v>
      </c>
      <c r="H22" s="64"/>
    </row>
    <row r="23" spans="1:8" x14ac:dyDescent="0.55000000000000004">
      <c r="A23" s="108">
        <v>12</v>
      </c>
      <c r="B23" s="111" t="s">
        <v>37</v>
      </c>
      <c r="C23" s="40"/>
      <c r="D23" s="135"/>
      <c r="E23" s="102"/>
      <c r="F23" s="180"/>
      <c r="G23" s="116">
        <f t="shared" si="1"/>
        <v>21098387</v>
      </c>
      <c r="H23" s="64"/>
    </row>
    <row r="24" spans="1:8" x14ac:dyDescent="0.55000000000000004">
      <c r="A24" s="109">
        <v>13</v>
      </c>
      <c r="B24" s="111" t="s">
        <v>37</v>
      </c>
      <c r="C24" s="40"/>
      <c r="D24" s="135"/>
      <c r="E24" s="102"/>
      <c r="F24" s="180"/>
      <c r="G24" s="116">
        <f t="shared" si="1"/>
        <v>21098387</v>
      </c>
      <c r="H24" s="64"/>
    </row>
    <row r="25" spans="1:8" x14ac:dyDescent="0.55000000000000004">
      <c r="A25" s="108">
        <v>14</v>
      </c>
      <c r="B25" s="111" t="s">
        <v>37</v>
      </c>
      <c r="C25" s="40"/>
      <c r="D25" s="135"/>
      <c r="E25" s="102"/>
      <c r="F25" s="180"/>
      <c r="G25" s="116">
        <f t="shared" si="1"/>
        <v>21098387</v>
      </c>
      <c r="H25" s="64"/>
    </row>
    <row r="26" spans="1:8" x14ac:dyDescent="0.55000000000000004">
      <c r="A26" s="109">
        <v>15</v>
      </c>
      <c r="B26" s="111" t="s">
        <v>37</v>
      </c>
      <c r="C26" s="189"/>
      <c r="D26" s="181"/>
      <c r="E26" s="102"/>
      <c r="F26" s="180"/>
      <c r="G26" s="116">
        <f t="shared" si="1"/>
        <v>21098387</v>
      </c>
      <c r="H26" s="64"/>
    </row>
    <row r="27" spans="1:8" x14ac:dyDescent="0.55000000000000004">
      <c r="A27" s="108">
        <v>16</v>
      </c>
      <c r="B27" s="111" t="s">
        <v>37</v>
      </c>
      <c r="C27" s="189"/>
      <c r="D27" s="181"/>
      <c r="E27" s="102"/>
      <c r="F27" s="180"/>
      <c r="G27" s="116">
        <f t="shared" si="1"/>
        <v>21098387</v>
      </c>
      <c r="H27" s="64"/>
    </row>
    <row r="28" spans="1:8" x14ac:dyDescent="0.55000000000000004">
      <c r="A28" s="109">
        <v>17</v>
      </c>
      <c r="B28" s="111" t="s">
        <v>37</v>
      </c>
      <c r="C28" s="189"/>
      <c r="D28" s="181"/>
      <c r="E28" s="102"/>
      <c r="F28" s="180"/>
      <c r="G28" s="116">
        <f t="shared" si="1"/>
        <v>21098387</v>
      </c>
      <c r="H28" s="64"/>
    </row>
    <row r="29" spans="1:8" x14ac:dyDescent="0.55000000000000004">
      <c r="A29" s="108">
        <v>18</v>
      </c>
      <c r="B29" s="111" t="s">
        <v>37</v>
      </c>
      <c r="C29" s="190"/>
      <c r="D29" s="191"/>
      <c r="E29" s="102"/>
      <c r="F29" s="102"/>
      <c r="G29" s="116">
        <f t="shared" si="1"/>
        <v>21098387</v>
      </c>
      <c r="H29" s="64"/>
    </row>
    <row r="30" spans="1:8" x14ac:dyDescent="0.55000000000000004">
      <c r="A30" s="109">
        <v>19</v>
      </c>
      <c r="B30" s="111" t="s">
        <v>37</v>
      </c>
      <c r="C30" s="190"/>
      <c r="D30" s="191"/>
      <c r="E30" s="102"/>
      <c r="F30" s="102"/>
      <c r="G30" s="116">
        <f t="shared" si="1"/>
        <v>21098387</v>
      </c>
      <c r="H30" s="79"/>
    </row>
    <row r="31" spans="1:8" ht="21.65" customHeight="1" x14ac:dyDescent="0.55000000000000004">
      <c r="A31" s="196"/>
      <c r="B31" s="51" t="s">
        <v>2</v>
      </c>
      <c r="C31" s="51"/>
      <c r="D31" s="127">
        <f>SUM(D11:D30)</f>
        <v>24370708</v>
      </c>
      <c r="E31" s="128">
        <f>SUM(E11:E30)</f>
        <v>0</v>
      </c>
      <c r="F31" s="128">
        <f>SUM(F11:F30)</f>
        <v>3272321</v>
      </c>
      <c r="G31" s="128">
        <f>D31+E31-F31</f>
        <v>21098387</v>
      </c>
      <c r="H31" s="51"/>
    </row>
    <row r="32" spans="1:8" ht="22.5" x14ac:dyDescent="0.7">
      <c r="A32" s="18"/>
      <c r="B32" s="19"/>
      <c r="C32" s="20"/>
      <c r="D32" s="20"/>
      <c r="E32" s="21"/>
      <c r="F32" s="21"/>
      <c r="G32" s="21"/>
      <c r="H32" s="19"/>
    </row>
    <row r="33" spans="1:8" ht="18.5" x14ac:dyDescent="0.55000000000000004">
      <c r="A33" s="419" t="s">
        <v>68</v>
      </c>
      <c r="B33" s="419"/>
      <c r="C33" s="419"/>
      <c r="D33" s="419"/>
      <c r="E33" s="419"/>
      <c r="F33" s="419"/>
      <c r="G33" s="419"/>
      <c r="H33" s="419"/>
    </row>
    <row r="34" spans="1:8" x14ac:dyDescent="0.55000000000000004">
      <c r="A34" s="53"/>
      <c r="E34" s="53"/>
      <c r="F34" s="53"/>
      <c r="G34" s="53"/>
      <c r="H34" s="53"/>
    </row>
    <row r="35" spans="1:8" x14ac:dyDescent="0.55000000000000004">
      <c r="A35" s="53"/>
      <c r="E35" s="53"/>
      <c r="F35" s="53"/>
      <c r="G35" s="53"/>
      <c r="H35" s="53"/>
    </row>
    <row r="36" spans="1:8" x14ac:dyDescent="0.55000000000000004">
      <c r="A36" s="53"/>
      <c r="E36" s="53"/>
      <c r="F36" s="53"/>
      <c r="G36" s="53"/>
      <c r="H36" s="53"/>
    </row>
    <row r="37" spans="1:8" x14ac:dyDescent="0.55000000000000004">
      <c r="A37" s="53"/>
      <c r="E37" s="53"/>
      <c r="F37" s="53"/>
      <c r="G37" s="53"/>
      <c r="H37" s="53"/>
    </row>
    <row r="38" spans="1:8" x14ac:dyDescent="0.55000000000000004">
      <c r="A38" s="53"/>
      <c r="E38" s="53"/>
      <c r="F38" s="53"/>
      <c r="G38" s="53"/>
      <c r="H38" s="53"/>
    </row>
    <row r="39" spans="1:8" x14ac:dyDescent="0.55000000000000004">
      <c r="A39" s="53"/>
      <c r="E39" s="53"/>
      <c r="F39" s="53"/>
      <c r="G39" s="53"/>
      <c r="H39" s="53"/>
    </row>
    <row r="40" spans="1:8" x14ac:dyDescent="0.55000000000000004">
      <c r="A40" s="53"/>
      <c r="E40" s="53"/>
      <c r="F40" s="53"/>
      <c r="G40" s="53"/>
      <c r="H40" s="53"/>
    </row>
    <row r="41" spans="1:8" x14ac:dyDescent="0.55000000000000004">
      <c r="A41" s="53"/>
      <c r="E41" s="53"/>
      <c r="F41" s="53"/>
      <c r="G41" s="53"/>
      <c r="H41" s="53"/>
    </row>
    <row r="42" spans="1:8" x14ac:dyDescent="0.55000000000000004">
      <c r="A42" s="53"/>
      <c r="E42" s="53"/>
      <c r="F42" s="53"/>
      <c r="G42" s="53"/>
      <c r="H42" s="53"/>
    </row>
    <row r="43" spans="1:8" ht="18.5" x14ac:dyDescent="0.6">
      <c r="A43" s="407" t="s">
        <v>67</v>
      </c>
      <c r="B43" s="407"/>
      <c r="C43" s="407"/>
      <c r="D43" s="407"/>
      <c r="E43" s="407"/>
      <c r="F43" s="407"/>
      <c r="G43" s="407"/>
      <c r="H43" s="407"/>
    </row>
  </sheetData>
  <mergeCells count="14">
    <mergeCell ref="A43:H43"/>
    <mergeCell ref="G9:G10"/>
    <mergeCell ref="H9:H10"/>
    <mergeCell ref="A33:H33"/>
    <mergeCell ref="A1:H1"/>
    <mergeCell ref="A2:H2"/>
    <mergeCell ref="A7:H7"/>
    <mergeCell ref="A8:H8"/>
    <mergeCell ref="A9:A10"/>
    <mergeCell ref="B9:B10"/>
    <mergeCell ref="C9:C10"/>
    <mergeCell ref="E9:E10"/>
    <mergeCell ref="F9:F10"/>
    <mergeCell ref="D9:D10"/>
  </mergeCells>
  <pageMargins left="4.1666666666666664E-2" right="0.14166666666666666" top="0.75" bottom="0.75" header="0.3" footer="0.3"/>
  <pageSetup paperSize="9" scale="8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I49"/>
  <sheetViews>
    <sheetView view="pageLayout" topLeftCell="A10" zoomScaleNormal="100" workbookViewId="0">
      <selection activeCell="F37" sqref="F37"/>
    </sheetView>
  </sheetViews>
  <sheetFormatPr defaultColWidth="9.1796875" defaultRowHeight="17" x14ac:dyDescent="0.55000000000000004"/>
  <cols>
    <col min="1" max="1" width="5" style="23" customWidth="1"/>
    <col min="2" max="2" width="11.453125" style="22" customWidth="1"/>
    <col min="3" max="3" width="40.81640625" style="22" customWidth="1"/>
    <col min="4" max="4" width="15.54296875" style="22" customWidth="1"/>
    <col min="5" max="5" width="15.453125" style="23" customWidth="1"/>
    <col min="6" max="6" width="14.54296875" style="23" customWidth="1"/>
    <col min="7" max="7" width="16.453125" style="23" customWidth="1"/>
    <col min="8" max="8" width="6.54296875" style="23" customWidth="1"/>
    <col min="9" max="16384" width="9.1796875" style="23"/>
  </cols>
  <sheetData>
    <row r="1" spans="1:9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9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9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9" s="53" customFormat="1" ht="12.7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9" s="53" customFormat="1" ht="12.7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9" s="53" customFormat="1" ht="12.7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9" s="53" customFormat="1" ht="12.7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9" ht="27.65" customHeight="1" x14ac:dyDescent="0.55000000000000004">
      <c r="A8" s="418" t="s">
        <v>39</v>
      </c>
      <c r="B8" s="418"/>
      <c r="C8" s="418"/>
      <c r="D8" s="418"/>
      <c r="E8" s="418"/>
      <c r="F8" s="418"/>
      <c r="G8" s="418"/>
      <c r="H8" s="418"/>
      <c r="I8" s="2"/>
    </row>
    <row r="9" spans="1:9" ht="34.4" customHeight="1" x14ac:dyDescent="0.55000000000000004">
      <c r="A9" s="418" t="s">
        <v>54</v>
      </c>
      <c r="B9" s="418"/>
      <c r="C9" s="418"/>
      <c r="D9" s="418"/>
      <c r="E9" s="418"/>
      <c r="F9" s="418"/>
      <c r="G9" s="418"/>
      <c r="H9" s="418"/>
      <c r="I9" s="2"/>
    </row>
    <row r="10" spans="1:9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9" ht="20.25" customHeight="1" x14ac:dyDescent="0.55000000000000004">
      <c r="A11" s="411"/>
      <c r="B11" s="411"/>
      <c r="C11" s="411"/>
      <c r="D11" s="411"/>
      <c r="E11" s="412"/>
      <c r="F11" s="414"/>
      <c r="G11" s="408"/>
      <c r="H11" s="408"/>
    </row>
    <row r="12" spans="1:9" ht="20.149999999999999" customHeight="1" x14ac:dyDescent="0.55000000000000004">
      <c r="A12" s="107">
        <v>1</v>
      </c>
      <c r="B12" s="107" t="s">
        <v>51</v>
      </c>
      <c r="C12" s="60" t="s">
        <v>10</v>
      </c>
      <c r="D12" s="114">
        <v>-26260240</v>
      </c>
      <c r="E12" s="114"/>
      <c r="F12" s="114">
        <v>0</v>
      </c>
      <c r="G12" s="113">
        <f>D12</f>
        <v>-26260240</v>
      </c>
      <c r="H12" s="4"/>
    </row>
    <row r="13" spans="1:9" ht="18.5" x14ac:dyDescent="0.55000000000000004">
      <c r="A13" s="108">
        <v>2</v>
      </c>
      <c r="B13" s="111" t="s">
        <v>145</v>
      </c>
      <c r="C13" s="42" t="s">
        <v>149</v>
      </c>
      <c r="D13" s="155"/>
      <c r="E13" s="229"/>
      <c r="F13" s="83">
        <v>47930700</v>
      </c>
      <c r="G13" s="116">
        <f>G12+E13-F13</f>
        <v>-74190940</v>
      </c>
      <c r="H13" s="6"/>
    </row>
    <row r="14" spans="1:9" ht="18.649999999999999" customHeight="1" x14ac:dyDescent="0.55000000000000004">
      <c r="A14" s="109">
        <v>3</v>
      </c>
      <c r="B14" s="111" t="s">
        <v>164</v>
      </c>
      <c r="C14" s="249" t="s">
        <v>250</v>
      </c>
      <c r="D14" s="250"/>
      <c r="E14" s="283"/>
      <c r="F14" s="250">
        <v>2950000</v>
      </c>
      <c r="G14" s="116">
        <f t="shared" ref="G14:G36" si="0">G13+E14-F14</f>
        <v>-77140940</v>
      </c>
      <c r="H14" s="7"/>
    </row>
    <row r="15" spans="1:9" x14ac:dyDescent="0.55000000000000004">
      <c r="A15" s="108">
        <v>4</v>
      </c>
      <c r="B15" s="111" t="s">
        <v>37</v>
      </c>
      <c r="C15" s="249" t="s">
        <v>251</v>
      </c>
      <c r="D15" s="250"/>
      <c r="E15" s="283"/>
      <c r="F15" s="250">
        <v>2950000</v>
      </c>
      <c r="G15" s="116">
        <f t="shared" si="0"/>
        <v>-80090940</v>
      </c>
      <c r="H15" s="7"/>
    </row>
    <row r="16" spans="1:9" x14ac:dyDescent="0.55000000000000004">
      <c r="A16" s="109">
        <v>5</v>
      </c>
      <c r="B16" s="111" t="s">
        <v>37</v>
      </c>
      <c r="C16" s="249" t="s">
        <v>252</v>
      </c>
      <c r="D16" s="250"/>
      <c r="E16" s="283"/>
      <c r="F16" s="250">
        <v>120000</v>
      </c>
      <c r="G16" s="116">
        <f t="shared" si="0"/>
        <v>-80210940</v>
      </c>
      <c r="H16" s="10"/>
    </row>
    <row r="17" spans="1:8" x14ac:dyDescent="0.55000000000000004">
      <c r="A17" s="108">
        <v>6</v>
      </c>
      <c r="B17" s="111" t="s">
        <v>37</v>
      </c>
      <c r="C17" s="249" t="s">
        <v>253</v>
      </c>
      <c r="D17" s="250"/>
      <c r="E17" s="283"/>
      <c r="F17" s="250">
        <v>3000000</v>
      </c>
      <c r="G17" s="116">
        <f t="shared" si="0"/>
        <v>-83210940</v>
      </c>
      <c r="H17" s="10"/>
    </row>
    <row r="18" spans="1:8" x14ac:dyDescent="0.55000000000000004">
      <c r="A18" s="109">
        <v>7</v>
      </c>
      <c r="B18" s="111" t="s">
        <v>37</v>
      </c>
      <c r="C18" s="277" t="s">
        <v>254</v>
      </c>
      <c r="D18" s="250"/>
      <c r="E18" s="283"/>
      <c r="F18" s="250">
        <v>60500000</v>
      </c>
      <c r="G18" s="116">
        <f t="shared" si="0"/>
        <v>-143710940</v>
      </c>
      <c r="H18" s="10"/>
    </row>
    <row r="19" spans="1:8" x14ac:dyDescent="0.55000000000000004">
      <c r="A19" s="108">
        <v>8</v>
      </c>
      <c r="B19" s="111" t="s">
        <v>37</v>
      </c>
      <c r="C19" s="277" t="s">
        <v>255</v>
      </c>
      <c r="D19" s="250"/>
      <c r="E19" s="283"/>
      <c r="F19" s="250">
        <f>120000*280</f>
        <v>33600000</v>
      </c>
      <c r="G19" s="116">
        <f t="shared" si="0"/>
        <v>-177310940</v>
      </c>
      <c r="H19" s="10"/>
    </row>
    <row r="20" spans="1:8" x14ac:dyDescent="0.55000000000000004">
      <c r="A20" s="109">
        <v>9</v>
      </c>
      <c r="B20" s="111" t="s">
        <v>37</v>
      </c>
      <c r="C20" s="249" t="s">
        <v>256</v>
      </c>
      <c r="D20" s="250"/>
      <c r="E20" s="283"/>
      <c r="F20" s="250">
        <v>26573100</v>
      </c>
      <c r="G20" s="116">
        <f t="shared" si="0"/>
        <v>-203884040</v>
      </c>
      <c r="H20" s="10"/>
    </row>
    <row r="21" spans="1:8" x14ac:dyDescent="0.55000000000000004">
      <c r="A21" s="108">
        <v>10</v>
      </c>
      <c r="B21" s="111" t="s">
        <v>37</v>
      </c>
      <c r="C21" s="270"/>
      <c r="D21" s="271"/>
      <c r="E21" s="266"/>
      <c r="F21" s="266"/>
      <c r="G21" s="116">
        <f t="shared" si="0"/>
        <v>-203884040</v>
      </c>
      <c r="H21" s="10"/>
    </row>
    <row r="22" spans="1:8" x14ac:dyDescent="0.55000000000000004">
      <c r="A22" s="109">
        <v>11</v>
      </c>
      <c r="B22" s="111" t="s">
        <v>37</v>
      </c>
      <c r="C22" s="25"/>
      <c r="D22" s="119"/>
      <c r="E22" s="118"/>
      <c r="F22" s="118"/>
      <c r="G22" s="116">
        <f t="shared" si="0"/>
        <v>-203884040</v>
      </c>
      <c r="H22" s="10"/>
    </row>
    <row r="23" spans="1:8" x14ac:dyDescent="0.55000000000000004">
      <c r="A23" s="108">
        <v>12</v>
      </c>
      <c r="B23" s="111" t="s">
        <v>37</v>
      </c>
      <c r="C23" s="40"/>
      <c r="D23" s="135"/>
      <c r="E23" s="102"/>
      <c r="F23" s="180"/>
      <c r="G23" s="116">
        <f t="shared" si="0"/>
        <v>-203884040</v>
      </c>
      <c r="H23" s="10"/>
    </row>
    <row r="24" spans="1:8" x14ac:dyDescent="0.55000000000000004">
      <c r="A24" s="109">
        <v>13</v>
      </c>
      <c r="B24" s="111" t="s">
        <v>37</v>
      </c>
      <c r="C24" s="40"/>
      <c r="D24" s="135"/>
      <c r="E24" s="102"/>
      <c r="F24" s="180"/>
      <c r="G24" s="116">
        <f t="shared" si="0"/>
        <v>-203884040</v>
      </c>
      <c r="H24" s="10"/>
    </row>
    <row r="25" spans="1:8" x14ac:dyDescent="0.55000000000000004">
      <c r="A25" s="108">
        <v>14</v>
      </c>
      <c r="B25" s="111" t="s">
        <v>37</v>
      </c>
      <c r="C25" s="40"/>
      <c r="D25" s="135"/>
      <c r="E25" s="102"/>
      <c r="F25" s="180"/>
      <c r="G25" s="116">
        <f t="shared" si="0"/>
        <v>-203884040</v>
      </c>
      <c r="H25" s="10"/>
    </row>
    <row r="26" spans="1:8" x14ac:dyDescent="0.55000000000000004">
      <c r="A26" s="109">
        <v>15</v>
      </c>
      <c r="B26" s="111" t="s">
        <v>37</v>
      </c>
      <c r="C26" s="189"/>
      <c r="D26" s="181"/>
      <c r="E26" s="102"/>
      <c r="F26" s="180"/>
      <c r="G26" s="116">
        <f t="shared" si="0"/>
        <v>-203884040</v>
      </c>
      <c r="H26" s="10"/>
    </row>
    <row r="27" spans="1:8" x14ac:dyDescent="0.55000000000000004">
      <c r="A27" s="108">
        <v>16</v>
      </c>
      <c r="B27" s="111" t="s">
        <v>37</v>
      </c>
      <c r="C27" s="189"/>
      <c r="D27" s="181"/>
      <c r="E27" s="102"/>
      <c r="F27" s="180"/>
      <c r="G27" s="116">
        <f t="shared" si="0"/>
        <v>-203884040</v>
      </c>
      <c r="H27" s="10"/>
    </row>
    <row r="28" spans="1:8" x14ac:dyDescent="0.55000000000000004">
      <c r="A28" s="109">
        <v>17</v>
      </c>
      <c r="B28" s="111" t="s">
        <v>37</v>
      </c>
      <c r="C28" s="189"/>
      <c r="D28" s="181"/>
      <c r="E28" s="102"/>
      <c r="F28" s="180"/>
      <c r="G28" s="116">
        <f t="shared" si="0"/>
        <v>-203884040</v>
      </c>
      <c r="H28" s="10"/>
    </row>
    <row r="29" spans="1:8" x14ac:dyDescent="0.55000000000000004">
      <c r="A29" s="108">
        <v>18</v>
      </c>
      <c r="B29" s="111" t="s">
        <v>37</v>
      </c>
      <c r="C29" s="190"/>
      <c r="D29" s="191"/>
      <c r="E29" s="102"/>
      <c r="F29" s="102"/>
      <c r="G29" s="116">
        <f t="shared" si="0"/>
        <v>-203884040</v>
      </c>
      <c r="H29" s="10"/>
    </row>
    <row r="30" spans="1:8" x14ac:dyDescent="0.55000000000000004">
      <c r="A30" s="109">
        <v>19</v>
      </c>
      <c r="B30" s="111" t="s">
        <v>37</v>
      </c>
      <c r="C30" s="190"/>
      <c r="D30" s="191"/>
      <c r="E30" s="102"/>
      <c r="F30" s="102"/>
      <c r="G30" s="116">
        <f t="shared" si="0"/>
        <v>-203884040</v>
      </c>
      <c r="H30" s="13"/>
    </row>
    <row r="31" spans="1:8" x14ac:dyDescent="0.55000000000000004">
      <c r="A31" s="108">
        <v>20</v>
      </c>
      <c r="B31" s="111" t="s">
        <v>37</v>
      </c>
      <c r="C31" s="24"/>
      <c r="D31" s="122"/>
      <c r="E31" s="102"/>
      <c r="F31" s="102"/>
      <c r="G31" s="116">
        <f t="shared" si="0"/>
        <v>-203884040</v>
      </c>
      <c r="H31" s="13"/>
    </row>
    <row r="32" spans="1:8" x14ac:dyDescent="0.55000000000000004">
      <c r="A32" s="109">
        <v>21</v>
      </c>
      <c r="B32" s="111" t="s">
        <v>37</v>
      </c>
      <c r="C32" s="24"/>
      <c r="D32" s="122"/>
      <c r="E32" s="102"/>
      <c r="F32" s="102"/>
      <c r="G32" s="116">
        <f t="shared" si="0"/>
        <v>-203884040</v>
      </c>
      <c r="H32" s="10"/>
    </row>
    <row r="33" spans="1:8" x14ac:dyDescent="0.55000000000000004">
      <c r="A33" s="108">
        <v>22</v>
      </c>
      <c r="B33" s="111" t="s">
        <v>37</v>
      </c>
      <c r="C33" s="25"/>
      <c r="D33" s="148"/>
      <c r="E33" s="102"/>
      <c r="F33" s="102"/>
      <c r="G33" s="116">
        <f t="shared" si="0"/>
        <v>-203884040</v>
      </c>
      <c r="H33" s="10"/>
    </row>
    <row r="34" spans="1:8" x14ac:dyDescent="0.55000000000000004">
      <c r="A34" s="109">
        <v>23</v>
      </c>
      <c r="B34" s="111" t="s">
        <v>37</v>
      </c>
      <c r="C34" s="24"/>
      <c r="D34" s="122"/>
      <c r="E34" s="102"/>
      <c r="F34" s="102"/>
      <c r="G34" s="116">
        <f t="shared" si="0"/>
        <v>-203884040</v>
      </c>
      <c r="H34" s="10"/>
    </row>
    <row r="35" spans="1:8" x14ac:dyDescent="0.55000000000000004">
      <c r="A35" s="108">
        <v>24</v>
      </c>
      <c r="B35" s="111" t="s">
        <v>37</v>
      </c>
      <c r="C35" s="24"/>
      <c r="D35" s="122"/>
      <c r="E35" s="102"/>
      <c r="F35" s="102"/>
      <c r="G35" s="116">
        <f t="shared" si="0"/>
        <v>-203884040</v>
      </c>
      <c r="H35" s="10"/>
    </row>
    <row r="36" spans="1:8" x14ac:dyDescent="0.55000000000000004">
      <c r="A36" s="109">
        <v>25</v>
      </c>
      <c r="B36" s="111" t="s">
        <v>37</v>
      </c>
      <c r="C36" s="24"/>
      <c r="D36" s="122"/>
      <c r="E36" s="102"/>
      <c r="F36" s="102"/>
      <c r="G36" s="116">
        <f t="shared" si="0"/>
        <v>-203884040</v>
      </c>
      <c r="H36" s="10"/>
    </row>
    <row r="37" spans="1:8" ht="21.65" customHeight="1" x14ac:dyDescent="0.55000000000000004">
      <c r="A37" s="188"/>
      <c r="B37" s="72" t="s">
        <v>2</v>
      </c>
      <c r="C37" s="72"/>
      <c r="D37" s="137">
        <f>SUM(D12:D36)</f>
        <v>-26260240</v>
      </c>
      <c r="E37" s="104">
        <f>SUM(E12:E36)</f>
        <v>0</v>
      </c>
      <c r="F37" s="104">
        <f>SUM(F12:F36)</f>
        <v>177623800</v>
      </c>
      <c r="G37" s="104">
        <f>D37+E37-F37</f>
        <v>-203884040</v>
      </c>
      <c r="H37" s="17"/>
    </row>
    <row r="38" spans="1:8" ht="22.5" x14ac:dyDescent="0.7">
      <c r="A38" s="18"/>
      <c r="B38" s="19"/>
      <c r="C38" s="20"/>
      <c r="D38" s="20"/>
      <c r="E38" s="21"/>
      <c r="F38" s="21"/>
      <c r="G38" s="21"/>
      <c r="H38" s="19"/>
    </row>
    <row r="39" spans="1:8" ht="18.5" x14ac:dyDescent="0.55000000000000004">
      <c r="A39" s="419" t="s">
        <v>68</v>
      </c>
      <c r="B39" s="419"/>
      <c r="C39" s="419"/>
      <c r="D39" s="419"/>
      <c r="E39" s="419"/>
      <c r="F39" s="419"/>
      <c r="G39" s="419"/>
      <c r="H39" s="419"/>
    </row>
    <row r="40" spans="1:8" x14ac:dyDescent="0.55000000000000004">
      <c r="A40" s="53"/>
      <c r="E40" s="53"/>
      <c r="F40" s="53"/>
      <c r="G40" s="53"/>
      <c r="H40" s="53"/>
    </row>
    <row r="41" spans="1:8" x14ac:dyDescent="0.55000000000000004">
      <c r="A41" s="53"/>
      <c r="E41" s="53"/>
      <c r="F41" s="53"/>
      <c r="G41" s="53"/>
      <c r="H41" s="53"/>
    </row>
    <row r="42" spans="1:8" x14ac:dyDescent="0.55000000000000004">
      <c r="A42" s="53"/>
      <c r="E42" s="53"/>
      <c r="F42" s="53"/>
      <c r="G42" s="53"/>
      <c r="H42" s="53"/>
    </row>
    <row r="43" spans="1:8" x14ac:dyDescent="0.55000000000000004">
      <c r="A43" s="53"/>
      <c r="E43" s="53"/>
      <c r="F43" s="53"/>
      <c r="G43" s="53"/>
      <c r="H43" s="53"/>
    </row>
    <row r="44" spans="1:8" x14ac:dyDescent="0.55000000000000004">
      <c r="A44" s="53"/>
      <c r="E44" s="53"/>
      <c r="F44" s="53"/>
      <c r="G44" s="53"/>
      <c r="H44" s="53"/>
    </row>
    <row r="45" spans="1:8" x14ac:dyDescent="0.55000000000000004">
      <c r="A45" s="53"/>
      <c r="E45" s="53"/>
      <c r="F45" s="53"/>
      <c r="G45" s="53"/>
      <c r="H45" s="53"/>
    </row>
    <row r="46" spans="1:8" x14ac:dyDescent="0.55000000000000004">
      <c r="A46" s="53"/>
      <c r="E46" s="53"/>
      <c r="F46" s="53"/>
      <c r="G46" s="53"/>
      <c r="H46" s="53"/>
    </row>
    <row r="47" spans="1:8" x14ac:dyDescent="0.55000000000000004">
      <c r="A47" s="53"/>
      <c r="E47" s="53"/>
      <c r="F47" s="53"/>
      <c r="G47" s="53"/>
      <c r="H47" s="53"/>
    </row>
    <row r="48" spans="1:8" x14ac:dyDescent="0.55000000000000004">
      <c r="A48" s="53"/>
      <c r="E48" s="53"/>
      <c r="F48" s="53"/>
      <c r="G48" s="53"/>
      <c r="H48" s="53"/>
    </row>
    <row r="49" spans="1:8" ht="18.5" x14ac:dyDescent="0.6">
      <c r="A49" s="407" t="s">
        <v>67</v>
      </c>
      <c r="B49" s="407"/>
      <c r="C49" s="407"/>
      <c r="D49" s="407"/>
      <c r="E49" s="407"/>
      <c r="F49" s="407"/>
      <c r="G49" s="407"/>
      <c r="H49" s="407"/>
    </row>
  </sheetData>
  <mergeCells count="14">
    <mergeCell ref="A49:H49"/>
    <mergeCell ref="G10:G11"/>
    <mergeCell ref="H10:H11"/>
    <mergeCell ref="A39:H39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0.16666666666666666" right="0.23" top="0.75" bottom="0.75" header="0.3" footer="0.3"/>
  <pageSetup paperSize="9" scale="8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J53"/>
  <sheetViews>
    <sheetView view="pageLayout" topLeftCell="A10" zoomScaleNormal="100" workbookViewId="0">
      <selection activeCell="D14" sqref="D14"/>
    </sheetView>
  </sheetViews>
  <sheetFormatPr defaultColWidth="8.1796875" defaultRowHeight="17" x14ac:dyDescent="0.55000000000000004"/>
  <cols>
    <col min="1" max="1" width="5" style="23" customWidth="1"/>
    <col min="2" max="2" width="9.54296875" style="22" customWidth="1"/>
    <col min="3" max="3" width="43.54296875" style="22" customWidth="1"/>
    <col min="4" max="4" width="17.1796875" style="220" customWidth="1"/>
    <col min="5" max="5" width="16" style="23" customWidth="1"/>
    <col min="6" max="6" width="16.81640625" style="23" customWidth="1"/>
    <col min="7" max="7" width="16.453125" style="23" customWidth="1"/>
    <col min="8" max="8" width="6.453125" style="23" customWidth="1"/>
    <col min="9" max="9" width="24.54296875" style="23" customWidth="1"/>
    <col min="10" max="16384" width="8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10"/>
      <c r="E3" s="203"/>
      <c r="F3" s="203"/>
      <c r="G3" s="203"/>
      <c r="H3" s="203"/>
    </row>
    <row r="4" spans="1:10" s="53" customFormat="1" ht="15" customHeight="1" x14ac:dyDescent="0.55000000000000004">
      <c r="A4" s="205" t="s">
        <v>72</v>
      </c>
      <c r="B4" s="205"/>
      <c r="C4" s="203"/>
      <c r="D4" s="210"/>
      <c r="E4" s="203"/>
      <c r="F4" s="203"/>
      <c r="G4" s="203"/>
      <c r="H4" s="203"/>
    </row>
    <row r="5" spans="1:10" s="53" customFormat="1" ht="15" customHeight="1" x14ac:dyDescent="0.55000000000000004">
      <c r="A5" s="205" t="s">
        <v>73</v>
      </c>
      <c r="B5" s="205"/>
      <c r="C5" s="203"/>
      <c r="D5" s="210"/>
      <c r="E5" s="203"/>
      <c r="F5" s="203"/>
      <c r="G5" s="203"/>
      <c r="H5" s="203"/>
    </row>
    <row r="6" spans="1:10" s="53" customFormat="1" ht="15" customHeight="1" x14ac:dyDescent="0.55000000000000004">
      <c r="A6" s="205" t="s">
        <v>74</v>
      </c>
      <c r="B6" s="205"/>
      <c r="C6" s="203"/>
      <c r="D6" s="210"/>
      <c r="E6" s="203"/>
      <c r="F6" s="203"/>
      <c r="G6" s="203"/>
      <c r="H6" s="203"/>
    </row>
    <row r="7" spans="1:10" s="53" customFormat="1" ht="15" customHeight="1" x14ac:dyDescent="0.55000000000000004">
      <c r="A7" s="206" t="s">
        <v>75</v>
      </c>
      <c r="B7" s="206"/>
      <c r="C7" s="203"/>
      <c r="D7" s="210"/>
      <c r="E7" s="203"/>
      <c r="F7" s="203"/>
      <c r="G7" s="203"/>
      <c r="H7" s="203"/>
    </row>
    <row r="8" spans="1:10" ht="27.65" customHeight="1" x14ac:dyDescent="0.55000000000000004">
      <c r="A8" s="418" t="s">
        <v>16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3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26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27"/>
      <c r="E11" s="412"/>
      <c r="F11" s="414"/>
      <c r="G11" s="408"/>
      <c r="H11" s="408"/>
    </row>
    <row r="12" spans="1:10" ht="18.5" x14ac:dyDescent="0.55000000000000004">
      <c r="A12" s="107">
        <v>1</v>
      </c>
      <c r="B12" s="107" t="s">
        <v>51</v>
      </c>
      <c r="C12" s="60" t="s">
        <v>10</v>
      </c>
      <c r="D12" s="113"/>
      <c r="E12" s="114"/>
      <c r="F12" s="114">
        <v>0</v>
      </c>
      <c r="G12" s="113">
        <f>D12</f>
        <v>0</v>
      </c>
      <c r="H12" s="4"/>
    </row>
    <row r="13" spans="1:10" ht="18.5" x14ac:dyDescent="0.55000000000000004">
      <c r="A13" s="165">
        <v>2</v>
      </c>
      <c r="B13" s="110" t="s">
        <v>37</v>
      </c>
      <c r="C13" s="24" t="s">
        <v>326</v>
      </c>
      <c r="D13" s="315">
        <f>3062508600-1000000000-400000000-62723500-159931573-76581206-3272321</f>
        <v>1360000000</v>
      </c>
      <c r="E13" s="116"/>
      <c r="F13" s="116"/>
      <c r="G13" s="116">
        <f>D13+E13-F13</f>
        <v>1360000000</v>
      </c>
      <c r="H13" s="6"/>
    </row>
    <row r="14" spans="1:10" x14ac:dyDescent="0.55000000000000004">
      <c r="A14" s="165">
        <v>3</v>
      </c>
      <c r="B14" s="110" t="s">
        <v>37</v>
      </c>
      <c r="C14" s="55" t="s">
        <v>52</v>
      </c>
      <c r="D14" s="316"/>
      <c r="E14" s="118"/>
      <c r="F14" s="308">
        <v>1360000000</v>
      </c>
      <c r="G14" s="116">
        <f>G13+E14-F14</f>
        <v>0</v>
      </c>
      <c r="H14" s="7"/>
      <c r="I14" s="8"/>
    </row>
    <row r="15" spans="1:10" x14ac:dyDescent="0.55000000000000004">
      <c r="A15" s="165">
        <v>4</v>
      </c>
      <c r="B15" s="110" t="s">
        <v>37</v>
      </c>
      <c r="C15" s="24"/>
      <c r="D15" s="315"/>
      <c r="E15" s="118"/>
      <c r="F15" s="118"/>
      <c r="G15" s="116">
        <f t="shared" ref="G15:G21" si="0">G14+E15-F15</f>
        <v>0</v>
      </c>
      <c r="H15" s="7"/>
      <c r="I15" s="8"/>
    </row>
    <row r="16" spans="1:10" x14ac:dyDescent="0.55000000000000004">
      <c r="A16" s="165">
        <v>5</v>
      </c>
      <c r="B16" s="110" t="s">
        <v>37</v>
      </c>
      <c r="C16" s="24"/>
      <c r="D16" s="315"/>
      <c r="E16" s="118"/>
      <c r="F16" s="118"/>
      <c r="G16" s="116">
        <f t="shared" si="0"/>
        <v>0</v>
      </c>
      <c r="H16" s="10"/>
    </row>
    <row r="17" spans="1:8" x14ac:dyDescent="0.55000000000000004">
      <c r="A17" s="165">
        <v>7</v>
      </c>
      <c r="B17" s="110" t="s">
        <v>37</v>
      </c>
      <c r="C17" s="25"/>
      <c r="D17" s="317"/>
      <c r="E17" s="102"/>
      <c r="F17" s="102"/>
      <c r="G17" s="116">
        <f t="shared" si="0"/>
        <v>0</v>
      </c>
      <c r="H17" s="10"/>
    </row>
    <row r="18" spans="1:8" x14ac:dyDescent="0.55000000000000004">
      <c r="A18" s="165">
        <v>9</v>
      </c>
      <c r="B18" s="110" t="s">
        <v>37</v>
      </c>
      <c r="C18" s="24"/>
      <c r="D18" s="317"/>
      <c r="E18" s="102"/>
      <c r="F18" s="102"/>
      <c r="G18" s="116">
        <f t="shared" si="0"/>
        <v>0</v>
      </c>
      <c r="H18" s="10"/>
    </row>
    <row r="19" spans="1:8" x14ac:dyDescent="0.55000000000000004">
      <c r="A19" s="165">
        <v>11</v>
      </c>
      <c r="B19" s="110" t="s">
        <v>37</v>
      </c>
      <c r="C19" s="24"/>
      <c r="D19" s="317"/>
      <c r="E19" s="102"/>
      <c r="F19" s="102"/>
      <c r="G19" s="116">
        <f t="shared" si="0"/>
        <v>0</v>
      </c>
      <c r="H19" s="10"/>
    </row>
    <row r="20" spans="1:8" x14ac:dyDescent="0.55000000000000004">
      <c r="A20" s="165">
        <v>13</v>
      </c>
      <c r="B20" s="110" t="s">
        <v>37</v>
      </c>
      <c r="C20" s="24"/>
      <c r="D20" s="317"/>
      <c r="E20" s="102"/>
      <c r="F20" s="102"/>
      <c r="G20" s="116">
        <f t="shared" si="0"/>
        <v>0</v>
      </c>
      <c r="H20" s="10"/>
    </row>
    <row r="21" spans="1:8" x14ac:dyDescent="0.55000000000000004">
      <c r="A21" s="165">
        <v>15</v>
      </c>
      <c r="B21" s="110" t="s">
        <v>37</v>
      </c>
      <c r="C21" s="24"/>
      <c r="D21" s="317"/>
      <c r="E21" s="102"/>
      <c r="F21" s="102"/>
      <c r="G21" s="116">
        <f t="shared" si="0"/>
        <v>0</v>
      </c>
      <c r="H21" s="10"/>
    </row>
    <row r="22" spans="1:8" x14ac:dyDescent="0.55000000000000004">
      <c r="A22" s="165">
        <v>16</v>
      </c>
      <c r="B22" s="110" t="s">
        <v>37</v>
      </c>
      <c r="C22" s="50"/>
      <c r="D22" s="317"/>
      <c r="E22" s="102"/>
      <c r="F22" s="102"/>
      <c r="G22" s="116">
        <f t="shared" ref="G22:G40" si="1">G21+E22-F22</f>
        <v>0</v>
      </c>
      <c r="H22" s="10"/>
    </row>
    <row r="23" spans="1:8" x14ac:dyDescent="0.55000000000000004">
      <c r="A23" s="165">
        <v>17</v>
      </c>
      <c r="B23" s="110" t="s">
        <v>37</v>
      </c>
      <c r="C23" s="65"/>
      <c r="D23" s="317"/>
      <c r="E23" s="102"/>
      <c r="F23" s="102"/>
      <c r="G23" s="116">
        <f t="shared" si="1"/>
        <v>0</v>
      </c>
      <c r="H23" s="10"/>
    </row>
    <row r="24" spans="1:8" x14ac:dyDescent="0.55000000000000004">
      <c r="A24" s="165">
        <v>18</v>
      </c>
      <c r="B24" s="110" t="s">
        <v>37</v>
      </c>
      <c r="C24" s="24"/>
      <c r="D24" s="317"/>
      <c r="E24" s="102"/>
      <c r="F24" s="102"/>
      <c r="G24" s="116">
        <f t="shared" si="1"/>
        <v>0</v>
      </c>
      <c r="H24" s="10"/>
    </row>
    <row r="25" spans="1:8" x14ac:dyDescent="0.55000000000000004">
      <c r="A25" s="165">
        <v>19</v>
      </c>
      <c r="B25" s="110" t="s">
        <v>37</v>
      </c>
      <c r="C25" s="24"/>
      <c r="D25" s="317"/>
      <c r="E25" s="102"/>
      <c r="F25" s="102"/>
      <c r="G25" s="116">
        <f t="shared" si="1"/>
        <v>0</v>
      </c>
      <c r="H25" s="10"/>
    </row>
    <row r="26" spans="1:8" x14ac:dyDescent="0.55000000000000004">
      <c r="A26" s="165">
        <v>20</v>
      </c>
      <c r="B26" s="110" t="s">
        <v>37</v>
      </c>
      <c r="C26" s="65"/>
      <c r="D26" s="317"/>
      <c r="E26" s="102"/>
      <c r="F26" s="102"/>
      <c r="G26" s="116">
        <f t="shared" si="1"/>
        <v>0</v>
      </c>
      <c r="H26" s="10"/>
    </row>
    <row r="27" spans="1:8" x14ac:dyDescent="0.55000000000000004">
      <c r="A27" s="165">
        <v>21</v>
      </c>
      <c r="B27" s="110" t="s">
        <v>37</v>
      </c>
      <c r="C27" s="65"/>
      <c r="D27" s="317"/>
      <c r="E27" s="102"/>
      <c r="F27" s="102"/>
      <c r="G27" s="116">
        <f t="shared" si="1"/>
        <v>0</v>
      </c>
      <c r="H27" s="10"/>
    </row>
    <row r="28" spans="1:8" x14ac:dyDescent="0.55000000000000004">
      <c r="A28" s="165">
        <v>22</v>
      </c>
      <c r="B28" s="110" t="s">
        <v>37</v>
      </c>
      <c r="C28" s="65"/>
      <c r="D28" s="317"/>
      <c r="E28" s="102"/>
      <c r="F28" s="102"/>
      <c r="G28" s="116">
        <f t="shared" si="1"/>
        <v>0</v>
      </c>
      <c r="H28" s="13"/>
    </row>
    <row r="29" spans="1:8" x14ac:dyDescent="0.55000000000000004">
      <c r="A29" s="165">
        <v>23</v>
      </c>
      <c r="B29" s="110" t="s">
        <v>37</v>
      </c>
      <c r="C29" s="24"/>
      <c r="D29" s="317"/>
      <c r="E29" s="102"/>
      <c r="F29" s="102"/>
      <c r="G29" s="116">
        <f t="shared" si="1"/>
        <v>0</v>
      </c>
      <c r="H29" s="13"/>
    </row>
    <row r="30" spans="1:8" x14ac:dyDescent="0.55000000000000004">
      <c r="A30" s="165">
        <v>24</v>
      </c>
      <c r="B30" s="110" t="s">
        <v>37</v>
      </c>
      <c r="C30" s="24"/>
      <c r="D30" s="317"/>
      <c r="E30" s="102"/>
      <c r="F30" s="102"/>
      <c r="G30" s="116">
        <f t="shared" si="1"/>
        <v>0</v>
      </c>
      <c r="H30" s="13"/>
    </row>
    <row r="31" spans="1:8" s="53" customFormat="1" x14ac:dyDescent="0.55000000000000004">
      <c r="A31" s="165">
        <v>25</v>
      </c>
      <c r="B31" s="110" t="s">
        <v>37</v>
      </c>
      <c r="C31" s="24"/>
      <c r="D31" s="317"/>
      <c r="E31" s="102"/>
      <c r="F31" s="102"/>
      <c r="G31" s="116">
        <f t="shared" si="1"/>
        <v>0</v>
      </c>
      <c r="H31" s="13"/>
    </row>
    <row r="32" spans="1:8" s="53" customFormat="1" x14ac:dyDescent="0.55000000000000004">
      <c r="A32" s="165">
        <v>26</v>
      </c>
      <c r="B32" s="110" t="s">
        <v>37</v>
      </c>
      <c r="C32" s="24"/>
      <c r="D32" s="317"/>
      <c r="E32" s="102"/>
      <c r="F32" s="102"/>
      <c r="G32" s="116">
        <f t="shared" si="1"/>
        <v>0</v>
      </c>
      <c r="H32" s="13"/>
    </row>
    <row r="33" spans="1:8" s="53" customFormat="1" x14ac:dyDescent="0.55000000000000004">
      <c r="A33" s="165">
        <v>27</v>
      </c>
      <c r="B33" s="110" t="s">
        <v>37</v>
      </c>
      <c r="C33" s="24"/>
      <c r="D33" s="317"/>
      <c r="E33" s="102"/>
      <c r="F33" s="102"/>
      <c r="G33" s="116">
        <f t="shared" si="1"/>
        <v>0</v>
      </c>
      <c r="H33" s="13"/>
    </row>
    <row r="34" spans="1:8" s="53" customFormat="1" x14ac:dyDescent="0.55000000000000004">
      <c r="A34" s="165">
        <v>28</v>
      </c>
      <c r="B34" s="110" t="s">
        <v>37</v>
      </c>
      <c r="C34" s="24"/>
      <c r="D34" s="317"/>
      <c r="E34" s="102"/>
      <c r="F34" s="102"/>
      <c r="G34" s="116">
        <f t="shared" si="1"/>
        <v>0</v>
      </c>
      <c r="H34" s="13"/>
    </row>
    <row r="35" spans="1:8" x14ac:dyDescent="0.55000000000000004">
      <c r="A35" s="165">
        <v>29</v>
      </c>
      <c r="B35" s="110" t="s">
        <v>37</v>
      </c>
      <c r="C35" s="24"/>
      <c r="D35" s="317"/>
      <c r="E35" s="102"/>
      <c r="F35" s="102"/>
      <c r="G35" s="116">
        <f t="shared" si="1"/>
        <v>0</v>
      </c>
      <c r="H35" s="10"/>
    </row>
    <row r="36" spans="1:8" x14ac:dyDescent="0.55000000000000004">
      <c r="A36" s="165">
        <v>30</v>
      </c>
      <c r="B36" s="110" t="s">
        <v>37</v>
      </c>
      <c r="C36" s="24"/>
      <c r="D36" s="317"/>
      <c r="E36" s="102"/>
      <c r="F36" s="102"/>
      <c r="G36" s="116">
        <f t="shared" si="1"/>
        <v>0</v>
      </c>
      <c r="H36" s="10"/>
    </row>
    <row r="37" spans="1:8" x14ac:dyDescent="0.55000000000000004">
      <c r="A37" s="165">
        <v>31</v>
      </c>
      <c r="B37" s="110" t="s">
        <v>37</v>
      </c>
      <c r="C37" s="50"/>
      <c r="D37" s="315"/>
      <c r="E37" s="102"/>
      <c r="F37" s="102"/>
      <c r="G37" s="116">
        <f t="shared" si="1"/>
        <v>0</v>
      </c>
      <c r="H37" s="10"/>
    </row>
    <row r="38" spans="1:8" x14ac:dyDescent="0.55000000000000004">
      <c r="A38" s="165">
        <v>32</v>
      </c>
      <c r="B38" s="110" t="s">
        <v>37</v>
      </c>
      <c r="C38" s="50"/>
      <c r="D38" s="315"/>
      <c r="E38" s="102"/>
      <c r="F38" s="102"/>
      <c r="G38" s="116">
        <f t="shared" si="1"/>
        <v>0</v>
      </c>
      <c r="H38" s="10"/>
    </row>
    <row r="39" spans="1:8" x14ac:dyDescent="0.55000000000000004">
      <c r="A39" s="165">
        <v>33</v>
      </c>
      <c r="B39" s="110" t="s">
        <v>37</v>
      </c>
      <c r="C39" s="50"/>
      <c r="D39" s="315"/>
      <c r="E39" s="102"/>
      <c r="F39" s="102"/>
      <c r="G39" s="116">
        <f t="shared" si="1"/>
        <v>0</v>
      </c>
      <c r="H39" s="10"/>
    </row>
    <row r="40" spans="1:8" x14ac:dyDescent="0.55000000000000004">
      <c r="A40" s="165">
        <v>30</v>
      </c>
      <c r="B40" s="110" t="s">
        <v>37</v>
      </c>
      <c r="C40" s="29"/>
      <c r="D40" s="318"/>
      <c r="E40" s="102"/>
      <c r="F40" s="102"/>
      <c r="G40" s="116">
        <f t="shared" si="1"/>
        <v>0</v>
      </c>
      <c r="H40" s="10"/>
    </row>
    <row r="41" spans="1:8" ht="21.65" customHeight="1" x14ac:dyDescent="0.55000000000000004">
      <c r="A41" s="188"/>
      <c r="B41" s="72" t="s">
        <v>2</v>
      </c>
      <c r="C41" s="72"/>
      <c r="D41" s="319">
        <f>SUM(D12:D40)</f>
        <v>1360000000</v>
      </c>
      <c r="E41" s="104">
        <f>SUM(E12:E40)</f>
        <v>0</v>
      </c>
      <c r="F41" s="104">
        <f>SUM(F12:F40)</f>
        <v>1360000000</v>
      </c>
      <c r="G41" s="128">
        <f>D41+E41-F41</f>
        <v>0</v>
      </c>
      <c r="H41" s="17"/>
    </row>
    <row r="42" spans="1:8" ht="22.5" x14ac:dyDescent="0.7">
      <c r="A42" s="18"/>
      <c r="B42" s="19"/>
      <c r="C42" s="20"/>
      <c r="D42" s="219"/>
      <c r="E42" s="21"/>
      <c r="F42" s="21"/>
      <c r="G42" s="21"/>
      <c r="H42" s="19"/>
    </row>
    <row r="43" spans="1:8" ht="18.5" x14ac:dyDescent="0.55000000000000004">
      <c r="A43" s="419" t="s">
        <v>68</v>
      </c>
      <c r="B43" s="419"/>
      <c r="C43" s="419"/>
      <c r="D43" s="419"/>
      <c r="E43" s="419"/>
      <c r="F43" s="419"/>
      <c r="G43" s="419"/>
      <c r="H43" s="419"/>
    </row>
    <row r="44" spans="1:8" x14ac:dyDescent="0.55000000000000004">
      <c r="A44" s="53"/>
      <c r="E44" s="53"/>
      <c r="F44" s="53"/>
      <c r="G44" s="53"/>
      <c r="H44" s="53"/>
    </row>
    <row r="45" spans="1:8" x14ac:dyDescent="0.55000000000000004">
      <c r="A45" s="53"/>
      <c r="E45" s="53"/>
      <c r="F45" s="53"/>
      <c r="G45" s="53"/>
      <c r="H45" s="53"/>
    </row>
    <row r="46" spans="1:8" x14ac:dyDescent="0.55000000000000004">
      <c r="A46" s="53"/>
      <c r="E46" s="53"/>
      <c r="F46" s="53"/>
      <c r="G46" s="53"/>
      <c r="H46" s="53"/>
    </row>
    <row r="47" spans="1:8" x14ac:dyDescent="0.55000000000000004">
      <c r="A47" s="53"/>
      <c r="E47" s="53"/>
      <c r="F47" s="53"/>
      <c r="G47" s="53"/>
      <c r="H47" s="53"/>
    </row>
    <row r="48" spans="1:8" x14ac:dyDescent="0.55000000000000004">
      <c r="A48" s="53"/>
      <c r="E48" s="53"/>
      <c r="F48" s="53"/>
      <c r="G48" s="53"/>
      <c r="H48" s="53"/>
    </row>
    <row r="49" spans="1:8" x14ac:dyDescent="0.55000000000000004">
      <c r="A49" s="53"/>
      <c r="E49" s="53"/>
      <c r="F49" s="53"/>
      <c r="G49" s="53"/>
      <c r="H49" s="53"/>
    </row>
    <row r="50" spans="1:8" x14ac:dyDescent="0.55000000000000004">
      <c r="A50" s="53"/>
      <c r="E50" s="53"/>
      <c r="F50" s="53"/>
      <c r="G50" s="53"/>
      <c r="H50" s="53"/>
    </row>
    <row r="51" spans="1:8" x14ac:dyDescent="0.55000000000000004">
      <c r="A51" s="53"/>
      <c r="E51" s="53"/>
      <c r="F51" s="53"/>
      <c r="G51" s="53"/>
      <c r="H51" s="53"/>
    </row>
    <row r="52" spans="1:8" x14ac:dyDescent="0.55000000000000004">
      <c r="A52" s="53"/>
      <c r="E52" s="53"/>
      <c r="F52" s="53"/>
      <c r="G52" s="53"/>
      <c r="H52" s="53"/>
    </row>
    <row r="53" spans="1:8" ht="18.5" x14ac:dyDescent="0.6">
      <c r="A53" s="407" t="s">
        <v>67</v>
      </c>
      <c r="B53" s="407"/>
      <c r="C53" s="407"/>
      <c r="D53" s="407"/>
      <c r="E53" s="407"/>
      <c r="F53" s="407"/>
      <c r="G53" s="407"/>
      <c r="H53" s="407"/>
    </row>
  </sheetData>
  <mergeCells count="14">
    <mergeCell ref="A53:H53"/>
    <mergeCell ref="G10:G11"/>
    <mergeCell ref="H10:H11"/>
    <mergeCell ref="A43:H43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0.11666666666666667" right="0.15" top="0.46666666666666667" bottom="0.75" header="0.3" footer="0.3"/>
  <pageSetup scale="8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47"/>
  <sheetViews>
    <sheetView view="pageLayout" topLeftCell="A7" zoomScaleNormal="100" workbookViewId="0">
      <selection activeCell="H12" sqref="H12"/>
    </sheetView>
  </sheetViews>
  <sheetFormatPr defaultColWidth="9.1796875" defaultRowHeight="17" x14ac:dyDescent="0.55000000000000004"/>
  <cols>
    <col min="1" max="1" width="5.453125" style="53" customWidth="1"/>
    <col min="2" max="2" width="42.54296875" style="22" customWidth="1"/>
    <col min="3" max="3" width="16.1796875" style="22" hidden="1" customWidth="1"/>
    <col min="4" max="4" width="16.453125" style="53" hidden="1" customWidth="1"/>
    <col min="5" max="5" width="14.81640625" style="53" hidden="1" customWidth="1"/>
    <col min="6" max="7" width="16.453125" style="53" customWidth="1"/>
    <col min="8" max="8" width="18.453125" style="53" customWidth="1"/>
    <col min="9" max="9" width="15.1796875" style="53" customWidth="1"/>
    <col min="10" max="10" width="17.81640625" style="53" customWidth="1"/>
    <col min="11" max="16384" width="9.1796875" style="53"/>
  </cols>
  <sheetData>
    <row r="1" spans="1:11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  <c r="I1" s="405"/>
    </row>
    <row r="2" spans="1:11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  <c r="I2" s="405"/>
    </row>
    <row r="3" spans="1:11" ht="18.5" x14ac:dyDescent="0.55000000000000004">
      <c r="A3" s="325"/>
      <c r="B3" s="325"/>
      <c r="C3" s="325"/>
      <c r="D3" s="325"/>
      <c r="E3" s="325"/>
      <c r="F3" s="325"/>
      <c r="G3" s="325"/>
      <c r="H3" s="325"/>
      <c r="I3" s="325"/>
    </row>
    <row r="4" spans="1:11" ht="14.25" customHeight="1" x14ac:dyDescent="0.55000000000000004">
      <c r="A4" s="205" t="s">
        <v>72</v>
      </c>
      <c r="B4" s="205"/>
      <c r="C4" s="325"/>
      <c r="D4" s="325"/>
      <c r="E4" s="325"/>
      <c r="F4" s="325"/>
      <c r="G4" s="325"/>
      <c r="H4" s="325"/>
      <c r="I4" s="325"/>
    </row>
    <row r="5" spans="1:11" ht="14.25" customHeight="1" x14ac:dyDescent="0.55000000000000004">
      <c r="A5" s="205" t="s">
        <v>73</v>
      </c>
      <c r="B5" s="205"/>
      <c r="C5" s="325"/>
      <c r="D5" s="325"/>
      <c r="E5" s="325"/>
      <c r="F5" s="325"/>
      <c r="G5" s="325"/>
      <c r="H5" s="325"/>
      <c r="I5" s="325"/>
    </row>
    <row r="6" spans="1:11" ht="14.25" customHeight="1" x14ac:dyDescent="0.55000000000000004">
      <c r="A6" s="205" t="s">
        <v>74</v>
      </c>
      <c r="B6" s="205"/>
      <c r="C6" s="325"/>
      <c r="D6" s="325"/>
      <c r="E6" s="325"/>
      <c r="F6" s="325"/>
      <c r="G6" s="325"/>
      <c r="H6" s="325"/>
      <c r="I6" s="325"/>
    </row>
    <row r="7" spans="1:11" ht="14.25" customHeight="1" x14ac:dyDescent="0.55000000000000004">
      <c r="A7" s="206" t="s">
        <v>75</v>
      </c>
      <c r="B7" s="206"/>
      <c r="C7" s="325"/>
      <c r="D7" s="325"/>
      <c r="E7" s="325"/>
      <c r="F7" s="325"/>
      <c r="G7" s="325"/>
      <c r="H7" s="325"/>
      <c r="I7" s="325"/>
    </row>
    <row r="8" spans="1:11" ht="27.65" customHeight="1" x14ac:dyDescent="0.55000000000000004">
      <c r="A8" s="406" t="s">
        <v>331</v>
      </c>
      <c r="B8" s="406"/>
      <c r="C8" s="406"/>
      <c r="D8" s="406"/>
      <c r="E8" s="406"/>
      <c r="F8" s="406"/>
      <c r="G8" s="406"/>
      <c r="H8" s="406"/>
      <c r="I8" s="406"/>
      <c r="J8" s="2"/>
      <c r="K8" s="2"/>
    </row>
    <row r="9" spans="1:11" ht="23.25" customHeight="1" x14ac:dyDescent="0.55000000000000004">
      <c r="A9" s="406" t="s">
        <v>332</v>
      </c>
      <c r="B9" s="406"/>
      <c r="C9" s="406"/>
      <c r="D9" s="406"/>
      <c r="E9" s="406"/>
      <c r="F9" s="406"/>
      <c r="G9" s="406"/>
      <c r="H9" s="406"/>
      <c r="I9" s="406"/>
      <c r="J9" s="2"/>
      <c r="K9" s="2"/>
    </row>
    <row r="10" spans="1:11" ht="20.25" customHeight="1" x14ac:dyDescent="0.55000000000000004">
      <c r="A10" s="410" t="s">
        <v>0</v>
      </c>
      <c r="B10" s="410" t="s">
        <v>4</v>
      </c>
      <c r="C10" s="410" t="s">
        <v>10</v>
      </c>
      <c r="D10" s="412" t="s">
        <v>8</v>
      </c>
      <c r="E10" s="413" t="s">
        <v>9</v>
      </c>
      <c r="F10" s="408" t="s">
        <v>333</v>
      </c>
      <c r="G10" s="415" t="s">
        <v>329</v>
      </c>
      <c r="H10" s="415" t="s">
        <v>330</v>
      </c>
      <c r="I10" s="408" t="s">
        <v>1</v>
      </c>
    </row>
    <row r="11" spans="1:11" ht="25.4" customHeight="1" x14ac:dyDescent="0.55000000000000004">
      <c r="A11" s="411"/>
      <c r="B11" s="411"/>
      <c r="C11" s="411"/>
      <c r="D11" s="412"/>
      <c r="E11" s="414"/>
      <c r="F11" s="408"/>
      <c r="G11" s="416"/>
      <c r="H11" s="416"/>
      <c r="I11" s="408"/>
    </row>
    <row r="12" spans="1:11" ht="18.5" x14ac:dyDescent="0.55000000000000004">
      <c r="A12" s="106">
        <v>1</v>
      </c>
      <c r="B12" s="5" t="s">
        <v>21</v>
      </c>
      <c r="C12" s="94">
        <f>'ປະນອນ 101'!D42</f>
        <v>133091800</v>
      </c>
      <c r="D12" s="94">
        <f>'ປະນອນ 101'!E42</f>
        <v>0</v>
      </c>
      <c r="E12" s="94">
        <f>'ປະນອນ 101'!F42</f>
        <v>7131067</v>
      </c>
      <c r="F12" s="94">
        <f>C12+D12-E12</f>
        <v>125960733</v>
      </c>
      <c r="G12" s="94">
        <v>1000000000</v>
      </c>
      <c r="H12" s="94">
        <f>G12-F12</f>
        <v>874039267</v>
      </c>
      <c r="I12" s="6"/>
      <c r="J12" s="326"/>
    </row>
    <row r="13" spans="1:11" x14ac:dyDescent="0.55000000000000004">
      <c r="A13" s="100">
        <v>2</v>
      </c>
      <c r="B13" s="5" t="s">
        <v>317</v>
      </c>
      <c r="C13" s="97">
        <f>ຊ່ອງຕະອູ!D63</f>
        <v>1858641064</v>
      </c>
      <c r="D13" s="97">
        <f>ຊ່ອງຕະອູ!E63</f>
        <v>0</v>
      </c>
      <c r="E13" s="97">
        <f>ຊ່ອງຕະອູ!F63</f>
        <v>1482746279</v>
      </c>
      <c r="F13" s="309">
        <f t="shared" ref="F13:F34" si="0">C13+D13-E13</f>
        <v>375894785</v>
      </c>
      <c r="G13" s="309">
        <v>1000000000</v>
      </c>
      <c r="H13" s="94">
        <f>G13-F13</f>
        <v>624105215</v>
      </c>
      <c r="I13" s="7"/>
      <c r="J13" s="326"/>
    </row>
    <row r="14" spans="1:11" x14ac:dyDescent="0.55000000000000004">
      <c r="A14" s="106">
        <v>3</v>
      </c>
      <c r="B14" s="9" t="s">
        <v>22</v>
      </c>
      <c r="C14" s="97">
        <f>ທາງປູຢາງປະທຸມພອນ!D37</f>
        <v>30907000</v>
      </c>
      <c r="D14" s="97">
        <f>ທາງປູຢາງປະທຸມພອນ!E37</f>
        <v>2123441238</v>
      </c>
      <c r="E14" s="97">
        <f>ທາງປູຢາງປະທຸມພອນ!F37</f>
        <v>2000000000</v>
      </c>
      <c r="F14" s="94">
        <f t="shared" si="0"/>
        <v>154348238</v>
      </c>
      <c r="G14" s="94">
        <v>1500000000</v>
      </c>
      <c r="H14" s="94">
        <f>G14-F14</f>
        <v>1345651762</v>
      </c>
      <c r="I14" s="7"/>
      <c r="J14" s="326"/>
    </row>
    <row r="15" spans="1:11" x14ac:dyDescent="0.55000000000000004">
      <c r="A15" s="100">
        <v>4</v>
      </c>
      <c r="B15" s="9" t="s">
        <v>23</v>
      </c>
      <c r="C15" s="97">
        <f>'ສາງທ່າບົກ-ທ່າແຂກ'!D37</f>
        <v>173310000</v>
      </c>
      <c r="D15" s="97">
        <f>'ສາງທ່າບົກ-ທ່າແຂກ'!E37</f>
        <v>0</v>
      </c>
      <c r="E15" s="97">
        <f>'ສາງທ່າບົກ-ທ່າແຂກ'!F37+120000000</f>
        <v>124950000</v>
      </c>
      <c r="F15" s="94">
        <f t="shared" si="0"/>
        <v>48360000</v>
      </c>
      <c r="G15" s="94">
        <f>338000*8830</f>
        <v>2984540000</v>
      </c>
      <c r="H15" s="94">
        <f>G15-F15</f>
        <v>2936180000</v>
      </c>
      <c r="I15" s="54"/>
      <c r="J15" s="326"/>
    </row>
    <row r="16" spans="1:11" x14ac:dyDescent="0.55000000000000004">
      <c r="A16" s="106">
        <v>5</v>
      </c>
      <c r="B16" s="11" t="s">
        <v>24</v>
      </c>
      <c r="C16" s="97">
        <f>ສະໜາມບິນຫຼວງພະບາງ!D41</f>
        <v>990902578</v>
      </c>
      <c r="D16" s="97">
        <f>ສະໜາມບິນຫຼວງພະບາງ!E41</f>
        <v>0</v>
      </c>
      <c r="E16" s="97">
        <f>ສະໜາມບິນຫຼວງພະບາງ!F41</f>
        <v>9465383</v>
      </c>
      <c r="F16" s="94">
        <f t="shared" si="0"/>
        <v>981437195</v>
      </c>
      <c r="G16" s="94">
        <v>500000000</v>
      </c>
      <c r="H16" s="94"/>
      <c r="I16" s="54"/>
      <c r="J16" s="326"/>
    </row>
    <row r="17" spans="1:10" x14ac:dyDescent="0.55000000000000004">
      <c r="A17" s="100">
        <v>6</v>
      </c>
      <c r="B17" s="5" t="s">
        <v>25</v>
      </c>
      <c r="C17" s="98">
        <f>ທາງລົງພາວເວີ້ເຮົ້າອີມູນ!D68</f>
        <v>765454656</v>
      </c>
      <c r="D17" s="98">
        <f>ທາງລົງພາວເວີ້ເຮົ້າອີມູນ!E68</f>
        <v>2094515000</v>
      </c>
      <c r="E17" s="98">
        <f>ທາງລົງພາວເວີ້ເຮົ້າອີມູນ!F68</f>
        <v>1155500682</v>
      </c>
      <c r="F17" s="94">
        <f t="shared" si="0"/>
        <v>1704468974</v>
      </c>
      <c r="G17" s="94">
        <v>3000000000</v>
      </c>
      <c r="H17" s="94">
        <f t="shared" ref="H17:H26" si="1">G17-F17</f>
        <v>1295531026</v>
      </c>
      <c r="I17" s="54"/>
      <c r="J17" s="326"/>
    </row>
    <row r="18" spans="1:10" x14ac:dyDescent="0.55000000000000004">
      <c r="A18" s="106">
        <v>7</v>
      </c>
      <c r="B18" s="5" t="s">
        <v>141</v>
      </c>
      <c r="C18" s="98">
        <f>ວຽກປັບປຸງຕາຂ່າຍເຂື່ອນນ້ຳອີ່ມູນ!D66</f>
        <v>0</v>
      </c>
      <c r="D18" s="98">
        <f>ວຽກປັບປຸງຕາຂ່າຍເຂື່ອນນ້ຳອີ່ມູນ!E66</f>
        <v>944263040</v>
      </c>
      <c r="E18" s="98">
        <f>ວຽກປັບປຸງຕາຂ່າຍເຂື່ອນນ້ຳອີ່ມູນ!F66+100000000</f>
        <v>1044263040</v>
      </c>
      <c r="F18" s="244">
        <f t="shared" si="0"/>
        <v>-100000000</v>
      </c>
      <c r="G18" s="309">
        <v>400000000</v>
      </c>
      <c r="H18" s="94">
        <f t="shared" si="1"/>
        <v>500000000</v>
      </c>
      <c r="I18" s="54"/>
      <c r="J18" s="326"/>
    </row>
    <row r="19" spans="1:10" x14ac:dyDescent="0.55000000000000004">
      <c r="A19" s="100">
        <v>8</v>
      </c>
      <c r="B19" s="5" t="s">
        <v>26</v>
      </c>
      <c r="C19" s="98">
        <f>ແຄ້ມອີມູນ!D41</f>
        <v>520007480</v>
      </c>
      <c r="D19" s="98">
        <f>ແຄ້ມອີມູນ!E41</f>
        <v>1191953943</v>
      </c>
      <c r="E19" s="98">
        <f>ແຄ້ມອີມູນ!F41</f>
        <v>123201020</v>
      </c>
      <c r="F19" s="94">
        <f t="shared" si="0"/>
        <v>1588760403</v>
      </c>
      <c r="G19" s="94">
        <v>1588760403</v>
      </c>
      <c r="H19" s="94">
        <f t="shared" si="1"/>
        <v>0</v>
      </c>
      <c r="I19" s="54"/>
      <c r="J19" s="326"/>
    </row>
    <row r="20" spans="1:10" x14ac:dyDescent="0.55000000000000004">
      <c r="A20" s="106">
        <v>9</v>
      </c>
      <c r="B20" s="5" t="s">
        <v>335</v>
      </c>
      <c r="C20" s="98"/>
      <c r="D20" s="98"/>
      <c r="E20" s="98"/>
      <c r="F20" s="94"/>
      <c r="G20" s="94">
        <v>2874429066</v>
      </c>
      <c r="H20" s="94">
        <f t="shared" si="1"/>
        <v>2874429066</v>
      </c>
      <c r="I20" s="54"/>
      <c r="J20" s="326"/>
    </row>
    <row r="21" spans="1:10" x14ac:dyDescent="0.55000000000000004">
      <c r="A21" s="100">
        <v>10</v>
      </c>
      <c r="B21" s="5" t="s">
        <v>27</v>
      </c>
      <c r="C21" s="98">
        <f>ໂຮງຂົບຫີນ!D54</f>
        <v>764441321</v>
      </c>
      <c r="D21" s="98">
        <f>ໂຮງຂົບຫີນ!E54</f>
        <v>456593</v>
      </c>
      <c r="E21" s="98">
        <f>ໂຮງຂົບຫີນ!F54+61769126</f>
        <v>1211274195.7</v>
      </c>
      <c r="F21" s="244">
        <f t="shared" si="0"/>
        <v>-446376281.70000005</v>
      </c>
      <c r="G21" s="309">
        <f>300000*8830</f>
        <v>2649000000</v>
      </c>
      <c r="H21" s="94">
        <f t="shared" si="1"/>
        <v>3095376281.6999998</v>
      </c>
      <c r="I21" s="54"/>
      <c r="J21" s="326"/>
    </row>
    <row r="22" spans="1:10" x14ac:dyDescent="0.55000000000000004">
      <c r="A22" s="106">
        <v>11</v>
      </c>
      <c r="B22" s="11" t="s">
        <v>28</v>
      </c>
      <c r="C22" s="98">
        <f>ໂຮງແຮມພູສະເຫຼົ່າ!D51</f>
        <v>-43637802</v>
      </c>
      <c r="D22" s="98">
        <f>ໂຮງແຮມພູສະເຫຼົ່າ!E51</f>
        <v>0</v>
      </c>
      <c r="E22" s="98">
        <f>ໂຮງແຮມພູສະເຫຼົ່າ!F51</f>
        <v>785700867</v>
      </c>
      <c r="F22" s="244">
        <f t="shared" si="0"/>
        <v>-829338669</v>
      </c>
      <c r="G22" s="309">
        <f>300000*8830</f>
        <v>2649000000</v>
      </c>
      <c r="H22" s="94">
        <f t="shared" si="1"/>
        <v>3478338669</v>
      </c>
      <c r="I22" s="54"/>
      <c r="J22" s="326"/>
    </row>
    <row r="23" spans="1:10" x14ac:dyDescent="0.55000000000000004">
      <c r="A23" s="100">
        <v>12</v>
      </c>
      <c r="B23" s="5" t="s">
        <v>40</v>
      </c>
      <c r="C23" s="98">
        <f>'ບໍລິຫານ ສໍານັກງານໃຫຍ່'!D110</f>
        <v>649625915</v>
      </c>
      <c r="D23" s="98">
        <f>'ບໍລິຫານ ສໍານັກງານໃຫຍ່'!E110</f>
        <v>33326000</v>
      </c>
      <c r="E23" s="98">
        <f>'ບໍລິຫານ ສໍານັກງານໃຫຍ່'!F110</f>
        <v>564472692</v>
      </c>
      <c r="F23" s="309">
        <f t="shared" si="0"/>
        <v>118479223</v>
      </c>
      <c r="G23" s="309">
        <v>1300000000</v>
      </c>
      <c r="H23" s="94">
        <f t="shared" si="1"/>
        <v>1181520777</v>
      </c>
      <c r="I23" s="54"/>
      <c r="J23" s="326"/>
    </row>
    <row r="24" spans="1:10" x14ac:dyDescent="0.55000000000000004">
      <c r="A24" s="106">
        <v>13</v>
      </c>
      <c r="B24" s="5" t="s">
        <v>41</v>
      </c>
      <c r="C24" s="98">
        <f>ແຮບໍລິຫານຮັບແຂກ!D31</f>
        <v>24370708</v>
      </c>
      <c r="D24" s="98">
        <f>ແຮບໍລິຫານຮັບແຂກ!E31</f>
        <v>0</v>
      </c>
      <c r="E24" s="98">
        <f>ແຮບໍລິຫານຮັບແຂກ!F31</f>
        <v>3272321</v>
      </c>
      <c r="F24" s="309">
        <f t="shared" si="0"/>
        <v>21098387</v>
      </c>
      <c r="G24" s="309">
        <v>200000000</v>
      </c>
      <c r="H24" s="309">
        <f t="shared" si="1"/>
        <v>178901613</v>
      </c>
      <c r="I24" s="54"/>
      <c r="J24" s="326"/>
    </row>
    <row r="25" spans="1:10" x14ac:dyDescent="0.55000000000000004">
      <c r="A25" s="100">
        <v>14</v>
      </c>
      <c r="B25" s="5" t="s">
        <v>42</v>
      </c>
      <c r="C25" s="98">
        <f>'ສ້ອມແປງເຊນໍ້ານ້ອຍ 1,6'!D37</f>
        <v>-26260240</v>
      </c>
      <c r="D25" s="98">
        <f>'ສ້ອມແປງເຊນໍ້ານ້ອຍ 1,6'!E37</f>
        <v>0</v>
      </c>
      <c r="E25" s="98">
        <f>'ສ້ອມແປງເຊນໍ້ານ້ອຍ 1,6'!F37</f>
        <v>177623800</v>
      </c>
      <c r="F25" s="244">
        <f t="shared" si="0"/>
        <v>-203884040</v>
      </c>
      <c r="G25" s="309">
        <v>1000000000</v>
      </c>
      <c r="H25" s="309">
        <f t="shared" si="1"/>
        <v>1203884040</v>
      </c>
      <c r="I25" s="54"/>
      <c r="J25" s="326"/>
    </row>
    <row r="26" spans="1:10" x14ac:dyDescent="0.55000000000000004">
      <c r="A26" s="106">
        <v>15</v>
      </c>
      <c r="B26" s="9" t="s">
        <v>29</v>
      </c>
      <c r="C26" s="98">
        <f>ສ່ວນຕົວປະທານ!D41</f>
        <v>1360000000</v>
      </c>
      <c r="D26" s="98">
        <f>ສ່ວນຕົວປະທານ!E41</f>
        <v>0</v>
      </c>
      <c r="E26" s="98">
        <f>ສ່ວນຕົວປະທານ!F41</f>
        <v>1360000000</v>
      </c>
      <c r="F26" s="309">
        <f t="shared" si="0"/>
        <v>0</v>
      </c>
      <c r="G26" s="309">
        <v>500000000</v>
      </c>
      <c r="H26" s="309">
        <f t="shared" si="1"/>
        <v>500000000</v>
      </c>
      <c r="I26" s="105"/>
      <c r="J26" s="326"/>
    </row>
    <row r="27" spans="1:10" x14ac:dyDescent="0.55000000000000004">
      <c r="A27" s="100">
        <v>16</v>
      </c>
      <c r="B27" s="11" t="s">
        <v>32</v>
      </c>
      <c r="C27" s="98">
        <f>ສໍາຮອງແລ່ນເງິນພາກລັດ!D33</f>
        <v>300000000</v>
      </c>
      <c r="D27" s="98">
        <f>ສໍາຮອງແລ່ນເງິນພາກລັດ!E33</f>
        <v>0</v>
      </c>
      <c r="E27" s="98">
        <f>ສໍາຮອງແລ່ນເງິນພາກລັດ!F33</f>
        <v>0</v>
      </c>
      <c r="F27" s="94">
        <f t="shared" si="0"/>
        <v>300000000</v>
      </c>
      <c r="G27" s="309">
        <v>0</v>
      </c>
      <c r="H27" s="309">
        <v>0</v>
      </c>
      <c r="I27" s="105"/>
      <c r="J27" s="326"/>
    </row>
    <row r="28" spans="1:10" x14ac:dyDescent="0.55000000000000004">
      <c r="A28" s="106">
        <v>17</v>
      </c>
      <c r="B28" s="5" t="s">
        <v>34</v>
      </c>
      <c r="C28" s="98">
        <f>BOL!D32</f>
        <v>61800828</v>
      </c>
      <c r="D28" s="98">
        <f>BOL!E32</f>
        <v>0</v>
      </c>
      <c r="E28" s="98">
        <f>BOL!F32</f>
        <v>101737514</v>
      </c>
      <c r="F28" s="244">
        <f t="shared" si="0"/>
        <v>-39936686</v>
      </c>
      <c r="G28" s="244">
        <v>500000000</v>
      </c>
      <c r="H28" s="309">
        <f t="shared" ref="H28:H35" si="2">G28-F28</f>
        <v>539936686</v>
      </c>
      <c r="I28" s="105"/>
      <c r="J28" s="326"/>
    </row>
    <row r="29" spans="1:10" x14ac:dyDescent="0.55000000000000004">
      <c r="A29" s="100">
        <v>18</v>
      </c>
      <c r="B29" s="5" t="s">
        <v>336</v>
      </c>
      <c r="C29" s="98">
        <f>'ເຂື່ອນນ້ຳກົງ2+3'!D33</f>
        <v>62723500</v>
      </c>
      <c r="D29" s="98">
        <f>'ເຂື່ອນນ້ຳກົງ2+3'!E33</f>
        <v>0</v>
      </c>
      <c r="E29" s="98">
        <f>'ເຂື່ອນນ້ຳກົງ2+3'!F33</f>
        <v>62723500</v>
      </c>
      <c r="F29" s="244">
        <f t="shared" si="0"/>
        <v>0</v>
      </c>
      <c r="G29" s="309">
        <f>1347500+21990000</f>
        <v>23337500</v>
      </c>
      <c r="H29" s="309">
        <f t="shared" si="2"/>
        <v>23337500</v>
      </c>
      <c r="I29" s="105"/>
      <c r="J29" s="326"/>
    </row>
    <row r="30" spans="1:10" x14ac:dyDescent="0.55000000000000004">
      <c r="A30" s="106">
        <v>19</v>
      </c>
      <c r="B30" s="32" t="s">
        <v>44</v>
      </c>
      <c r="C30" s="232">
        <f>'ເຮືອນປະທານ ຫລັກ 10'!D32</f>
        <v>-288679480</v>
      </c>
      <c r="D30" s="98">
        <f>'ເຮືອນປະທານ ຫລັກ 10'!E32</f>
        <v>0</v>
      </c>
      <c r="E30" s="98">
        <f>'ເຮືອນປະທານ ຫລັກ 10'!F32</f>
        <v>1000018000</v>
      </c>
      <c r="F30" s="244">
        <f t="shared" si="0"/>
        <v>-1288697480</v>
      </c>
      <c r="G30" s="244">
        <v>2500000000</v>
      </c>
      <c r="H30" s="244">
        <f t="shared" si="2"/>
        <v>3788697480</v>
      </c>
      <c r="I30" s="105"/>
      <c r="J30" s="326"/>
    </row>
    <row r="31" spans="1:10" x14ac:dyDescent="0.55000000000000004">
      <c r="A31" s="100">
        <v>20</v>
      </c>
      <c r="B31" s="5" t="s">
        <v>307</v>
      </c>
      <c r="C31" s="232"/>
      <c r="D31" s="98"/>
      <c r="E31" s="94">
        <f>5400000*284.5</f>
        <v>1536300000</v>
      </c>
      <c r="F31" s="244">
        <f t="shared" si="0"/>
        <v>-1536300000</v>
      </c>
      <c r="G31" s="244">
        <v>1000000000</v>
      </c>
      <c r="H31" s="244">
        <f t="shared" si="2"/>
        <v>2536300000</v>
      </c>
      <c r="I31" s="105"/>
      <c r="J31" s="326"/>
    </row>
    <row r="32" spans="1:10" x14ac:dyDescent="0.55000000000000004">
      <c r="A32" s="106">
        <v>21</v>
      </c>
      <c r="B32" s="32" t="s">
        <v>43</v>
      </c>
      <c r="C32" s="232">
        <f>'ຊີເອັສຊີ VTE'!D62</f>
        <v>6559205569</v>
      </c>
      <c r="D32" s="98">
        <f>'ຊີເອັສຊີ VTE'!E62</f>
        <v>0</v>
      </c>
      <c r="E32" s="98">
        <f>'ຊີເອັສຊີ VTE'!F62</f>
        <v>6394308465</v>
      </c>
      <c r="F32" s="309">
        <f t="shared" si="0"/>
        <v>164897104</v>
      </c>
      <c r="G32" s="309">
        <v>1500000000</v>
      </c>
      <c r="H32" s="309">
        <f t="shared" si="2"/>
        <v>1335102896</v>
      </c>
      <c r="I32" s="105"/>
      <c r="J32" s="326"/>
    </row>
    <row r="33" spans="1:10" x14ac:dyDescent="0.55000000000000004">
      <c r="A33" s="100">
        <v>22</v>
      </c>
      <c r="B33" s="32" t="s">
        <v>48</v>
      </c>
      <c r="C33" s="99">
        <f>ກະລ່າ!D32</f>
        <v>159931573</v>
      </c>
      <c r="D33" s="98">
        <f>ກະລ່າ!E32</f>
        <v>0</v>
      </c>
      <c r="E33" s="98">
        <f>ກະລ່າ!F32</f>
        <v>159931573</v>
      </c>
      <c r="F33" s="244">
        <f t="shared" si="0"/>
        <v>0</v>
      </c>
      <c r="G33" s="244">
        <v>500000000</v>
      </c>
      <c r="H33" s="244">
        <f t="shared" si="2"/>
        <v>500000000</v>
      </c>
      <c r="I33" s="105"/>
      <c r="J33" s="326"/>
    </row>
    <row r="34" spans="1:10" x14ac:dyDescent="0.55000000000000004">
      <c r="A34" s="106">
        <v>23</v>
      </c>
      <c r="B34" s="32" t="s">
        <v>86</v>
      </c>
      <c r="C34" s="99">
        <f>ວຽກສາຍສົ່ງປາກຫົງສາ!D32</f>
        <v>0</v>
      </c>
      <c r="D34" s="98">
        <f>ວຽກສາຍສົ່ງປາກຫົງສາ!E32</f>
        <v>1208109012</v>
      </c>
      <c r="E34" s="97">
        <f>ວຽກສາຍສົ່ງປາກຫົງສາ!F32</f>
        <v>1208109012</v>
      </c>
      <c r="F34" s="244">
        <f t="shared" si="0"/>
        <v>0</v>
      </c>
      <c r="G34" s="244">
        <v>0</v>
      </c>
      <c r="H34" s="244">
        <f t="shared" si="2"/>
        <v>0</v>
      </c>
      <c r="I34" s="105"/>
      <c r="J34" s="326"/>
    </row>
    <row r="35" spans="1:10" x14ac:dyDescent="0.55000000000000004">
      <c r="A35" s="100">
        <v>24</v>
      </c>
      <c r="B35" s="55" t="s">
        <v>322</v>
      </c>
      <c r="C35" s="308">
        <f>ດອກເບ້ຍທະນາຄານ!D32</f>
        <v>0</v>
      </c>
      <c r="D35" s="98">
        <f>ດອກເບ້ຍທະນາຄານ!E32</f>
        <v>4853409000</v>
      </c>
      <c r="E35" s="98">
        <f>ດອກເບ້ຍທະນາຄານ!F32</f>
        <v>4064667383</v>
      </c>
      <c r="F35" s="309">
        <f>C35+D35-E35</f>
        <v>788741617</v>
      </c>
      <c r="G35" s="309">
        <f>27000000000*0.125</f>
        <v>3375000000</v>
      </c>
      <c r="H35" s="309">
        <f t="shared" si="2"/>
        <v>2586258383</v>
      </c>
      <c r="I35" s="105"/>
      <c r="J35" s="326"/>
    </row>
    <row r="36" spans="1:10" ht="21.65" customHeight="1" x14ac:dyDescent="0.55000000000000004">
      <c r="A36" s="16"/>
      <c r="B36" s="17"/>
      <c r="C36" s="103">
        <f t="shared" ref="C36:H36" si="3">SUM(C12:C35)</f>
        <v>14055836470</v>
      </c>
      <c r="D36" s="104">
        <f t="shared" si="3"/>
        <v>12449473826</v>
      </c>
      <c r="E36" s="104">
        <f t="shared" si="3"/>
        <v>24577396793.700001</v>
      </c>
      <c r="F36" s="104">
        <f t="shared" si="3"/>
        <v>1927913502.3000002</v>
      </c>
      <c r="G36" s="104">
        <f t="shared" si="3"/>
        <v>32544066969</v>
      </c>
      <c r="H36" s="104">
        <f t="shared" si="3"/>
        <v>31397590661.700001</v>
      </c>
      <c r="I36" s="17"/>
      <c r="J36" s="326"/>
    </row>
    <row r="37" spans="1:10" ht="22.5" x14ac:dyDescent="0.7">
      <c r="A37" s="18"/>
      <c r="B37" s="20"/>
      <c r="C37" s="20"/>
      <c r="D37" s="21"/>
      <c r="E37" s="21"/>
      <c r="F37" s="21"/>
      <c r="G37" s="21"/>
      <c r="H37" s="21"/>
      <c r="I37" s="19"/>
    </row>
    <row r="38" spans="1:10" ht="18.5" x14ac:dyDescent="0.55000000000000004">
      <c r="A38" s="409" t="s">
        <v>334</v>
      </c>
      <c r="B38" s="409"/>
      <c r="C38" s="409"/>
      <c r="D38" s="409"/>
      <c r="E38" s="409"/>
      <c r="F38" s="409"/>
      <c r="G38" s="409"/>
      <c r="H38" s="409"/>
      <c r="I38" s="409"/>
    </row>
    <row r="40" spans="1:10" x14ac:dyDescent="0.55000000000000004">
      <c r="D40" s="52"/>
      <c r="E40" s="52"/>
      <c r="F40" s="52"/>
      <c r="G40" s="52"/>
      <c r="H40" s="52"/>
    </row>
    <row r="41" spans="1:10" x14ac:dyDescent="0.55000000000000004">
      <c r="D41" s="52"/>
      <c r="E41" s="52"/>
      <c r="J41" s="52"/>
    </row>
    <row r="42" spans="1:10" x14ac:dyDescent="0.55000000000000004">
      <c r="D42" s="52"/>
      <c r="E42" s="52"/>
      <c r="J42" s="274"/>
    </row>
    <row r="43" spans="1:10" x14ac:dyDescent="0.55000000000000004">
      <c r="D43" s="52"/>
      <c r="E43" s="52"/>
      <c r="J43" s="274"/>
    </row>
    <row r="44" spans="1:10" x14ac:dyDescent="0.55000000000000004">
      <c r="D44" s="52"/>
      <c r="E44" s="52"/>
      <c r="J44" s="276"/>
    </row>
    <row r="45" spans="1:10" x14ac:dyDescent="0.55000000000000004">
      <c r="D45" s="52"/>
      <c r="J45" s="52"/>
    </row>
    <row r="47" spans="1:10" ht="18.5" x14ac:dyDescent="0.6">
      <c r="A47" s="407" t="s">
        <v>66</v>
      </c>
      <c r="B47" s="407"/>
      <c r="C47" s="407"/>
      <c r="D47" s="407"/>
      <c r="E47" s="407"/>
      <c r="F47" s="407"/>
      <c r="G47" s="407"/>
      <c r="H47" s="407"/>
      <c r="I47" s="407"/>
    </row>
  </sheetData>
  <mergeCells count="15">
    <mergeCell ref="A38:I38"/>
    <mergeCell ref="A47:I47"/>
    <mergeCell ref="G10:G11"/>
    <mergeCell ref="H10:H11"/>
    <mergeCell ref="A1:I1"/>
    <mergeCell ref="A2:I2"/>
    <mergeCell ref="A8:I8"/>
    <mergeCell ref="A9:I9"/>
    <mergeCell ref="A10:A11"/>
    <mergeCell ref="B10:B11"/>
    <mergeCell ref="C10:C11"/>
    <mergeCell ref="D10:D11"/>
    <mergeCell ref="E10:E11"/>
    <mergeCell ref="F10:F11"/>
    <mergeCell ref="I10:I11"/>
  </mergeCells>
  <pageMargins left="0.19" right="0.12" top="0.12968750000000001" bottom="0.38906249999999998" header="0.3" footer="0.3"/>
  <pageSetup scale="8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J45"/>
  <sheetViews>
    <sheetView view="pageLayout" topLeftCell="A4" zoomScaleNormal="100" workbookViewId="0">
      <selection activeCell="F40" sqref="F40"/>
    </sheetView>
  </sheetViews>
  <sheetFormatPr defaultColWidth="8.1796875" defaultRowHeight="17" x14ac:dyDescent="0.55000000000000004"/>
  <cols>
    <col min="1" max="1" width="5" style="23" customWidth="1"/>
    <col min="2" max="2" width="11.453125" style="22" customWidth="1"/>
    <col min="3" max="3" width="35.453125" style="22" customWidth="1"/>
    <col min="4" max="4" width="16.1796875" style="22" customWidth="1"/>
    <col min="5" max="5" width="14.453125" style="23" customWidth="1"/>
    <col min="6" max="6" width="14.54296875" style="23" customWidth="1"/>
    <col min="7" max="7" width="15" style="23" customWidth="1"/>
    <col min="8" max="8" width="8.453125" style="23" customWidth="1"/>
    <col min="9" max="9" width="24.54296875" style="23" customWidth="1"/>
    <col min="10" max="16384" width="8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5.7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5.7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5.7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5.7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s="53" customFormat="1" ht="18.5" x14ac:dyDescent="0.55000000000000004">
      <c r="A8" s="203"/>
      <c r="B8" s="203"/>
      <c r="C8" s="203"/>
      <c r="D8" s="203"/>
      <c r="E8" s="203"/>
      <c r="F8" s="203"/>
      <c r="G8" s="203"/>
      <c r="H8" s="203"/>
    </row>
    <row r="9" spans="1:10" ht="27.65" customHeight="1" x14ac:dyDescent="0.55000000000000004">
      <c r="A9" s="418" t="s">
        <v>31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30.65" customHeight="1" x14ac:dyDescent="0.55000000000000004">
      <c r="A10" s="418" t="s">
        <v>53</v>
      </c>
      <c r="B10" s="418"/>
      <c r="C10" s="418"/>
      <c r="D10" s="418"/>
      <c r="E10" s="418"/>
      <c r="F10" s="418"/>
      <c r="G10" s="418"/>
      <c r="H10" s="418"/>
      <c r="I10" s="2"/>
      <c r="J10" s="2"/>
    </row>
    <row r="11" spans="1:10" ht="20.25" customHeight="1" x14ac:dyDescent="0.55000000000000004">
      <c r="A11" s="410" t="s">
        <v>0</v>
      </c>
      <c r="B11" s="410" t="s">
        <v>3</v>
      </c>
      <c r="C11" s="410" t="s">
        <v>4</v>
      </c>
      <c r="D11" s="410" t="s">
        <v>10</v>
      </c>
      <c r="E11" s="412" t="s">
        <v>8</v>
      </c>
      <c r="F11" s="413" t="s">
        <v>9</v>
      </c>
      <c r="G11" s="408" t="s">
        <v>7</v>
      </c>
      <c r="H11" s="408" t="s">
        <v>1</v>
      </c>
    </row>
    <row r="12" spans="1:10" ht="20.25" customHeight="1" x14ac:dyDescent="0.55000000000000004">
      <c r="A12" s="411"/>
      <c r="B12" s="411"/>
      <c r="C12" s="411"/>
      <c r="D12" s="411"/>
      <c r="E12" s="412"/>
      <c r="F12" s="414"/>
      <c r="G12" s="408"/>
      <c r="H12" s="408"/>
    </row>
    <row r="13" spans="1:10" ht="18.5" x14ac:dyDescent="0.55000000000000004">
      <c r="A13" s="107">
        <v>1</v>
      </c>
      <c r="B13" s="107" t="s">
        <v>51</v>
      </c>
      <c r="C13" s="60" t="s">
        <v>10</v>
      </c>
      <c r="D13" s="113">
        <v>300000000</v>
      </c>
      <c r="E13" s="113"/>
      <c r="F13" s="113">
        <v>0</v>
      </c>
      <c r="G13" s="113">
        <f>D13</f>
        <v>300000000</v>
      </c>
      <c r="H13" s="4"/>
    </row>
    <row r="14" spans="1:10" ht="18.5" x14ac:dyDescent="0.55000000000000004">
      <c r="A14" s="108">
        <v>2</v>
      </c>
      <c r="B14" s="108" t="s">
        <v>37</v>
      </c>
      <c r="C14" s="30"/>
      <c r="D14" s="115"/>
      <c r="E14" s="116"/>
      <c r="F14" s="116"/>
      <c r="G14" s="116">
        <f>G13+E14-F14</f>
        <v>300000000</v>
      </c>
      <c r="H14" s="6"/>
    </row>
    <row r="15" spans="1:10" x14ac:dyDescent="0.55000000000000004">
      <c r="A15" s="109">
        <v>3</v>
      </c>
      <c r="B15" s="108" t="s">
        <v>37</v>
      </c>
      <c r="C15" s="24"/>
      <c r="D15" s="115"/>
      <c r="E15" s="118"/>
      <c r="F15" s="118"/>
      <c r="G15" s="116">
        <f>G14+E15-F15</f>
        <v>300000000</v>
      </c>
      <c r="H15" s="7"/>
      <c r="I15" s="8"/>
    </row>
    <row r="16" spans="1:10" x14ac:dyDescent="0.55000000000000004">
      <c r="A16" s="108">
        <v>4</v>
      </c>
      <c r="B16" s="108" t="s">
        <v>37</v>
      </c>
      <c r="C16" s="24"/>
      <c r="D16" s="115"/>
      <c r="E16" s="118"/>
      <c r="F16" s="118"/>
      <c r="G16" s="116">
        <f t="shared" ref="G16:G32" si="0">G15+E16-F16</f>
        <v>300000000</v>
      </c>
      <c r="H16" s="7"/>
      <c r="I16" s="8"/>
    </row>
    <row r="17" spans="1:8" x14ac:dyDescent="0.55000000000000004">
      <c r="A17" s="109">
        <v>5</v>
      </c>
      <c r="B17" s="108" t="s">
        <v>37</v>
      </c>
      <c r="C17" s="25"/>
      <c r="D17" s="119"/>
      <c r="E17" s="118"/>
      <c r="F17" s="118"/>
      <c r="G17" s="116">
        <f t="shared" si="0"/>
        <v>300000000</v>
      </c>
      <c r="H17" s="10"/>
    </row>
    <row r="18" spans="1:8" x14ac:dyDescent="0.55000000000000004">
      <c r="A18" s="108">
        <v>6</v>
      </c>
      <c r="B18" s="108" t="s">
        <v>37</v>
      </c>
      <c r="C18" s="25"/>
      <c r="D18" s="119"/>
      <c r="E18" s="118"/>
      <c r="F18" s="118"/>
      <c r="G18" s="116">
        <f t="shared" si="0"/>
        <v>300000000</v>
      </c>
      <c r="H18" s="10"/>
    </row>
    <row r="19" spans="1:8" x14ac:dyDescent="0.55000000000000004">
      <c r="A19" s="109">
        <v>7</v>
      </c>
      <c r="B19" s="108" t="s">
        <v>37</v>
      </c>
      <c r="C19" s="24"/>
      <c r="D19" s="122"/>
      <c r="E19" s="102"/>
      <c r="F19" s="102"/>
      <c r="G19" s="116">
        <f t="shared" si="0"/>
        <v>300000000</v>
      </c>
      <c r="H19" s="10"/>
    </row>
    <row r="20" spans="1:8" x14ac:dyDescent="0.55000000000000004">
      <c r="A20" s="108">
        <v>8</v>
      </c>
      <c r="B20" s="108" t="s">
        <v>37</v>
      </c>
      <c r="C20" s="24"/>
      <c r="D20" s="122"/>
      <c r="E20" s="102"/>
      <c r="F20" s="102"/>
      <c r="G20" s="116">
        <f t="shared" si="0"/>
        <v>300000000</v>
      </c>
      <c r="H20" s="10"/>
    </row>
    <row r="21" spans="1:8" x14ac:dyDescent="0.55000000000000004">
      <c r="A21" s="109">
        <v>9</v>
      </c>
      <c r="B21" s="108" t="s">
        <v>37</v>
      </c>
      <c r="C21" s="25"/>
      <c r="D21" s="148"/>
      <c r="E21" s="102"/>
      <c r="F21" s="102"/>
      <c r="G21" s="116">
        <f t="shared" si="0"/>
        <v>300000000</v>
      </c>
      <c r="H21" s="10"/>
    </row>
    <row r="22" spans="1:8" x14ac:dyDescent="0.55000000000000004">
      <c r="A22" s="108">
        <v>10</v>
      </c>
      <c r="B22" s="108" t="s">
        <v>37</v>
      </c>
      <c r="C22" s="65"/>
      <c r="D22" s="123"/>
      <c r="E22" s="102"/>
      <c r="F22" s="102"/>
      <c r="G22" s="116">
        <f t="shared" si="0"/>
        <v>300000000</v>
      </c>
      <c r="H22" s="10"/>
    </row>
    <row r="23" spans="1:8" x14ac:dyDescent="0.55000000000000004">
      <c r="A23" s="109">
        <v>11</v>
      </c>
      <c r="B23" s="108" t="s">
        <v>37</v>
      </c>
      <c r="C23" s="24"/>
      <c r="D23" s="122"/>
      <c r="E23" s="102"/>
      <c r="F23" s="102"/>
      <c r="G23" s="116">
        <f t="shared" si="0"/>
        <v>300000000</v>
      </c>
      <c r="H23" s="10"/>
    </row>
    <row r="24" spans="1:8" x14ac:dyDescent="0.55000000000000004">
      <c r="A24" s="108">
        <v>12</v>
      </c>
      <c r="B24" s="108" t="s">
        <v>37</v>
      </c>
      <c r="C24" s="24"/>
      <c r="D24" s="122"/>
      <c r="E24" s="102"/>
      <c r="F24" s="102"/>
      <c r="G24" s="116">
        <f t="shared" si="0"/>
        <v>300000000</v>
      </c>
      <c r="H24" s="10"/>
    </row>
    <row r="25" spans="1:8" x14ac:dyDescent="0.55000000000000004">
      <c r="A25" s="109">
        <v>13</v>
      </c>
      <c r="B25" s="108" t="s">
        <v>37</v>
      </c>
      <c r="C25" s="24"/>
      <c r="D25" s="122"/>
      <c r="E25" s="102"/>
      <c r="F25" s="102"/>
      <c r="G25" s="116">
        <f t="shared" si="0"/>
        <v>300000000</v>
      </c>
      <c r="H25" s="10"/>
    </row>
    <row r="26" spans="1:8" x14ac:dyDescent="0.55000000000000004">
      <c r="A26" s="108">
        <v>14</v>
      </c>
      <c r="B26" s="108" t="s">
        <v>37</v>
      </c>
      <c r="C26" s="29"/>
      <c r="D26" s="119"/>
      <c r="E26" s="102"/>
      <c r="F26" s="102"/>
      <c r="G26" s="116">
        <f t="shared" si="0"/>
        <v>300000000</v>
      </c>
      <c r="H26" s="10"/>
    </row>
    <row r="27" spans="1:8" x14ac:dyDescent="0.55000000000000004">
      <c r="A27" s="109">
        <v>15</v>
      </c>
      <c r="B27" s="108" t="s">
        <v>37</v>
      </c>
      <c r="C27" s="29"/>
      <c r="D27" s="119"/>
      <c r="E27" s="102"/>
      <c r="F27" s="102"/>
      <c r="G27" s="116">
        <f t="shared" si="0"/>
        <v>300000000</v>
      </c>
      <c r="H27" s="10"/>
    </row>
    <row r="28" spans="1:8" x14ac:dyDescent="0.55000000000000004">
      <c r="A28" s="108">
        <v>16</v>
      </c>
      <c r="B28" s="108" t="s">
        <v>37</v>
      </c>
      <c r="C28" s="24"/>
      <c r="D28" s="122"/>
      <c r="E28" s="102"/>
      <c r="F28" s="102"/>
      <c r="G28" s="116">
        <f t="shared" si="0"/>
        <v>300000000</v>
      </c>
      <c r="H28" s="10"/>
    </row>
    <row r="29" spans="1:8" x14ac:dyDescent="0.55000000000000004">
      <c r="A29" s="109">
        <v>17</v>
      </c>
      <c r="B29" s="108" t="s">
        <v>37</v>
      </c>
      <c r="C29" s="24"/>
      <c r="D29" s="122"/>
      <c r="E29" s="102"/>
      <c r="F29" s="102"/>
      <c r="G29" s="116">
        <f t="shared" si="0"/>
        <v>300000000</v>
      </c>
      <c r="H29" s="13"/>
    </row>
    <row r="30" spans="1:8" x14ac:dyDescent="0.55000000000000004">
      <c r="A30" s="108">
        <v>18</v>
      </c>
      <c r="B30" s="108" t="s">
        <v>37</v>
      </c>
      <c r="C30" s="24"/>
      <c r="D30" s="122"/>
      <c r="E30" s="102"/>
      <c r="F30" s="102"/>
      <c r="G30" s="116">
        <f t="shared" si="0"/>
        <v>300000000</v>
      </c>
      <c r="H30" s="13"/>
    </row>
    <row r="31" spans="1:8" x14ac:dyDescent="0.55000000000000004">
      <c r="A31" s="109">
        <v>19</v>
      </c>
      <c r="B31" s="108" t="s">
        <v>37</v>
      </c>
      <c r="C31" s="24"/>
      <c r="D31" s="122"/>
      <c r="E31" s="102"/>
      <c r="F31" s="102"/>
      <c r="G31" s="116">
        <f t="shared" si="0"/>
        <v>300000000</v>
      </c>
      <c r="H31" s="10"/>
    </row>
    <row r="32" spans="1:8" x14ac:dyDescent="0.55000000000000004">
      <c r="A32" s="108">
        <v>20</v>
      </c>
      <c r="B32" s="108" t="s">
        <v>37</v>
      </c>
      <c r="C32" s="24"/>
      <c r="D32" s="122"/>
      <c r="E32" s="102"/>
      <c r="F32" s="102"/>
      <c r="G32" s="116">
        <f t="shared" si="0"/>
        <v>300000000</v>
      </c>
      <c r="H32" s="10"/>
    </row>
    <row r="33" spans="1:8" ht="21.65" customHeight="1" x14ac:dyDescent="0.55000000000000004">
      <c r="A33" s="16"/>
      <c r="B33" s="17" t="s">
        <v>2</v>
      </c>
      <c r="C33" s="17"/>
      <c r="D33" s="127">
        <f>SUM(D13:D32)</f>
        <v>300000000</v>
      </c>
      <c r="E33" s="128">
        <f>SUM(E13:E32)</f>
        <v>0</v>
      </c>
      <c r="F33" s="128">
        <f>SUM(F13:F32)</f>
        <v>0</v>
      </c>
      <c r="G33" s="128">
        <f>D33+E33-F33</f>
        <v>300000000</v>
      </c>
      <c r="H33" s="17"/>
    </row>
    <row r="34" spans="1:8" ht="22.5" x14ac:dyDescent="0.7">
      <c r="A34" s="18"/>
      <c r="B34" s="19"/>
      <c r="C34" s="20"/>
      <c r="D34" s="20"/>
      <c r="E34" s="21"/>
      <c r="F34" s="21"/>
      <c r="G34" s="21"/>
      <c r="H34" s="19"/>
    </row>
    <row r="35" spans="1:8" ht="18.5" x14ac:dyDescent="0.55000000000000004">
      <c r="A35" s="419" t="s">
        <v>68</v>
      </c>
      <c r="B35" s="419"/>
      <c r="C35" s="419"/>
      <c r="D35" s="419"/>
      <c r="E35" s="419"/>
      <c r="F35" s="419"/>
      <c r="G35" s="419"/>
      <c r="H35" s="419"/>
    </row>
    <row r="36" spans="1:8" x14ac:dyDescent="0.55000000000000004">
      <c r="A36" s="53"/>
      <c r="E36" s="53"/>
      <c r="F36" s="53"/>
      <c r="G36" s="53"/>
      <c r="H36" s="53"/>
    </row>
    <row r="37" spans="1:8" x14ac:dyDescent="0.55000000000000004">
      <c r="A37" s="53"/>
      <c r="E37" s="53"/>
      <c r="F37" s="53"/>
      <c r="G37" s="53"/>
      <c r="H37" s="53"/>
    </row>
    <row r="38" spans="1:8" x14ac:dyDescent="0.55000000000000004">
      <c r="A38" s="53"/>
      <c r="E38" s="53"/>
      <c r="F38" s="53"/>
      <c r="G38" s="53"/>
      <c r="H38" s="53"/>
    </row>
    <row r="39" spans="1:8" x14ac:dyDescent="0.55000000000000004">
      <c r="A39" s="53"/>
      <c r="E39" s="53"/>
      <c r="F39" s="53"/>
      <c r="G39" s="53"/>
      <c r="H39" s="53"/>
    </row>
    <row r="40" spans="1:8" x14ac:dyDescent="0.55000000000000004">
      <c r="A40" s="53"/>
      <c r="E40" s="53"/>
      <c r="F40" s="53"/>
      <c r="G40" s="53"/>
      <c r="H40" s="53"/>
    </row>
    <row r="41" spans="1:8" x14ac:dyDescent="0.55000000000000004">
      <c r="A41" s="53"/>
      <c r="E41" s="53"/>
      <c r="F41" s="53"/>
      <c r="G41" s="53"/>
      <c r="H41" s="53"/>
    </row>
    <row r="42" spans="1:8" x14ac:dyDescent="0.55000000000000004">
      <c r="A42" s="53"/>
      <c r="E42" s="53"/>
      <c r="F42" s="53"/>
      <c r="G42" s="53"/>
      <c r="H42" s="53"/>
    </row>
    <row r="43" spans="1:8" x14ac:dyDescent="0.55000000000000004">
      <c r="A43" s="53"/>
      <c r="E43" s="53"/>
      <c r="F43" s="53"/>
      <c r="G43" s="53"/>
      <c r="H43" s="53"/>
    </row>
    <row r="44" spans="1:8" x14ac:dyDescent="0.55000000000000004">
      <c r="A44" s="53"/>
      <c r="E44" s="53"/>
      <c r="F44" s="53"/>
      <c r="G44" s="53"/>
      <c r="H44" s="53"/>
    </row>
    <row r="45" spans="1:8" ht="18.5" x14ac:dyDescent="0.6">
      <c r="A45" s="407" t="s">
        <v>67</v>
      </c>
      <c r="B45" s="407"/>
      <c r="C45" s="407"/>
      <c r="D45" s="407"/>
      <c r="E45" s="407"/>
      <c r="F45" s="407"/>
      <c r="G45" s="407"/>
      <c r="H45" s="407"/>
    </row>
  </sheetData>
  <mergeCells count="14">
    <mergeCell ref="A45:H45"/>
    <mergeCell ref="G11:G12"/>
    <mergeCell ref="H11:H12"/>
    <mergeCell ref="A35:H35"/>
    <mergeCell ref="A1:H1"/>
    <mergeCell ref="A2:H2"/>
    <mergeCell ref="A9:H9"/>
    <mergeCell ref="A10:H10"/>
    <mergeCell ref="A11:A12"/>
    <mergeCell ref="B11:B12"/>
    <mergeCell ref="C11:C12"/>
    <mergeCell ref="E11:E12"/>
    <mergeCell ref="F11:F12"/>
    <mergeCell ref="D11:D12"/>
  </mergeCells>
  <pageMargins left="5.3124999999999999E-2" right="0.17" top="0.75" bottom="0.75" header="0.3" footer="0.3"/>
  <pageSetup paperSize="9" scale="8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J44"/>
  <sheetViews>
    <sheetView view="pageLayout" topLeftCell="A4" zoomScaleNormal="100" workbookViewId="0">
      <selection activeCell="C21" sqref="C21"/>
    </sheetView>
  </sheetViews>
  <sheetFormatPr defaultColWidth="8.1796875" defaultRowHeight="17" x14ac:dyDescent="0.55000000000000004"/>
  <cols>
    <col min="1" max="1" width="5.453125" style="23" customWidth="1"/>
    <col min="2" max="2" width="11.453125" style="22" customWidth="1"/>
    <col min="3" max="3" width="36.453125" style="22" customWidth="1"/>
    <col min="4" max="4" width="15.453125" style="22" customWidth="1"/>
    <col min="5" max="5" width="14.453125" style="23" customWidth="1"/>
    <col min="6" max="6" width="13.453125" style="23" customWidth="1"/>
    <col min="7" max="7" width="14.81640625" style="23" customWidth="1"/>
    <col min="8" max="8" width="7.54296875" style="23" customWidth="1"/>
    <col min="9" max="9" width="24.54296875" style="23" customWidth="1"/>
    <col min="10" max="16384" width="8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6.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6.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6.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6.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33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5.5" customHeight="1" x14ac:dyDescent="0.55000000000000004">
      <c r="A9" s="418" t="s">
        <v>55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11"/>
      <c r="E11" s="412"/>
      <c r="F11" s="414"/>
      <c r="G11" s="408"/>
      <c r="H11" s="408"/>
    </row>
    <row r="12" spans="1:10" ht="18.5" x14ac:dyDescent="0.55000000000000004">
      <c r="A12" s="129">
        <v>1</v>
      </c>
      <c r="B12" s="164" t="s">
        <v>51</v>
      </c>
      <c r="C12" s="56" t="s">
        <v>10</v>
      </c>
      <c r="D12" s="144">
        <v>61800828</v>
      </c>
      <c r="E12" s="144"/>
      <c r="F12" s="145">
        <v>0</v>
      </c>
      <c r="G12" s="138">
        <f>D12</f>
        <v>61800828</v>
      </c>
      <c r="H12" s="4"/>
    </row>
    <row r="13" spans="1:10" ht="18.5" x14ac:dyDescent="0.55000000000000004">
      <c r="A13" s="106">
        <v>2</v>
      </c>
      <c r="B13" s="165" t="s">
        <v>164</v>
      </c>
      <c r="C13" s="85" t="s">
        <v>284</v>
      </c>
      <c r="D13" s="250"/>
      <c r="E13" s="296"/>
      <c r="F13" s="250">
        <v>3570000</v>
      </c>
      <c r="G13" s="116">
        <f>G12+E13-F13</f>
        <v>58230828</v>
      </c>
      <c r="H13" s="6"/>
    </row>
    <row r="14" spans="1:10" x14ac:dyDescent="0.55000000000000004">
      <c r="A14" s="100">
        <v>3</v>
      </c>
      <c r="B14" s="165" t="s">
        <v>37</v>
      </c>
      <c r="C14" s="85" t="s">
        <v>285</v>
      </c>
      <c r="D14" s="250"/>
      <c r="E14" s="296"/>
      <c r="F14" s="250">
        <v>3570000</v>
      </c>
      <c r="G14" s="116">
        <f t="shared" ref="G14:G31" si="0">G13+E14-F14</f>
        <v>54660828</v>
      </c>
      <c r="H14" s="7"/>
      <c r="I14" s="8"/>
    </row>
    <row r="15" spans="1:10" x14ac:dyDescent="0.55000000000000004">
      <c r="A15" s="106">
        <v>4</v>
      </c>
      <c r="B15" s="165" t="s">
        <v>37</v>
      </c>
      <c r="C15" s="85" t="s">
        <v>286</v>
      </c>
      <c r="D15" s="250"/>
      <c r="E15" s="297"/>
      <c r="F15" s="250">
        <v>3570000</v>
      </c>
      <c r="G15" s="116">
        <f t="shared" si="0"/>
        <v>51090828</v>
      </c>
      <c r="H15" s="7"/>
      <c r="I15" s="8"/>
    </row>
    <row r="16" spans="1:10" x14ac:dyDescent="0.55000000000000004">
      <c r="A16" s="100">
        <v>5</v>
      </c>
      <c r="B16" s="165" t="s">
        <v>37</v>
      </c>
      <c r="C16" s="85" t="s">
        <v>287</v>
      </c>
      <c r="D16" s="250"/>
      <c r="E16" s="297"/>
      <c r="F16" s="250">
        <v>3570000</v>
      </c>
      <c r="G16" s="116">
        <f t="shared" si="0"/>
        <v>47520828</v>
      </c>
      <c r="H16" s="10"/>
    </row>
    <row r="17" spans="1:8" x14ac:dyDescent="0.55000000000000004">
      <c r="A17" s="106">
        <v>6</v>
      </c>
      <c r="B17" s="165" t="s">
        <v>37</v>
      </c>
      <c r="C17" s="85" t="s">
        <v>288</v>
      </c>
      <c r="D17" s="250"/>
      <c r="E17" s="297"/>
      <c r="F17" s="250">
        <v>3677800</v>
      </c>
      <c r="G17" s="116">
        <f t="shared" si="0"/>
        <v>43843028</v>
      </c>
      <c r="H17" s="10"/>
    </row>
    <row r="18" spans="1:8" x14ac:dyDescent="0.55000000000000004">
      <c r="A18" s="100">
        <v>7</v>
      </c>
      <c r="B18" s="165" t="s">
        <v>37</v>
      </c>
      <c r="C18" s="85" t="s">
        <v>289</v>
      </c>
      <c r="D18" s="250"/>
      <c r="E18" s="297"/>
      <c r="F18" s="250">
        <v>1200800</v>
      </c>
      <c r="G18" s="116">
        <f t="shared" si="0"/>
        <v>42642228</v>
      </c>
      <c r="H18" s="10"/>
    </row>
    <row r="19" spans="1:8" x14ac:dyDescent="0.55000000000000004">
      <c r="A19" s="106">
        <v>8</v>
      </c>
      <c r="B19" s="165" t="s">
        <v>37</v>
      </c>
      <c r="C19" s="85" t="s">
        <v>290</v>
      </c>
      <c r="D19" s="250"/>
      <c r="E19" s="297"/>
      <c r="F19" s="250">
        <v>2621223</v>
      </c>
      <c r="G19" s="116">
        <f t="shared" si="0"/>
        <v>40021005</v>
      </c>
      <c r="H19" s="10"/>
    </row>
    <row r="20" spans="1:8" x14ac:dyDescent="0.55000000000000004">
      <c r="A20" s="100">
        <v>9</v>
      </c>
      <c r="B20" s="165" t="s">
        <v>37</v>
      </c>
      <c r="C20" s="85" t="s">
        <v>291</v>
      </c>
      <c r="D20" s="250"/>
      <c r="E20" s="297"/>
      <c r="F20" s="250">
        <v>1050000</v>
      </c>
      <c r="G20" s="116">
        <f t="shared" si="0"/>
        <v>38971005</v>
      </c>
      <c r="H20" s="10"/>
    </row>
    <row r="21" spans="1:8" x14ac:dyDescent="0.55000000000000004">
      <c r="A21" s="106">
        <v>10</v>
      </c>
      <c r="B21" s="165" t="s">
        <v>37</v>
      </c>
      <c r="C21" s="85" t="s">
        <v>292</v>
      </c>
      <c r="D21" s="250"/>
      <c r="E21" s="297"/>
      <c r="F21" s="250">
        <v>500000</v>
      </c>
      <c r="G21" s="116">
        <f t="shared" si="0"/>
        <v>38471005</v>
      </c>
      <c r="H21" s="10"/>
    </row>
    <row r="22" spans="1:8" x14ac:dyDescent="0.55000000000000004">
      <c r="A22" s="100">
        <v>11</v>
      </c>
      <c r="B22" s="165" t="s">
        <v>37</v>
      </c>
      <c r="C22" s="85" t="s">
        <v>293</v>
      </c>
      <c r="D22" s="250"/>
      <c r="E22" s="297"/>
      <c r="F22" s="250">
        <v>13000000</v>
      </c>
      <c r="G22" s="116">
        <f t="shared" si="0"/>
        <v>25471005</v>
      </c>
      <c r="H22" s="10"/>
    </row>
    <row r="23" spans="1:8" x14ac:dyDescent="0.55000000000000004">
      <c r="A23" s="106">
        <v>12</v>
      </c>
      <c r="B23" s="165" t="s">
        <v>37</v>
      </c>
      <c r="C23" s="85" t="s">
        <v>294</v>
      </c>
      <c r="D23" s="250"/>
      <c r="E23" s="297"/>
      <c r="F23" s="250">
        <v>25741024</v>
      </c>
      <c r="G23" s="116">
        <f t="shared" si="0"/>
        <v>-270019</v>
      </c>
      <c r="H23" s="10"/>
    </row>
    <row r="24" spans="1:8" x14ac:dyDescent="0.55000000000000004">
      <c r="A24" s="100">
        <v>13</v>
      </c>
      <c r="B24" s="165"/>
      <c r="C24" s="85" t="s">
        <v>295</v>
      </c>
      <c r="D24" s="250"/>
      <c r="E24" s="297"/>
      <c r="F24" s="250">
        <v>39666667</v>
      </c>
      <c r="G24" s="116">
        <f t="shared" si="0"/>
        <v>-39936686</v>
      </c>
      <c r="H24" s="10"/>
    </row>
    <row r="25" spans="1:8" x14ac:dyDescent="0.55000000000000004">
      <c r="A25" s="106">
        <v>14</v>
      </c>
      <c r="B25" s="165" t="s">
        <v>37</v>
      </c>
      <c r="C25" s="12"/>
      <c r="D25" s="101"/>
      <c r="E25" s="97"/>
      <c r="F25" s="97"/>
      <c r="G25" s="116">
        <f t="shared" si="0"/>
        <v>-39936686</v>
      </c>
      <c r="H25" s="10"/>
    </row>
    <row r="26" spans="1:8" x14ac:dyDescent="0.55000000000000004">
      <c r="A26" s="100">
        <v>15</v>
      </c>
      <c r="B26" s="165" t="s">
        <v>37</v>
      </c>
      <c r="C26" s="9"/>
      <c r="D26" s="163"/>
      <c r="E26" s="98"/>
      <c r="F26" s="98"/>
      <c r="G26" s="116">
        <f t="shared" si="0"/>
        <v>-39936686</v>
      </c>
      <c r="H26" s="10"/>
    </row>
    <row r="27" spans="1:8" x14ac:dyDescent="0.55000000000000004">
      <c r="A27" s="106">
        <v>16</v>
      </c>
      <c r="B27" s="165" t="s">
        <v>37</v>
      </c>
      <c r="C27" s="5"/>
      <c r="D27" s="124"/>
      <c r="E27" s="98"/>
      <c r="F27" s="98"/>
      <c r="G27" s="116">
        <f t="shared" si="0"/>
        <v>-39936686</v>
      </c>
      <c r="H27" s="13"/>
    </row>
    <row r="28" spans="1:8" x14ac:dyDescent="0.55000000000000004">
      <c r="A28" s="100">
        <v>17</v>
      </c>
      <c r="B28" s="165" t="s">
        <v>37</v>
      </c>
      <c r="C28" s="5"/>
      <c r="D28" s="124"/>
      <c r="E28" s="98"/>
      <c r="F28" s="98"/>
      <c r="G28" s="116">
        <f t="shared" si="0"/>
        <v>-39936686</v>
      </c>
      <c r="H28" s="13"/>
    </row>
    <row r="29" spans="1:8" x14ac:dyDescent="0.55000000000000004">
      <c r="A29" s="106">
        <v>18</v>
      </c>
      <c r="B29" s="165" t="s">
        <v>37</v>
      </c>
      <c r="C29" s="5"/>
      <c r="D29" s="124"/>
      <c r="E29" s="98"/>
      <c r="F29" s="98"/>
      <c r="G29" s="116">
        <f t="shared" si="0"/>
        <v>-39936686</v>
      </c>
      <c r="H29" s="13"/>
    </row>
    <row r="30" spans="1:8" x14ac:dyDescent="0.55000000000000004">
      <c r="A30" s="100">
        <v>19</v>
      </c>
      <c r="B30" s="165" t="s">
        <v>37</v>
      </c>
      <c r="C30" s="9"/>
      <c r="D30" s="163"/>
      <c r="E30" s="98"/>
      <c r="F30" s="98"/>
      <c r="G30" s="116">
        <f t="shared" si="0"/>
        <v>-39936686</v>
      </c>
      <c r="H30" s="10"/>
    </row>
    <row r="31" spans="1:8" x14ac:dyDescent="0.55000000000000004">
      <c r="A31" s="106">
        <v>20</v>
      </c>
      <c r="B31" s="165" t="s">
        <v>37</v>
      </c>
      <c r="C31" s="9"/>
      <c r="D31" s="163"/>
      <c r="E31" s="98"/>
      <c r="F31" s="98"/>
      <c r="G31" s="116">
        <f t="shared" si="0"/>
        <v>-39936686</v>
      </c>
      <c r="H31" s="10"/>
    </row>
    <row r="32" spans="1:8" ht="21.65" customHeight="1" x14ac:dyDescent="0.55000000000000004">
      <c r="A32" s="16"/>
      <c r="B32" s="17" t="s">
        <v>2</v>
      </c>
      <c r="C32" s="17"/>
      <c r="D32" s="142">
        <f>SUM(D12:D31)</f>
        <v>61800828</v>
      </c>
      <c r="E32" s="128">
        <f>SUM(E12:E31)</f>
        <v>0</v>
      </c>
      <c r="F32" s="128">
        <f>SUM(F12:F31)</f>
        <v>101737514</v>
      </c>
      <c r="G32" s="128">
        <f>D32+E32-F32</f>
        <v>-39936686</v>
      </c>
      <c r="H32" s="170"/>
    </row>
    <row r="33" spans="1:8" ht="22.5" x14ac:dyDescent="0.7">
      <c r="A33" s="18"/>
      <c r="B33" s="19"/>
      <c r="C33" s="20"/>
      <c r="D33" s="20"/>
      <c r="E33" s="21"/>
      <c r="F33" s="21"/>
      <c r="G33" s="21"/>
      <c r="H33" s="19"/>
    </row>
    <row r="34" spans="1:8" ht="21" customHeight="1" x14ac:dyDescent="0.55000000000000004">
      <c r="A34" s="419" t="s">
        <v>68</v>
      </c>
      <c r="B34" s="419"/>
      <c r="C34" s="419"/>
      <c r="D34" s="419"/>
      <c r="E34" s="419"/>
      <c r="F34" s="419"/>
      <c r="G34" s="419"/>
      <c r="H34" s="419"/>
    </row>
    <row r="35" spans="1:8" x14ac:dyDescent="0.55000000000000004">
      <c r="A35" s="53"/>
      <c r="E35" s="53"/>
      <c r="F35" s="53"/>
      <c r="G35" s="53"/>
      <c r="H35" s="53"/>
    </row>
    <row r="36" spans="1:8" x14ac:dyDescent="0.55000000000000004">
      <c r="A36" s="53"/>
      <c r="E36" s="53"/>
      <c r="F36" s="53"/>
      <c r="G36" s="53"/>
      <c r="H36" s="53"/>
    </row>
    <row r="37" spans="1:8" x14ac:dyDescent="0.55000000000000004">
      <c r="A37" s="53"/>
      <c r="E37" s="53"/>
      <c r="F37" s="53"/>
      <c r="G37" s="53"/>
      <c r="H37" s="53"/>
    </row>
    <row r="38" spans="1:8" x14ac:dyDescent="0.55000000000000004">
      <c r="A38" s="53"/>
      <c r="E38" s="53"/>
      <c r="F38" s="53"/>
      <c r="G38" s="53"/>
      <c r="H38" s="53"/>
    </row>
    <row r="39" spans="1:8" x14ac:dyDescent="0.55000000000000004">
      <c r="A39" s="53"/>
      <c r="E39" s="53"/>
      <c r="F39" s="53"/>
      <c r="G39" s="53"/>
      <c r="H39" s="53"/>
    </row>
    <row r="40" spans="1:8" x14ac:dyDescent="0.55000000000000004">
      <c r="A40" s="53"/>
      <c r="E40" s="53"/>
      <c r="F40" s="53"/>
      <c r="G40" s="53"/>
      <c r="H40" s="53"/>
    </row>
    <row r="41" spans="1:8" x14ac:dyDescent="0.55000000000000004">
      <c r="A41" s="53"/>
      <c r="E41" s="53"/>
      <c r="F41" s="53"/>
      <c r="G41" s="53"/>
      <c r="H41" s="53"/>
    </row>
    <row r="42" spans="1:8" x14ac:dyDescent="0.55000000000000004">
      <c r="A42" s="53"/>
      <c r="E42" s="53"/>
      <c r="F42" s="53"/>
      <c r="G42" s="53"/>
      <c r="H42" s="53"/>
    </row>
    <row r="43" spans="1:8" x14ac:dyDescent="0.55000000000000004">
      <c r="A43" s="53"/>
      <c r="E43" s="53"/>
      <c r="F43" s="53"/>
      <c r="G43" s="53"/>
      <c r="H43" s="53"/>
    </row>
    <row r="44" spans="1:8" ht="18.5" x14ac:dyDescent="0.6">
      <c r="A44" s="407" t="s">
        <v>67</v>
      </c>
      <c r="B44" s="407"/>
      <c r="C44" s="407"/>
      <c r="D44" s="407"/>
      <c r="E44" s="407"/>
      <c r="F44" s="407"/>
      <c r="G44" s="407"/>
      <c r="H44" s="407"/>
    </row>
  </sheetData>
  <mergeCells count="14">
    <mergeCell ref="A44:H44"/>
    <mergeCell ref="G10:G11"/>
    <mergeCell ref="H10:H11"/>
    <mergeCell ref="A34:H34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0.10625" right="0.17" top="0.75" bottom="0.75" header="0.3" footer="0.3"/>
  <pageSetup paperSize="9" scale="8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J44"/>
  <sheetViews>
    <sheetView view="pageLayout" topLeftCell="A25" zoomScaleNormal="100" workbookViewId="0">
      <selection activeCell="G14" sqref="G14"/>
    </sheetView>
  </sheetViews>
  <sheetFormatPr defaultColWidth="9.1796875" defaultRowHeight="17" x14ac:dyDescent="0.55000000000000004"/>
  <cols>
    <col min="1" max="1" width="4.1796875" style="23" customWidth="1"/>
    <col min="2" max="2" width="9.81640625" style="22" customWidth="1"/>
    <col min="3" max="3" width="44.1796875" style="22" customWidth="1"/>
    <col min="4" max="4" width="13.54296875" style="220" customWidth="1"/>
    <col min="5" max="7" width="13.54296875" style="23" customWidth="1"/>
    <col min="8" max="8" width="6.453125" style="23" customWidth="1"/>
    <col min="9" max="9" width="24.54296875" style="23" customWidth="1"/>
    <col min="10" max="16384" width="9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10"/>
      <c r="E3" s="203"/>
      <c r="F3" s="203"/>
      <c r="G3" s="203"/>
      <c r="H3" s="203"/>
    </row>
    <row r="4" spans="1:10" s="53" customFormat="1" ht="14.25" customHeight="1" x14ac:dyDescent="0.55000000000000004">
      <c r="A4" s="205" t="s">
        <v>72</v>
      </c>
      <c r="B4" s="205"/>
      <c r="C4" s="203"/>
      <c r="D4" s="210"/>
      <c r="E4" s="203"/>
      <c r="F4" s="203"/>
      <c r="G4" s="203"/>
      <c r="H4" s="203"/>
    </row>
    <row r="5" spans="1:10" s="53" customFormat="1" ht="14.25" customHeight="1" x14ac:dyDescent="0.55000000000000004">
      <c r="A5" s="205" t="s">
        <v>73</v>
      </c>
      <c r="B5" s="205"/>
      <c r="C5" s="203"/>
      <c r="D5" s="210"/>
      <c r="E5" s="203"/>
      <c r="F5" s="203"/>
      <c r="G5" s="203"/>
      <c r="H5" s="203"/>
    </row>
    <row r="6" spans="1:10" s="53" customFormat="1" ht="14.25" customHeight="1" x14ac:dyDescent="0.55000000000000004">
      <c r="A6" s="205" t="s">
        <v>74</v>
      </c>
      <c r="B6" s="205"/>
      <c r="C6" s="203"/>
      <c r="D6" s="210"/>
      <c r="E6" s="203"/>
      <c r="F6" s="203"/>
      <c r="G6" s="203"/>
      <c r="H6" s="203"/>
    </row>
    <row r="7" spans="1:10" s="53" customFormat="1" ht="14.25" customHeight="1" x14ac:dyDescent="0.55000000000000004">
      <c r="A7" s="206" t="s">
        <v>75</v>
      </c>
      <c r="B7" s="206"/>
      <c r="C7" s="203"/>
      <c r="D7" s="210"/>
      <c r="E7" s="203"/>
      <c r="F7" s="203"/>
      <c r="G7" s="203"/>
      <c r="H7" s="203"/>
    </row>
    <row r="8" spans="1:10" ht="27.65" customHeight="1" x14ac:dyDescent="0.55000000000000004">
      <c r="A8" s="418" t="s">
        <v>49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5.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26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27"/>
      <c r="E11" s="412"/>
      <c r="F11" s="414"/>
      <c r="G11" s="408"/>
      <c r="H11" s="408"/>
    </row>
    <row r="12" spans="1:10" ht="18.5" x14ac:dyDescent="0.55000000000000004">
      <c r="A12" s="107">
        <v>1</v>
      </c>
      <c r="B12" s="107" t="s">
        <v>51</v>
      </c>
      <c r="C12" s="3" t="s">
        <v>327</v>
      </c>
      <c r="D12" s="312">
        <v>159931573</v>
      </c>
      <c r="E12" s="138"/>
      <c r="F12" s="139">
        <v>0</v>
      </c>
      <c r="G12" s="138">
        <f>D12</f>
        <v>159931573</v>
      </c>
      <c r="H12" s="4"/>
    </row>
    <row r="13" spans="1:10" ht="18.5" x14ac:dyDescent="0.55000000000000004">
      <c r="A13" s="108">
        <v>2</v>
      </c>
      <c r="B13" s="108" t="s">
        <v>145</v>
      </c>
      <c r="C13" s="12" t="s">
        <v>150</v>
      </c>
      <c r="D13" s="215"/>
      <c r="E13" s="94"/>
      <c r="F13" s="140">
        <v>159931573</v>
      </c>
      <c r="G13" s="116">
        <f>G12+E13-F13</f>
        <v>0</v>
      </c>
      <c r="H13" s="6"/>
    </row>
    <row r="14" spans="1:10" x14ac:dyDescent="0.55000000000000004">
      <c r="A14" s="109">
        <v>3</v>
      </c>
      <c r="B14" s="110" t="s">
        <v>37</v>
      </c>
      <c r="C14" s="12"/>
      <c r="D14" s="215"/>
      <c r="E14" s="97"/>
      <c r="F14" s="97"/>
      <c r="G14" s="94">
        <f>G13+E14-F14</f>
        <v>0</v>
      </c>
      <c r="H14" s="7"/>
      <c r="I14" s="8"/>
    </row>
    <row r="15" spans="1:10" x14ac:dyDescent="0.55000000000000004">
      <c r="A15" s="108">
        <v>4</v>
      </c>
      <c r="B15" s="110" t="s">
        <v>37</v>
      </c>
      <c r="C15" s="12"/>
      <c r="D15" s="215"/>
      <c r="E15" s="97"/>
      <c r="F15" s="97"/>
      <c r="G15" s="94">
        <f>G14+E15-F15</f>
        <v>0</v>
      </c>
      <c r="H15" s="7"/>
      <c r="I15" s="8"/>
    </row>
    <row r="16" spans="1:10" x14ac:dyDescent="0.55000000000000004">
      <c r="A16" s="109">
        <v>5</v>
      </c>
      <c r="B16" s="110" t="s">
        <v>37</v>
      </c>
      <c r="C16" s="12"/>
      <c r="D16" s="215"/>
      <c r="E16" s="97"/>
      <c r="F16" s="97"/>
      <c r="G16" s="94">
        <f>G15+E16-F16</f>
        <v>0</v>
      </c>
      <c r="H16" s="10"/>
    </row>
    <row r="17" spans="1:8" x14ac:dyDescent="0.55000000000000004">
      <c r="A17" s="108">
        <v>6</v>
      </c>
      <c r="B17" s="110" t="s">
        <v>37</v>
      </c>
      <c r="C17" s="12"/>
      <c r="D17" s="215"/>
      <c r="E17" s="97"/>
      <c r="F17" s="97"/>
      <c r="G17" s="94">
        <f t="shared" ref="G17:G18" si="0">G16+E17-F17</f>
        <v>0</v>
      </c>
      <c r="H17" s="10"/>
    </row>
    <row r="18" spans="1:8" x14ac:dyDescent="0.55000000000000004">
      <c r="A18" s="109">
        <v>7</v>
      </c>
      <c r="B18" s="110" t="s">
        <v>37</v>
      </c>
      <c r="C18" s="5"/>
      <c r="D18" s="217"/>
      <c r="E18" s="98"/>
      <c r="F18" s="98"/>
      <c r="G18" s="94">
        <f t="shared" si="0"/>
        <v>0</v>
      </c>
      <c r="H18" s="10"/>
    </row>
    <row r="19" spans="1:8" x14ac:dyDescent="0.55000000000000004">
      <c r="A19" s="108">
        <v>8</v>
      </c>
      <c r="B19" s="110" t="s">
        <v>37</v>
      </c>
      <c r="C19" s="5"/>
      <c r="D19" s="217"/>
      <c r="E19" s="98"/>
      <c r="F19" s="98"/>
      <c r="G19" s="94"/>
      <c r="H19" s="10"/>
    </row>
    <row r="20" spans="1:8" x14ac:dyDescent="0.55000000000000004">
      <c r="A20" s="109">
        <v>9</v>
      </c>
      <c r="B20" s="110" t="s">
        <v>37</v>
      </c>
      <c r="C20" s="5"/>
      <c r="D20" s="217"/>
      <c r="E20" s="98"/>
      <c r="F20" s="98"/>
      <c r="G20" s="94"/>
      <c r="H20" s="10"/>
    </row>
    <row r="21" spans="1:8" x14ac:dyDescent="0.55000000000000004">
      <c r="A21" s="108">
        <v>10</v>
      </c>
      <c r="B21" s="110" t="s">
        <v>37</v>
      </c>
      <c r="C21" s="11"/>
      <c r="D21" s="217"/>
      <c r="E21" s="98"/>
      <c r="F21" s="98"/>
      <c r="G21" s="94"/>
      <c r="H21" s="10"/>
    </row>
    <row r="22" spans="1:8" x14ac:dyDescent="0.55000000000000004">
      <c r="A22" s="109">
        <v>11</v>
      </c>
      <c r="B22" s="110" t="s">
        <v>37</v>
      </c>
      <c r="C22" s="5"/>
      <c r="D22" s="217"/>
      <c r="E22" s="98"/>
      <c r="F22" s="98"/>
      <c r="G22" s="94"/>
      <c r="H22" s="10"/>
    </row>
    <row r="23" spans="1:8" x14ac:dyDescent="0.55000000000000004">
      <c r="A23" s="108">
        <v>12</v>
      </c>
      <c r="B23" s="110" t="s">
        <v>37</v>
      </c>
      <c r="C23" s="5"/>
      <c r="D23" s="217"/>
      <c r="E23" s="98"/>
      <c r="F23" s="98"/>
      <c r="G23" s="94"/>
      <c r="H23" s="10"/>
    </row>
    <row r="24" spans="1:8" x14ac:dyDescent="0.55000000000000004">
      <c r="A24" s="109">
        <v>13</v>
      </c>
      <c r="B24" s="110" t="s">
        <v>37</v>
      </c>
      <c r="C24" s="5"/>
      <c r="D24" s="217"/>
      <c r="E24" s="98"/>
      <c r="F24" s="98"/>
      <c r="G24" s="94"/>
      <c r="H24" s="10"/>
    </row>
    <row r="25" spans="1:8" x14ac:dyDescent="0.55000000000000004">
      <c r="A25" s="108">
        <v>14</v>
      </c>
      <c r="B25" s="110" t="s">
        <v>37</v>
      </c>
      <c r="C25" s="12"/>
      <c r="D25" s="215"/>
      <c r="E25" s="98"/>
      <c r="F25" s="98"/>
      <c r="G25" s="94"/>
      <c r="H25" s="10"/>
    </row>
    <row r="26" spans="1:8" x14ac:dyDescent="0.55000000000000004">
      <c r="A26" s="109">
        <v>15</v>
      </c>
      <c r="B26" s="110" t="s">
        <v>37</v>
      </c>
      <c r="C26" s="12"/>
      <c r="D26" s="215"/>
      <c r="E26" s="98"/>
      <c r="F26" s="98"/>
      <c r="G26" s="94"/>
      <c r="H26" s="10"/>
    </row>
    <row r="27" spans="1:8" x14ac:dyDescent="0.55000000000000004">
      <c r="A27" s="108">
        <v>16</v>
      </c>
      <c r="B27" s="110" t="s">
        <v>37</v>
      </c>
      <c r="C27" s="5"/>
      <c r="D27" s="217"/>
      <c r="E27" s="98"/>
      <c r="F27" s="98"/>
      <c r="G27" s="94"/>
      <c r="H27" s="10"/>
    </row>
    <row r="28" spans="1:8" x14ac:dyDescent="0.55000000000000004">
      <c r="A28" s="109">
        <v>17</v>
      </c>
      <c r="B28" s="110" t="s">
        <v>37</v>
      </c>
      <c r="C28" s="5"/>
      <c r="D28" s="217"/>
      <c r="E28" s="98"/>
      <c r="F28" s="98"/>
      <c r="G28" s="94"/>
      <c r="H28" s="10"/>
    </row>
    <row r="29" spans="1:8" x14ac:dyDescent="0.55000000000000004">
      <c r="A29" s="108">
        <v>18</v>
      </c>
      <c r="B29" s="110" t="s">
        <v>37</v>
      </c>
      <c r="C29" s="5"/>
      <c r="D29" s="217"/>
      <c r="E29" s="98"/>
      <c r="F29" s="98"/>
      <c r="G29" s="94"/>
      <c r="H29" s="10"/>
    </row>
    <row r="30" spans="1:8" x14ac:dyDescent="0.55000000000000004">
      <c r="A30" s="109">
        <v>19</v>
      </c>
      <c r="B30" s="110" t="s">
        <v>37</v>
      </c>
      <c r="C30" s="12"/>
      <c r="D30" s="215"/>
      <c r="E30" s="98"/>
      <c r="F30" s="98"/>
      <c r="G30" s="94"/>
      <c r="H30" s="10"/>
    </row>
    <row r="31" spans="1:8" x14ac:dyDescent="0.55000000000000004">
      <c r="A31" s="108">
        <v>20</v>
      </c>
      <c r="B31" s="110" t="s">
        <v>37</v>
      </c>
      <c r="C31" s="12"/>
      <c r="D31" s="215"/>
      <c r="E31" s="98"/>
      <c r="F31" s="98"/>
      <c r="G31" s="94"/>
      <c r="H31" s="10"/>
    </row>
    <row r="32" spans="1:8" ht="21.65" customHeight="1" x14ac:dyDescent="0.55000000000000004">
      <c r="A32" s="16"/>
      <c r="B32" s="17" t="s">
        <v>2</v>
      </c>
      <c r="C32" s="17"/>
      <c r="D32" s="324">
        <f>SUM(D12:D31)</f>
        <v>159931573</v>
      </c>
      <c r="E32" s="128">
        <f>SUM(E12:E31)</f>
        <v>0</v>
      </c>
      <c r="F32" s="128">
        <f>SUM(F12:F31)</f>
        <v>159931573</v>
      </c>
      <c r="G32" s="128">
        <f>D32+E32-F32</f>
        <v>0</v>
      </c>
      <c r="H32" s="17"/>
    </row>
    <row r="33" spans="1:8" ht="22.5" x14ac:dyDescent="0.7">
      <c r="A33" s="18"/>
      <c r="B33" s="19"/>
      <c r="C33" s="20"/>
      <c r="D33" s="219"/>
      <c r="E33" s="21"/>
      <c r="F33" s="21"/>
      <c r="G33" s="21"/>
      <c r="H33" s="19"/>
    </row>
    <row r="34" spans="1:8" ht="29.15" customHeight="1" x14ac:dyDescent="0.55000000000000004">
      <c r="A34" s="419" t="s">
        <v>68</v>
      </c>
      <c r="B34" s="419"/>
      <c r="C34" s="419"/>
      <c r="D34" s="419"/>
      <c r="E34" s="419"/>
      <c r="F34" s="419"/>
      <c r="G34" s="419"/>
      <c r="H34" s="419"/>
    </row>
    <row r="35" spans="1:8" x14ac:dyDescent="0.55000000000000004">
      <c r="A35" s="53"/>
      <c r="E35" s="53"/>
      <c r="F35" s="53"/>
      <c r="G35" s="53"/>
      <c r="H35" s="53"/>
    </row>
    <row r="36" spans="1:8" x14ac:dyDescent="0.55000000000000004">
      <c r="A36" s="53"/>
      <c r="E36" s="53"/>
      <c r="F36" s="53"/>
      <c r="G36" s="53"/>
      <c r="H36" s="53"/>
    </row>
    <row r="37" spans="1:8" x14ac:dyDescent="0.55000000000000004">
      <c r="A37" s="53"/>
      <c r="E37" s="53"/>
      <c r="F37" s="53"/>
      <c r="G37" s="53"/>
      <c r="H37" s="53"/>
    </row>
    <row r="38" spans="1:8" x14ac:dyDescent="0.55000000000000004">
      <c r="A38" s="53"/>
      <c r="E38" s="53"/>
      <c r="F38" s="53"/>
      <c r="G38" s="53"/>
      <c r="H38" s="53"/>
    </row>
    <row r="39" spans="1:8" x14ac:dyDescent="0.55000000000000004">
      <c r="A39" s="53"/>
      <c r="E39" s="53"/>
      <c r="F39" s="53"/>
      <c r="G39" s="53"/>
      <c r="H39" s="53"/>
    </row>
    <row r="40" spans="1:8" x14ac:dyDescent="0.55000000000000004">
      <c r="A40" s="53"/>
      <c r="E40" s="53"/>
      <c r="F40" s="53"/>
      <c r="G40" s="53"/>
      <c r="H40" s="53"/>
    </row>
    <row r="41" spans="1:8" x14ac:dyDescent="0.55000000000000004">
      <c r="A41" s="53"/>
      <c r="E41" s="53"/>
      <c r="F41" s="53"/>
      <c r="G41" s="53"/>
      <c r="H41" s="53"/>
    </row>
    <row r="42" spans="1:8" x14ac:dyDescent="0.55000000000000004">
      <c r="A42" s="53"/>
      <c r="E42" s="53"/>
      <c r="F42" s="53"/>
      <c r="G42" s="53"/>
      <c r="H42" s="53"/>
    </row>
    <row r="43" spans="1:8" x14ac:dyDescent="0.55000000000000004">
      <c r="A43" s="53"/>
      <c r="E43" s="53"/>
      <c r="F43" s="53"/>
      <c r="G43" s="53"/>
      <c r="H43" s="53"/>
    </row>
    <row r="44" spans="1:8" ht="18.5" x14ac:dyDescent="0.6">
      <c r="A44" s="407" t="s">
        <v>66</v>
      </c>
      <c r="B44" s="407"/>
      <c r="C44" s="407"/>
      <c r="D44" s="407"/>
      <c r="E44" s="407"/>
      <c r="F44" s="407"/>
      <c r="G44" s="407"/>
      <c r="H44" s="407"/>
    </row>
  </sheetData>
  <mergeCells count="14">
    <mergeCell ref="A44:H44"/>
    <mergeCell ref="G10:G11"/>
    <mergeCell ref="H10:H11"/>
    <mergeCell ref="A34:H34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0.16822916666666668" right="0.17" top="0.75" bottom="0.75" header="0.3" footer="0.3"/>
  <pageSetup paperSize="9" scale="8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J71"/>
  <sheetViews>
    <sheetView view="pageLayout" topLeftCell="A55" zoomScaleNormal="100" workbookViewId="0">
      <selection activeCell="E17" sqref="E17"/>
    </sheetView>
  </sheetViews>
  <sheetFormatPr defaultColWidth="9.1796875" defaultRowHeight="17" x14ac:dyDescent="0.55000000000000004"/>
  <cols>
    <col min="1" max="1" width="5.453125" style="23" customWidth="1"/>
    <col min="2" max="2" width="9.54296875" style="22" customWidth="1"/>
    <col min="3" max="3" width="34.453125" style="22" customWidth="1"/>
    <col min="4" max="4" width="15.81640625" style="22" customWidth="1"/>
    <col min="5" max="5" width="15.54296875" style="23" customWidth="1"/>
    <col min="6" max="6" width="16.54296875" style="23" customWidth="1"/>
    <col min="7" max="7" width="14.81640625" style="23" customWidth="1"/>
    <col min="8" max="8" width="7.81640625" style="23" customWidth="1"/>
    <col min="9" max="9" width="24.54296875" style="23" customWidth="1"/>
    <col min="10" max="16384" width="9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45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5.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11"/>
      <c r="E11" s="412"/>
      <c r="F11" s="414"/>
      <c r="G11" s="408"/>
      <c r="H11" s="408"/>
    </row>
    <row r="12" spans="1:10" ht="18.5" x14ac:dyDescent="0.55000000000000004">
      <c r="A12" s="129">
        <v>1</v>
      </c>
      <c r="B12" s="107" t="s">
        <v>51</v>
      </c>
      <c r="C12" s="28" t="s">
        <v>324</v>
      </c>
      <c r="D12" s="313">
        <v>6559205569</v>
      </c>
      <c r="E12" s="138">
        <v>0</v>
      </c>
      <c r="F12" s="139">
        <v>0</v>
      </c>
      <c r="G12" s="138">
        <f>D12+E12-F12</f>
        <v>6559205569</v>
      </c>
      <c r="H12" s="4"/>
    </row>
    <row r="13" spans="1:10" ht="18.5" x14ac:dyDescent="0.55000000000000004">
      <c r="A13" s="106">
        <v>2</v>
      </c>
      <c r="B13" s="110" t="s">
        <v>93</v>
      </c>
      <c r="C13" s="221" t="s">
        <v>91</v>
      </c>
      <c r="D13" s="84"/>
      <c r="E13" s="94"/>
      <c r="F13" s="84">
        <f>3735870*280</f>
        <v>1046043600</v>
      </c>
      <c r="G13" s="116">
        <f>G12+E13-F13</f>
        <v>5513161969</v>
      </c>
      <c r="H13" s="33"/>
    </row>
    <row r="14" spans="1:10" x14ac:dyDescent="0.55000000000000004">
      <c r="A14" s="225">
        <v>3</v>
      </c>
      <c r="B14" s="226" t="s">
        <v>37</v>
      </c>
      <c r="C14" s="227" t="s">
        <v>92</v>
      </c>
      <c r="D14" s="223"/>
      <c r="E14" s="228"/>
      <c r="F14" s="223">
        <f>3000000*280</f>
        <v>840000000</v>
      </c>
      <c r="G14" s="229">
        <f t="shared" ref="G14:G61" si="0">G13+E14-F14</f>
        <v>4673161969</v>
      </c>
      <c r="H14" s="10"/>
    </row>
    <row r="15" spans="1:10" x14ac:dyDescent="0.55000000000000004">
      <c r="A15" s="143">
        <v>4</v>
      </c>
      <c r="B15" s="208" t="s">
        <v>37</v>
      </c>
      <c r="C15" s="38" t="s">
        <v>95</v>
      </c>
      <c r="D15" s="163"/>
      <c r="E15" s="98"/>
      <c r="F15" s="84">
        <v>55367000</v>
      </c>
      <c r="G15" s="177">
        <f t="shared" si="0"/>
        <v>4617794969</v>
      </c>
      <c r="H15" s="10"/>
    </row>
    <row r="16" spans="1:10" x14ac:dyDescent="0.55000000000000004">
      <c r="A16" s="99">
        <v>5</v>
      </c>
      <c r="B16" s="208" t="s">
        <v>37</v>
      </c>
      <c r="C16" s="38" t="s">
        <v>96</v>
      </c>
      <c r="D16" s="163"/>
      <c r="E16" s="98"/>
      <c r="F16" s="84">
        <v>27040660</v>
      </c>
      <c r="G16" s="177">
        <f t="shared" si="0"/>
        <v>4590754309</v>
      </c>
      <c r="H16" s="10"/>
    </row>
    <row r="17" spans="1:8" x14ac:dyDescent="0.55000000000000004">
      <c r="A17" s="143">
        <v>6</v>
      </c>
      <c r="B17" s="208" t="s">
        <v>37</v>
      </c>
      <c r="C17" s="38" t="s">
        <v>97</v>
      </c>
      <c r="D17" s="163"/>
      <c r="E17" s="98"/>
      <c r="F17" s="84">
        <v>766080</v>
      </c>
      <c r="G17" s="177">
        <f t="shared" si="0"/>
        <v>4589988229</v>
      </c>
      <c r="H17" s="10"/>
    </row>
    <row r="18" spans="1:8" x14ac:dyDescent="0.55000000000000004">
      <c r="A18" s="99">
        <v>7</v>
      </c>
      <c r="B18" s="208" t="s">
        <v>37</v>
      </c>
      <c r="C18" s="38" t="s">
        <v>98</v>
      </c>
      <c r="D18" s="124"/>
      <c r="E18" s="98"/>
      <c r="F18" s="84">
        <f>23100*280</f>
        <v>6468000</v>
      </c>
      <c r="G18" s="177">
        <f t="shared" si="0"/>
        <v>4583520229</v>
      </c>
      <c r="H18" s="233"/>
    </row>
    <row r="19" spans="1:8" x14ac:dyDescent="0.55000000000000004">
      <c r="A19" s="143">
        <v>8</v>
      </c>
      <c r="B19" s="208" t="s">
        <v>37</v>
      </c>
      <c r="C19" s="38" t="s">
        <v>99</v>
      </c>
      <c r="D19" s="124"/>
      <c r="E19" s="98"/>
      <c r="F19" s="84">
        <f>19950*280</f>
        <v>5586000</v>
      </c>
      <c r="G19" s="177">
        <f t="shared" si="0"/>
        <v>4577934229</v>
      </c>
      <c r="H19" s="13"/>
    </row>
    <row r="20" spans="1:8" x14ac:dyDescent="0.55000000000000004">
      <c r="A20" s="99">
        <v>9</v>
      </c>
      <c r="B20" s="208" t="s">
        <v>37</v>
      </c>
      <c r="C20" s="38" t="s">
        <v>100</v>
      </c>
      <c r="D20" s="124"/>
      <c r="E20" s="98"/>
      <c r="F20" s="84">
        <v>150000000</v>
      </c>
      <c r="G20" s="177">
        <f t="shared" si="0"/>
        <v>4427934229</v>
      </c>
      <c r="H20" s="13"/>
    </row>
    <row r="21" spans="1:8" x14ac:dyDescent="0.55000000000000004">
      <c r="A21" s="143">
        <v>10</v>
      </c>
      <c r="B21" s="208" t="s">
        <v>37</v>
      </c>
      <c r="C21" s="38" t="s">
        <v>101</v>
      </c>
      <c r="D21" s="163"/>
      <c r="E21" s="98"/>
      <c r="F21" s="84">
        <v>138593500</v>
      </c>
      <c r="G21" s="177">
        <f t="shared" si="0"/>
        <v>4289340729</v>
      </c>
      <c r="H21" s="10"/>
    </row>
    <row r="22" spans="1:8" x14ac:dyDescent="0.55000000000000004">
      <c r="A22" s="99">
        <v>11</v>
      </c>
      <c r="B22" s="208" t="s">
        <v>37</v>
      </c>
      <c r="C22" s="38" t="s">
        <v>102</v>
      </c>
      <c r="D22" s="163"/>
      <c r="E22" s="98"/>
      <c r="F22" s="84">
        <v>15000000</v>
      </c>
      <c r="G22" s="177">
        <f t="shared" si="0"/>
        <v>4274340729</v>
      </c>
      <c r="H22" s="10"/>
    </row>
    <row r="23" spans="1:8" x14ac:dyDescent="0.55000000000000004">
      <c r="A23" s="143">
        <v>12</v>
      </c>
      <c r="B23" s="208" t="s">
        <v>37</v>
      </c>
      <c r="C23" s="38" t="s">
        <v>103</v>
      </c>
      <c r="D23" s="163"/>
      <c r="E23" s="98"/>
      <c r="F23" s="84">
        <v>15000000</v>
      </c>
      <c r="G23" s="177">
        <f t="shared" si="0"/>
        <v>4259340729</v>
      </c>
      <c r="H23" s="10"/>
    </row>
    <row r="24" spans="1:8" x14ac:dyDescent="0.55000000000000004">
      <c r="A24" s="99">
        <v>13</v>
      </c>
      <c r="B24" s="208" t="s">
        <v>37</v>
      </c>
      <c r="C24" s="38" t="s">
        <v>104</v>
      </c>
      <c r="D24" s="124"/>
      <c r="E24" s="98"/>
      <c r="F24" s="84">
        <v>227660250</v>
      </c>
      <c r="G24" s="177">
        <f t="shared" si="0"/>
        <v>4031680479</v>
      </c>
      <c r="H24" s="10"/>
    </row>
    <row r="25" spans="1:8" x14ac:dyDescent="0.55000000000000004">
      <c r="A25" s="143">
        <v>14</v>
      </c>
      <c r="B25" s="208" t="s">
        <v>37</v>
      </c>
      <c r="C25" s="38" t="s">
        <v>105</v>
      </c>
      <c r="D25" s="124"/>
      <c r="E25" s="98"/>
      <c r="F25" s="84">
        <v>38950000</v>
      </c>
      <c r="G25" s="177">
        <f t="shared" si="0"/>
        <v>3992730479</v>
      </c>
      <c r="H25" s="10"/>
    </row>
    <row r="26" spans="1:8" s="53" customFormat="1" x14ac:dyDescent="0.55000000000000004">
      <c r="A26" s="99">
        <v>15</v>
      </c>
      <c r="B26" s="208" t="s">
        <v>37</v>
      </c>
      <c r="C26" s="38" t="s">
        <v>106</v>
      </c>
      <c r="D26" s="124"/>
      <c r="E26" s="98"/>
      <c r="F26" s="84">
        <v>3150000</v>
      </c>
      <c r="G26" s="177">
        <f t="shared" si="0"/>
        <v>3989580479</v>
      </c>
      <c r="H26" s="54"/>
    </row>
    <row r="27" spans="1:8" s="53" customFormat="1" x14ac:dyDescent="0.55000000000000004">
      <c r="A27" s="143">
        <v>16</v>
      </c>
      <c r="B27" s="208" t="s">
        <v>37</v>
      </c>
      <c r="C27" s="38" t="s">
        <v>107</v>
      </c>
      <c r="D27" s="124"/>
      <c r="E27" s="98"/>
      <c r="F27" s="84">
        <v>2100000</v>
      </c>
      <c r="G27" s="177">
        <f t="shared" si="0"/>
        <v>3987480479</v>
      </c>
      <c r="H27" s="54"/>
    </row>
    <row r="28" spans="1:8" s="53" customFormat="1" x14ac:dyDescent="0.55000000000000004">
      <c r="A28" s="99">
        <v>17</v>
      </c>
      <c r="B28" s="208" t="s">
        <v>37</v>
      </c>
      <c r="C28" s="38" t="s">
        <v>108</v>
      </c>
      <c r="D28" s="124"/>
      <c r="E28" s="98"/>
      <c r="F28" s="84">
        <v>3150000</v>
      </c>
      <c r="G28" s="177">
        <f t="shared" si="0"/>
        <v>3984330479</v>
      </c>
      <c r="H28" s="54"/>
    </row>
    <row r="29" spans="1:8" s="53" customFormat="1" x14ac:dyDescent="0.55000000000000004">
      <c r="A29" s="143">
        <v>18</v>
      </c>
      <c r="B29" s="208" t="s">
        <v>37</v>
      </c>
      <c r="C29" s="38" t="s">
        <v>109</v>
      </c>
      <c r="D29" s="124"/>
      <c r="E29" s="98"/>
      <c r="F29" s="84">
        <v>8400000</v>
      </c>
      <c r="G29" s="177">
        <f t="shared" si="0"/>
        <v>3975930479</v>
      </c>
      <c r="H29" s="54"/>
    </row>
    <row r="30" spans="1:8" s="53" customFormat="1" x14ac:dyDescent="0.55000000000000004">
      <c r="A30" s="99">
        <v>19</v>
      </c>
      <c r="B30" s="208" t="s">
        <v>37</v>
      </c>
      <c r="C30" s="38" t="s">
        <v>110</v>
      </c>
      <c r="D30" s="124"/>
      <c r="E30" s="98"/>
      <c r="F30" s="84">
        <v>3850000</v>
      </c>
      <c r="G30" s="177">
        <f t="shared" si="0"/>
        <v>3972080479</v>
      </c>
      <c r="H30" s="54"/>
    </row>
    <row r="31" spans="1:8" s="53" customFormat="1" x14ac:dyDescent="0.55000000000000004">
      <c r="A31" s="143">
        <v>20</v>
      </c>
      <c r="B31" s="208" t="s">
        <v>37</v>
      </c>
      <c r="C31" s="38" t="s">
        <v>111</v>
      </c>
      <c r="D31" s="124"/>
      <c r="E31" s="98"/>
      <c r="F31" s="84">
        <v>2000000</v>
      </c>
      <c r="G31" s="177">
        <f t="shared" si="0"/>
        <v>3970080479</v>
      </c>
      <c r="H31" s="54"/>
    </row>
    <row r="32" spans="1:8" s="53" customFormat="1" x14ac:dyDescent="0.55000000000000004">
      <c r="A32" s="99">
        <v>21</v>
      </c>
      <c r="B32" s="208" t="s">
        <v>37</v>
      </c>
      <c r="C32" s="38" t="s">
        <v>112</v>
      </c>
      <c r="D32" s="124"/>
      <c r="E32" s="98"/>
      <c r="F32" s="84">
        <v>8750000</v>
      </c>
      <c r="G32" s="177">
        <f t="shared" si="0"/>
        <v>3961330479</v>
      </c>
      <c r="H32" s="54"/>
    </row>
    <row r="33" spans="1:8" s="53" customFormat="1" x14ac:dyDescent="0.55000000000000004">
      <c r="A33" s="143">
        <v>22</v>
      </c>
      <c r="B33" s="208" t="s">
        <v>37</v>
      </c>
      <c r="C33" s="38" t="s">
        <v>113</v>
      </c>
      <c r="D33" s="124"/>
      <c r="E33" s="98"/>
      <c r="F33" s="84">
        <v>3150000</v>
      </c>
      <c r="G33" s="177">
        <f t="shared" si="0"/>
        <v>3958180479</v>
      </c>
      <c r="H33" s="54"/>
    </row>
    <row r="34" spans="1:8" s="53" customFormat="1" x14ac:dyDescent="0.55000000000000004">
      <c r="A34" s="99">
        <v>23</v>
      </c>
      <c r="B34" s="208" t="s">
        <v>37</v>
      </c>
      <c r="C34" s="38" t="s">
        <v>114</v>
      </c>
      <c r="D34" s="124"/>
      <c r="E34" s="98"/>
      <c r="F34" s="84">
        <v>1000000</v>
      </c>
      <c r="G34" s="177">
        <f t="shared" si="0"/>
        <v>3957180479</v>
      </c>
      <c r="H34" s="54"/>
    </row>
    <row r="35" spans="1:8" s="53" customFormat="1" x14ac:dyDescent="0.55000000000000004">
      <c r="A35" s="143">
        <v>24</v>
      </c>
      <c r="B35" s="208" t="s">
        <v>37</v>
      </c>
      <c r="C35" s="38" t="s">
        <v>115</v>
      </c>
      <c r="D35" s="124"/>
      <c r="E35" s="98"/>
      <c r="F35" s="84">
        <v>4219000</v>
      </c>
      <c r="G35" s="177">
        <f t="shared" si="0"/>
        <v>3952961479</v>
      </c>
      <c r="H35" s="54"/>
    </row>
    <row r="36" spans="1:8" s="53" customFormat="1" x14ac:dyDescent="0.55000000000000004">
      <c r="A36" s="99">
        <v>25</v>
      </c>
      <c r="B36" s="208" t="s">
        <v>37</v>
      </c>
      <c r="C36" s="38" t="s">
        <v>116</v>
      </c>
      <c r="D36" s="124"/>
      <c r="E36" s="98"/>
      <c r="F36" s="84">
        <v>700000</v>
      </c>
      <c r="G36" s="177">
        <f t="shared" si="0"/>
        <v>3952261479</v>
      </c>
      <c r="H36" s="54"/>
    </row>
    <row r="37" spans="1:8" s="53" customFormat="1" x14ac:dyDescent="0.55000000000000004">
      <c r="A37" s="143">
        <v>26</v>
      </c>
      <c r="B37" s="208" t="s">
        <v>37</v>
      </c>
      <c r="C37" s="38" t="s">
        <v>117</v>
      </c>
      <c r="D37" s="124"/>
      <c r="E37" s="98"/>
      <c r="F37" s="84">
        <v>500000</v>
      </c>
      <c r="G37" s="177">
        <f t="shared" si="0"/>
        <v>3951761479</v>
      </c>
      <c r="H37" s="54"/>
    </row>
    <row r="38" spans="1:8" s="53" customFormat="1" x14ac:dyDescent="0.55000000000000004">
      <c r="A38" s="99">
        <v>27</v>
      </c>
      <c r="B38" s="208" t="s">
        <v>37</v>
      </c>
      <c r="C38" s="38" t="s">
        <v>118</v>
      </c>
      <c r="D38" s="124"/>
      <c r="E38" s="98"/>
      <c r="F38" s="84">
        <v>6219014</v>
      </c>
      <c r="G38" s="177">
        <f t="shared" si="0"/>
        <v>3945542465</v>
      </c>
      <c r="H38" s="54"/>
    </row>
    <row r="39" spans="1:8" s="53" customFormat="1" x14ac:dyDescent="0.55000000000000004">
      <c r="A39" s="143">
        <v>28</v>
      </c>
      <c r="B39" s="208" t="s">
        <v>37</v>
      </c>
      <c r="C39" s="38" t="s">
        <v>119</v>
      </c>
      <c r="D39" s="124"/>
      <c r="E39" s="98"/>
      <c r="F39" s="84">
        <v>1125000</v>
      </c>
      <c r="G39" s="177">
        <f t="shared" si="0"/>
        <v>3944417465</v>
      </c>
      <c r="H39" s="54"/>
    </row>
    <row r="40" spans="1:8" s="53" customFormat="1" x14ac:dyDescent="0.55000000000000004">
      <c r="A40" s="99">
        <v>29</v>
      </c>
      <c r="B40" s="208" t="s">
        <v>37</v>
      </c>
      <c r="C40" s="38" t="s">
        <v>120</v>
      </c>
      <c r="D40" s="124"/>
      <c r="E40" s="98"/>
      <c r="F40" s="84">
        <v>300000</v>
      </c>
      <c r="G40" s="177">
        <f t="shared" si="0"/>
        <v>3944117465</v>
      </c>
      <c r="H40" s="54"/>
    </row>
    <row r="41" spans="1:8" s="53" customFormat="1" x14ac:dyDescent="0.55000000000000004">
      <c r="A41" s="143">
        <v>30</v>
      </c>
      <c r="B41" s="208" t="s">
        <v>37</v>
      </c>
      <c r="C41" s="38" t="s">
        <v>121</v>
      </c>
      <c r="D41" s="124"/>
      <c r="E41" s="98"/>
      <c r="F41" s="84">
        <v>2000000</v>
      </c>
      <c r="G41" s="177">
        <f t="shared" si="0"/>
        <v>3942117465</v>
      </c>
      <c r="H41" s="54"/>
    </row>
    <row r="42" spans="1:8" s="53" customFormat="1" x14ac:dyDescent="0.55000000000000004">
      <c r="A42" s="99">
        <v>31</v>
      </c>
      <c r="B42" s="208" t="s">
        <v>37</v>
      </c>
      <c r="C42" s="38" t="s">
        <v>122</v>
      </c>
      <c r="D42" s="124"/>
      <c r="E42" s="98"/>
      <c r="F42" s="84">
        <v>300000</v>
      </c>
      <c r="G42" s="177">
        <f t="shared" si="0"/>
        <v>3941817465</v>
      </c>
      <c r="H42" s="54"/>
    </row>
    <row r="43" spans="1:8" s="53" customFormat="1" x14ac:dyDescent="0.55000000000000004">
      <c r="A43" s="143">
        <v>32</v>
      </c>
      <c r="B43" s="208" t="s">
        <v>37</v>
      </c>
      <c r="C43" s="38" t="s">
        <v>123</v>
      </c>
      <c r="D43" s="124"/>
      <c r="E43" s="98"/>
      <c r="F43" s="84">
        <v>1150000</v>
      </c>
      <c r="G43" s="177">
        <f t="shared" si="0"/>
        <v>3940667465</v>
      </c>
      <c r="H43" s="54"/>
    </row>
    <row r="44" spans="1:8" s="53" customFormat="1" x14ac:dyDescent="0.55000000000000004">
      <c r="A44" s="99">
        <v>33</v>
      </c>
      <c r="B44" s="208" t="s">
        <v>37</v>
      </c>
      <c r="C44" s="38" t="s">
        <v>124</v>
      </c>
      <c r="D44" s="124"/>
      <c r="E44" s="98"/>
      <c r="F44" s="84">
        <v>2000000</v>
      </c>
      <c r="G44" s="177">
        <f t="shared" si="0"/>
        <v>3938667465</v>
      </c>
      <c r="H44" s="54"/>
    </row>
    <row r="45" spans="1:8" s="53" customFormat="1" x14ac:dyDescent="0.55000000000000004">
      <c r="A45" s="143">
        <v>34</v>
      </c>
      <c r="B45" s="208" t="s">
        <v>37</v>
      </c>
      <c r="C45" s="38" t="s">
        <v>125</v>
      </c>
      <c r="D45" s="124"/>
      <c r="E45" s="98"/>
      <c r="F45" s="84">
        <f>16000*280</f>
        <v>4480000</v>
      </c>
      <c r="G45" s="177">
        <f t="shared" si="0"/>
        <v>3934187465</v>
      </c>
      <c r="H45" s="54"/>
    </row>
    <row r="46" spans="1:8" x14ac:dyDescent="0.55000000000000004">
      <c r="A46" s="99">
        <v>35</v>
      </c>
      <c r="B46" s="208" t="s">
        <v>37</v>
      </c>
      <c r="C46" s="38" t="s">
        <v>126</v>
      </c>
      <c r="D46" s="124"/>
      <c r="E46" s="98"/>
      <c r="F46" s="84">
        <f>16000*280</f>
        <v>4480000</v>
      </c>
      <c r="G46" s="177">
        <f t="shared" si="0"/>
        <v>3929707465</v>
      </c>
      <c r="H46" s="10"/>
    </row>
    <row r="47" spans="1:8" x14ac:dyDescent="0.55000000000000004">
      <c r="A47" s="143">
        <v>36</v>
      </c>
      <c r="B47" s="208" t="s">
        <v>37</v>
      </c>
      <c r="C47" s="38" t="s">
        <v>127</v>
      </c>
      <c r="D47" s="163"/>
      <c r="E47" s="98"/>
      <c r="F47" s="84">
        <f>71520*280</f>
        <v>20025600</v>
      </c>
      <c r="G47" s="177">
        <f t="shared" si="0"/>
        <v>3909681865</v>
      </c>
      <c r="H47" s="10"/>
    </row>
    <row r="48" spans="1:8" x14ac:dyDescent="0.55000000000000004">
      <c r="A48" s="99">
        <v>37</v>
      </c>
      <c r="B48" s="208" t="s">
        <v>37</v>
      </c>
      <c r="C48" s="38" t="s">
        <v>128</v>
      </c>
      <c r="D48" s="163"/>
      <c r="E48" s="98"/>
      <c r="F48" s="84">
        <f>25000*280</f>
        <v>7000000</v>
      </c>
      <c r="G48" s="177">
        <f t="shared" si="0"/>
        <v>3902681865</v>
      </c>
      <c r="H48" s="10"/>
    </row>
    <row r="49" spans="1:8" x14ac:dyDescent="0.55000000000000004">
      <c r="A49" s="143">
        <v>38</v>
      </c>
      <c r="B49" s="208" t="s">
        <v>37</v>
      </c>
      <c r="C49" s="38" t="s">
        <v>129</v>
      </c>
      <c r="D49" s="124"/>
      <c r="E49" s="98"/>
      <c r="F49" s="84">
        <f>8000*280</f>
        <v>2240000</v>
      </c>
      <c r="G49" s="177">
        <f t="shared" si="0"/>
        <v>3900441865</v>
      </c>
      <c r="H49" s="10"/>
    </row>
    <row r="50" spans="1:8" x14ac:dyDescent="0.55000000000000004">
      <c r="A50" s="99">
        <v>39</v>
      </c>
      <c r="B50" s="208" t="s">
        <v>37</v>
      </c>
      <c r="C50" s="38" t="s">
        <v>130</v>
      </c>
      <c r="D50" s="124"/>
      <c r="E50" s="98"/>
      <c r="F50" s="84">
        <v>17356954</v>
      </c>
      <c r="G50" s="177">
        <f t="shared" si="0"/>
        <v>3883084911</v>
      </c>
      <c r="H50" s="10"/>
    </row>
    <row r="51" spans="1:8" s="53" customFormat="1" x14ac:dyDescent="0.55000000000000004">
      <c r="A51" s="143">
        <v>40</v>
      </c>
      <c r="B51" s="208" t="s">
        <v>37</v>
      </c>
      <c r="C51" s="38" t="s">
        <v>131</v>
      </c>
      <c r="D51" s="124"/>
      <c r="E51" s="98"/>
      <c r="F51" s="84">
        <v>118346250</v>
      </c>
      <c r="G51" s="177">
        <f t="shared" si="0"/>
        <v>3764738661</v>
      </c>
      <c r="H51" s="54"/>
    </row>
    <row r="52" spans="1:8" s="53" customFormat="1" x14ac:dyDescent="0.55000000000000004">
      <c r="A52" s="99">
        <v>41</v>
      </c>
      <c r="B52" s="208" t="s">
        <v>37</v>
      </c>
      <c r="C52" s="38" t="s">
        <v>132</v>
      </c>
      <c r="D52" s="124"/>
      <c r="E52" s="98"/>
      <c r="F52" s="84">
        <v>10000</v>
      </c>
      <c r="G52" s="177">
        <f t="shared" si="0"/>
        <v>3764728661</v>
      </c>
      <c r="H52" s="54"/>
    </row>
    <row r="53" spans="1:8" s="53" customFormat="1" x14ac:dyDescent="0.55000000000000004">
      <c r="A53" s="143">
        <v>42</v>
      </c>
      <c r="B53" s="208" t="s">
        <v>37</v>
      </c>
      <c r="C53" s="38" t="s">
        <v>133</v>
      </c>
      <c r="D53" s="124"/>
      <c r="E53" s="98"/>
      <c r="F53" s="84">
        <f>1125000*280</f>
        <v>315000000</v>
      </c>
      <c r="G53" s="177">
        <f t="shared" si="0"/>
        <v>3449728661</v>
      </c>
      <c r="H53" s="54"/>
    </row>
    <row r="54" spans="1:8" s="53" customFormat="1" x14ac:dyDescent="0.55000000000000004">
      <c r="A54" s="99">
        <v>43</v>
      </c>
      <c r="B54" s="208" t="s">
        <v>37</v>
      </c>
      <c r="C54" s="222" t="s">
        <v>134</v>
      </c>
      <c r="D54" s="230"/>
      <c r="E54" s="228"/>
      <c r="F54" s="223">
        <v>10000</v>
      </c>
      <c r="G54" s="177">
        <f t="shared" si="0"/>
        <v>3449718661</v>
      </c>
      <c r="H54" s="231"/>
    </row>
    <row r="55" spans="1:8" s="53" customFormat="1" x14ac:dyDescent="0.55000000000000004">
      <c r="A55" s="143">
        <v>44</v>
      </c>
      <c r="B55" s="208" t="s">
        <v>138</v>
      </c>
      <c r="C55" s="222" t="s">
        <v>135</v>
      </c>
      <c r="D55" s="230"/>
      <c r="E55" s="228"/>
      <c r="F55" s="223">
        <v>569105000</v>
      </c>
      <c r="G55" s="177">
        <f t="shared" si="0"/>
        <v>2880613661</v>
      </c>
      <c r="H55" s="231"/>
    </row>
    <row r="56" spans="1:8" s="53" customFormat="1" x14ac:dyDescent="0.55000000000000004">
      <c r="A56" s="99">
        <v>45</v>
      </c>
      <c r="B56" s="208" t="s">
        <v>37</v>
      </c>
      <c r="C56" s="222" t="s">
        <v>136</v>
      </c>
      <c r="D56" s="230"/>
      <c r="E56" s="228"/>
      <c r="F56" s="223">
        <f>5378907*280</f>
        <v>1506093960</v>
      </c>
      <c r="G56" s="177">
        <f t="shared" si="0"/>
        <v>1374519701</v>
      </c>
      <c r="H56" s="231"/>
    </row>
    <row r="57" spans="1:8" s="53" customFormat="1" x14ac:dyDescent="0.55000000000000004">
      <c r="A57" s="143">
        <v>46</v>
      </c>
      <c r="B57" s="208" t="s">
        <v>37</v>
      </c>
      <c r="C57" s="222" t="s">
        <v>137</v>
      </c>
      <c r="D57" s="230"/>
      <c r="E57" s="228"/>
      <c r="F57" s="223">
        <f>3375000*280</f>
        <v>945000000</v>
      </c>
      <c r="G57" s="177">
        <f t="shared" si="0"/>
        <v>429519701</v>
      </c>
      <c r="H57" s="231"/>
    </row>
    <row r="58" spans="1:8" s="53" customFormat="1" x14ac:dyDescent="0.55000000000000004">
      <c r="A58" s="99">
        <v>47</v>
      </c>
      <c r="B58" s="208" t="s">
        <v>164</v>
      </c>
      <c r="C58" s="293" t="s">
        <v>281</v>
      </c>
      <c r="D58" s="294"/>
      <c r="E58" s="295"/>
      <c r="F58" s="294">
        <v>1167270</v>
      </c>
      <c r="G58" s="177">
        <f t="shared" si="0"/>
        <v>428352431</v>
      </c>
      <c r="H58" s="231"/>
    </row>
    <row r="59" spans="1:8" s="53" customFormat="1" x14ac:dyDescent="0.55000000000000004">
      <c r="A59" s="99"/>
      <c r="B59" s="208" t="s">
        <v>37</v>
      </c>
      <c r="C59" s="269" t="s">
        <v>296</v>
      </c>
      <c r="D59" s="274"/>
      <c r="E59" s="228"/>
      <c r="F59" s="274">
        <f>600000*280</f>
        <v>168000000</v>
      </c>
      <c r="G59" s="177">
        <f t="shared" si="0"/>
        <v>260352431</v>
      </c>
      <c r="H59" s="231"/>
    </row>
    <row r="60" spans="1:8" s="53" customFormat="1" x14ac:dyDescent="0.55000000000000004">
      <c r="A60" s="99"/>
      <c r="B60" s="208" t="s">
        <v>37</v>
      </c>
      <c r="C60" s="269" t="s">
        <v>297</v>
      </c>
      <c r="D60" s="274"/>
      <c r="E60" s="228"/>
      <c r="F60" s="274">
        <f>150000*280</f>
        <v>42000000</v>
      </c>
      <c r="G60" s="177">
        <f t="shared" si="0"/>
        <v>218352431</v>
      </c>
      <c r="H60" s="231"/>
    </row>
    <row r="61" spans="1:8" x14ac:dyDescent="0.55000000000000004">
      <c r="A61" s="143">
        <v>48</v>
      </c>
      <c r="B61" s="208" t="s">
        <v>37</v>
      </c>
      <c r="C61" s="275" t="s">
        <v>298</v>
      </c>
      <c r="D61" s="276"/>
      <c r="E61" s="224"/>
      <c r="F61" s="276">
        <v>53455327</v>
      </c>
      <c r="G61" s="177">
        <f t="shared" si="0"/>
        <v>164897104</v>
      </c>
      <c r="H61" s="37"/>
    </row>
    <row r="62" spans="1:8" ht="21.65" customHeight="1" x14ac:dyDescent="0.55000000000000004">
      <c r="A62" s="16"/>
      <c r="B62" s="17" t="s">
        <v>2</v>
      </c>
      <c r="C62" s="17"/>
      <c r="D62" s="186">
        <f>SUM(D12:D61)</f>
        <v>6559205569</v>
      </c>
      <c r="E62" s="128">
        <f>SUM(E12:E61)</f>
        <v>0</v>
      </c>
      <c r="F62" s="128">
        <f>SUM(F12:F61)</f>
        <v>6394308465</v>
      </c>
      <c r="G62" s="128">
        <f>D62+E62-F62</f>
        <v>164897104</v>
      </c>
      <c r="H62" s="17"/>
    </row>
    <row r="63" spans="1:8" ht="22.5" x14ac:dyDescent="0.7">
      <c r="A63" s="18"/>
      <c r="B63" s="19"/>
      <c r="C63" s="20"/>
      <c r="D63" s="20"/>
      <c r="E63" s="21"/>
      <c r="F63" s="21"/>
      <c r="G63" s="21"/>
      <c r="H63" s="19"/>
    </row>
    <row r="64" spans="1:8" ht="29.15" customHeight="1" x14ac:dyDescent="0.55000000000000004">
      <c r="A64" s="419" t="s">
        <v>68</v>
      </c>
      <c r="B64" s="419"/>
      <c r="C64" s="419"/>
      <c r="D64" s="419"/>
      <c r="E64" s="419"/>
      <c r="F64" s="419"/>
      <c r="G64" s="419"/>
      <c r="H64" s="419"/>
    </row>
    <row r="65" spans="1:8" x14ac:dyDescent="0.55000000000000004">
      <c r="A65" s="53"/>
      <c r="E65" s="53"/>
      <c r="F65" s="53"/>
      <c r="G65" s="53"/>
      <c r="H65" s="53"/>
    </row>
    <row r="66" spans="1:8" x14ac:dyDescent="0.55000000000000004">
      <c r="A66" s="53"/>
      <c r="E66" s="53"/>
      <c r="F66" s="53"/>
      <c r="G66" s="53"/>
      <c r="H66" s="53"/>
    </row>
    <row r="67" spans="1:8" x14ac:dyDescent="0.55000000000000004">
      <c r="A67" s="53"/>
      <c r="E67" s="53"/>
      <c r="F67" s="53"/>
      <c r="G67" s="53"/>
      <c r="H67" s="53"/>
    </row>
    <row r="68" spans="1:8" x14ac:dyDescent="0.55000000000000004">
      <c r="A68" s="53"/>
      <c r="E68" s="53"/>
      <c r="F68" s="53"/>
      <c r="G68" s="53"/>
      <c r="H68" s="53"/>
    </row>
    <row r="69" spans="1:8" x14ac:dyDescent="0.55000000000000004">
      <c r="A69" s="53"/>
      <c r="E69" s="53"/>
      <c r="F69" s="53"/>
      <c r="G69" s="53"/>
      <c r="H69" s="53"/>
    </row>
    <row r="70" spans="1:8" x14ac:dyDescent="0.55000000000000004">
      <c r="A70" s="53"/>
      <c r="E70" s="53"/>
      <c r="F70" s="53"/>
      <c r="G70" s="53"/>
      <c r="H70" s="53"/>
    </row>
    <row r="71" spans="1:8" ht="18.5" x14ac:dyDescent="0.6">
      <c r="A71" s="407" t="s">
        <v>67</v>
      </c>
      <c r="B71" s="407"/>
      <c r="C71" s="407"/>
      <c r="D71" s="407"/>
      <c r="E71" s="407"/>
      <c r="F71" s="407"/>
      <c r="G71" s="407"/>
      <c r="H71" s="407"/>
    </row>
  </sheetData>
  <mergeCells count="14">
    <mergeCell ref="A71:H71"/>
    <mergeCell ref="G10:G11"/>
    <mergeCell ref="H10:H11"/>
    <mergeCell ref="A64:H64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0.1328125" right="0.15937499999999999" top="0.46927083333333336" bottom="0.75" header="0.3" footer="0.3"/>
  <pageSetup paperSize="9" scale="8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J44"/>
  <sheetViews>
    <sheetView view="pageLayout" zoomScaleNormal="100" workbookViewId="0">
      <selection sqref="A1:H34"/>
    </sheetView>
  </sheetViews>
  <sheetFormatPr defaultColWidth="9.1796875" defaultRowHeight="17" x14ac:dyDescent="0.55000000000000004"/>
  <cols>
    <col min="1" max="1" width="5.453125" style="23" customWidth="1"/>
    <col min="2" max="2" width="11.453125" style="22" customWidth="1"/>
    <col min="3" max="3" width="40.54296875" style="22" customWidth="1"/>
    <col min="4" max="4" width="16.81640625" style="220" customWidth="1"/>
    <col min="5" max="5" width="15.453125" style="23" customWidth="1"/>
    <col min="6" max="6" width="15.54296875" style="23" customWidth="1"/>
    <col min="7" max="7" width="16.1796875" style="23" customWidth="1"/>
    <col min="8" max="8" width="6.81640625" style="23" customWidth="1"/>
    <col min="9" max="9" width="24.54296875" style="23" customWidth="1"/>
    <col min="10" max="16384" width="9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10"/>
      <c r="E3" s="203"/>
      <c r="F3" s="203"/>
      <c r="G3" s="203"/>
      <c r="H3" s="203"/>
    </row>
    <row r="4" spans="1:10" s="53" customFormat="1" ht="15" customHeight="1" x14ac:dyDescent="0.55000000000000004">
      <c r="A4" s="205" t="s">
        <v>72</v>
      </c>
      <c r="B4" s="205"/>
      <c r="C4" s="203"/>
      <c r="D4" s="210"/>
      <c r="E4" s="203"/>
      <c r="F4" s="203"/>
      <c r="G4" s="203"/>
      <c r="H4" s="203"/>
    </row>
    <row r="5" spans="1:10" s="53" customFormat="1" ht="15" customHeight="1" x14ac:dyDescent="0.55000000000000004">
      <c r="A5" s="205" t="s">
        <v>73</v>
      </c>
      <c r="B5" s="205"/>
      <c r="C5" s="203"/>
      <c r="D5" s="210"/>
      <c r="E5" s="203"/>
      <c r="F5" s="203"/>
      <c r="G5" s="203"/>
      <c r="H5" s="203"/>
    </row>
    <row r="6" spans="1:10" s="53" customFormat="1" ht="15" customHeight="1" x14ac:dyDescent="0.55000000000000004">
      <c r="A6" s="205" t="s">
        <v>74</v>
      </c>
      <c r="B6" s="205"/>
      <c r="C6" s="203"/>
      <c r="D6" s="210"/>
      <c r="E6" s="203"/>
      <c r="F6" s="203"/>
      <c r="G6" s="203"/>
      <c r="H6" s="203"/>
    </row>
    <row r="7" spans="1:10" s="53" customFormat="1" ht="15" customHeight="1" x14ac:dyDescent="0.55000000000000004">
      <c r="A7" s="206" t="s">
        <v>75</v>
      </c>
      <c r="B7" s="206"/>
      <c r="C7" s="203"/>
      <c r="D7" s="210"/>
      <c r="E7" s="203"/>
      <c r="F7" s="203"/>
      <c r="G7" s="203"/>
      <c r="H7" s="203"/>
    </row>
    <row r="8" spans="1:10" ht="27.65" customHeight="1" x14ac:dyDescent="0.55000000000000004">
      <c r="A8" s="418" t="s">
        <v>46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5.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26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27"/>
      <c r="E11" s="412"/>
      <c r="F11" s="414"/>
      <c r="G11" s="408"/>
      <c r="H11" s="408"/>
    </row>
    <row r="12" spans="1:10" ht="18.5" x14ac:dyDescent="0.55000000000000004">
      <c r="A12" s="107">
        <v>1</v>
      </c>
      <c r="B12" s="107" t="s">
        <v>51</v>
      </c>
      <c r="C12" s="3" t="s">
        <v>10</v>
      </c>
      <c r="D12" s="211">
        <v>-288679480</v>
      </c>
      <c r="E12" s="158">
        <v>0</v>
      </c>
      <c r="F12" s="131">
        <v>0</v>
      </c>
      <c r="G12" s="158">
        <f>E12-F12</f>
        <v>0</v>
      </c>
      <c r="H12" s="4"/>
    </row>
    <row r="13" spans="1:10" ht="18.5" x14ac:dyDescent="0.55000000000000004">
      <c r="A13" s="108">
        <v>2</v>
      </c>
      <c r="B13" s="111">
        <v>806.20190000000002</v>
      </c>
      <c r="C13" s="24" t="s">
        <v>88</v>
      </c>
      <c r="D13" s="212"/>
      <c r="E13" s="94"/>
      <c r="F13" s="173">
        <f>378574*275</f>
        <v>104107850</v>
      </c>
      <c r="G13" s="172">
        <f>G12+E13-F13</f>
        <v>-104107850</v>
      </c>
      <c r="H13" s="6"/>
    </row>
    <row r="14" spans="1:10" x14ac:dyDescent="0.55000000000000004">
      <c r="A14" s="109">
        <v>3</v>
      </c>
      <c r="B14" s="111" t="s">
        <v>37</v>
      </c>
      <c r="C14" s="24" t="s">
        <v>90</v>
      </c>
      <c r="D14" s="213"/>
      <c r="E14" s="97"/>
      <c r="F14" s="97">
        <v>326292075</v>
      </c>
      <c r="G14" s="172">
        <f t="shared" ref="G14:G31" si="0">G13+E14-F14</f>
        <v>-430399925</v>
      </c>
      <c r="H14" s="7"/>
      <c r="I14" s="8"/>
    </row>
    <row r="15" spans="1:10" x14ac:dyDescent="0.55000000000000004">
      <c r="A15" s="108">
        <v>4</v>
      </c>
      <c r="B15" s="111" t="s">
        <v>37</v>
      </c>
      <c r="C15" s="24" t="s">
        <v>89</v>
      </c>
      <c r="D15" s="214"/>
      <c r="E15" s="97"/>
      <c r="F15" s="97">
        <f>2071273*275</f>
        <v>569600075</v>
      </c>
      <c r="G15" s="172">
        <f t="shared" si="0"/>
        <v>-1000000000</v>
      </c>
      <c r="H15" s="7"/>
      <c r="I15" s="8"/>
    </row>
    <row r="16" spans="1:10" x14ac:dyDescent="0.55000000000000004">
      <c r="A16" s="109">
        <v>5</v>
      </c>
      <c r="B16" s="111" t="s">
        <v>37</v>
      </c>
      <c r="C16" s="25" t="s">
        <v>87</v>
      </c>
      <c r="D16" s="215"/>
      <c r="E16" s="97"/>
      <c r="F16" s="97">
        <v>18000</v>
      </c>
      <c r="G16" s="172">
        <f t="shared" si="0"/>
        <v>-1000018000</v>
      </c>
      <c r="H16" s="10"/>
    </row>
    <row r="17" spans="1:8" x14ac:dyDescent="0.55000000000000004">
      <c r="A17" s="108">
        <v>6</v>
      </c>
      <c r="B17" s="111" t="s">
        <v>37</v>
      </c>
      <c r="C17" s="65"/>
      <c r="D17" s="214"/>
      <c r="E17" s="97"/>
      <c r="F17" s="97"/>
      <c r="G17" s="172">
        <f t="shared" si="0"/>
        <v>-1000018000</v>
      </c>
      <c r="H17" s="10"/>
    </row>
    <row r="18" spans="1:8" x14ac:dyDescent="0.55000000000000004">
      <c r="A18" s="109">
        <v>7</v>
      </c>
      <c r="B18" s="111" t="s">
        <v>37</v>
      </c>
      <c r="C18" s="25"/>
      <c r="D18" s="216"/>
      <c r="E18" s="98"/>
      <c r="F18" s="98"/>
      <c r="G18" s="172">
        <f t="shared" si="0"/>
        <v>-1000018000</v>
      </c>
      <c r="H18" s="10"/>
    </row>
    <row r="19" spans="1:8" x14ac:dyDescent="0.55000000000000004">
      <c r="A19" s="108">
        <v>8</v>
      </c>
      <c r="B19" s="111" t="s">
        <v>37</v>
      </c>
      <c r="C19" s="24"/>
      <c r="D19" s="217"/>
      <c r="E19" s="98"/>
      <c r="F19" s="98"/>
      <c r="G19" s="172">
        <f t="shared" si="0"/>
        <v>-1000018000</v>
      </c>
      <c r="H19" s="10"/>
    </row>
    <row r="20" spans="1:8" x14ac:dyDescent="0.55000000000000004">
      <c r="A20" s="109">
        <v>9</v>
      </c>
      <c r="B20" s="111" t="s">
        <v>37</v>
      </c>
      <c r="C20" s="65"/>
      <c r="D20" s="217"/>
      <c r="E20" s="98"/>
      <c r="F20" s="98"/>
      <c r="G20" s="172">
        <f t="shared" si="0"/>
        <v>-1000018000</v>
      </c>
      <c r="H20" s="10"/>
    </row>
    <row r="21" spans="1:8" x14ac:dyDescent="0.55000000000000004">
      <c r="A21" s="108">
        <v>10</v>
      </c>
      <c r="B21" s="111" t="s">
        <v>37</v>
      </c>
      <c r="C21" s="24"/>
      <c r="D21" s="217"/>
      <c r="E21" s="98"/>
      <c r="F21" s="98"/>
      <c r="G21" s="172">
        <f t="shared" si="0"/>
        <v>-1000018000</v>
      </c>
      <c r="H21" s="10"/>
    </row>
    <row r="22" spans="1:8" x14ac:dyDescent="0.55000000000000004">
      <c r="A22" s="109">
        <v>11</v>
      </c>
      <c r="B22" s="111" t="s">
        <v>37</v>
      </c>
      <c r="C22" s="24"/>
      <c r="D22" s="217"/>
      <c r="E22" s="98"/>
      <c r="F22" s="98"/>
      <c r="G22" s="172">
        <f t="shared" si="0"/>
        <v>-1000018000</v>
      </c>
      <c r="H22" s="10"/>
    </row>
    <row r="23" spans="1:8" x14ac:dyDescent="0.55000000000000004">
      <c r="A23" s="108">
        <v>12</v>
      </c>
      <c r="B23" s="111" t="s">
        <v>37</v>
      </c>
      <c r="C23" s="25"/>
      <c r="D23" s="216"/>
      <c r="E23" s="98"/>
      <c r="F23" s="98"/>
      <c r="G23" s="172">
        <f t="shared" si="0"/>
        <v>-1000018000</v>
      </c>
      <c r="H23" s="10"/>
    </row>
    <row r="24" spans="1:8" x14ac:dyDescent="0.55000000000000004">
      <c r="A24" s="109">
        <v>13</v>
      </c>
      <c r="B24" s="111" t="s">
        <v>37</v>
      </c>
      <c r="C24" s="12"/>
      <c r="D24" s="215"/>
      <c r="E24" s="98"/>
      <c r="F24" s="98"/>
      <c r="G24" s="172">
        <f t="shared" si="0"/>
        <v>-1000018000</v>
      </c>
      <c r="H24" s="10"/>
    </row>
    <row r="25" spans="1:8" x14ac:dyDescent="0.55000000000000004">
      <c r="A25" s="108">
        <v>14</v>
      </c>
      <c r="B25" s="111" t="s">
        <v>37</v>
      </c>
      <c r="C25" s="12"/>
      <c r="D25" s="215"/>
      <c r="E25" s="98"/>
      <c r="F25" s="98"/>
      <c r="G25" s="172">
        <f t="shared" si="0"/>
        <v>-1000018000</v>
      </c>
      <c r="H25" s="10"/>
    </row>
    <row r="26" spans="1:8" x14ac:dyDescent="0.55000000000000004">
      <c r="A26" s="109">
        <v>15</v>
      </c>
      <c r="B26" s="111" t="s">
        <v>37</v>
      </c>
      <c r="C26" s="9"/>
      <c r="D26" s="216"/>
      <c r="E26" s="98"/>
      <c r="F26" s="98"/>
      <c r="G26" s="172">
        <f t="shared" si="0"/>
        <v>-1000018000</v>
      </c>
      <c r="H26" s="10"/>
    </row>
    <row r="27" spans="1:8" x14ac:dyDescent="0.55000000000000004">
      <c r="A27" s="108">
        <v>16</v>
      </c>
      <c r="B27" s="111" t="s">
        <v>37</v>
      </c>
      <c r="C27" s="5"/>
      <c r="D27" s="217"/>
      <c r="E27" s="98"/>
      <c r="F27" s="98"/>
      <c r="G27" s="172">
        <f t="shared" si="0"/>
        <v>-1000018000</v>
      </c>
      <c r="H27" s="13"/>
    </row>
    <row r="28" spans="1:8" x14ac:dyDescent="0.55000000000000004">
      <c r="A28" s="109">
        <v>17</v>
      </c>
      <c r="B28" s="111" t="s">
        <v>37</v>
      </c>
      <c r="C28" s="5"/>
      <c r="D28" s="217"/>
      <c r="E28" s="98"/>
      <c r="F28" s="98"/>
      <c r="G28" s="172">
        <f t="shared" si="0"/>
        <v>-1000018000</v>
      </c>
      <c r="H28" s="13"/>
    </row>
    <row r="29" spans="1:8" x14ac:dyDescent="0.55000000000000004">
      <c r="A29" s="108">
        <v>18</v>
      </c>
      <c r="B29" s="111" t="s">
        <v>37</v>
      </c>
      <c r="C29" s="5"/>
      <c r="D29" s="217"/>
      <c r="E29" s="98"/>
      <c r="F29" s="98"/>
      <c r="G29" s="172">
        <f t="shared" si="0"/>
        <v>-1000018000</v>
      </c>
      <c r="H29" s="13"/>
    </row>
    <row r="30" spans="1:8" x14ac:dyDescent="0.55000000000000004">
      <c r="A30" s="109">
        <v>19</v>
      </c>
      <c r="B30" s="111" t="s">
        <v>37</v>
      </c>
      <c r="C30" s="9"/>
      <c r="D30" s="216"/>
      <c r="E30" s="98"/>
      <c r="F30" s="98"/>
      <c r="G30" s="172">
        <f t="shared" si="0"/>
        <v>-1000018000</v>
      </c>
      <c r="H30" s="10"/>
    </row>
    <row r="31" spans="1:8" x14ac:dyDescent="0.55000000000000004">
      <c r="A31" s="108">
        <v>20</v>
      </c>
      <c r="B31" s="111" t="s">
        <v>37</v>
      </c>
      <c r="C31" s="9"/>
      <c r="D31" s="216"/>
      <c r="E31" s="98"/>
      <c r="F31" s="98"/>
      <c r="G31" s="172">
        <f t="shared" si="0"/>
        <v>-1000018000</v>
      </c>
      <c r="H31" s="10"/>
    </row>
    <row r="32" spans="1:8" ht="21.65" customHeight="1" x14ac:dyDescent="0.55000000000000004">
      <c r="A32" s="16"/>
      <c r="B32" s="17" t="s">
        <v>2</v>
      </c>
      <c r="C32" s="17"/>
      <c r="D32" s="218">
        <f>SUM(D12:D31)</f>
        <v>-288679480</v>
      </c>
      <c r="E32" s="104">
        <f>SUM(E12:E31)</f>
        <v>0</v>
      </c>
      <c r="F32" s="104">
        <f>SUM(F12:F31)</f>
        <v>1000018000</v>
      </c>
      <c r="G32" s="104">
        <f>D32+E32-F32</f>
        <v>-1288697480</v>
      </c>
      <c r="H32" s="17"/>
    </row>
    <row r="33" spans="1:8" ht="22.5" x14ac:dyDescent="0.7">
      <c r="A33" s="18"/>
      <c r="B33" s="19"/>
      <c r="C33" s="20"/>
      <c r="D33" s="219"/>
      <c r="E33" s="21"/>
      <c r="F33" s="21"/>
      <c r="G33" s="21"/>
      <c r="H33" s="19"/>
    </row>
    <row r="34" spans="1:8" ht="29.15" customHeight="1" x14ac:dyDescent="0.55000000000000004">
      <c r="A34" s="419" t="s">
        <v>68</v>
      </c>
      <c r="B34" s="419"/>
      <c r="C34" s="419"/>
      <c r="D34" s="419"/>
      <c r="E34" s="419"/>
      <c r="F34" s="419"/>
      <c r="G34" s="419"/>
      <c r="H34" s="419"/>
    </row>
    <row r="35" spans="1:8" x14ac:dyDescent="0.55000000000000004">
      <c r="A35" s="53"/>
      <c r="E35" s="53"/>
      <c r="F35" s="53"/>
      <c r="G35" s="53"/>
      <c r="H35" s="53"/>
    </row>
    <row r="36" spans="1:8" x14ac:dyDescent="0.55000000000000004">
      <c r="A36" s="53"/>
      <c r="E36" s="53"/>
      <c r="F36" s="53"/>
      <c r="G36" s="53"/>
      <c r="H36" s="53"/>
    </row>
    <row r="37" spans="1:8" x14ac:dyDescent="0.55000000000000004">
      <c r="A37" s="53"/>
      <c r="E37" s="53"/>
      <c r="F37" s="53"/>
      <c r="G37" s="53"/>
      <c r="H37" s="53"/>
    </row>
    <row r="38" spans="1:8" x14ac:dyDescent="0.55000000000000004">
      <c r="A38" s="53"/>
      <c r="E38" s="53"/>
      <c r="F38" s="53"/>
      <c r="G38" s="53"/>
      <c r="H38" s="53"/>
    </row>
    <row r="39" spans="1:8" x14ac:dyDescent="0.55000000000000004">
      <c r="A39" s="53"/>
      <c r="E39" s="53"/>
      <c r="F39" s="53"/>
      <c r="G39" s="53"/>
      <c r="H39" s="53"/>
    </row>
    <row r="40" spans="1:8" x14ac:dyDescent="0.55000000000000004">
      <c r="A40" s="53"/>
      <c r="E40" s="53"/>
      <c r="F40" s="53"/>
      <c r="G40" s="53"/>
      <c r="H40" s="53"/>
    </row>
    <row r="41" spans="1:8" x14ac:dyDescent="0.55000000000000004">
      <c r="A41" s="53"/>
      <c r="E41" s="53"/>
      <c r="F41" s="53"/>
      <c r="G41" s="53"/>
      <c r="H41" s="53"/>
    </row>
    <row r="42" spans="1:8" x14ac:dyDescent="0.55000000000000004">
      <c r="A42" s="53"/>
      <c r="E42" s="53"/>
      <c r="F42" s="53"/>
      <c r="G42" s="53"/>
      <c r="H42" s="53"/>
    </row>
    <row r="43" spans="1:8" x14ac:dyDescent="0.55000000000000004">
      <c r="A43" s="53"/>
      <c r="E43" s="53"/>
      <c r="F43" s="53"/>
      <c r="G43" s="53"/>
      <c r="H43" s="53"/>
    </row>
    <row r="44" spans="1:8" ht="18.5" x14ac:dyDescent="0.6">
      <c r="A44" s="407" t="s">
        <v>67</v>
      </c>
      <c r="B44" s="407"/>
      <c r="C44" s="407"/>
      <c r="D44" s="407"/>
      <c r="E44" s="407"/>
      <c r="F44" s="407"/>
      <c r="G44" s="407"/>
      <c r="H44" s="407"/>
    </row>
  </sheetData>
  <mergeCells count="14">
    <mergeCell ref="A44:H44"/>
    <mergeCell ref="G10:G11"/>
    <mergeCell ref="H10:H11"/>
    <mergeCell ref="A34:H34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7.4999999999999997E-2" right="0.15" top="0.75" bottom="0.75" header="0.3" footer="0.3"/>
  <pageSetup paperSize="9" scale="8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H44"/>
  <sheetViews>
    <sheetView view="pageLayout" topLeftCell="A4" zoomScale="110" zoomScaleNormal="100" zoomScalePageLayoutView="110" workbookViewId="0">
      <selection activeCell="F16" sqref="F16"/>
    </sheetView>
  </sheetViews>
  <sheetFormatPr defaultRowHeight="14.5" x14ac:dyDescent="0.35"/>
  <cols>
    <col min="1" max="1" width="4.453125" customWidth="1"/>
    <col min="2" max="2" width="7.453125" customWidth="1"/>
    <col min="3" max="3" width="29.453125" customWidth="1"/>
    <col min="4" max="4" width="12.1796875" customWidth="1"/>
    <col min="5" max="5" width="13" customWidth="1"/>
    <col min="6" max="6" width="13.81640625" customWidth="1"/>
    <col min="7" max="7" width="14.54296875" customWidth="1"/>
    <col min="8" max="8" width="7" customWidth="1"/>
  </cols>
  <sheetData>
    <row r="1" spans="1:8" ht="18.5" x14ac:dyDescent="0.35">
      <c r="A1" s="405" t="s">
        <v>5</v>
      </c>
      <c r="B1" s="405"/>
      <c r="C1" s="405"/>
      <c r="D1" s="405"/>
      <c r="E1" s="405"/>
      <c r="F1" s="405"/>
      <c r="G1" s="405"/>
      <c r="H1" s="405"/>
    </row>
    <row r="2" spans="1:8" ht="18.5" x14ac:dyDescent="0.35">
      <c r="A2" s="405" t="s">
        <v>6</v>
      </c>
      <c r="B2" s="405"/>
      <c r="C2" s="405"/>
      <c r="D2" s="405"/>
      <c r="E2" s="405"/>
      <c r="F2" s="405"/>
      <c r="G2" s="405"/>
      <c r="H2" s="405"/>
    </row>
    <row r="3" spans="1:8" ht="18.5" x14ac:dyDescent="0.35">
      <c r="A3" s="204"/>
      <c r="B3" s="204"/>
      <c r="C3" s="204"/>
      <c r="D3" s="204"/>
      <c r="E3" s="204"/>
      <c r="F3" s="204"/>
      <c r="G3" s="204"/>
      <c r="H3" s="204"/>
    </row>
    <row r="4" spans="1:8" ht="18.5" x14ac:dyDescent="0.35">
      <c r="A4" s="205" t="s">
        <v>72</v>
      </c>
      <c r="B4" s="205"/>
      <c r="C4" s="204"/>
      <c r="D4" s="204"/>
      <c r="E4" s="204"/>
      <c r="F4" s="204"/>
      <c r="G4" s="204"/>
      <c r="H4" s="204"/>
    </row>
    <row r="5" spans="1:8" ht="18.5" x14ac:dyDescent="0.35">
      <c r="A5" s="205" t="s">
        <v>73</v>
      </c>
      <c r="B5" s="205"/>
      <c r="C5" s="204"/>
      <c r="D5" s="204"/>
      <c r="E5" s="204"/>
      <c r="F5" s="204"/>
      <c r="G5" s="204"/>
      <c r="H5" s="204"/>
    </row>
    <row r="6" spans="1:8" ht="18.5" x14ac:dyDescent="0.35">
      <c r="A6" s="205" t="s">
        <v>74</v>
      </c>
      <c r="B6" s="205"/>
      <c r="C6" s="204"/>
      <c r="D6" s="204"/>
      <c r="E6" s="204"/>
      <c r="F6" s="204"/>
      <c r="G6" s="204"/>
      <c r="H6" s="204"/>
    </row>
    <row r="7" spans="1:8" ht="18.5" x14ac:dyDescent="0.35">
      <c r="A7" s="206" t="s">
        <v>75</v>
      </c>
      <c r="B7" s="206"/>
      <c r="C7" s="204"/>
      <c r="D7" s="204"/>
      <c r="E7" s="204"/>
      <c r="F7" s="204"/>
      <c r="G7" s="204"/>
      <c r="H7" s="204"/>
    </row>
    <row r="8" spans="1:8" ht="24" x14ac:dyDescent="0.35">
      <c r="A8" s="418" t="s">
        <v>85</v>
      </c>
      <c r="B8" s="418"/>
      <c r="C8" s="418"/>
      <c r="D8" s="418"/>
      <c r="E8" s="418"/>
      <c r="F8" s="418"/>
      <c r="G8" s="418"/>
      <c r="H8" s="418"/>
    </row>
    <row r="9" spans="1:8" ht="24" x14ac:dyDescent="0.35">
      <c r="A9" s="418" t="s">
        <v>55</v>
      </c>
      <c r="B9" s="418"/>
      <c r="C9" s="418"/>
      <c r="D9" s="418"/>
      <c r="E9" s="418"/>
      <c r="F9" s="418"/>
      <c r="G9" s="418"/>
      <c r="H9" s="418"/>
    </row>
    <row r="10" spans="1:8" x14ac:dyDescent="0.35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8" x14ac:dyDescent="0.35">
      <c r="A11" s="411"/>
      <c r="B11" s="411"/>
      <c r="C11" s="411"/>
      <c r="D11" s="411"/>
      <c r="E11" s="412"/>
      <c r="F11" s="414"/>
      <c r="G11" s="408"/>
      <c r="H11" s="408"/>
    </row>
    <row r="12" spans="1:8" ht="18.5" x14ac:dyDescent="0.35">
      <c r="A12" s="129">
        <v>1</v>
      </c>
      <c r="B12" s="165" t="s">
        <v>37</v>
      </c>
      <c r="C12" s="56" t="s">
        <v>10</v>
      </c>
      <c r="D12" s="144"/>
      <c r="E12" s="144"/>
      <c r="F12" s="145">
        <v>0</v>
      </c>
      <c r="G12" s="138">
        <f>D12</f>
        <v>0</v>
      </c>
      <c r="H12" s="4"/>
    </row>
    <row r="13" spans="1:8" ht="18.5" x14ac:dyDescent="0.35">
      <c r="A13" s="106">
        <v>2</v>
      </c>
      <c r="B13" s="165" t="s">
        <v>78</v>
      </c>
      <c r="C13" s="25" t="s">
        <v>84</v>
      </c>
      <c r="D13" s="179"/>
      <c r="E13" s="118">
        <v>1208109012</v>
      </c>
      <c r="F13" s="121">
        <v>1208109012</v>
      </c>
      <c r="G13" s="116">
        <f>G12+E13-F13</f>
        <v>0</v>
      </c>
      <c r="H13" s="6"/>
    </row>
    <row r="14" spans="1:8" ht="17" x14ac:dyDescent="0.55000000000000004">
      <c r="A14" s="100">
        <v>3</v>
      </c>
      <c r="B14" s="165" t="s">
        <v>37</v>
      </c>
      <c r="C14" s="27"/>
      <c r="D14" s="162"/>
      <c r="E14" s="146"/>
      <c r="F14" s="167"/>
      <c r="G14" s="116">
        <f t="shared" ref="G14:G31" si="0">G13+E14-F14</f>
        <v>0</v>
      </c>
      <c r="H14" s="7"/>
    </row>
    <row r="15" spans="1:8" ht="17" x14ac:dyDescent="0.55000000000000004">
      <c r="A15" s="106">
        <v>4</v>
      </c>
      <c r="B15" s="165" t="s">
        <v>37</v>
      </c>
      <c r="C15" s="38"/>
      <c r="D15" s="168"/>
      <c r="E15" s="98"/>
      <c r="F15" s="169"/>
      <c r="G15" s="116">
        <f t="shared" si="0"/>
        <v>0</v>
      </c>
      <c r="H15" s="7"/>
    </row>
    <row r="16" spans="1:8" ht="17" x14ac:dyDescent="0.55000000000000004">
      <c r="A16" s="100">
        <v>5</v>
      </c>
      <c r="B16" s="165" t="s">
        <v>37</v>
      </c>
      <c r="C16" s="42"/>
      <c r="D16" s="171"/>
      <c r="E16" s="98"/>
      <c r="F16" s="98"/>
      <c r="G16" s="116">
        <f t="shared" si="0"/>
        <v>0</v>
      </c>
      <c r="H16" s="54"/>
    </row>
    <row r="17" spans="1:8" ht="17" x14ac:dyDescent="0.55000000000000004">
      <c r="A17" s="106">
        <v>6</v>
      </c>
      <c r="B17" s="165" t="s">
        <v>37</v>
      </c>
      <c r="C17" s="11"/>
      <c r="D17" s="141"/>
      <c r="E17" s="97"/>
      <c r="F17" s="97"/>
      <c r="G17" s="116">
        <f t="shared" si="0"/>
        <v>0</v>
      </c>
      <c r="H17" s="54"/>
    </row>
    <row r="18" spans="1:8" ht="17" x14ac:dyDescent="0.55000000000000004">
      <c r="A18" s="100">
        <v>7</v>
      </c>
      <c r="B18" s="165" t="s">
        <v>37</v>
      </c>
      <c r="C18" s="9"/>
      <c r="D18" s="163"/>
      <c r="E18" s="98"/>
      <c r="F18" s="98"/>
      <c r="G18" s="116">
        <f t="shared" si="0"/>
        <v>0</v>
      </c>
      <c r="H18" s="54"/>
    </row>
    <row r="19" spans="1:8" ht="17" x14ac:dyDescent="0.55000000000000004">
      <c r="A19" s="106">
        <v>8</v>
      </c>
      <c r="B19" s="165" t="s">
        <v>37</v>
      </c>
      <c r="C19" s="5"/>
      <c r="D19" s="124"/>
      <c r="E19" s="98"/>
      <c r="F19" s="98"/>
      <c r="G19" s="116">
        <f t="shared" si="0"/>
        <v>0</v>
      </c>
      <c r="H19" s="54"/>
    </row>
    <row r="20" spans="1:8" ht="17" x14ac:dyDescent="0.55000000000000004">
      <c r="A20" s="100">
        <v>9</v>
      </c>
      <c r="B20" s="165" t="s">
        <v>37</v>
      </c>
      <c r="C20" s="11"/>
      <c r="D20" s="134"/>
      <c r="E20" s="98"/>
      <c r="F20" s="98"/>
      <c r="G20" s="116">
        <f t="shared" si="0"/>
        <v>0</v>
      </c>
      <c r="H20" s="54"/>
    </row>
    <row r="21" spans="1:8" ht="17" x14ac:dyDescent="0.55000000000000004">
      <c r="A21" s="106">
        <v>10</v>
      </c>
      <c r="B21" s="165" t="s">
        <v>37</v>
      </c>
      <c r="C21" s="5"/>
      <c r="D21" s="124"/>
      <c r="E21" s="98"/>
      <c r="F21" s="98"/>
      <c r="G21" s="116">
        <f t="shared" si="0"/>
        <v>0</v>
      </c>
      <c r="H21" s="54"/>
    </row>
    <row r="22" spans="1:8" ht="17" x14ac:dyDescent="0.55000000000000004">
      <c r="A22" s="100">
        <v>11</v>
      </c>
      <c r="B22" s="165" t="s">
        <v>37</v>
      </c>
      <c r="C22" s="5"/>
      <c r="D22" s="124"/>
      <c r="E22" s="98"/>
      <c r="F22" s="98"/>
      <c r="G22" s="116">
        <f t="shared" si="0"/>
        <v>0</v>
      </c>
      <c r="H22" s="54"/>
    </row>
    <row r="23" spans="1:8" ht="17" x14ac:dyDescent="0.55000000000000004">
      <c r="A23" s="106">
        <v>12</v>
      </c>
      <c r="B23" s="165" t="s">
        <v>37</v>
      </c>
      <c r="C23" s="9"/>
      <c r="D23" s="163"/>
      <c r="E23" s="98"/>
      <c r="F23" s="98"/>
      <c r="G23" s="116">
        <f t="shared" si="0"/>
        <v>0</v>
      </c>
      <c r="H23" s="54"/>
    </row>
    <row r="24" spans="1:8" ht="17" x14ac:dyDescent="0.55000000000000004">
      <c r="A24" s="100">
        <v>13</v>
      </c>
      <c r="B24" s="165" t="s">
        <v>37</v>
      </c>
      <c r="C24" s="55"/>
      <c r="D24" s="101"/>
      <c r="E24" s="98"/>
      <c r="F24" s="98"/>
      <c r="G24" s="116">
        <f t="shared" si="0"/>
        <v>0</v>
      </c>
      <c r="H24" s="54"/>
    </row>
    <row r="25" spans="1:8" ht="17" x14ac:dyDescent="0.55000000000000004">
      <c r="A25" s="106">
        <v>14</v>
      </c>
      <c r="B25" s="165" t="s">
        <v>37</v>
      </c>
      <c r="C25" s="55"/>
      <c r="D25" s="101"/>
      <c r="E25" s="98"/>
      <c r="F25" s="98"/>
      <c r="G25" s="116">
        <f t="shared" si="0"/>
        <v>0</v>
      </c>
      <c r="H25" s="54"/>
    </row>
    <row r="26" spans="1:8" ht="17" x14ac:dyDescent="0.55000000000000004">
      <c r="A26" s="100">
        <v>15</v>
      </c>
      <c r="B26" s="165" t="s">
        <v>37</v>
      </c>
      <c r="C26" s="9"/>
      <c r="D26" s="163"/>
      <c r="E26" s="98"/>
      <c r="F26" s="98"/>
      <c r="G26" s="116">
        <f t="shared" si="0"/>
        <v>0</v>
      </c>
      <c r="H26" s="54"/>
    </row>
    <row r="27" spans="1:8" ht="17" x14ac:dyDescent="0.55000000000000004">
      <c r="A27" s="106">
        <v>16</v>
      </c>
      <c r="B27" s="165" t="s">
        <v>37</v>
      </c>
      <c r="C27" s="5"/>
      <c r="D27" s="124"/>
      <c r="E27" s="98"/>
      <c r="F27" s="98"/>
      <c r="G27" s="116">
        <f t="shared" si="0"/>
        <v>0</v>
      </c>
      <c r="H27" s="13"/>
    </row>
    <row r="28" spans="1:8" ht="17" x14ac:dyDescent="0.55000000000000004">
      <c r="A28" s="100">
        <v>17</v>
      </c>
      <c r="B28" s="165" t="s">
        <v>37</v>
      </c>
      <c r="C28" s="5"/>
      <c r="D28" s="124"/>
      <c r="E28" s="98"/>
      <c r="F28" s="98"/>
      <c r="G28" s="116">
        <f t="shared" si="0"/>
        <v>0</v>
      </c>
      <c r="H28" s="13"/>
    </row>
    <row r="29" spans="1:8" ht="17" x14ac:dyDescent="0.55000000000000004">
      <c r="A29" s="106">
        <v>18</v>
      </c>
      <c r="B29" s="165" t="s">
        <v>37</v>
      </c>
      <c r="C29" s="5"/>
      <c r="D29" s="124"/>
      <c r="E29" s="98"/>
      <c r="F29" s="98"/>
      <c r="G29" s="116">
        <f t="shared" si="0"/>
        <v>0</v>
      </c>
      <c r="H29" s="13"/>
    </row>
    <row r="30" spans="1:8" ht="17" x14ac:dyDescent="0.55000000000000004">
      <c r="A30" s="100">
        <v>19</v>
      </c>
      <c r="B30" s="165" t="s">
        <v>37</v>
      </c>
      <c r="C30" s="9"/>
      <c r="D30" s="163"/>
      <c r="E30" s="98"/>
      <c r="F30" s="98"/>
      <c r="G30" s="116">
        <f t="shared" si="0"/>
        <v>0</v>
      </c>
      <c r="H30" s="54"/>
    </row>
    <row r="31" spans="1:8" ht="17" x14ac:dyDescent="0.55000000000000004">
      <c r="A31" s="106">
        <v>20</v>
      </c>
      <c r="B31" s="165" t="s">
        <v>37</v>
      </c>
      <c r="C31" s="9"/>
      <c r="D31" s="163"/>
      <c r="E31" s="98"/>
      <c r="F31" s="98"/>
      <c r="G31" s="116">
        <f t="shared" si="0"/>
        <v>0</v>
      </c>
      <c r="H31" s="54"/>
    </row>
    <row r="32" spans="1:8" ht="17" x14ac:dyDescent="0.55000000000000004">
      <c r="A32" s="16"/>
      <c r="B32" s="17" t="s">
        <v>2</v>
      </c>
      <c r="C32" s="17"/>
      <c r="D32" s="142">
        <f>SUM(D12:D31)</f>
        <v>0</v>
      </c>
      <c r="E32" s="128">
        <f>SUM(E12:E31)</f>
        <v>1208109012</v>
      </c>
      <c r="F32" s="128">
        <f>SUM(F12:F31)</f>
        <v>1208109012</v>
      </c>
      <c r="G32" s="128">
        <f>D32+E32-F32</f>
        <v>0</v>
      </c>
      <c r="H32" s="170"/>
    </row>
    <row r="33" spans="1:8" ht="22.5" x14ac:dyDescent="0.7">
      <c r="A33" s="18"/>
      <c r="B33" s="19"/>
      <c r="C33" s="20"/>
      <c r="D33" s="20"/>
      <c r="E33" s="21"/>
      <c r="F33" s="21"/>
      <c r="G33" s="21"/>
      <c r="H33" s="19"/>
    </row>
    <row r="34" spans="1:8" ht="18.5" x14ac:dyDescent="0.35">
      <c r="A34" s="419" t="s">
        <v>68</v>
      </c>
      <c r="B34" s="419"/>
      <c r="C34" s="419"/>
      <c r="D34" s="419"/>
      <c r="E34" s="419"/>
      <c r="F34" s="419"/>
      <c r="G34" s="419"/>
      <c r="H34" s="419"/>
    </row>
    <row r="35" spans="1:8" ht="17" x14ac:dyDescent="0.55000000000000004">
      <c r="A35" s="53"/>
      <c r="B35" s="22"/>
      <c r="C35" s="22"/>
      <c r="D35" s="22"/>
      <c r="E35" s="53"/>
      <c r="F35" s="53"/>
      <c r="G35" s="53"/>
      <c r="H35" s="53"/>
    </row>
    <row r="36" spans="1:8" ht="17" x14ac:dyDescent="0.55000000000000004">
      <c r="A36" s="53"/>
      <c r="B36" s="22"/>
      <c r="C36" s="22"/>
      <c r="D36" s="22"/>
      <c r="E36" s="53"/>
      <c r="F36" s="53"/>
      <c r="G36" s="53"/>
      <c r="H36" s="53"/>
    </row>
    <row r="37" spans="1:8" ht="17" x14ac:dyDescent="0.55000000000000004">
      <c r="A37" s="53"/>
      <c r="B37" s="22"/>
      <c r="C37" s="22"/>
      <c r="D37" s="22"/>
      <c r="E37" s="53"/>
      <c r="F37" s="53"/>
      <c r="G37" s="53"/>
      <c r="H37" s="53"/>
    </row>
    <row r="38" spans="1:8" ht="17" x14ac:dyDescent="0.55000000000000004">
      <c r="A38" s="53"/>
      <c r="B38" s="22"/>
      <c r="C38" s="22"/>
      <c r="D38" s="22"/>
      <c r="E38" s="53"/>
      <c r="F38" s="53"/>
      <c r="G38" s="53"/>
      <c r="H38" s="53"/>
    </row>
    <row r="39" spans="1:8" ht="17" x14ac:dyDescent="0.55000000000000004">
      <c r="A39" s="53"/>
      <c r="B39" s="22"/>
      <c r="C39" s="22"/>
      <c r="D39" s="22"/>
      <c r="E39" s="53"/>
      <c r="F39" s="53"/>
      <c r="G39" s="53"/>
      <c r="H39" s="53"/>
    </row>
    <row r="40" spans="1:8" ht="17" x14ac:dyDescent="0.55000000000000004">
      <c r="A40" s="53"/>
      <c r="B40" s="22"/>
      <c r="C40" s="22"/>
      <c r="D40" s="22"/>
      <c r="E40" s="53"/>
      <c r="F40" s="53"/>
      <c r="G40" s="53"/>
      <c r="H40" s="53"/>
    </row>
    <row r="41" spans="1:8" ht="17" x14ac:dyDescent="0.55000000000000004">
      <c r="A41" s="53"/>
      <c r="B41" s="22"/>
      <c r="C41" s="22"/>
      <c r="D41" s="22"/>
      <c r="E41" s="53"/>
      <c r="F41" s="53"/>
      <c r="G41" s="53"/>
      <c r="H41" s="53"/>
    </row>
    <row r="42" spans="1:8" ht="17" x14ac:dyDescent="0.55000000000000004">
      <c r="A42" s="53"/>
      <c r="B42" s="22"/>
      <c r="C42" s="22"/>
      <c r="D42" s="22"/>
      <c r="E42" s="53"/>
      <c r="F42" s="53"/>
      <c r="G42" s="53"/>
      <c r="H42" s="53"/>
    </row>
    <row r="43" spans="1:8" ht="17" x14ac:dyDescent="0.55000000000000004">
      <c r="A43" s="53"/>
      <c r="B43" s="22"/>
      <c r="C43" s="22"/>
      <c r="D43" s="22"/>
      <c r="E43" s="53"/>
      <c r="F43" s="53"/>
      <c r="G43" s="53"/>
      <c r="H43" s="53"/>
    </row>
    <row r="44" spans="1:8" ht="18.5" x14ac:dyDescent="0.6">
      <c r="A44" s="407" t="s">
        <v>67</v>
      </c>
      <c r="B44" s="407"/>
      <c r="C44" s="407"/>
      <c r="D44" s="407"/>
      <c r="E44" s="407"/>
      <c r="F44" s="407"/>
      <c r="G44" s="407"/>
      <c r="H44" s="407"/>
    </row>
  </sheetData>
  <mergeCells count="14">
    <mergeCell ref="G10:G11"/>
    <mergeCell ref="H10:H11"/>
    <mergeCell ref="A34:H34"/>
    <mergeCell ref="A44:H44"/>
    <mergeCell ref="A1:H1"/>
    <mergeCell ref="A2:H2"/>
    <mergeCell ref="A8:H8"/>
    <mergeCell ref="A9:H9"/>
    <mergeCell ref="A10:A11"/>
    <mergeCell ref="B10:B11"/>
    <mergeCell ref="C10:C11"/>
    <mergeCell ref="D10:D11"/>
    <mergeCell ref="E10:E11"/>
    <mergeCell ref="F10:F11"/>
  </mergeCells>
  <pageMargins left="0.10416666666666667" right="0.13541666666666666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H79"/>
  <sheetViews>
    <sheetView topLeftCell="A10" zoomScaleNormal="100" zoomScalePageLayoutView="110" workbookViewId="0">
      <selection activeCell="F26" sqref="F26"/>
    </sheetView>
  </sheetViews>
  <sheetFormatPr defaultRowHeight="14.5" x14ac:dyDescent="0.35"/>
  <cols>
    <col min="1" max="1" width="4.1796875" customWidth="1"/>
    <col min="3" max="3" width="44.1796875" customWidth="1"/>
    <col min="4" max="4" width="11.1796875" customWidth="1"/>
    <col min="5" max="5" width="13.453125" customWidth="1"/>
    <col min="6" max="6" width="10.54296875" customWidth="1"/>
    <col min="7" max="7" width="14.453125" customWidth="1"/>
    <col min="8" max="8" width="7.54296875" customWidth="1"/>
  </cols>
  <sheetData>
    <row r="1" spans="1:8" ht="18.5" x14ac:dyDescent="0.35">
      <c r="A1" s="405" t="s">
        <v>5</v>
      </c>
      <c r="B1" s="405"/>
      <c r="C1" s="405"/>
      <c r="D1" s="405"/>
      <c r="E1" s="405"/>
      <c r="F1" s="405"/>
      <c r="G1" s="405"/>
      <c r="H1" s="405"/>
    </row>
    <row r="2" spans="1:8" ht="18.5" x14ac:dyDescent="0.35">
      <c r="A2" s="405" t="s">
        <v>6</v>
      </c>
      <c r="B2" s="405"/>
      <c r="C2" s="405"/>
      <c r="D2" s="405"/>
      <c r="E2" s="405"/>
      <c r="F2" s="405"/>
      <c r="G2" s="405"/>
      <c r="H2" s="405"/>
    </row>
    <row r="3" spans="1:8" ht="18.5" x14ac:dyDescent="0.35">
      <c r="A3" s="243"/>
      <c r="B3" s="243"/>
      <c r="C3" s="243"/>
      <c r="D3" s="243"/>
      <c r="E3" s="243"/>
      <c r="F3" s="243"/>
      <c r="G3" s="243"/>
      <c r="H3" s="243"/>
    </row>
    <row r="4" spans="1:8" ht="18.5" x14ac:dyDescent="0.35">
      <c r="A4" s="205" t="s">
        <v>72</v>
      </c>
      <c r="B4" s="205"/>
      <c r="C4" s="243"/>
      <c r="D4" s="243"/>
      <c r="E4" s="243"/>
      <c r="F4" s="243"/>
      <c r="G4" s="243"/>
      <c r="H4" s="243"/>
    </row>
    <row r="5" spans="1:8" ht="18.5" x14ac:dyDescent="0.35">
      <c r="A5" s="205" t="s">
        <v>73</v>
      </c>
      <c r="B5" s="205"/>
      <c r="C5" s="243"/>
      <c r="D5" s="243"/>
      <c r="E5" s="243"/>
      <c r="F5" s="243"/>
      <c r="G5" s="243"/>
      <c r="H5" s="243"/>
    </row>
    <row r="6" spans="1:8" ht="18.5" x14ac:dyDescent="0.35">
      <c r="A6" s="205" t="s">
        <v>74</v>
      </c>
      <c r="B6" s="205"/>
      <c r="C6" s="243"/>
      <c r="D6" s="243"/>
      <c r="E6" s="243"/>
      <c r="F6" s="243"/>
      <c r="G6" s="243"/>
      <c r="H6" s="243"/>
    </row>
    <row r="7" spans="1:8" ht="18.5" x14ac:dyDescent="0.35">
      <c r="A7" s="206" t="s">
        <v>75</v>
      </c>
      <c r="B7" s="206"/>
      <c r="C7" s="243"/>
      <c r="D7" s="243"/>
      <c r="E7" s="243"/>
      <c r="F7" s="243"/>
      <c r="G7" s="243"/>
      <c r="H7" s="243"/>
    </row>
    <row r="8" spans="1:8" ht="24" x14ac:dyDescent="0.35">
      <c r="A8" s="418" t="s">
        <v>143</v>
      </c>
      <c r="B8" s="418"/>
      <c r="C8" s="418"/>
      <c r="D8" s="418"/>
      <c r="E8" s="418"/>
      <c r="F8" s="418"/>
      <c r="G8" s="418"/>
      <c r="H8" s="418"/>
    </row>
    <row r="9" spans="1:8" ht="24" x14ac:dyDescent="0.35">
      <c r="A9" s="418" t="s">
        <v>53</v>
      </c>
      <c r="B9" s="418"/>
      <c r="C9" s="418"/>
      <c r="D9" s="418"/>
      <c r="E9" s="418"/>
      <c r="F9" s="418"/>
      <c r="G9" s="418"/>
      <c r="H9" s="418"/>
    </row>
    <row r="10" spans="1:8" x14ac:dyDescent="0.35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22" t="s">
        <v>1</v>
      </c>
    </row>
    <row r="11" spans="1:8" ht="15" customHeight="1" x14ac:dyDescent="0.35">
      <c r="A11" s="411"/>
      <c r="B11" s="411"/>
      <c r="C11" s="411"/>
      <c r="D11" s="411"/>
      <c r="E11" s="412"/>
      <c r="F11" s="414"/>
      <c r="G11" s="408"/>
      <c r="H11" s="422"/>
    </row>
    <row r="12" spans="1:8" ht="15" customHeight="1" x14ac:dyDescent="0.35">
      <c r="A12" s="129">
        <v>1</v>
      </c>
      <c r="B12" s="110" t="s">
        <v>37</v>
      </c>
      <c r="C12" s="175" t="s">
        <v>10</v>
      </c>
      <c r="D12" s="176"/>
      <c r="E12" s="176"/>
      <c r="F12" s="176">
        <v>0</v>
      </c>
      <c r="G12" s="113">
        <f>D12</f>
        <v>0</v>
      </c>
      <c r="H12" s="61"/>
    </row>
    <row r="13" spans="1:8" ht="16" x14ac:dyDescent="0.5">
      <c r="A13" s="106">
        <v>4</v>
      </c>
      <c r="B13" s="110" t="s">
        <v>138</v>
      </c>
      <c r="C13" s="234" t="s">
        <v>142</v>
      </c>
      <c r="D13" s="122"/>
      <c r="E13" s="102">
        <v>944263040</v>
      </c>
      <c r="F13" s="149"/>
      <c r="G13" s="133">
        <f>G12+E13-F13</f>
        <v>944263040</v>
      </c>
      <c r="H13" s="63"/>
    </row>
    <row r="14" spans="1:8" ht="16" x14ac:dyDescent="0.5">
      <c r="A14" s="100">
        <v>5</v>
      </c>
      <c r="B14" s="110" t="s">
        <v>164</v>
      </c>
      <c r="C14" s="38" t="s">
        <v>233</v>
      </c>
      <c r="D14" s="84"/>
      <c r="E14" s="118"/>
      <c r="F14" s="84">
        <v>737705040</v>
      </c>
      <c r="G14" s="133">
        <f t="shared" ref="G14:G65" si="0">G13+E14-F14</f>
        <v>206558000</v>
      </c>
      <c r="H14" s="63"/>
    </row>
    <row r="15" spans="1:8" ht="16" x14ac:dyDescent="0.5">
      <c r="A15" s="106">
        <v>6</v>
      </c>
      <c r="B15" s="110" t="s">
        <v>37</v>
      </c>
      <c r="C15" s="222" t="s">
        <v>234</v>
      </c>
      <c r="D15" s="84"/>
      <c r="E15" s="118"/>
      <c r="F15" s="84">
        <v>206558000</v>
      </c>
      <c r="G15" s="133">
        <f t="shared" si="0"/>
        <v>0</v>
      </c>
      <c r="H15" s="64"/>
    </row>
    <row r="16" spans="1:8" ht="16" x14ac:dyDescent="0.5">
      <c r="A16" s="100">
        <v>7</v>
      </c>
      <c r="B16" s="110" t="s">
        <v>37</v>
      </c>
      <c r="C16" s="263" t="s">
        <v>235</v>
      </c>
      <c r="D16" s="84"/>
      <c r="E16" s="118"/>
      <c r="F16" s="118"/>
      <c r="G16" s="133">
        <f t="shared" si="0"/>
        <v>0</v>
      </c>
      <c r="H16" s="64"/>
    </row>
    <row r="17" spans="1:8" ht="16" x14ac:dyDescent="0.5">
      <c r="A17" s="106">
        <v>8</v>
      </c>
      <c r="B17" s="110" t="s">
        <v>37</v>
      </c>
      <c r="C17" s="25"/>
      <c r="D17" s="119"/>
      <c r="E17" s="118"/>
      <c r="F17" s="118"/>
      <c r="G17" s="133">
        <f t="shared" si="0"/>
        <v>0</v>
      </c>
      <c r="H17" s="64"/>
    </row>
    <row r="18" spans="1:8" ht="16" x14ac:dyDescent="0.5">
      <c r="A18" s="100">
        <v>9</v>
      </c>
      <c r="B18" s="110" t="s">
        <v>37</v>
      </c>
      <c r="C18" s="25"/>
      <c r="D18" s="119"/>
      <c r="E18" s="118"/>
      <c r="F18" s="118"/>
      <c r="G18" s="133">
        <f t="shared" si="0"/>
        <v>0</v>
      </c>
      <c r="H18" s="64"/>
    </row>
    <row r="19" spans="1:8" ht="16" x14ac:dyDescent="0.5">
      <c r="A19" s="106">
        <v>10</v>
      </c>
      <c r="B19" s="110" t="s">
        <v>37</v>
      </c>
      <c r="C19" s="25"/>
      <c r="D19" s="119"/>
      <c r="E19" s="118"/>
      <c r="F19" s="118"/>
      <c r="G19" s="116">
        <f t="shared" si="0"/>
        <v>0</v>
      </c>
      <c r="H19" s="64"/>
    </row>
    <row r="20" spans="1:8" ht="16" x14ac:dyDescent="0.5">
      <c r="A20" s="100">
        <v>11</v>
      </c>
      <c r="B20" s="110" t="s">
        <v>37</v>
      </c>
      <c r="C20" s="25"/>
      <c r="D20" s="119"/>
      <c r="E20" s="118"/>
      <c r="F20" s="102"/>
      <c r="G20" s="116">
        <f t="shared" si="0"/>
        <v>0</v>
      </c>
      <c r="H20" s="64"/>
    </row>
    <row r="21" spans="1:8" ht="16" x14ac:dyDescent="0.5">
      <c r="A21" s="106">
        <v>12</v>
      </c>
      <c r="B21" s="110" t="s">
        <v>37</v>
      </c>
      <c r="C21" s="44"/>
      <c r="D21" s="119"/>
      <c r="E21" s="118"/>
      <c r="F21" s="102"/>
      <c r="G21" s="116">
        <f t="shared" si="0"/>
        <v>0</v>
      </c>
      <c r="H21" s="64"/>
    </row>
    <row r="22" spans="1:8" ht="16" x14ac:dyDescent="0.5">
      <c r="A22" s="100">
        <v>13</v>
      </c>
      <c r="B22" s="110" t="s">
        <v>37</v>
      </c>
      <c r="C22" s="44"/>
      <c r="D22" s="119"/>
      <c r="E22" s="118"/>
      <c r="F22" s="102"/>
      <c r="G22" s="116">
        <f t="shared" si="0"/>
        <v>0</v>
      </c>
      <c r="H22" s="64"/>
    </row>
    <row r="23" spans="1:8" ht="16" x14ac:dyDescent="0.5">
      <c r="A23" s="106">
        <v>14</v>
      </c>
      <c r="B23" s="110" t="s">
        <v>37</v>
      </c>
      <c r="C23" s="44"/>
      <c r="D23" s="119"/>
      <c r="E23" s="118"/>
      <c r="F23" s="102"/>
      <c r="G23" s="116">
        <f t="shared" si="0"/>
        <v>0</v>
      </c>
      <c r="H23" s="64"/>
    </row>
    <row r="24" spans="1:8" ht="16" x14ac:dyDescent="0.5">
      <c r="A24" s="100">
        <v>15</v>
      </c>
      <c r="B24" s="110" t="s">
        <v>37</v>
      </c>
      <c r="C24" s="45"/>
      <c r="D24" s="119"/>
      <c r="E24" s="118"/>
      <c r="F24" s="102"/>
      <c r="G24" s="116">
        <f t="shared" si="0"/>
        <v>0</v>
      </c>
      <c r="H24" s="64"/>
    </row>
    <row r="25" spans="1:8" ht="16" x14ac:dyDescent="0.5">
      <c r="A25" s="106">
        <v>16</v>
      </c>
      <c r="B25" s="110" t="s">
        <v>37</v>
      </c>
      <c r="C25" s="44"/>
      <c r="D25" s="119"/>
      <c r="E25" s="118"/>
      <c r="F25" s="102"/>
      <c r="G25" s="116">
        <f t="shared" si="0"/>
        <v>0</v>
      </c>
      <c r="H25" s="64"/>
    </row>
    <row r="26" spans="1:8" ht="16" x14ac:dyDescent="0.5">
      <c r="A26" s="100">
        <v>17</v>
      </c>
      <c r="B26" s="110" t="s">
        <v>37</v>
      </c>
      <c r="C26" s="44"/>
      <c r="D26" s="119"/>
      <c r="E26" s="118"/>
      <c r="F26" s="102"/>
      <c r="G26" s="116">
        <f t="shared" si="0"/>
        <v>0</v>
      </c>
      <c r="H26" s="64"/>
    </row>
    <row r="27" spans="1:8" ht="16" x14ac:dyDescent="0.5">
      <c r="A27" s="106">
        <v>18</v>
      </c>
      <c r="B27" s="110" t="s">
        <v>37</v>
      </c>
      <c r="C27" s="44"/>
      <c r="D27" s="119"/>
      <c r="E27" s="118"/>
      <c r="F27" s="102"/>
      <c r="G27" s="116">
        <f t="shared" si="0"/>
        <v>0</v>
      </c>
      <c r="H27" s="64"/>
    </row>
    <row r="28" spans="1:8" ht="16" x14ac:dyDescent="0.5">
      <c r="A28" s="100">
        <v>19</v>
      </c>
      <c r="B28" s="110" t="s">
        <v>37</v>
      </c>
      <c r="C28" s="44"/>
      <c r="D28" s="119"/>
      <c r="E28" s="118"/>
      <c r="F28" s="102"/>
      <c r="G28" s="116">
        <f t="shared" si="0"/>
        <v>0</v>
      </c>
      <c r="H28" s="64"/>
    </row>
    <row r="29" spans="1:8" ht="16" x14ac:dyDescent="0.5">
      <c r="A29" s="106">
        <v>20</v>
      </c>
      <c r="B29" s="110" t="s">
        <v>37</v>
      </c>
      <c r="C29" s="44"/>
      <c r="D29" s="119"/>
      <c r="E29" s="118"/>
      <c r="F29" s="102"/>
      <c r="G29" s="116">
        <f t="shared" si="0"/>
        <v>0</v>
      </c>
      <c r="H29" s="64"/>
    </row>
    <row r="30" spans="1:8" ht="16" x14ac:dyDescent="0.5">
      <c r="A30" s="100">
        <v>21</v>
      </c>
      <c r="B30" s="110" t="s">
        <v>37</v>
      </c>
      <c r="C30" s="44"/>
      <c r="D30" s="119"/>
      <c r="E30" s="118"/>
      <c r="F30" s="102"/>
      <c r="G30" s="116">
        <f t="shared" si="0"/>
        <v>0</v>
      </c>
      <c r="H30" s="64"/>
    </row>
    <row r="31" spans="1:8" ht="16" x14ac:dyDescent="0.5">
      <c r="A31" s="106">
        <v>22</v>
      </c>
      <c r="B31" s="110" t="s">
        <v>37</v>
      </c>
      <c r="C31" s="44"/>
      <c r="D31" s="119"/>
      <c r="E31" s="118"/>
      <c r="F31" s="102"/>
      <c r="G31" s="116">
        <f t="shared" si="0"/>
        <v>0</v>
      </c>
      <c r="H31" s="64"/>
    </row>
    <row r="32" spans="1:8" ht="16" x14ac:dyDescent="0.5">
      <c r="A32" s="100">
        <v>23</v>
      </c>
      <c r="B32" s="110" t="s">
        <v>37</v>
      </c>
      <c r="C32" s="44"/>
      <c r="D32" s="119"/>
      <c r="E32" s="118"/>
      <c r="F32" s="102"/>
      <c r="G32" s="116">
        <f t="shared" si="0"/>
        <v>0</v>
      </c>
      <c r="H32" s="64"/>
    </row>
    <row r="33" spans="1:8" ht="16" x14ac:dyDescent="0.5">
      <c r="A33" s="106">
        <v>24</v>
      </c>
      <c r="B33" s="110" t="s">
        <v>37</v>
      </c>
      <c r="C33" s="24"/>
      <c r="D33" s="119"/>
      <c r="E33" s="118"/>
      <c r="F33" s="102"/>
      <c r="G33" s="116">
        <f t="shared" si="0"/>
        <v>0</v>
      </c>
      <c r="H33" s="64"/>
    </row>
    <row r="34" spans="1:8" ht="16" x14ac:dyDescent="0.5">
      <c r="A34" s="100">
        <v>25</v>
      </c>
      <c r="B34" s="110" t="s">
        <v>37</v>
      </c>
      <c r="C34" s="25"/>
      <c r="D34" s="148"/>
      <c r="E34" s="102"/>
      <c r="F34" s="102"/>
      <c r="G34" s="116">
        <f t="shared" si="0"/>
        <v>0</v>
      </c>
      <c r="H34" s="64"/>
    </row>
    <row r="35" spans="1:8" ht="16" x14ac:dyDescent="0.5">
      <c r="A35" s="106">
        <v>26</v>
      </c>
      <c r="B35" s="110" t="s">
        <v>37</v>
      </c>
      <c r="C35" s="29"/>
      <c r="D35" s="119"/>
      <c r="E35" s="102"/>
      <c r="F35" s="102"/>
      <c r="G35" s="116">
        <f t="shared" si="0"/>
        <v>0</v>
      </c>
      <c r="H35" s="64"/>
    </row>
    <row r="36" spans="1:8" ht="16" x14ac:dyDescent="0.5">
      <c r="A36" s="100">
        <v>27</v>
      </c>
      <c r="B36" s="110" t="s">
        <v>37</v>
      </c>
      <c r="C36" s="29"/>
      <c r="D36" s="119"/>
      <c r="E36" s="102"/>
      <c r="F36" s="102"/>
      <c r="G36" s="116">
        <f t="shared" si="0"/>
        <v>0</v>
      </c>
      <c r="H36" s="66"/>
    </row>
    <row r="37" spans="1:8" ht="16" x14ac:dyDescent="0.5">
      <c r="A37" s="106">
        <v>28</v>
      </c>
      <c r="B37" s="110" t="s">
        <v>37</v>
      </c>
      <c r="C37" s="29"/>
      <c r="D37" s="119"/>
      <c r="E37" s="102"/>
      <c r="F37" s="102"/>
      <c r="G37" s="116">
        <f t="shared" si="0"/>
        <v>0</v>
      </c>
      <c r="H37" s="66"/>
    </row>
    <row r="38" spans="1:8" ht="16" x14ac:dyDescent="0.5">
      <c r="A38" s="100">
        <v>29</v>
      </c>
      <c r="B38" s="110" t="s">
        <v>37</v>
      </c>
      <c r="C38" s="29"/>
      <c r="D38" s="119"/>
      <c r="E38" s="102"/>
      <c r="F38" s="102"/>
      <c r="G38" s="116">
        <f t="shared" si="0"/>
        <v>0</v>
      </c>
      <c r="H38" s="64"/>
    </row>
    <row r="39" spans="1:8" ht="16" x14ac:dyDescent="0.5">
      <c r="A39" s="106">
        <v>30</v>
      </c>
      <c r="B39" s="110" t="s">
        <v>37</v>
      </c>
      <c r="C39" s="29"/>
      <c r="D39" s="119"/>
      <c r="E39" s="102"/>
      <c r="F39" s="102"/>
      <c r="G39" s="116">
        <f t="shared" si="0"/>
        <v>0</v>
      </c>
      <c r="H39" s="64"/>
    </row>
    <row r="40" spans="1:8" ht="16" x14ac:dyDescent="0.5">
      <c r="A40" s="100">
        <v>31</v>
      </c>
      <c r="B40" s="110" t="s">
        <v>37</v>
      </c>
      <c r="C40" s="29"/>
      <c r="D40" s="119"/>
      <c r="E40" s="102"/>
      <c r="F40" s="149"/>
      <c r="G40" s="133">
        <f t="shared" si="0"/>
        <v>0</v>
      </c>
      <c r="H40" s="70"/>
    </row>
    <row r="41" spans="1:8" ht="16" x14ac:dyDescent="0.5">
      <c r="A41" s="106">
        <v>32</v>
      </c>
      <c r="B41" s="110" t="s">
        <v>37</v>
      </c>
      <c r="C41" s="29"/>
      <c r="D41" s="119"/>
      <c r="E41" s="102"/>
      <c r="F41" s="149"/>
      <c r="G41" s="133">
        <f t="shared" si="0"/>
        <v>0</v>
      </c>
      <c r="H41" s="70"/>
    </row>
    <row r="42" spans="1:8" ht="16" x14ac:dyDescent="0.5">
      <c r="A42" s="100">
        <v>33</v>
      </c>
      <c r="B42" s="110" t="s">
        <v>37</v>
      </c>
      <c r="C42" s="29"/>
      <c r="D42" s="119"/>
      <c r="E42" s="102"/>
      <c r="F42" s="102"/>
      <c r="G42" s="133">
        <f t="shared" si="0"/>
        <v>0</v>
      </c>
      <c r="H42" s="64"/>
    </row>
    <row r="43" spans="1:8" ht="16" x14ac:dyDescent="0.5">
      <c r="A43" s="106">
        <v>34</v>
      </c>
      <c r="B43" s="110" t="s">
        <v>37</v>
      </c>
      <c r="C43" s="29"/>
      <c r="D43" s="119"/>
      <c r="E43" s="102"/>
      <c r="F43" s="102"/>
      <c r="G43" s="133">
        <f t="shared" si="0"/>
        <v>0</v>
      </c>
      <c r="H43" s="64"/>
    </row>
    <row r="44" spans="1:8" ht="16" x14ac:dyDescent="0.5">
      <c r="A44" s="100">
        <v>35</v>
      </c>
      <c r="B44" s="110" t="s">
        <v>37</v>
      </c>
      <c r="C44" s="29"/>
      <c r="D44" s="119"/>
      <c r="E44" s="102"/>
      <c r="F44" s="102"/>
      <c r="G44" s="133">
        <f t="shared" si="0"/>
        <v>0</v>
      </c>
      <c r="H44" s="64"/>
    </row>
    <row r="45" spans="1:8" ht="16" x14ac:dyDescent="0.5">
      <c r="A45" s="106">
        <v>36</v>
      </c>
      <c r="B45" s="110" t="s">
        <v>37</v>
      </c>
      <c r="C45" s="29"/>
      <c r="D45" s="119"/>
      <c r="E45" s="102"/>
      <c r="F45" s="102"/>
      <c r="G45" s="133">
        <f t="shared" si="0"/>
        <v>0</v>
      </c>
      <c r="H45" s="71"/>
    </row>
    <row r="46" spans="1:8" ht="16" x14ac:dyDescent="0.5">
      <c r="A46" s="100">
        <v>37</v>
      </c>
      <c r="B46" s="110" t="s">
        <v>37</v>
      </c>
      <c r="C46" s="29"/>
      <c r="D46" s="119"/>
      <c r="E46" s="102"/>
      <c r="F46" s="102"/>
      <c r="G46" s="133">
        <f t="shared" si="0"/>
        <v>0</v>
      </c>
      <c r="H46" s="64"/>
    </row>
    <row r="47" spans="1:8" ht="16" x14ac:dyDescent="0.5">
      <c r="A47" s="106">
        <v>38</v>
      </c>
      <c r="B47" s="110" t="s">
        <v>37</v>
      </c>
      <c r="C47" s="29"/>
      <c r="D47" s="119"/>
      <c r="E47" s="102"/>
      <c r="F47" s="102"/>
      <c r="G47" s="133">
        <f t="shared" si="0"/>
        <v>0</v>
      </c>
      <c r="H47" s="64"/>
    </row>
    <row r="48" spans="1:8" ht="16" x14ac:dyDescent="0.5">
      <c r="A48" s="100">
        <v>39</v>
      </c>
      <c r="B48" s="110" t="s">
        <v>37</v>
      </c>
      <c r="C48" s="40"/>
      <c r="D48" s="58"/>
      <c r="E48" s="102"/>
      <c r="F48" s="58"/>
      <c r="G48" s="133">
        <f t="shared" si="0"/>
        <v>0</v>
      </c>
      <c r="H48" s="64"/>
    </row>
    <row r="49" spans="1:8" ht="16" x14ac:dyDescent="0.5">
      <c r="A49" s="106">
        <v>40</v>
      </c>
      <c r="B49" s="110" t="s">
        <v>37</v>
      </c>
      <c r="C49" s="43"/>
      <c r="D49" s="57"/>
      <c r="E49" s="102"/>
      <c r="F49" s="58"/>
      <c r="G49" s="133">
        <f t="shared" si="0"/>
        <v>0</v>
      </c>
      <c r="H49" s="64"/>
    </row>
    <row r="50" spans="1:8" ht="16" x14ac:dyDescent="0.5">
      <c r="A50" s="100">
        <v>41</v>
      </c>
      <c r="B50" s="110" t="s">
        <v>37</v>
      </c>
      <c r="C50" s="40"/>
      <c r="D50" s="57"/>
      <c r="E50" s="102"/>
      <c r="F50" s="58"/>
      <c r="G50" s="133">
        <f t="shared" si="0"/>
        <v>0</v>
      </c>
      <c r="H50" s="64"/>
    </row>
    <row r="51" spans="1:8" ht="16" x14ac:dyDescent="0.5">
      <c r="A51" s="106">
        <v>42</v>
      </c>
      <c r="B51" s="110" t="s">
        <v>37</v>
      </c>
      <c r="C51" s="40"/>
      <c r="D51" s="57"/>
      <c r="E51" s="102"/>
      <c r="F51" s="58"/>
      <c r="G51" s="133">
        <f t="shared" si="0"/>
        <v>0</v>
      </c>
      <c r="H51" s="64"/>
    </row>
    <row r="52" spans="1:8" ht="16" x14ac:dyDescent="0.5">
      <c r="A52" s="99">
        <v>43</v>
      </c>
      <c r="B52" s="208" t="s">
        <v>37</v>
      </c>
      <c r="C52" s="39"/>
      <c r="D52" s="58"/>
      <c r="E52" s="102"/>
      <c r="F52" s="58"/>
      <c r="G52" s="152">
        <f t="shared" si="0"/>
        <v>0</v>
      </c>
      <c r="H52" s="64"/>
    </row>
    <row r="53" spans="1:8" ht="16" x14ac:dyDescent="0.5">
      <c r="A53" s="143">
        <v>44</v>
      </c>
      <c r="B53" s="208" t="s">
        <v>37</v>
      </c>
      <c r="C53" s="39"/>
      <c r="D53" s="58"/>
      <c r="E53" s="102"/>
      <c r="F53" s="58"/>
      <c r="G53" s="152">
        <f t="shared" si="0"/>
        <v>0</v>
      </c>
      <c r="H53" s="64"/>
    </row>
    <row r="54" spans="1:8" ht="16" x14ac:dyDescent="0.5">
      <c r="A54" s="100">
        <v>45</v>
      </c>
      <c r="B54" s="110" t="s">
        <v>37</v>
      </c>
      <c r="C54" s="85"/>
      <c r="D54" s="57"/>
      <c r="E54" s="102"/>
      <c r="F54" s="58"/>
      <c r="G54" s="133">
        <f t="shared" si="0"/>
        <v>0</v>
      </c>
      <c r="H54" s="64"/>
    </row>
    <row r="55" spans="1:8" ht="16" x14ac:dyDescent="0.5">
      <c r="A55" s="106">
        <v>46</v>
      </c>
      <c r="B55" s="110" t="s">
        <v>37</v>
      </c>
      <c r="C55" s="86"/>
      <c r="D55" s="83"/>
      <c r="E55" s="150"/>
      <c r="F55" s="69"/>
      <c r="G55" s="151">
        <f t="shared" si="0"/>
        <v>0</v>
      </c>
      <c r="H55" s="87"/>
    </row>
    <row r="56" spans="1:8" ht="16" x14ac:dyDescent="0.5">
      <c r="A56" s="100">
        <v>47</v>
      </c>
      <c r="B56" s="110" t="s">
        <v>37</v>
      </c>
      <c r="C56" s="40"/>
      <c r="D56" s="58"/>
      <c r="E56" s="102"/>
      <c r="F56" s="58"/>
      <c r="G56" s="152">
        <f t="shared" si="0"/>
        <v>0</v>
      </c>
      <c r="H56" s="64"/>
    </row>
    <row r="57" spans="1:8" ht="16" x14ac:dyDescent="0.5">
      <c r="A57" s="106">
        <v>48</v>
      </c>
      <c r="B57" s="110" t="s">
        <v>37</v>
      </c>
      <c r="C57" s="40"/>
      <c r="D57" s="58"/>
      <c r="E57" s="102"/>
      <c r="F57" s="58"/>
      <c r="G57" s="152">
        <f t="shared" si="0"/>
        <v>0</v>
      </c>
      <c r="H57" s="64"/>
    </row>
    <row r="58" spans="1:8" ht="16" x14ac:dyDescent="0.5">
      <c r="A58" s="100">
        <v>49</v>
      </c>
      <c r="B58" s="110" t="s">
        <v>37</v>
      </c>
      <c r="C58" s="43"/>
      <c r="D58" s="57"/>
      <c r="E58" s="102"/>
      <c r="F58" s="58"/>
      <c r="G58" s="133">
        <f t="shared" si="0"/>
        <v>0</v>
      </c>
      <c r="H58" s="64"/>
    </row>
    <row r="59" spans="1:8" ht="16" x14ac:dyDescent="0.5">
      <c r="A59" s="106">
        <v>50</v>
      </c>
      <c r="B59" s="110" t="s">
        <v>37</v>
      </c>
      <c r="C59" s="43"/>
      <c r="D59" s="57"/>
      <c r="E59" s="102"/>
      <c r="F59" s="58"/>
      <c r="G59" s="133">
        <f t="shared" si="0"/>
        <v>0</v>
      </c>
      <c r="H59" s="64"/>
    </row>
    <row r="60" spans="1:8" ht="16" x14ac:dyDescent="0.5">
      <c r="A60" s="100">
        <v>51</v>
      </c>
      <c r="B60" s="110" t="s">
        <v>37</v>
      </c>
      <c r="C60" s="43"/>
      <c r="D60" s="57"/>
      <c r="E60" s="102"/>
      <c r="F60" s="58"/>
      <c r="G60" s="133">
        <f t="shared" si="0"/>
        <v>0</v>
      </c>
      <c r="H60" s="64"/>
    </row>
    <row r="61" spans="1:8" ht="16" x14ac:dyDescent="0.5">
      <c r="A61" s="106">
        <v>52</v>
      </c>
      <c r="B61" s="110" t="s">
        <v>37</v>
      </c>
      <c r="C61" s="43"/>
      <c r="D61" s="57"/>
      <c r="E61" s="102"/>
      <c r="F61" s="58"/>
      <c r="G61" s="133">
        <f t="shared" si="0"/>
        <v>0</v>
      </c>
      <c r="H61" s="64"/>
    </row>
    <row r="62" spans="1:8" ht="16" x14ac:dyDescent="0.5">
      <c r="A62" s="100">
        <v>53</v>
      </c>
      <c r="B62" s="110" t="s">
        <v>37</v>
      </c>
      <c r="C62" s="43"/>
      <c r="D62" s="57"/>
      <c r="E62" s="102"/>
      <c r="F62" s="58"/>
      <c r="G62" s="133">
        <f t="shared" si="0"/>
        <v>0</v>
      </c>
      <c r="H62" s="64"/>
    </row>
    <row r="63" spans="1:8" ht="16" x14ac:dyDescent="0.5">
      <c r="A63" s="106">
        <v>54</v>
      </c>
      <c r="B63" s="110" t="s">
        <v>37</v>
      </c>
      <c r="C63" s="43"/>
      <c r="D63" s="57"/>
      <c r="E63" s="102"/>
      <c r="F63" s="58"/>
      <c r="G63" s="133">
        <f t="shared" si="0"/>
        <v>0</v>
      </c>
      <c r="H63" s="64"/>
    </row>
    <row r="64" spans="1:8" ht="16" x14ac:dyDescent="0.5">
      <c r="A64" s="100">
        <v>55</v>
      </c>
      <c r="B64" s="110" t="s">
        <v>37</v>
      </c>
      <c r="C64" s="43"/>
      <c r="D64" s="57"/>
      <c r="E64" s="102"/>
      <c r="F64" s="58"/>
      <c r="G64" s="133">
        <f t="shared" si="0"/>
        <v>0</v>
      </c>
      <c r="H64" s="64"/>
    </row>
    <row r="65" spans="1:8" ht="16" x14ac:dyDescent="0.5">
      <c r="A65" s="106">
        <v>56</v>
      </c>
      <c r="B65" s="110" t="s">
        <v>37</v>
      </c>
      <c r="C65" s="29"/>
      <c r="D65" s="119"/>
      <c r="E65" s="102"/>
      <c r="F65" s="102"/>
      <c r="G65" s="133">
        <f t="shared" si="0"/>
        <v>0</v>
      </c>
      <c r="H65" s="64"/>
    </row>
    <row r="66" spans="1:8" ht="17" x14ac:dyDescent="0.55000000000000004">
      <c r="A66" s="16"/>
      <c r="B66" s="72" t="s">
        <v>2</v>
      </c>
      <c r="C66" s="72"/>
      <c r="D66" s="127">
        <f>SUM(D12:D65)</f>
        <v>0</v>
      </c>
      <c r="E66" s="128">
        <f>SUM(E12:E65)</f>
        <v>944263040</v>
      </c>
      <c r="F66" s="128">
        <f>SUM(F12:F65)</f>
        <v>944263040</v>
      </c>
      <c r="G66" s="128">
        <f>D66+E66-F66</f>
        <v>0</v>
      </c>
      <c r="H66" s="72"/>
    </row>
    <row r="67" spans="1:8" ht="22.5" x14ac:dyDescent="0.7">
      <c r="A67" s="18"/>
      <c r="B67" s="19"/>
      <c r="C67" s="20"/>
      <c r="D67" s="20"/>
      <c r="E67" s="21"/>
      <c r="F67" s="21"/>
      <c r="G67" s="21"/>
      <c r="H67" s="19"/>
    </row>
    <row r="68" spans="1:8" ht="18.5" x14ac:dyDescent="0.35">
      <c r="A68" s="419" t="s">
        <v>68</v>
      </c>
      <c r="B68" s="419"/>
      <c r="C68" s="419"/>
      <c r="D68" s="419"/>
      <c r="E68" s="419"/>
      <c r="F68" s="419"/>
      <c r="G68" s="419"/>
      <c r="H68" s="419"/>
    </row>
    <row r="69" spans="1:8" ht="17" x14ac:dyDescent="0.55000000000000004">
      <c r="A69" s="53"/>
      <c r="B69" s="22"/>
      <c r="C69" s="22"/>
      <c r="D69" s="22"/>
      <c r="E69" s="53"/>
      <c r="F69" s="53"/>
      <c r="G69" s="53"/>
      <c r="H69" s="53"/>
    </row>
    <row r="70" spans="1:8" ht="17" x14ac:dyDescent="0.55000000000000004">
      <c r="A70" s="53"/>
      <c r="B70" s="22"/>
      <c r="C70" s="22"/>
      <c r="D70" s="22"/>
      <c r="E70" s="53"/>
      <c r="F70" s="53"/>
      <c r="G70" s="53"/>
      <c r="H70" s="53"/>
    </row>
    <row r="71" spans="1:8" ht="17" x14ac:dyDescent="0.55000000000000004">
      <c r="A71" s="53"/>
      <c r="B71" s="22"/>
      <c r="C71" s="22"/>
      <c r="D71" s="22"/>
      <c r="E71" s="53"/>
      <c r="F71" s="53"/>
      <c r="G71" s="53"/>
      <c r="H71" s="53"/>
    </row>
    <row r="72" spans="1:8" ht="17" x14ac:dyDescent="0.55000000000000004">
      <c r="A72" s="53"/>
      <c r="B72" s="22"/>
      <c r="C72" s="22"/>
      <c r="D72" s="22"/>
      <c r="E72" s="53"/>
      <c r="F72" s="53"/>
      <c r="G72" s="53"/>
      <c r="H72" s="53"/>
    </row>
    <row r="73" spans="1:8" ht="17" x14ac:dyDescent="0.55000000000000004">
      <c r="A73" s="53"/>
      <c r="B73" s="22"/>
      <c r="C73" s="22"/>
      <c r="D73" s="22"/>
      <c r="E73" s="53"/>
      <c r="F73" s="53"/>
      <c r="G73" s="53"/>
      <c r="H73" s="53"/>
    </row>
    <row r="74" spans="1:8" ht="17" x14ac:dyDescent="0.55000000000000004">
      <c r="A74" s="53"/>
      <c r="B74" s="22"/>
      <c r="C74" s="22"/>
      <c r="D74" s="22"/>
      <c r="E74" s="53"/>
      <c r="F74" s="53"/>
      <c r="G74" s="53"/>
      <c r="H74" s="53"/>
    </row>
    <row r="75" spans="1:8" ht="17" x14ac:dyDescent="0.55000000000000004">
      <c r="A75" s="53"/>
      <c r="B75" s="22"/>
      <c r="C75" s="22"/>
      <c r="D75" s="22"/>
      <c r="E75" s="53"/>
      <c r="F75" s="53"/>
      <c r="G75" s="53"/>
      <c r="H75" s="53"/>
    </row>
    <row r="76" spans="1:8" ht="17" x14ac:dyDescent="0.55000000000000004">
      <c r="A76" s="53"/>
      <c r="B76" s="22"/>
      <c r="C76" s="22"/>
      <c r="D76" s="22"/>
      <c r="E76" s="53"/>
      <c r="F76" s="53"/>
      <c r="G76" s="53"/>
      <c r="H76" s="53"/>
    </row>
    <row r="77" spans="1:8" ht="17" x14ac:dyDescent="0.55000000000000004">
      <c r="A77" s="53"/>
      <c r="B77" s="22"/>
      <c r="C77" s="22"/>
      <c r="D77" s="22"/>
      <c r="E77" s="53"/>
      <c r="F77" s="53"/>
      <c r="G77" s="53"/>
      <c r="H77" s="53"/>
    </row>
    <row r="78" spans="1:8" ht="18.5" x14ac:dyDescent="0.6">
      <c r="A78" s="407" t="s">
        <v>67</v>
      </c>
      <c r="B78" s="407"/>
      <c r="C78" s="407"/>
      <c r="D78" s="407"/>
      <c r="E78" s="407"/>
      <c r="F78" s="407"/>
      <c r="G78" s="407"/>
      <c r="H78" s="407"/>
    </row>
    <row r="79" spans="1:8" ht="17" x14ac:dyDescent="0.55000000000000004">
      <c r="A79" s="53"/>
      <c r="B79" s="22"/>
      <c r="C79" s="22"/>
      <c r="D79" s="22"/>
      <c r="E79" s="53"/>
      <c r="F79" s="53"/>
      <c r="G79" s="53"/>
      <c r="H79" s="53"/>
    </row>
  </sheetData>
  <mergeCells count="14">
    <mergeCell ref="A68:H68"/>
    <mergeCell ref="A78:H78"/>
    <mergeCell ref="A1:H1"/>
    <mergeCell ref="A8:H8"/>
    <mergeCell ref="A10:A11"/>
    <mergeCell ref="B10:B11"/>
    <mergeCell ref="C10:C11"/>
    <mergeCell ref="D10:D11"/>
    <mergeCell ref="E10:E11"/>
    <mergeCell ref="A2:H2"/>
    <mergeCell ref="A9:H9"/>
    <mergeCell ref="F10:F11"/>
    <mergeCell ref="G10:G11"/>
    <mergeCell ref="H10:H11"/>
  </mergeCells>
  <pageMargins left="5.2083333333333336E-2" right="6.25E-2" top="0.75" bottom="0.75" header="0.3" footer="0.3"/>
  <pageSetup paperSize="9" scale="90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H35"/>
  <sheetViews>
    <sheetView view="pageLayout" topLeftCell="A7" zoomScaleNormal="100" workbookViewId="0">
      <selection activeCell="E20" sqref="E20"/>
    </sheetView>
  </sheetViews>
  <sheetFormatPr defaultRowHeight="14.5" x14ac:dyDescent="0.35"/>
  <cols>
    <col min="1" max="1" width="5.54296875" customWidth="1"/>
    <col min="2" max="2" width="9.54296875" customWidth="1"/>
    <col min="3" max="3" width="37.54296875" customWidth="1"/>
    <col min="4" max="4" width="12.81640625" customWidth="1"/>
    <col min="6" max="6" width="11.54296875" customWidth="1"/>
    <col min="7" max="7" width="12" customWidth="1"/>
  </cols>
  <sheetData>
    <row r="1" spans="1:8" ht="18.5" x14ac:dyDescent="0.35">
      <c r="A1" s="405" t="s">
        <v>5</v>
      </c>
      <c r="B1" s="405"/>
      <c r="C1" s="405"/>
      <c r="D1" s="405"/>
      <c r="E1" s="405"/>
      <c r="F1" s="405"/>
      <c r="G1" s="405"/>
      <c r="H1" s="405"/>
    </row>
    <row r="2" spans="1:8" ht="18.5" x14ac:dyDescent="0.35">
      <c r="A2" s="405" t="s">
        <v>6</v>
      </c>
      <c r="B2" s="405"/>
      <c r="C2" s="405"/>
      <c r="D2" s="405"/>
      <c r="E2" s="405"/>
      <c r="F2" s="405"/>
      <c r="G2" s="405"/>
      <c r="H2" s="405"/>
    </row>
    <row r="3" spans="1:8" ht="18.5" x14ac:dyDescent="0.35">
      <c r="A3" s="245"/>
      <c r="B3" s="245"/>
      <c r="C3" s="245"/>
      <c r="D3" s="210"/>
      <c r="E3" s="245"/>
      <c r="F3" s="245"/>
      <c r="G3" s="245"/>
      <c r="H3" s="245"/>
    </row>
    <row r="4" spans="1:8" ht="18.5" x14ac:dyDescent="0.35">
      <c r="A4" s="205" t="s">
        <v>72</v>
      </c>
      <c r="B4" s="205"/>
      <c r="C4" s="245"/>
      <c r="D4" s="210"/>
      <c r="E4" s="245"/>
      <c r="F4" s="245"/>
      <c r="G4" s="245"/>
      <c r="H4" s="245"/>
    </row>
    <row r="5" spans="1:8" ht="18.5" x14ac:dyDescent="0.35">
      <c r="A5" s="205" t="s">
        <v>73</v>
      </c>
      <c r="B5" s="205"/>
      <c r="C5" s="245"/>
      <c r="D5" s="210"/>
      <c r="E5" s="245"/>
      <c r="F5" s="245"/>
      <c r="G5" s="245"/>
      <c r="H5" s="245"/>
    </row>
    <row r="6" spans="1:8" ht="18.5" x14ac:dyDescent="0.35">
      <c r="A6" s="205" t="s">
        <v>74</v>
      </c>
      <c r="B6" s="205"/>
      <c r="C6" s="245"/>
      <c r="D6" s="210"/>
      <c r="E6" s="245"/>
      <c r="F6" s="245"/>
      <c r="G6" s="245"/>
      <c r="H6" s="245"/>
    </row>
    <row r="7" spans="1:8" ht="18.5" x14ac:dyDescent="0.35">
      <c r="A7" s="206" t="s">
        <v>75</v>
      </c>
      <c r="B7" s="206"/>
      <c r="C7" s="245"/>
      <c r="D7" s="210"/>
      <c r="E7" s="245"/>
      <c r="F7" s="245"/>
      <c r="G7" s="245"/>
      <c r="H7" s="245"/>
    </row>
    <row r="8" spans="1:8" ht="24" x14ac:dyDescent="0.35">
      <c r="A8" s="418" t="s">
        <v>46</v>
      </c>
      <c r="B8" s="418"/>
      <c r="C8" s="418"/>
      <c r="D8" s="418"/>
      <c r="E8" s="418"/>
      <c r="F8" s="418"/>
      <c r="G8" s="418"/>
      <c r="H8" s="418"/>
    </row>
    <row r="9" spans="1:8" ht="24" x14ac:dyDescent="0.35">
      <c r="A9" s="418" t="s">
        <v>53</v>
      </c>
      <c r="B9" s="418"/>
      <c r="C9" s="418"/>
      <c r="D9" s="418"/>
      <c r="E9" s="418"/>
      <c r="F9" s="418"/>
      <c r="G9" s="418"/>
      <c r="H9" s="418"/>
    </row>
    <row r="10" spans="1:8" x14ac:dyDescent="0.35">
      <c r="A10" s="410" t="s">
        <v>0</v>
      </c>
      <c r="B10" s="410" t="s">
        <v>3</v>
      </c>
      <c r="C10" s="410" t="s">
        <v>4</v>
      </c>
      <c r="D10" s="426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8" x14ac:dyDescent="0.35">
      <c r="A11" s="411"/>
      <c r="B11" s="411"/>
      <c r="C11" s="411"/>
      <c r="D11" s="427"/>
      <c r="E11" s="412"/>
      <c r="F11" s="414"/>
      <c r="G11" s="408"/>
      <c r="H11" s="408"/>
    </row>
    <row r="12" spans="1:8" ht="18.5" x14ac:dyDescent="0.35">
      <c r="A12" s="107">
        <v>1</v>
      </c>
      <c r="B12" s="107" t="s">
        <v>51</v>
      </c>
      <c r="C12" s="246" t="s">
        <v>10</v>
      </c>
      <c r="D12" s="211"/>
      <c r="E12" s="158">
        <v>0</v>
      </c>
      <c r="F12" s="131">
        <v>0</v>
      </c>
      <c r="G12" s="158">
        <f>E12-F12</f>
        <v>0</v>
      </c>
      <c r="H12" s="4"/>
    </row>
    <row r="13" spans="1:8" ht="18.5" x14ac:dyDescent="0.35">
      <c r="A13" s="108"/>
      <c r="B13" s="108"/>
      <c r="C13" s="299"/>
      <c r="D13" s="323">
        <v>62723500</v>
      </c>
      <c r="E13" s="322"/>
      <c r="F13" s="310"/>
      <c r="G13" s="322">
        <f>D13+E13-F13</f>
        <v>62723500</v>
      </c>
      <c r="H13" s="6"/>
    </row>
    <row r="14" spans="1:8" ht="18.5" x14ac:dyDescent="0.5">
      <c r="A14" s="108">
        <v>2</v>
      </c>
      <c r="B14" s="111" t="s">
        <v>164</v>
      </c>
      <c r="C14" s="40" t="s">
        <v>228</v>
      </c>
      <c r="D14" s="59"/>
      <c r="E14" s="102"/>
      <c r="F14" s="59">
        <v>17285000</v>
      </c>
      <c r="G14" s="322">
        <f>G13+E14-F14</f>
        <v>45438500</v>
      </c>
      <c r="H14" s="6"/>
    </row>
    <row r="15" spans="1:8" ht="17" x14ac:dyDescent="0.55000000000000004">
      <c r="A15" s="109">
        <v>3</v>
      </c>
      <c r="B15" s="111"/>
      <c r="C15" s="40" t="s">
        <v>229</v>
      </c>
      <c r="D15" s="59"/>
      <c r="E15" s="102"/>
      <c r="F15" s="59">
        <v>45000000</v>
      </c>
      <c r="G15" s="322">
        <f t="shared" ref="G15:G19" si="0">G14+E15-F15</f>
        <v>438500</v>
      </c>
      <c r="H15" s="7"/>
    </row>
    <row r="16" spans="1:8" ht="17" x14ac:dyDescent="0.55000000000000004">
      <c r="A16" s="108">
        <v>4</v>
      </c>
      <c r="B16" s="111"/>
      <c r="C16" s="40" t="s">
        <v>230</v>
      </c>
      <c r="D16" s="59"/>
      <c r="E16" s="102"/>
      <c r="F16" s="59">
        <v>438500</v>
      </c>
      <c r="G16" s="322">
        <f t="shared" si="0"/>
        <v>0</v>
      </c>
      <c r="H16" s="7"/>
    </row>
    <row r="17" spans="1:8" ht="17" x14ac:dyDescent="0.55000000000000004">
      <c r="A17" s="109">
        <v>5</v>
      </c>
      <c r="B17" s="111"/>
      <c r="C17" s="43"/>
      <c r="D17" s="160"/>
      <c r="E17" s="118"/>
      <c r="F17" s="262"/>
      <c r="G17" s="322">
        <f t="shared" si="0"/>
        <v>0</v>
      </c>
      <c r="H17" s="54"/>
    </row>
    <row r="18" spans="1:8" ht="17" x14ac:dyDescent="0.55000000000000004">
      <c r="A18" s="108">
        <v>6</v>
      </c>
      <c r="B18" s="111" t="s">
        <v>37</v>
      </c>
      <c r="C18" s="65"/>
      <c r="D18" s="214"/>
      <c r="E18" s="97"/>
      <c r="F18" s="97"/>
      <c r="G18" s="322">
        <f t="shared" si="0"/>
        <v>0</v>
      </c>
      <c r="H18" s="54"/>
    </row>
    <row r="19" spans="1:8" ht="17" x14ac:dyDescent="0.55000000000000004">
      <c r="A19" s="109">
        <v>7</v>
      </c>
      <c r="B19" s="111" t="s">
        <v>37</v>
      </c>
      <c r="C19" s="25"/>
      <c r="D19" s="216"/>
      <c r="E19" s="98"/>
      <c r="F19" s="98"/>
      <c r="G19" s="322">
        <f t="shared" si="0"/>
        <v>0</v>
      </c>
      <c r="H19" s="54"/>
    </row>
    <row r="20" spans="1:8" ht="17" x14ac:dyDescent="0.55000000000000004">
      <c r="A20" s="108">
        <v>8</v>
      </c>
      <c r="B20" s="111" t="s">
        <v>37</v>
      </c>
      <c r="C20" s="24"/>
      <c r="D20" s="217"/>
      <c r="E20" s="98"/>
      <c r="F20" s="98"/>
      <c r="G20" s="172">
        <f t="shared" ref="G20:G32" si="1">G19+E20-F20</f>
        <v>0</v>
      </c>
      <c r="H20" s="54"/>
    </row>
    <row r="21" spans="1:8" ht="17" x14ac:dyDescent="0.55000000000000004">
      <c r="A21" s="109">
        <v>9</v>
      </c>
      <c r="B21" s="111" t="s">
        <v>37</v>
      </c>
      <c r="C21" s="65"/>
      <c r="D21" s="217"/>
      <c r="E21" s="98"/>
      <c r="F21" s="98"/>
      <c r="G21" s="172">
        <f t="shared" si="1"/>
        <v>0</v>
      </c>
      <c r="H21" s="54"/>
    </row>
    <row r="22" spans="1:8" ht="17" x14ac:dyDescent="0.55000000000000004">
      <c r="A22" s="108">
        <v>10</v>
      </c>
      <c r="B22" s="111" t="s">
        <v>37</v>
      </c>
      <c r="C22" s="24"/>
      <c r="D22" s="217"/>
      <c r="E22" s="98"/>
      <c r="F22" s="98"/>
      <c r="G22" s="172">
        <f t="shared" si="1"/>
        <v>0</v>
      </c>
      <c r="H22" s="54"/>
    </row>
    <row r="23" spans="1:8" ht="17" x14ac:dyDescent="0.55000000000000004">
      <c r="A23" s="109">
        <v>11</v>
      </c>
      <c r="B23" s="111" t="s">
        <v>37</v>
      </c>
      <c r="C23" s="24"/>
      <c r="D23" s="217"/>
      <c r="E23" s="98"/>
      <c r="F23" s="98"/>
      <c r="G23" s="172">
        <f t="shared" si="1"/>
        <v>0</v>
      </c>
      <c r="H23" s="54"/>
    </row>
    <row r="24" spans="1:8" ht="17" x14ac:dyDescent="0.55000000000000004">
      <c r="A24" s="108">
        <v>12</v>
      </c>
      <c r="B24" s="111" t="s">
        <v>37</v>
      </c>
      <c r="C24" s="25"/>
      <c r="D24" s="216"/>
      <c r="E24" s="98"/>
      <c r="F24" s="98"/>
      <c r="G24" s="172">
        <f t="shared" si="1"/>
        <v>0</v>
      </c>
      <c r="H24" s="54"/>
    </row>
    <row r="25" spans="1:8" ht="17" x14ac:dyDescent="0.55000000000000004">
      <c r="A25" s="109">
        <v>13</v>
      </c>
      <c r="B25" s="111" t="s">
        <v>37</v>
      </c>
      <c r="C25" s="55"/>
      <c r="D25" s="215"/>
      <c r="E25" s="98"/>
      <c r="F25" s="98"/>
      <c r="G25" s="172">
        <f t="shared" si="1"/>
        <v>0</v>
      </c>
      <c r="H25" s="54"/>
    </row>
    <row r="26" spans="1:8" ht="17" x14ac:dyDescent="0.55000000000000004">
      <c r="A26" s="108">
        <v>14</v>
      </c>
      <c r="B26" s="111" t="s">
        <v>37</v>
      </c>
      <c r="C26" s="55"/>
      <c r="D26" s="215"/>
      <c r="E26" s="98"/>
      <c r="F26" s="98"/>
      <c r="G26" s="172">
        <f t="shared" si="1"/>
        <v>0</v>
      </c>
      <c r="H26" s="54"/>
    </row>
    <row r="27" spans="1:8" ht="17" x14ac:dyDescent="0.55000000000000004">
      <c r="A27" s="109">
        <v>15</v>
      </c>
      <c r="B27" s="111" t="s">
        <v>37</v>
      </c>
      <c r="C27" s="9"/>
      <c r="D27" s="216"/>
      <c r="E27" s="98"/>
      <c r="F27" s="98"/>
      <c r="G27" s="172">
        <f t="shared" si="1"/>
        <v>0</v>
      </c>
      <c r="H27" s="54"/>
    </row>
    <row r="28" spans="1:8" ht="17" x14ac:dyDescent="0.55000000000000004">
      <c r="A28" s="108">
        <v>16</v>
      </c>
      <c r="B28" s="111" t="s">
        <v>37</v>
      </c>
      <c r="C28" s="5"/>
      <c r="D28" s="217"/>
      <c r="E28" s="98"/>
      <c r="F28" s="98"/>
      <c r="G28" s="172">
        <f t="shared" si="1"/>
        <v>0</v>
      </c>
      <c r="H28" s="13"/>
    </row>
    <row r="29" spans="1:8" ht="17" x14ac:dyDescent="0.55000000000000004">
      <c r="A29" s="109">
        <v>17</v>
      </c>
      <c r="B29" s="111" t="s">
        <v>37</v>
      </c>
      <c r="C29" s="5"/>
      <c r="D29" s="217"/>
      <c r="E29" s="98"/>
      <c r="F29" s="98"/>
      <c r="G29" s="172">
        <f t="shared" si="1"/>
        <v>0</v>
      </c>
      <c r="H29" s="13"/>
    </row>
    <row r="30" spans="1:8" ht="17" x14ac:dyDescent="0.55000000000000004">
      <c r="A30" s="108">
        <v>18</v>
      </c>
      <c r="B30" s="111" t="s">
        <v>37</v>
      </c>
      <c r="C30" s="5"/>
      <c r="D30" s="217"/>
      <c r="E30" s="98"/>
      <c r="F30" s="98"/>
      <c r="G30" s="172">
        <f t="shared" si="1"/>
        <v>0</v>
      </c>
      <c r="H30" s="13"/>
    </row>
    <row r="31" spans="1:8" ht="17" x14ac:dyDescent="0.55000000000000004">
      <c r="A31" s="109">
        <v>19</v>
      </c>
      <c r="B31" s="111" t="s">
        <v>37</v>
      </c>
      <c r="C31" s="9"/>
      <c r="D31" s="216"/>
      <c r="E31" s="98"/>
      <c r="F31" s="98"/>
      <c r="G31" s="172">
        <f t="shared" si="1"/>
        <v>0</v>
      </c>
      <c r="H31" s="54"/>
    </row>
    <row r="32" spans="1:8" ht="17" x14ac:dyDescent="0.55000000000000004">
      <c r="A32" s="108">
        <v>20</v>
      </c>
      <c r="B32" s="111" t="s">
        <v>37</v>
      </c>
      <c r="C32" s="9"/>
      <c r="D32" s="216"/>
      <c r="E32" s="98"/>
      <c r="F32" s="98"/>
      <c r="G32" s="172">
        <f t="shared" si="1"/>
        <v>0</v>
      </c>
      <c r="H32" s="54"/>
    </row>
    <row r="33" spans="1:8" ht="17" x14ac:dyDescent="0.55000000000000004">
      <c r="A33" s="16"/>
      <c r="B33" s="17" t="s">
        <v>2</v>
      </c>
      <c r="C33" s="17"/>
      <c r="D33" s="218">
        <f>SUM(D12:D32)</f>
        <v>62723500</v>
      </c>
      <c r="E33" s="104">
        <f>SUM(E12:E32)</f>
        <v>0</v>
      </c>
      <c r="F33" s="104">
        <f>SUM(F12:F32)</f>
        <v>62723500</v>
      </c>
      <c r="G33" s="104">
        <f>D33+E33-F33</f>
        <v>0</v>
      </c>
      <c r="H33" s="17"/>
    </row>
    <row r="34" spans="1:8" ht="22.5" x14ac:dyDescent="0.7">
      <c r="A34" s="18"/>
      <c r="B34" s="19"/>
      <c r="C34" s="20"/>
      <c r="D34" s="219"/>
      <c r="E34" s="21"/>
      <c r="F34" s="21"/>
      <c r="G34" s="21"/>
      <c r="H34" s="19"/>
    </row>
    <row r="35" spans="1:8" ht="18.5" x14ac:dyDescent="0.35">
      <c r="A35" s="419" t="s">
        <v>68</v>
      </c>
      <c r="B35" s="419"/>
      <c r="C35" s="419"/>
      <c r="D35" s="419"/>
      <c r="E35" s="419"/>
      <c r="F35" s="419"/>
      <c r="G35" s="419"/>
      <c r="H35" s="419"/>
    </row>
  </sheetData>
  <mergeCells count="13">
    <mergeCell ref="G10:G11"/>
    <mergeCell ref="H10:H11"/>
    <mergeCell ref="A35:H35"/>
    <mergeCell ref="A1:H1"/>
    <mergeCell ref="A2:H2"/>
    <mergeCell ref="A8:H8"/>
    <mergeCell ref="A9:H9"/>
    <mergeCell ref="A10:A11"/>
    <mergeCell ref="B10:B11"/>
    <mergeCell ref="C10:C11"/>
    <mergeCell ref="D10:D11"/>
    <mergeCell ref="E10:E11"/>
    <mergeCell ref="F10:F11"/>
  </mergeCells>
  <pageMargins left="0.10416666666666667" right="9.375E-2" top="0.75" bottom="0.75" header="0.3" footer="0.3"/>
  <pageSetup paperSize="9" scale="95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H44"/>
  <sheetViews>
    <sheetView topLeftCell="A5" zoomScaleNormal="100" workbookViewId="0">
      <selection activeCell="F19" sqref="F19"/>
    </sheetView>
  </sheetViews>
  <sheetFormatPr defaultRowHeight="14.5" x14ac:dyDescent="0.35"/>
  <cols>
    <col min="1" max="1" width="3.54296875" customWidth="1"/>
    <col min="2" max="2" width="9.453125" customWidth="1"/>
    <col min="3" max="3" width="37.453125" customWidth="1"/>
    <col min="4" max="4" width="13.453125" customWidth="1"/>
    <col min="5" max="5" width="14.81640625" customWidth="1"/>
    <col min="6" max="6" width="16" customWidth="1"/>
    <col min="7" max="7" width="14.81640625" customWidth="1"/>
    <col min="8" max="8" width="8.453125" customWidth="1"/>
  </cols>
  <sheetData>
    <row r="1" spans="1:8" ht="18.5" x14ac:dyDescent="0.35">
      <c r="A1" s="405" t="s">
        <v>5</v>
      </c>
      <c r="B1" s="405"/>
      <c r="C1" s="405"/>
      <c r="D1" s="405"/>
      <c r="E1" s="405"/>
      <c r="F1" s="405"/>
      <c r="G1" s="405"/>
      <c r="H1" s="405"/>
    </row>
    <row r="2" spans="1:8" ht="18.5" x14ac:dyDescent="0.35">
      <c r="A2" s="405" t="s">
        <v>6</v>
      </c>
      <c r="B2" s="405"/>
      <c r="C2" s="405"/>
      <c r="D2" s="405"/>
      <c r="E2" s="405"/>
      <c r="F2" s="405"/>
      <c r="G2" s="405"/>
      <c r="H2" s="405"/>
    </row>
    <row r="3" spans="1:8" ht="18.5" x14ac:dyDescent="0.35">
      <c r="A3" s="298"/>
      <c r="B3" s="298"/>
      <c r="C3" s="298"/>
      <c r="D3" s="298"/>
      <c r="E3" s="298"/>
      <c r="F3" s="298"/>
      <c r="G3" s="298"/>
      <c r="H3" s="298"/>
    </row>
    <row r="4" spans="1:8" ht="18.5" x14ac:dyDescent="0.35">
      <c r="A4" s="205" t="s">
        <v>72</v>
      </c>
      <c r="B4" s="205"/>
      <c r="C4" s="298"/>
      <c r="D4" s="298"/>
      <c r="E4" s="298"/>
      <c r="F4" s="298"/>
      <c r="G4" s="298"/>
      <c r="H4" s="298"/>
    </row>
    <row r="5" spans="1:8" ht="18.5" x14ac:dyDescent="0.35">
      <c r="A5" s="205" t="s">
        <v>73</v>
      </c>
      <c r="B5" s="205"/>
      <c r="C5" s="298"/>
      <c r="D5" s="298"/>
      <c r="E5" s="298"/>
      <c r="F5" s="298"/>
      <c r="G5" s="298"/>
      <c r="H5" s="298"/>
    </row>
    <row r="6" spans="1:8" ht="18.5" x14ac:dyDescent="0.35">
      <c r="A6" s="205" t="s">
        <v>74</v>
      </c>
      <c r="B6" s="205"/>
      <c r="C6" s="298"/>
      <c r="D6" s="298"/>
      <c r="E6" s="298"/>
      <c r="F6" s="298"/>
      <c r="G6" s="298"/>
      <c r="H6" s="298"/>
    </row>
    <row r="7" spans="1:8" ht="18.5" x14ac:dyDescent="0.35">
      <c r="A7" s="206" t="s">
        <v>75</v>
      </c>
      <c r="B7" s="206"/>
      <c r="C7" s="298"/>
      <c r="D7" s="298"/>
      <c r="E7" s="298"/>
      <c r="F7" s="298"/>
      <c r="G7" s="298"/>
      <c r="H7" s="298"/>
    </row>
    <row r="8" spans="1:8" ht="24" x14ac:dyDescent="0.35">
      <c r="A8" s="418" t="s">
        <v>318</v>
      </c>
      <c r="B8" s="418"/>
      <c r="C8" s="418"/>
      <c r="D8" s="418"/>
      <c r="E8" s="418"/>
      <c r="F8" s="418"/>
      <c r="G8" s="418"/>
      <c r="H8" s="418"/>
    </row>
    <row r="9" spans="1:8" ht="24" x14ac:dyDescent="0.35">
      <c r="A9" s="418" t="s">
        <v>321</v>
      </c>
      <c r="B9" s="418"/>
      <c r="C9" s="418"/>
      <c r="D9" s="418"/>
      <c r="E9" s="418"/>
      <c r="F9" s="418"/>
      <c r="G9" s="418"/>
      <c r="H9" s="418"/>
    </row>
    <row r="10" spans="1:8" x14ac:dyDescent="0.35">
      <c r="A10" s="429" t="s">
        <v>0</v>
      </c>
      <c r="B10" s="429" t="s">
        <v>3</v>
      </c>
      <c r="C10" s="429" t="s">
        <v>4</v>
      </c>
      <c r="D10" s="429" t="s">
        <v>10</v>
      </c>
      <c r="E10" s="431" t="s">
        <v>8</v>
      </c>
      <c r="F10" s="432" t="s">
        <v>9</v>
      </c>
      <c r="G10" s="428" t="s">
        <v>7</v>
      </c>
      <c r="H10" s="428" t="s">
        <v>1</v>
      </c>
    </row>
    <row r="11" spans="1:8" x14ac:dyDescent="0.35">
      <c r="A11" s="430"/>
      <c r="B11" s="430"/>
      <c r="C11" s="430"/>
      <c r="D11" s="430"/>
      <c r="E11" s="431"/>
      <c r="F11" s="433"/>
      <c r="G11" s="428"/>
      <c r="H11" s="428"/>
    </row>
    <row r="12" spans="1:8" ht="18.5" x14ac:dyDescent="0.35">
      <c r="A12" s="129">
        <v>1</v>
      </c>
      <c r="B12" s="165"/>
      <c r="C12" s="302" t="s">
        <v>10</v>
      </c>
      <c r="D12" s="138"/>
      <c r="E12" s="138"/>
      <c r="F12" s="145">
        <v>0</v>
      </c>
      <c r="G12" s="138">
        <f>D12</f>
        <v>0</v>
      </c>
      <c r="H12" s="4"/>
    </row>
    <row r="13" spans="1:8" ht="18.5" x14ac:dyDescent="0.35">
      <c r="A13" s="106">
        <v>2</v>
      </c>
      <c r="B13" s="165" t="s">
        <v>37</v>
      </c>
      <c r="C13" s="303" t="s">
        <v>319</v>
      </c>
      <c r="D13" s="304"/>
      <c r="E13" s="96">
        <v>1225700000</v>
      </c>
      <c r="F13" s="149"/>
      <c r="G13" s="116">
        <f>G12+E13-F13</f>
        <v>1225700000</v>
      </c>
      <c r="H13" s="6"/>
    </row>
    <row r="14" spans="1:8" ht="17" x14ac:dyDescent="0.55000000000000004">
      <c r="A14" s="100">
        <v>3</v>
      </c>
      <c r="B14" s="305" t="s">
        <v>37</v>
      </c>
      <c r="C14" s="27" t="s">
        <v>320</v>
      </c>
      <c r="D14" s="146"/>
      <c r="E14" s="146">
        <v>3627709000</v>
      </c>
      <c r="F14" s="167"/>
      <c r="G14" s="116">
        <f t="shared" ref="G14:G31" si="0">G13+E14-F14</f>
        <v>4853409000</v>
      </c>
      <c r="H14" s="7"/>
    </row>
    <row r="15" spans="1:8" ht="17" x14ac:dyDescent="0.55000000000000004">
      <c r="A15" s="106"/>
      <c r="B15" s="165"/>
      <c r="C15" s="306" t="s">
        <v>64</v>
      </c>
      <c r="D15" s="168"/>
      <c r="E15" s="98"/>
      <c r="F15" s="307">
        <v>582081816</v>
      </c>
      <c r="G15" s="116">
        <f t="shared" si="0"/>
        <v>4271327184</v>
      </c>
      <c r="H15" s="7"/>
    </row>
    <row r="16" spans="1:8" ht="17" x14ac:dyDescent="0.55000000000000004">
      <c r="A16" s="100"/>
      <c r="B16" s="165"/>
      <c r="C16" s="306" t="s">
        <v>65</v>
      </c>
      <c r="D16" s="171"/>
      <c r="E16" s="98"/>
      <c r="F16" s="307">
        <v>3482585567</v>
      </c>
      <c r="G16" s="116">
        <f t="shared" si="0"/>
        <v>788741617</v>
      </c>
      <c r="H16" s="54"/>
    </row>
    <row r="17" spans="1:8" ht="17" x14ac:dyDescent="0.55000000000000004">
      <c r="A17" s="106"/>
      <c r="B17" s="165"/>
      <c r="C17" s="9"/>
      <c r="D17" s="141"/>
      <c r="E17" s="97"/>
      <c r="F17" s="97"/>
      <c r="G17" s="116">
        <f t="shared" si="0"/>
        <v>788741617</v>
      </c>
      <c r="H17" s="54"/>
    </row>
    <row r="18" spans="1:8" ht="17" x14ac:dyDescent="0.55000000000000004">
      <c r="A18" s="100"/>
      <c r="B18" s="165"/>
      <c r="D18" s="163"/>
      <c r="E18" s="98"/>
      <c r="F18" s="98"/>
      <c r="G18" s="116">
        <f t="shared" si="0"/>
        <v>788741617</v>
      </c>
      <c r="H18" s="54"/>
    </row>
    <row r="19" spans="1:8" ht="17" x14ac:dyDescent="0.55000000000000004">
      <c r="A19" s="106"/>
      <c r="B19" s="165"/>
      <c r="C19" s="5"/>
      <c r="D19" s="124"/>
      <c r="E19" s="98"/>
      <c r="F19" s="98"/>
      <c r="G19" s="116">
        <f t="shared" si="0"/>
        <v>788741617</v>
      </c>
      <c r="H19" s="54"/>
    </row>
    <row r="20" spans="1:8" ht="17" x14ac:dyDescent="0.55000000000000004">
      <c r="A20" s="100"/>
      <c r="B20" s="165"/>
      <c r="C20" s="11"/>
      <c r="D20" s="134"/>
      <c r="E20" s="98"/>
      <c r="F20" s="98"/>
      <c r="G20" s="116">
        <f t="shared" si="0"/>
        <v>788741617</v>
      </c>
      <c r="H20" s="54"/>
    </row>
    <row r="21" spans="1:8" ht="17" x14ac:dyDescent="0.55000000000000004">
      <c r="A21" s="106"/>
      <c r="B21" s="165"/>
      <c r="C21" s="5"/>
      <c r="D21" s="124"/>
      <c r="E21" s="98"/>
      <c r="F21" s="98"/>
      <c r="G21" s="116">
        <f t="shared" si="0"/>
        <v>788741617</v>
      </c>
      <c r="H21" s="54"/>
    </row>
    <row r="22" spans="1:8" ht="17" x14ac:dyDescent="0.55000000000000004">
      <c r="A22" s="100"/>
      <c r="B22" s="165"/>
      <c r="C22" s="5"/>
      <c r="D22" s="124"/>
      <c r="E22" s="98"/>
      <c r="F22" s="98"/>
      <c r="G22" s="116">
        <f t="shared" si="0"/>
        <v>788741617</v>
      </c>
      <c r="H22" s="54"/>
    </row>
    <row r="23" spans="1:8" ht="17" x14ac:dyDescent="0.55000000000000004">
      <c r="A23" s="106"/>
      <c r="B23" s="165"/>
      <c r="C23" s="9"/>
      <c r="D23" s="163"/>
      <c r="E23" s="98"/>
      <c r="F23" s="98"/>
      <c r="G23" s="116">
        <f t="shared" si="0"/>
        <v>788741617</v>
      </c>
      <c r="H23" s="54"/>
    </row>
    <row r="24" spans="1:8" ht="17" x14ac:dyDescent="0.55000000000000004">
      <c r="A24" s="100"/>
      <c r="B24" s="165"/>
      <c r="C24" s="55"/>
      <c r="D24" s="101"/>
      <c r="E24" s="98"/>
      <c r="F24" s="98"/>
      <c r="G24" s="116">
        <f t="shared" si="0"/>
        <v>788741617</v>
      </c>
      <c r="H24" s="54"/>
    </row>
    <row r="25" spans="1:8" ht="17" x14ac:dyDescent="0.55000000000000004">
      <c r="A25" s="106"/>
      <c r="B25" s="165"/>
      <c r="C25" s="55"/>
      <c r="D25" s="101"/>
      <c r="E25" s="98"/>
      <c r="F25" s="98"/>
      <c r="G25" s="116">
        <f t="shared" si="0"/>
        <v>788741617</v>
      </c>
      <c r="H25" s="54"/>
    </row>
    <row r="26" spans="1:8" ht="17" x14ac:dyDescent="0.55000000000000004">
      <c r="A26" s="100"/>
      <c r="B26" s="165"/>
      <c r="C26" s="9"/>
      <c r="D26" s="163"/>
      <c r="E26" s="98"/>
      <c r="F26" s="98"/>
      <c r="G26" s="116">
        <f t="shared" si="0"/>
        <v>788741617</v>
      </c>
      <c r="H26" s="54"/>
    </row>
    <row r="27" spans="1:8" ht="17" x14ac:dyDescent="0.55000000000000004">
      <c r="A27" s="106"/>
      <c r="B27" s="165"/>
      <c r="C27" s="5"/>
      <c r="D27" s="124"/>
      <c r="E27" s="98"/>
      <c r="F27" s="98"/>
      <c r="G27" s="116">
        <f t="shared" si="0"/>
        <v>788741617</v>
      </c>
      <c r="H27" s="13"/>
    </row>
    <row r="28" spans="1:8" ht="17" x14ac:dyDescent="0.55000000000000004">
      <c r="A28" s="100"/>
      <c r="B28" s="165"/>
      <c r="C28" s="5"/>
      <c r="D28" s="124"/>
      <c r="E28" s="98"/>
      <c r="F28" s="98"/>
      <c r="G28" s="116">
        <f t="shared" si="0"/>
        <v>788741617</v>
      </c>
      <c r="H28" s="13"/>
    </row>
    <row r="29" spans="1:8" ht="17" x14ac:dyDescent="0.55000000000000004">
      <c r="A29" s="106"/>
      <c r="B29" s="165"/>
      <c r="C29" s="5"/>
      <c r="D29" s="124"/>
      <c r="E29" s="98"/>
      <c r="F29" s="98"/>
      <c r="G29" s="116">
        <f t="shared" si="0"/>
        <v>788741617</v>
      </c>
      <c r="H29" s="13"/>
    </row>
    <row r="30" spans="1:8" ht="17" x14ac:dyDescent="0.55000000000000004">
      <c r="A30" s="100"/>
      <c r="B30" s="165"/>
      <c r="C30" s="9"/>
      <c r="D30" s="163"/>
      <c r="E30" s="98"/>
      <c r="F30" s="98"/>
      <c r="G30" s="116">
        <f t="shared" si="0"/>
        <v>788741617</v>
      </c>
      <c r="H30" s="54"/>
    </row>
    <row r="31" spans="1:8" ht="17" x14ac:dyDescent="0.55000000000000004">
      <c r="A31" s="106"/>
      <c r="B31" s="165"/>
      <c r="C31" s="9"/>
      <c r="D31" s="163"/>
      <c r="E31" s="98"/>
      <c r="F31" s="98"/>
      <c r="G31" s="116">
        <f t="shared" si="0"/>
        <v>788741617</v>
      </c>
      <c r="H31" s="54"/>
    </row>
    <row r="32" spans="1:8" ht="17" x14ac:dyDescent="0.55000000000000004">
      <c r="A32" s="16"/>
      <c r="B32" s="17" t="s">
        <v>2</v>
      </c>
      <c r="C32" s="17"/>
      <c r="D32" s="142">
        <f>SUM(D12:D31)</f>
        <v>0</v>
      </c>
      <c r="E32" s="128">
        <f>SUM(E12:E31)</f>
        <v>4853409000</v>
      </c>
      <c r="F32" s="128">
        <f>SUM(F12:F31)</f>
        <v>4064667383</v>
      </c>
      <c r="G32" s="128">
        <f>D32+E32-F32</f>
        <v>788741617</v>
      </c>
      <c r="H32" s="170"/>
    </row>
    <row r="33" spans="1:8" ht="22.5" x14ac:dyDescent="0.7">
      <c r="A33" s="18"/>
      <c r="B33" s="19"/>
      <c r="C33" s="20"/>
      <c r="D33" s="20"/>
      <c r="E33" s="21"/>
      <c r="F33" s="21"/>
      <c r="G33" s="21"/>
      <c r="H33" s="19"/>
    </row>
    <row r="34" spans="1:8" ht="18.5" x14ac:dyDescent="0.35">
      <c r="A34" s="419" t="s">
        <v>68</v>
      </c>
      <c r="B34" s="419"/>
      <c r="C34" s="419"/>
      <c r="D34" s="419"/>
      <c r="E34" s="419"/>
      <c r="F34" s="419"/>
      <c r="G34" s="419"/>
      <c r="H34" s="419"/>
    </row>
    <row r="35" spans="1:8" ht="17" x14ac:dyDescent="0.55000000000000004">
      <c r="A35" s="53"/>
      <c r="B35" s="22"/>
      <c r="C35" s="22"/>
      <c r="D35" s="22"/>
      <c r="E35" s="53"/>
      <c r="F35" s="53"/>
      <c r="G35" s="53"/>
      <c r="H35" s="53"/>
    </row>
    <row r="36" spans="1:8" ht="17" x14ac:dyDescent="0.55000000000000004">
      <c r="A36" s="53"/>
      <c r="B36" s="22"/>
      <c r="C36" s="22"/>
      <c r="D36" s="22"/>
      <c r="E36" s="53"/>
      <c r="F36" s="53"/>
      <c r="G36" s="53"/>
      <c r="H36" s="53"/>
    </row>
    <row r="37" spans="1:8" ht="17" x14ac:dyDescent="0.55000000000000004">
      <c r="A37" s="53"/>
      <c r="B37" s="22"/>
      <c r="C37" s="22"/>
      <c r="D37" s="22"/>
      <c r="E37" s="53"/>
      <c r="F37" s="53"/>
      <c r="G37" s="53"/>
      <c r="H37" s="53"/>
    </row>
    <row r="38" spans="1:8" ht="17" x14ac:dyDescent="0.55000000000000004">
      <c r="A38" s="53"/>
      <c r="B38" s="22"/>
      <c r="C38" s="22"/>
      <c r="D38" s="22"/>
      <c r="E38" s="53"/>
      <c r="F38" s="53"/>
      <c r="G38" s="53"/>
      <c r="H38" s="53"/>
    </row>
    <row r="39" spans="1:8" ht="17" x14ac:dyDescent="0.55000000000000004">
      <c r="A39" s="53"/>
      <c r="B39" s="22"/>
      <c r="C39" s="22"/>
      <c r="D39" s="22"/>
      <c r="E39" s="53"/>
      <c r="F39" s="53"/>
      <c r="G39" s="53"/>
      <c r="H39" s="53"/>
    </row>
    <row r="40" spans="1:8" ht="17" x14ac:dyDescent="0.55000000000000004">
      <c r="A40" s="53"/>
      <c r="B40" s="22"/>
      <c r="C40" s="22"/>
      <c r="D40" s="22"/>
      <c r="E40" s="53"/>
      <c r="F40" s="53"/>
      <c r="G40" s="53"/>
      <c r="H40" s="53"/>
    </row>
    <row r="41" spans="1:8" ht="17" x14ac:dyDescent="0.55000000000000004">
      <c r="A41" s="53"/>
      <c r="B41" s="22"/>
      <c r="C41" s="22"/>
      <c r="D41" s="22"/>
      <c r="E41" s="53"/>
      <c r="F41" s="53"/>
      <c r="G41" s="53"/>
      <c r="H41" s="53"/>
    </row>
    <row r="42" spans="1:8" ht="17" x14ac:dyDescent="0.55000000000000004">
      <c r="A42" s="53"/>
      <c r="B42" s="22"/>
      <c r="C42" s="22"/>
      <c r="D42" s="22"/>
      <c r="E42" s="53"/>
      <c r="F42" s="53"/>
      <c r="G42" s="53"/>
      <c r="H42" s="53"/>
    </row>
    <row r="43" spans="1:8" ht="17" x14ac:dyDescent="0.55000000000000004">
      <c r="A43" s="53"/>
      <c r="B43" s="22"/>
      <c r="C43" s="22"/>
      <c r="D43" s="22"/>
      <c r="E43" s="53"/>
      <c r="F43" s="53"/>
      <c r="G43" s="53"/>
      <c r="H43" s="53"/>
    </row>
    <row r="44" spans="1:8" ht="18.5" x14ac:dyDescent="0.6">
      <c r="A44" s="407" t="s">
        <v>67</v>
      </c>
      <c r="B44" s="407"/>
      <c r="C44" s="407"/>
      <c r="D44" s="407"/>
      <c r="E44" s="407"/>
      <c r="F44" s="407"/>
      <c r="G44" s="407"/>
      <c r="H44" s="407"/>
    </row>
  </sheetData>
  <mergeCells count="14">
    <mergeCell ref="G10:G11"/>
    <mergeCell ref="H10:H11"/>
    <mergeCell ref="A34:H34"/>
    <mergeCell ref="A44:H44"/>
    <mergeCell ref="A1:H1"/>
    <mergeCell ref="A2:H2"/>
    <mergeCell ref="A8:H8"/>
    <mergeCell ref="A9:H9"/>
    <mergeCell ref="A10:A11"/>
    <mergeCell ref="B10:B11"/>
    <mergeCell ref="C10:C11"/>
    <mergeCell ref="D10:D11"/>
    <mergeCell ref="E10:E11"/>
    <mergeCell ref="F10:F11"/>
  </mergeCells>
  <pageMargins left="0.1" right="0.20833333333333334" top="0.75" bottom="0.75" header="0.3" footer="0.3"/>
  <pageSetup paperSize="9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P59"/>
  <sheetViews>
    <sheetView view="pageLayout" zoomScale="95" zoomScaleNormal="100" zoomScalePageLayoutView="95" workbookViewId="0">
      <selection activeCell="F17" sqref="F17"/>
    </sheetView>
  </sheetViews>
  <sheetFormatPr defaultColWidth="9.1796875" defaultRowHeight="17" x14ac:dyDescent="0.55000000000000004"/>
  <cols>
    <col min="1" max="1" width="3.90625" style="53" customWidth="1"/>
    <col min="2" max="2" width="39.7265625" style="22" customWidth="1"/>
    <col min="3" max="3" width="16.1796875" style="22" hidden="1" customWidth="1"/>
    <col min="4" max="4" width="16.453125" style="53" hidden="1" customWidth="1"/>
    <col min="5" max="5" width="14.81640625" style="53" hidden="1" customWidth="1"/>
    <col min="6" max="6" width="15.7265625" style="53" customWidth="1"/>
    <col min="7" max="7" width="15.08984375" style="53" customWidth="1"/>
    <col min="8" max="8" width="19.6328125" style="53" customWidth="1"/>
    <col min="9" max="9" width="18.6328125" style="53" customWidth="1"/>
    <col min="10" max="10" width="18.7265625" style="53" customWidth="1"/>
    <col min="11" max="11" width="18.453125" style="328" bestFit="1" customWidth="1"/>
    <col min="12" max="12" width="17.7265625" style="328" bestFit="1" customWidth="1"/>
    <col min="13" max="13" width="9.1796875" style="53"/>
    <col min="14" max="14" width="19" style="53" bestFit="1" customWidth="1"/>
    <col min="15" max="16384" width="9.1796875" style="53"/>
  </cols>
  <sheetData>
    <row r="1" spans="1:12" ht="19.5" customHeight="1" x14ac:dyDescent="0.55000000000000004">
      <c r="A1" s="406" t="s">
        <v>339</v>
      </c>
      <c r="B1" s="406"/>
      <c r="C1" s="406"/>
      <c r="D1" s="406"/>
      <c r="E1" s="406"/>
      <c r="F1" s="406"/>
      <c r="G1" s="406"/>
      <c r="H1" s="406"/>
      <c r="I1" s="406"/>
      <c r="J1" s="406"/>
      <c r="K1" s="451"/>
    </row>
    <row r="2" spans="1:12" ht="23.25" customHeight="1" thickBot="1" x14ac:dyDescent="0.6">
      <c r="A2" s="406" t="s">
        <v>368</v>
      </c>
      <c r="B2" s="406"/>
      <c r="C2" s="406"/>
      <c r="D2" s="406"/>
      <c r="E2" s="406"/>
      <c r="F2" s="406"/>
      <c r="G2" s="406"/>
      <c r="H2" s="406"/>
      <c r="I2" s="406"/>
      <c r="J2" s="406"/>
      <c r="K2" s="451"/>
    </row>
    <row r="3" spans="1:12" ht="25.5" customHeight="1" x14ac:dyDescent="0.55000000000000004">
      <c r="A3" s="396" t="s">
        <v>0</v>
      </c>
      <c r="B3" s="397" t="s">
        <v>4</v>
      </c>
      <c r="C3" s="397" t="s">
        <v>10</v>
      </c>
      <c r="D3" s="398" t="s">
        <v>8</v>
      </c>
      <c r="E3" s="399" t="s">
        <v>9</v>
      </c>
      <c r="F3" s="400" t="s">
        <v>360</v>
      </c>
      <c r="G3" s="400" t="s">
        <v>361</v>
      </c>
      <c r="H3" s="400" t="s">
        <v>362</v>
      </c>
      <c r="I3" s="400" t="s">
        <v>363</v>
      </c>
      <c r="J3" s="401" t="s">
        <v>364</v>
      </c>
      <c r="K3" s="328" t="s">
        <v>348</v>
      </c>
    </row>
    <row r="4" spans="1:12" ht="13" customHeight="1" thickBot="1" x14ac:dyDescent="0.6">
      <c r="A4" s="336"/>
      <c r="B4" s="337"/>
      <c r="C4" s="332"/>
      <c r="D4" s="333"/>
      <c r="E4" s="333"/>
      <c r="F4" s="338"/>
      <c r="G4" s="338"/>
      <c r="H4" s="338"/>
      <c r="I4" s="338"/>
      <c r="J4" s="356"/>
    </row>
    <row r="5" spans="1:12" s="327" customFormat="1" ht="18" customHeight="1" x14ac:dyDescent="0.6">
      <c r="A5" s="339" t="s">
        <v>342</v>
      </c>
      <c r="B5" s="458" t="s">
        <v>347</v>
      </c>
      <c r="C5" s="340"/>
      <c r="D5" s="333"/>
      <c r="E5" s="333"/>
      <c r="F5" s="334">
        <f>SUM(F6:F10)</f>
        <v>2343186799</v>
      </c>
      <c r="G5" s="385">
        <f>SUM(G6:G9)</f>
        <v>0</v>
      </c>
      <c r="H5" s="334">
        <f>SUM(H6:H9)</f>
        <v>6610388800</v>
      </c>
      <c r="I5" s="334">
        <f>SUM(I6:I10)</f>
        <v>-4267202001</v>
      </c>
      <c r="J5" s="357">
        <f>SUM(J6:J9)</f>
        <v>5267202001</v>
      </c>
      <c r="K5" s="329"/>
      <c r="L5" s="329"/>
    </row>
    <row r="6" spans="1:12" ht="17.5" thickBot="1" x14ac:dyDescent="0.6">
      <c r="A6" s="341">
        <v>1</v>
      </c>
      <c r="B6" s="342" t="s">
        <v>317</v>
      </c>
      <c r="C6" s="95">
        <f>ຊ່ອງຕະອູ!D63</f>
        <v>1858641064</v>
      </c>
      <c r="D6" s="95">
        <f>ຊ່ອງຕະອູ!E63</f>
        <v>0</v>
      </c>
      <c r="E6" s="95">
        <f>ຊ່ອງຕະອູ!F63</f>
        <v>1482746279</v>
      </c>
      <c r="F6" s="343">
        <f>375894785+1055922729</f>
        <v>1431817514</v>
      </c>
      <c r="G6" s="344">
        <v>0</v>
      </c>
      <c r="H6" s="344">
        <v>1683000000</v>
      </c>
      <c r="I6" s="345">
        <f>F6+G6-H6</f>
        <v>-251182486</v>
      </c>
      <c r="J6" s="403">
        <f>H6-F6-G6</f>
        <v>251182486</v>
      </c>
      <c r="K6" s="452"/>
    </row>
    <row r="7" spans="1:12" x14ac:dyDescent="0.55000000000000004">
      <c r="A7" s="347">
        <v>3</v>
      </c>
      <c r="B7" s="303" t="s">
        <v>21</v>
      </c>
      <c r="C7" s="95"/>
      <c r="D7" s="95"/>
      <c r="E7" s="95"/>
      <c r="F7" s="344">
        <v>125960733</v>
      </c>
      <c r="G7" s="344"/>
      <c r="H7" s="344">
        <v>3295600000</v>
      </c>
      <c r="I7" s="345">
        <f t="shared" ref="I7:I10" si="0">F7+G7-H7</f>
        <v>-3169639267</v>
      </c>
      <c r="J7" s="403">
        <f t="shared" ref="J7:J9" si="1">H7-F7-G7</f>
        <v>3169639267</v>
      </c>
      <c r="L7" s="328">
        <v>39936686</v>
      </c>
    </row>
    <row r="8" spans="1:12" x14ac:dyDescent="0.55000000000000004">
      <c r="A8" s="347">
        <v>4</v>
      </c>
      <c r="B8" s="303" t="s">
        <v>370</v>
      </c>
      <c r="C8" s="95">
        <f>ທາງປູຢາງປະທຸມພອນ!D37</f>
        <v>30907000</v>
      </c>
      <c r="D8" s="95">
        <f>ທາງປູຢາງປະທຸມພອນ!E37</f>
        <v>2123441238</v>
      </c>
      <c r="E8" s="95">
        <f>ທາງປູຢາງປະທຸມພອນ!F37</f>
        <v>2000000000</v>
      </c>
      <c r="F8" s="348">
        <f t="shared" ref="F8" si="2">C8+D8-E8</f>
        <v>154348238</v>
      </c>
      <c r="G8" s="348">
        <v>0</v>
      </c>
      <c r="H8" s="348">
        <f>3459788800-2600000000</f>
        <v>859788800</v>
      </c>
      <c r="I8" s="345">
        <f t="shared" si="0"/>
        <v>-705440562</v>
      </c>
      <c r="J8" s="403">
        <f t="shared" si="1"/>
        <v>705440562</v>
      </c>
      <c r="L8" s="328">
        <v>750000000</v>
      </c>
    </row>
    <row r="9" spans="1:12" ht="17.5" thickBot="1" x14ac:dyDescent="0.6">
      <c r="A9" s="447">
        <v>5</v>
      </c>
      <c r="B9" s="439" t="s">
        <v>34</v>
      </c>
      <c r="C9" s="351">
        <f>BOL!D32</f>
        <v>61800828</v>
      </c>
      <c r="D9" s="351">
        <f>BOL!E32</f>
        <v>0</v>
      </c>
      <c r="E9" s="351">
        <f>BOL!F32</f>
        <v>101737514</v>
      </c>
      <c r="F9" s="446">
        <v>-368939686</v>
      </c>
      <c r="G9" s="354">
        <v>0</v>
      </c>
      <c r="H9" s="440">
        <v>772000000</v>
      </c>
      <c r="I9" s="345">
        <f t="shared" si="0"/>
        <v>-1140939686</v>
      </c>
      <c r="J9" s="448">
        <f t="shared" si="1"/>
        <v>1140939686</v>
      </c>
      <c r="L9" s="328">
        <f>SUM(L7:L8)</f>
        <v>789936686</v>
      </c>
    </row>
    <row r="10" spans="1:12" s="34" customFormat="1" ht="17.5" thickBot="1" x14ac:dyDescent="0.6">
      <c r="A10" s="347">
        <v>6</v>
      </c>
      <c r="B10" s="434" t="s">
        <v>369</v>
      </c>
      <c r="C10" s="358"/>
      <c r="D10" s="358"/>
      <c r="E10" s="358"/>
      <c r="F10" s="445">
        <v>1000000000</v>
      </c>
      <c r="G10" s="438"/>
      <c r="H10" s="382"/>
      <c r="I10" s="344">
        <f t="shared" si="0"/>
        <v>1000000000</v>
      </c>
      <c r="J10" s="404"/>
      <c r="K10" s="335"/>
      <c r="L10" s="335"/>
    </row>
    <row r="11" spans="1:12" s="327" customFormat="1" ht="18.5" x14ac:dyDescent="0.6">
      <c r="A11" s="455" t="s">
        <v>343</v>
      </c>
      <c r="B11" s="457" t="s">
        <v>371</v>
      </c>
      <c r="C11" s="359"/>
      <c r="D11" s="359"/>
      <c r="E11" s="359"/>
      <c r="F11" s="360">
        <f>SUM(F12:F28)</f>
        <v>1560975056</v>
      </c>
      <c r="G11" s="360">
        <f>SUM(G12:G28)</f>
        <v>6370194511</v>
      </c>
      <c r="H11" s="360">
        <f>SUM(H12:H28)</f>
        <v>12353248476</v>
      </c>
      <c r="I11" s="360">
        <f>SUM(I12:I28)</f>
        <v>-4422078909</v>
      </c>
      <c r="J11" s="361">
        <f>SUM(J12:J28)</f>
        <v>6876232759</v>
      </c>
      <c r="K11" s="329"/>
      <c r="L11" s="329"/>
    </row>
    <row r="12" spans="1:12" x14ac:dyDescent="0.55000000000000004">
      <c r="A12" s="347">
        <v>1</v>
      </c>
      <c r="B12" s="434" t="s">
        <v>355</v>
      </c>
      <c r="C12" s="96">
        <f>ທາງລົງພາວເວີ້ເຮົ້າອີມູນ!D68</f>
        <v>765454656</v>
      </c>
      <c r="D12" s="96">
        <f>ທາງລົງພາວເວີ້ເຮົ້າອີມູນ!E68</f>
        <v>2094515000</v>
      </c>
      <c r="E12" s="96">
        <f>ທາງລົງພາວເວີ້ເຮົ້າອີມູນ!F68</f>
        <v>1155500682</v>
      </c>
      <c r="F12" s="348">
        <f>C12+D12-E12</f>
        <v>1704468974</v>
      </c>
      <c r="G12" s="348"/>
      <c r="H12" s="348">
        <f>1391000000-293573531</f>
        <v>1097426469</v>
      </c>
      <c r="I12" s="348">
        <f>F12+G12-H12</f>
        <v>607042505</v>
      </c>
      <c r="J12" s="346"/>
    </row>
    <row r="13" spans="1:12" x14ac:dyDescent="0.55000000000000004">
      <c r="A13" s="347">
        <v>2</v>
      </c>
      <c r="B13" s="303" t="s">
        <v>372</v>
      </c>
      <c r="C13" s="96"/>
      <c r="D13" s="96"/>
      <c r="E13" s="96"/>
      <c r="F13" s="348"/>
      <c r="G13" s="348">
        <v>2396167380</v>
      </c>
      <c r="H13" s="348">
        <v>2396167380</v>
      </c>
      <c r="I13" s="348">
        <f t="shared" ref="I13:I28" si="3">F13+G13-H13</f>
        <v>0</v>
      </c>
      <c r="J13" s="346"/>
    </row>
    <row r="14" spans="1:12" x14ac:dyDescent="0.55000000000000004">
      <c r="A14" s="347">
        <v>3</v>
      </c>
      <c r="B14" s="303" t="s">
        <v>351</v>
      </c>
      <c r="C14" s="96"/>
      <c r="D14" s="96"/>
      <c r="E14" s="96"/>
      <c r="F14" s="348"/>
      <c r="G14" s="348">
        <v>1371657822</v>
      </c>
      <c r="H14" s="348"/>
      <c r="I14" s="348">
        <f t="shared" si="3"/>
        <v>1371657822</v>
      </c>
      <c r="J14" s="346"/>
    </row>
    <row r="15" spans="1:12" x14ac:dyDescent="0.55000000000000004">
      <c r="A15" s="347">
        <v>4</v>
      </c>
      <c r="B15" s="303" t="s">
        <v>374</v>
      </c>
      <c r="C15" s="96">
        <f>ວຽກປັບປຸງຕາຂ່າຍເຂື່ອນນ້ຳອີ່ມູນ!D66</f>
        <v>0</v>
      </c>
      <c r="D15" s="96">
        <f>ວຽກປັບປຸງຕາຂ່າຍເຂື່ອນນ້ຳອີ່ມູນ!E66</f>
        <v>944263040</v>
      </c>
      <c r="E15" s="96">
        <f>ວຽກປັບປຸງຕາຂ່າຍເຂື່ອນນ້ຳອີ່ມູນ!F66+100000000</f>
        <v>1044263040</v>
      </c>
      <c r="F15" s="345"/>
      <c r="G15" s="344"/>
      <c r="H15" s="344">
        <v>115154052</v>
      </c>
      <c r="I15" s="345">
        <f t="shared" si="3"/>
        <v>-115154052</v>
      </c>
      <c r="J15" s="362">
        <f t="shared" ref="J15:J28" si="4">H15-F15-G15</f>
        <v>115154052</v>
      </c>
    </row>
    <row r="16" spans="1:12" x14ac:dyDescent="0.55000000000000004">
      <c r="A16" s="347">
        <v>5</v>
      </c>
      <c r="B16" s="303" t="s">
        <v>356</v>
      </c>
      <c r="C16" s="96"/>
      <c r="D16" s="96"/>
      <c r="E16" s="96"/>
      <c r="F16" s="345">
        <v>-100000000</v>
      </c>
      <c r="G16" s="344"/>
      <c r="H16" s="344">
        <f>43621315+325761000</f>
        <v>369382315</v>
      </c>
      <c r="I16" s="345">
        <f t="shared" si="3"/>
        <v>-469382315</v>
      </c>
      <c r="J16" s="362">
        <f t="shared" si="4"/>
        <v>469382315</v>
      </c>
    </row>
    <row r="17" spans="1:12" x14ac:dyDescent="0.55000000000000004">
      <c r="A17" s="347">
        <v>6</v>
      </c>
      <c r="B17" s="303" t="s">
        <v>357</v>
      </c>
      <c r="C17" s="96"/>
      <c r="D17" s="96"/>
      <c r="E17" s="96"/>
      <c r="F17" s="345"/>
      <c r="G17" s="344"/>
      <c r="H17" s="344">
        <v>156600000</v>
      </c>
      <c r="I17" s="345">
        <f t="shared" si="3"/>
        <v>-156600000</v>
      </c>
      <c r="J17" s="362">
        <f t="shared" si="4"/>
        <v>156600000</v>
      </c>
    </row>
    <row r="18" spans="1:12" x14ac:dyDescent="0.55000000000000004">
      <c r="A18" s="347">
        <v>7</v>
      </c>
      <c r="B18" s="303" t="s">
        <v>349</v>
      </c>
      <c r="C18" s="96"/>
      <c r="D18" s="96"/>
      <c r="E18" s="96"/>
      <c r="F18" s="345"/>
      <c r="G18" s="344"/>
      <c r="H18" s="344">
        <v>2250000</v>
      </c>
      <c r="I18" s="345">
        <f t="shared" si="3"/>
        <v>-2250000</v>
      </c>
      <c r="J18" s="362">
        <f t="shared" si="4"/>
        <v>2250000</v>
      </c>
    </row>
    <row r="19" spans="1:12" x14ac:dyDescent="0.55000000000000004">
      <c r="A19" s="347">
        <v>8</v>
      </c>
      <c r="B19" s="303" t="s">
        <v>365</v>
      </c>
      <c r="C19" s="96"/>
      <c r="D19" s="96"/>
      <c r="E19" s="96"/>
      <c r="F19" s="345"/>
      <c r="G19" s="344"/>
      <c r="H19" s="344">
        <v>43621315</v>
      </c>
      <c r="I19" s="345">
        <f t="shared" si="3"/>
        <v>-43621315</v>
      </c>
      <c r="J19" s="362">
        <f t="shared" si="4"/>
        <v>43621315</v>
      </c>
    </row>
    <row r="20" spans="1:12" s="330" customFormat="1" x14ac:dyDescent="0.55000000000000004">
      <c r="A20" s="347">
        <v>9</v>
      </c>
      <c r="B20" s="303" t="s">
        <v>350</v>
      </c>
      <c r="C20" s="96"/>
      <c r="D20" s="96"/>
      <c r="E20" s="96"/>
      <c r="F20" s="345"/>
      <c r="G20" s="344"/>
      <c r="H20" s="344">
        <v>506025764</v>
      </c>
      <c r="I20" s="345">
        <f t="shared" si="3"/>
        <v>-506025764</v>
      </c>
      <c r="J20" s="362">
        <f t="shared" si="4"/>
        <v>506025764</v>
      </c>
      <c r="K20" s="331"/>
      <c r="L20" s="331"/>
    </row>
    <row r="21" spans="1:12" ht="17.149999999999999" customHeight="1" x14ac:dyDescent="0.55000000000000004">
      <c r="A21" s="347">
        <v>10</v>
      </c>
      <c r="B21" s="303" t="s">
        <v>373</v>
      </c>
      <c r="C21" s="96"/>
      <c r="D21" s="96"/>
      <c r="E21" s="96"/>
      <c r="F21" s="344">
        <v>1143812403</v>
      </c>
      <c r="G21" s="344"/>
      <c r="H21" s="344">
        <f>448610880+444948000</f>
        <v>893558880</v>
      </c>
      <c r="I21" s="348">
        <f t="shared" si="3"/>
        <v>250253523</v>
      </c>
      <c r="J21" s="346"/>
    </row>
    <row r="22" spans="1:12" ht="17.5" thickBot="1" x14ac:dyDescent="0.6">
      <c r="A22" s="347">
        <v>11</v>
      </c>
      <c r="B22" s="303" t="s">
        <v>378</v>
      </c>
      <c r="C22" s="96"/>
      <c r="D22" s="96"/>
      <c r="E22" s="96"/>
      <c r="F22" s="345"/>
      <c r="G22" s="445">
        <v>698097358</v>
      </c>
      <c r="H22" s="344">
        <v>584076994</v>
      </c>
      <c r="I22" s="345">
        <f t="shared" si="3"/>
        <v>114020364</v>
      </c>
      <c r="J22" s="362">
        <f t="shared" si="4"/>
        <v>-114020364</v>
      </c>
    </row>
    <row r="23" spans="1:12" x14ac:dyDescent="0.55000000000000004">
      <c r="A23" s="347">
        <v>12</v>
      </c>
      <c r="B23" s="303" t="s">
        <v>42</v>
      </c>
      <c r="C23" s="96">
        <f>'ສ້ອມແປງເຊນໍ້ານ້ອຍ 1,6'!D37</f>
        <v>-26260240</v>
      </c>
      <c r="D23" s="96">
        <f>'ສ້ອມແປງເຊນໍ້ານ້ອຍ 1,6'!E37</f>
        <v>0</v>
      </c>
      <c r="E23" s="96">
        <f>'ສ້ອມແປງເຊນໍ້ານ້ອຍ 1,6'!F37</f>
        <v>177623800</v>
      </c>
      <c r="F23" s="345">
        <f>C23+D23-E23</f>
        <v>-203884040</v>
      </c>
      <c r="G23" s="344"/>
      <c r="H23" s="344">
        <v>766357500</v>
      </c>
      <c r="I23" s="345">
        <f t="shared" si="3"/>
        <v>-970241540</v>
      </c>
      <c r="J23" s="362">
        <f t="shared" si="4"/>
        <v>970241540</v>
      </c>
    </row>
    <row r="24" spans="1:12" x14ac:dyDescent="0.55000000000000004">
      <c r="A24" s="347">
        <v>13</v>
      </c>
      <c r="B24" s="303" t="s">
        <v>375</v>
      </c>
      <c r="C24" s="96"/>
      <c r="D24" s="96"/>
      <c r="E24" s="96"/>
      <c r="F24" s="345"/>
      <c r="G24" s="344">
        <v>443700000</v>
      </c>
      <c r="H24" s="344">
        <v>218500000</v>
      </c>
      <c r="I24" s="348">
        <f>F24+G24-H24</f>
        <v>225200000</v>
      </c>
      <c r="J24" s="362"/>
    </row>
    <row r="25" spans="1:12" x14ac:dyDescent="0.55000000000000004">
      <c r="A25" s="347">
        <v>14</v>
      </c>
      <c r="B25" s="303" t="s">
        <v>379</v>
      </c>
      <c r="C25" s="96"/>
      <c r="D25" s="96"/>
      <c r="E25" s="96"/>
      <c r="F25" s="345"/>
      <c r="G25" s="344"/>
      <c r="H25" s="344">
        <v>23337500</v>
      </c>
      <c r="I25" s="345">
        <f t="shared" ref="I25:I27" si="5">F25+G25-H25</f>
        <v>-23337500</v>
      </c>
      <c r="J25" s="362">
        <f t="shared" si="4"/>
        <v>23337500</v>
      </c>
    </row>
    <row r="26" spans="1:12" x14ac:dyDescent="0.55000000000000004">
      <c r="A26" s="347">
        <v>15</v>
      </c>
      <c r="B26" s="303" t="s">
        <v>376</v>
      </c>
      <c r="C26" s="96"/>
      <c r="D26" s="96"/>
      <c r="E26" s="96"/>
      <c r="F26" s="348"/>
      <c r="G26" s="348">
        <v>169418625</v>
      </c>
      <c r="H26" s="348">
        <v>169418625</v>
      </c>
      <c r="I26" s="348">
        <f t="shared" si="5"/>
        <v>0</v>
      </c>
      <c r="J26" s="362">
        <f t="shared" si="4"/>
        <v>0</v>
      </c>
    </row>
    <row r="27" spans="1:12" x14ac:dyDescent="0.55000000000000004">
      <c r="A27" s="347">
        <v>16</v>
      </c>
      <c r="B27" s="437" t="s">
        <v>377</v>
      </c>
      <c r="C27" s="388"/>
      <c r="D27" s="388"/>
      <c r="E27" s="388"/>
      <c r="F27" s="440"/>
      <c r="G27" s="440"/>
      <c r="H27" s="355">
        <v>1374033050</v>
      </c>
      <c r="I27" s="441">
        <f t="shared" si="5"/>
        <v>-1374033050</v>
      </c>
      <c r="J27" s="362">
        <f t="shared" si="4"/>
        <v>1374033050</v>
      </c>
    </row>
    <row r="28" spans="1:12" ht="17.5" thickBot="1" x14ac:dyDescent="0.6">
      <c r="A28" s="347">
        <v>17</v>
      </c>
      <c r="B28" s="439" t="s">
        <v>27</v>
      </c>
      <c r="C28" s="351">
        <f>ໂຮງຂົບຫີນ!D54</f>
        <v>764441321</v>
      </c>
      <c r="D28" s="351">
        <f>ໂຮງຂົບຫີນ!E54</f>
        <v>456593</v>
      </c>
      <c r="E28" s="351">
        <f>ໂຮງຂົບຫີນ!F54+61769126</f>
        <v>1211274195.7</v>
      </c>
      <c r="F28" s="354">
        <v>-983422281</v>
      </c>
      <c r="G28" s="449">
        <v>1291153326</v>
      </c>
      <c r="H28" s="450">
        <v>3637338632</v>
      </c>
      <c r="I28" s="459">
        <f t="shared" si="3"/>
        <v>-3329607587</v>
      </c>
      <c r="J28" s="442">
        <f t="shared" si="4"/>
        <v>3329607587</v>
      </c>
    </row>
    <row r="29" spans="1:12" s="327" customFormat="1" ht="17.5" x14ac:dyDescent="0.6">
      <c r="A29" s="455" t="s">
        <v>344</v>
      </c>
      <c r="B29" s="365" t="s">
        <v>380</v>
      </c>
      <c r="C29" s="359"/>
      <c r="D29" s="359"/>
      <c r="E29" s="359"/>
      <c r="F29" s="366">
        <f>SUM(F30:F32)</f>
        <v>9350882195</v>
      </c>
      <c r="G29" s="460">
        <f>SUM(G30:G32)</f>
        <v>0</v>
      </c>
      <c r="H29" s="366">
        <f>SUM(H30:H31)</f>
        <v>1739199040</v>
      </c>
      <c r="I29" s="366">
        <f>SUM(I30:I32)</f>
        <v>7611683155</v>
      </c>
      <c r="J29" s="367">
        <f>SUM(J30:J32)</f>
        <v>1000000000</v>
      </c>
      <c r="K29" s="329"/>
      <c r="L29" s="329"/>
    </row>
    <row r="30" spans="1:12" x14ac:dyDescent="0.55000000000000004">
      <c r="A30" s="454">
        <v>1</v>
      </c>
      <c r="B30" s="303" t="s">
        <v>382</v>
      </c>
      <c r="C30" s="96">
        <f>ສະໜາມບິນຫຼວງພະບາງ!D41</f>
        <v>990902578</v>
      </c>
      <c r="D30" s="96">
        <f>ສະໜາມບິນຫຼວງພະບາງ!E41</f>
        <v>0</v>
      </c>
      <c r="E30" s="96">
        <f>ສະໜາມບິນຫຼວງພະບາງ!F41</f>
        <v>9465383</v>
      </c>
      <c r="F30" s="461"/>
      <c r="G30" s="461">
        <v>0</v>
      </c>
      <c r="H30" s="461">
        <v>1000000000</v>
      </c>
      <c r="I30" s="364">
        <f>F30+G30-H30</f>
        <v>-1000000000</v>
      </c>
      <c r="J30" s="372">
        <f>H30-F30-G30</f>
        <v>1000000000</v>
      </c>
    </row>
    <row r="31" spans="1:12" x14ac:dyDescent="0.55000000000000004">
      <c r="A31" s="454">
        <v>2</v>
      </c>
      <c r="B31" s="306" t="s">
        <v>24</v>
      </c>
      <c r="C31" s="462"/>
      <c r="D31" s="462"/>
      <c r="E31" s="462"/>
      <c r="F31" s="461">
        <v>981437195</v>
      </c>
      <c r="G31" s="463"/>
      <c r="H31" s="461">
        <v>739199040</v>
      </c>
      <c r="I31" s="461">
        <f>F31+G31-H31</f>
        <v>242238155</v>
      </c>
      <c r="J31" s="372"/>
    </row>
    <row r="32" spans="1:12" ht="17.5" thickBot="1" x14ac:dyDescent="0.6">
      <c r="A32" s="349">
        <v>3</v>
      </c>
      <c r="B32" s="368" t="s">
        <v>381</v>
      </c>
      <c r="C32" s="464"/>
      <c r="D32" s="464"/>
      <c r="E32" s="464"/>
      <c r="F32" s="465">
        <f>965000*8673</f>
        <v>8369445000</v>
      </c>
      <c r="G32" s="369"/>
      <c r="H32" s="369"/>
      <c r="I32" s="466">
        <f>F32+G32-H32</f>
        <v>8369445000</v>
      </c>
      <c r="J32" s="444"/>
    </row>
    <row r="33" spans="1:120" ht="17.5" x14ac:dyDescent="0.6">
      <c r="A33" s="363" t="s">
        <v>345</v>
      </c>
      <c r="B33" s="365" t="s">
        <v>384</v>
      </c>
      <c r="C33" s="370"/>
      <c r="D33" s="371"/>
      <c r="E33" s="371"/>
      <c r="F33" s="385">
        <f>SUM(F34:F35)</f>
        <v>-2988998238</v>
      </c>
      <c r="G33" s="385">
        <f>SUM(G34:G35)</f>
        <v>0</v>
      </c>
      <c r="H33" s="384">
        <f>SUM(H34:H36)</f>
        <v>9983426536</v>
      </c>
      <c r="I33" s="384">
        <f>SUM(I34:I36)</f>
        <v>-12972424774</v>
      </c>
      <c r="J33" s="383">
        <f>SUM(J34:J36)</f>
        <v>12972424774</v>
      </c>
    </row>
    <row r="34" spans="1:120" x14ac:dyDescent="0.55000000000000004">
      <c r="A34" s="454">
        <v>1</v>
      </c>
      <c r="B34" s="306" t="s">
        <v>28</v>
      </c>
      <c r="C34" s="96">
        <f>ໂຮງແຮມພູສະເຫຼົ່າ!D51</f>
        <v>-43637802</v>
      </c>
      <c r="D34" s="96">
        <f>ໂຮງແຮມພູສະເຫຼົ່າ!E51</f>
        <v>0</v>
      </c>
      <c r="E34" s="96">
        <f>ໂຮງແຮມພູສະເຫຼົ່າ!F51</f>
        <v>785700867</v>
      </c>
      <c r="F34" s="345">
        <f>C34+D34-E34</f>
        <v>-829338669</v>
      </c>
      <c r="G34" s="344">
        <v>0</v>
      </c>
      <c r="H34" s="296">
        <v>3100120739</v>
      </c>
      <c r="I34" s="364">
        <f>F34+G34-H34</f>
        <v>-3929459408</v>
      </c>
      <c r="J34" s="372">
        <f>H34-F34-G34</f>
        <v>3929459408</v>
      </c>
      <c r="K34" s="453"/>
    </row>
    <row r="35" spans="1:120" ht="17.5" thickBot="1" x14ac:dyDescent="0.6">
      <c r="A35" s="386">
        <v>2</v>
      </c>
      <c r="B35" s="387" t="s">
        <v>341</v>
      </c>
      <c r="C35" s="373">
        <f>'ຊີເອັສຊີ VTE'!D62</f>
        <v>6559205569</v>
      </c>
      <c r="D35" s="351">
        <f>'ຊີເອັສຊີ VTE'!E62</f>
        <v>0</v>
      </c>
      <c r="E35" s="351">
        <f>'ຊີເອັສຊີ VTE'!F62</f>
        <v>6394308465</v>
      </c>
      <c r="F35" s="389">
        <v>-2159659569</v>
      </c>
      <c r="G35" s="296">
        <v>0</v>
      </c>
      <c r="H35" s="296">
        <v>6132853420</v>
      </c>
      <c r="I35" s="354">
        <f>F35+G35-H35</f>
        <v>-8292512989</v>
      </c>
      <c r="J35" s="381">
        <f>H35-F35-G35</f>
        <v>8292512989</v>
      </c>
    </row>
    <row r="36" spans="1:120" ht="17.5" thickBot="1" x14ac:dyDescent="0.6">
      <c r="A36" s="349">
        <v>3</v>
      </c>
      <c r="B36" s="350" t="s">
        <v>383</v>
      </c>
      <c r="C36" s="436"/>
      <c r="D36" s="358"/>
      <c r="E36" s="358"/>
      <c r="F36" s="443"/>
      <c r="G36" s="389"/>
      <c r="H36" s="389">
        <v>750452377</v>
      </c>
      <c r="I36" s="352">
        <f>F36+G36-H36</f>
        <v>-750452377</v>
      </c>
      <c r="J36" s="444">
        <f>H36-F36-G36</f>
        <v>750452377</v>
      </c>
      <c r="L36" s="53"/>
    </row>
    <row r="37" spans="1:120" s="327" customFormat="1" ht="17.5" thickBot="1" x14ac:dyDescent="0.6">
      <c r="A37" s="375" t="s">
        <v>352</v>
      </c>
      <c r="B37" s="456" t="s">
        <v>346</v>
      </c>
      <c r="C37" s="376"/>
      <c r="D37" s="377"/>
      <c r="E37" s="378"/>
      <c r="F37" s="379">
        <f>SUM(F38:F44)</f>
        <v>-375696750</v>
      </c>
      <c r="G37" s="379">
        <f>SUM(G41:G45)</f>
        <v>2600000000</v>
      </c>
      <c r="H37" s="379">
        <f>SUM(H38:H45)</f>
        <v>4158137249.2857141</v>
      </c>
      <c r="I37" s="379">
        <f>SUM(I38:I45)</f>
        <v>-1933833999.2857141</v>
      </c>
      <c r="J37" s="380">
        <f>SUM(J38:J45)</f>
        <v>2634178285</v>
      </c>
      <c r="K37" s="328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</row>
    <row r="38" spans="1:120" x14ac:dyDescent="0.55000000000000004">
      <c r="A38" s="347">
        <v>1</v>
      </c>
      <c r="B38" s="303" t="s">
        <v>40</v>
      </c>
      <c r="C38" s="96">
        <f>'ບໍລິຫານ ສໍານັກງານໃຫຍ່'!D110</f>
        <v>649625915</v>
      </c>
      <c r="D38" s="96">
        <f>'ບໍລິຫານ ສໍານັກງານໃຫຍ່'!E110</f>
        <v>33326000</v>
      </c>
      <c r="E38" s="96">
        <f>'ບໍລິຫານ ສໍານັກງານໃຫຍ່'!F110</f>
        <v>564472692</v>
      </c>
      <c r="F38" s="344">
        <v>-285118538</v>
      </c>
      <c r="G38" s="344">
        <v>0</v>
      </c>
      <c r="H38" s="344">
        <f>183169692+447391843</f>
        <v>630561535</v>
      </c>
      <c r="I38" s="345">
        <f>F38+G38-H38</f>
        <v>-915680073</v>
      </c>
      <c r="J38" s="362">
        <f>H38-F38-G38</f>
        <v>915680073</v>
      </c>
    </row>
    <row r="39" spans="1:120" x14ac:dyDescent="0.55000000000000004">
      <c r="A39" s="347">
        <v>2</v>
      </c>
      <c r="B39" s="303" t="s">
        <v>41</v>
      </c>
      <c r="C39" s="96">
        <f>ແຮບໍລິຫານຮັບແຂກ!D31</f>
        <v>24370708</v>
      </c>
      <c r="D39" s="96">
        <f>ແຮບໍລິຫານຮັບແຂກ!E31</f>
        <v>0</v>
      </c>
      <c r="E39" s="96">
        <f>ແຮບໍລິຫານຮັບແຂກ!F31</f>
        <v>3272321</v>
      </c>
      <c r="F39" s="344">
        <f t="shared" ref="F39" si="6">C39+D39-E39</f>
        <v>21098387</v>
      </c>
      <c r="G39" s="344">
        <v>0</v>
      </c>
      <c r="H39" s="344">
        <v>200000000</v>
      </c>
      <c r="I39" s="345">
        <f>F39+G39-H39</f>
        <v>-178901613</v>
      </c>
      <c r="J39" s="362">
        <f>H39-F39-G39</f>
        <v>178901613</v>
      </c>
    </row>
    <row r="40" spans="1:120" x14ac:dyDescent="0.55000000000000004">
      <c r="A40" s="347">
        <v>3</v>
      </c>
      <c r="B40" s="374" t="s">
        <v>366</v>
      </c>
      <c r="C40" s="353"/>
      <c r="D40" s="95"/>
      <c r="E40" s="95"/>
      <c r="F40" s="344">
        <v>548634000</v>
      </c>
      <c r="G40" s="345"/>
      <c r="H40" s="348">
        <v>78285714.285714298</v>
      </c>
      <c r="I40" s="345">
        <f>F40+G40-H40</f>
        <v>470348285.71428573</v>
      </c>
      <c r="J40" s="362"/>
    </row>
    <row r="41" spans="1:120" x14ac:dyDescent="0.55000000000000004">
      <c r="A41" s="347">
        <v>4</v>
      </c>
      <c r="B41" s="374" t="s">
        <v>48</v>
      </c>
      <c r="C41" s="353">
        <f>ກະລ່າ!D32</f>
        <v>159931573</v>
      </c>
      <c r="D41" s="95">
        <f>ກະລ່າ!E32</f>
        <v>0</v>
      </c>
      <c r="E41" s="95">
        <f>ກະລ່າ!F32</f>
        <v>159931573</v>
      </c>
      <c r="F41" s="345">
        <f>C41+D41-E41</f>
        <v>0</v>
      </c>
      <c r="G41" s="345">
        <v>0</v>
      </c>
      <c r="H41" s="348">
        <v>300000000</v>
      </c>
      <c r="I41" s="345">
        <f>F41+G41-H41</f>
        <v>-300000000</v>
      </c>
      <c r="J41" s="362">
        <f>H41-F41-G41</f>
        <v>300000000</v>
      </c>
    </row>
    <row r="42" spans="1:120" x14ac:dyDescent="0.55000000000000004">
      <c r="A42" s="347">
        <v>5</v>
      </c>
      <c r="B42" s="374" t="s">
        <v>386</v>
      </c>
      <c r="C42" s="353"/>
      <c r="D42" s="95"/>
      <c r="E42" s="95"/>
      <c r="F42" s="345"/>
      <c r="G42" s="345"/>
      <c r="H42" s="348">
        <v>150000000</v>
      </c>
      <c r="I42" s="345">
        <f>F42+G42-H42</f>
        <v>-150000000</v>
      </c>
      <c r="J42" s="362">
        <f t="shared" ref="J42:J45" si="7">H42-F42-G42</f>
        <v>150000000</v>
      </c>
    </row>
    <row r="43" spans="1:120" x14ac:dyDescent="0.55000000000000004">
      <c r="A43" s="347">
        <v>4</v>
      </c>
      <c r="B43" s="467" t="s">
        <v>322</v>
      </c>
      <c r="C43" s="435">
        <f>ດອກເບ້ຍທະນາຄານ!D32</f>
        <v>0</v>
      </c>
      <c r="D43" s="96">
        <f>ດອກເບ້ຍທະນາຄານ!E32</f>
        <v>4853409000</v>
      </c>
      <c r="E43" s="96">
        <f>ດອກເບ້ຍທະນາຄານ!F32</f>
        <v>4064667383</v>
      </c>
      <c r="F43" s="345">
        <v>-935306599</v>
      </c>
      <c r="G43" s="344">
        <v>2600000000</v>
      </c>
      <c r="H43" s="348">
        <v>2600000000</v>
      </c>
      <c r="I43" s="345">
        <f>F43+G43-H43</f>
        <v>-935306599</v>
      </c>
      <c r="J43" s="362">
        <f t="shared" si="7"/>
        <v>935306599</v>
      </c>
    </row>
    <row r="44" spans="1:120" x14ac:dyDescent="0.55000000000000004">
      <c r="A44" s="347">
        <v>8</v>
      </c>
      <c r="B44" s="306" t="s">
        <v>32</v>
      </c>
      <c r="C44" s="96">
        <f>ສໍາຮອງແລ່ນເງິນພາກລັດ!D33</f>
        <v>300000000</v>
      </c>
      <c r="D44" s="96">
        <f>ສໍາຮອງແລ່ນເງິນພາກລັດ!E33</f>
        <v>0</v>
      </c>
      <c r="E44" s="96">
        <f>ສໍາຮອງແລ່ນເງິນພາກລັດ!F33</f>
        <v>0</v>
      </c>
      <c r="F44" s="348">
        <v>274996000</v>
      </c>
      <c r="G44" s="344">
        <v>0</v>
      </c>
      <c r="H44" s="348">
        <v>45000000</v>
      </c>
      <c r="I44" s="345">
        <f t="shared" ref="I44:I45" si="8">F44+G44-H44</f>
        <v>229996000</v>
      </c>
      <c r="J44" s="362"/>
    </row>
    <row r="45" spans="1:120" ht="17.5" thickBot="1" x14ac:dyDescent="0.6">
      <c r="A45" s="347">
        <v>8</v>
      </c>
      <c r="B45" s="306" t="s">
        <v>359</v>
      </c>
      <c r="C45" s="96"/>
      <c r="D45" s="96"/>
      <c r="E45" s="96"/>
      <c r="F45" s="348"/>
      <c r="G45" s="344"/>
      <c r="H45" s="348">
        <v>154290000</v>
      </c>
      <c r="I45" s="345">
        <f t="shared" si="8"/>
        <v>-154290000</v>
      </c>
      <c r="J45" s="362">
        <f t="shared" si="7"/>
        <v>154290000</v>
      </c>
      <c r="N45" s="328">
        <v>8000000000</v>
      </c>
    </row>
    <row r="46" spans="1:120" ht="21.65" customHeight="1" thickBot="1" x14ac:dyDescent="0.65">
      <c r="A46" s="375"/>
      <c r="B46" s="390" t="s">
        <v>358</v>
      </c>
      <c r="C46" s="391">
        <f>SUM(C5:C45)</f>
        <v>12095383170</v>
      </c>
      <c r="D46" s="392">
        <f>SUM(D5:D45)</f>
        <v>10049410871</v>
      </c>
      <c r="E46" s="392">
        <f>SUM(E5:E45)</f>
        <v>19154964194.700001</v>
      </c>
      <c r="F46" s="394">
        <f>F37++F33+F29+F11+F5</f>
        <v>9890349062</v>
      </c>
      <c r="G46" s="394">
        <f>G37+G33+G29+G11+G5</f>
        <v>8970194511</v>
      </c>
      <c r="H46" s="394">
        <f>H37+H33+H11+H5+H29</f>
        <v>34844400101.285713</v>
      </c>
      <c r="I46" s="395">
        <f>I37+I33+I29+I11+I5</f>
        <v>-15983856528.285713</v>
      </c>
      <c r="J46" s="393">
        <f>J37+J33+J29+J11+J5</f>
        <v>28750037819</v>
      </c>
      <c r="N46" s="53">
        <v>250</v>
      </c>
    </row>
    <row r="47" spans="1:120" ht="22.5" x14ac:dyDescent="0.7">
      <c r="A47" s="18"/>
      <c r="B47" s="20"/>
      <c r="C47" s="20"/>
      <c r="D47" s="21"/>
      <c r="E47" s="21"/>
      <c r="F47" s="21"/>
      <c r="G47" s="402" t="s">
        <v>387</v>
      </c>
      <c r="H47" s="402"/>
      <c r="I47" s="490"/>
      <c r="J47" s="490"/>
    </row>
    <row r="48" spans="1:120" ht="18.5" x14ac:dyDescent="0.55000000000000004">
      <c r="A48" s="417"/>
      <c r="B48" s="417"/>
      <c r="C48" s="417"/>
      <c r="D48" s="417"/>
      <c r="E48" s="417"/>
      <c r="F48" s="417"/>
      <c r="G48" s="417"/>
      <c r="H48" s="417"/>
      <c r="I48" s="417"/>
      <c r="J48" s="417"/>
    </row>
    <row r="49" spans="1:10" x14ac:dyDescent="0.55000000000000004">
      <c r="J49" s="52"/>
    </row>
    <row r="50" spans="1:10" x14ac:dyDescent="0.55000000000000004">
      <c r="D50" s="52"/>
      <c r="E50" s="52"/>
      <c r="F50" s="52"/>
      <c r="G50" s="52"/>
      <c r="H50" s="52"/>
      <c r="I50" s="52"/>
      <c r="J50" s="52"/>
    </row>
    <row r="51" spans="1:10" x14ac:dyDescent="0.55000000000000004">
      <c r="D51" s="52"/>
      <c r="E51" s="52"/>
    </row>
    <row r="52" spans="1:10" x14ac:dyDescent="0.55000000000000004">
      <c r="D52" s="52"/>
      <c r="E52" s="52"/>
    </row>
    <row r="53" spans="1:10" x14ac:dyDescent="0.55000000000000004">
      <c r="D53" s="52"/>
      <c r="E53" s="52"/>
    </row>
    <row r="54" spans="1:10" x14ac:dyDescent="0.55000000000000004">
      <c r="D54" s="52"/>
      <c r="E54" s="52"/>
    </row>
    <row r="55" spans="1:10" x14ac:dyDescent="0.55000000000000004">
      <c r="D55" s="52"/>
    </row>
    <row r="57" spans="1:10" ht="18.5" x14ac:dyDescent="0.6">
      <c r="A57" s="407"/>
      <c r="B57" s="407"/>
      <c r="C57" s="407"/>
      <c r="D57" s="407"/>
      <c r="E57" s="407"/>
      <c r="F57" s="407"/>
      <c r="G57" s="407"/>
      <c r="H57" s="407"/>
      <c r="I57" s="407"/>
      <c r="J57" s="407"/>
    </row>
    <row r="59" spans="1:10" x14ac:dyDescent="0.55000000000000004">
      <c r="I59" s="53">
        <v>78285714.285714298</v>
      </c>
    </row>
  </sheetData>
  <mergeCells count="4">
    <mergeCell ref="A48:J48"/>
    <mergeCell ref="A57:J57"/>
    <mergeCell ref="A1:J1"/>
    <mergeCell ref="A2:J2"/>
  </mergeCells>
  <pageMargins left="0.11304347826086956" right="0.12" top="0.12968750000000001" bottom="0.38906249999999998" header="0.3" footer="0.3"/>
  <pageSetup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0E43-1925-4700-946D-990DD295131F}">
  <sheetPr>
    <tabColor rgb="FF00B050"/>
  </sheetPr>
  <dimension ref="A1:DL11"/>
  <sheetViews>
    <sheetView tabSelected="1" zoomScaleNormal="100" workbookViewId="0">
      <selection activeCell="I12" sqref="I12"/>
    </sheetView>
  </sheetViews>
  <sheetFormatPr defaultRowHeight="14.5" x14ac:dyDescent="0.35"/>
  <cols>
    <col min="1" max="1" width="4" customWidth="1"/>
    <col min="2" max="2" width="36.26953125" bestFit="1" customWidth="1"/>
    <col min="3" max="3" width="14.26953125" bestFit="1" customWidth="1"/>
    <col min="4" max="4" width="15.6328125" customWidth="1"/>
    <col min="5" max="5" width="13.81640625" bestFit="1" customWidth="1"/>
    <col min="6" max="6" width="18.7265625" customWidth="1"/>
    <col min="7" max="7" width="20.54296875" customWidth="1"/>
    <col min="9" max="9" width="17.81640625" style="499" bestFit="1" customWidth="1"/>
  </cols>
  <sheetData>
    <row r="1" spans="1:116" ht="21.5" x14ac:dyDescent="0.35">
      <c r="B1" s="406" t="s">
        <v>388</v>
      </c>
      <c r="C1" s="406"/>
      <c r="D1" s="406"/>
      <c r="E1" s="406"/>
      <c r="F1" s="406"/>
      <c r="G1" s="406"/>
      <c r="H1" s="473"/>
      <c r="I1" s="498"/>
      <c r="J1" s="473"/>
      <c r="K1" s="473"/>
      <c r="L1" s="473"/>
    </row>
    <row r="2" spans="1:116" ht="21.5" x14ac:dyDescent="0.35">
      <c r="B2" s="406" t="s">
        <v>368</v>
      </c>
      <c r="C2" s="406"/>
      <c r="D2" s="406"/>
      <c r="E2" s="406"/>
      <c r="F2" s="406"/>
      <c r="G2" s="406"/>
      <c r="H2" s="473"/>
      <c r="I2" s="498"/>
      <c r="J2" s="473"/>
      <c r="K2" s="473"/>
      <c r="L2" s="473"/>
    </row>
    <row r="3" spans="1:116" ht="15" thickBot="1" x14ac:dyDescent="0.4"/>
    <row r="4" spans="1:116" ht="15" hidden="1" thickBot="1" x14ac:dyDescent="0.4"/>
    <row r="5" spans="1:116" s="327" customFormat="1" ht="27.5" customHeight="1" thickBot="1" x14ac:dyDescent="0.6">
      <c r="A5" s="493" t="s">
        <v>0</v>
      </c>
      <c r="B5" s="494" t="s">
        <v>4</v>
      </c>
      <c r="C5" s="495" t="s">
        <v>360</v>
      </c>
      <c r="D5" s="495" t="s">
        <v>361</v>
      </c>
      <c r="E5" s="495" t="s">
        <v>362</v>
      </c>
      <c r="F5" s="495" t="s">
        <v>363</v>
      </c>
      <c r="G5" s="496" t="s">
        <v>364</v>
      </c>
      <c r="H5" s="53"/>
      <c r="I5" s="328">
        <f>2080000*290</f>
        <v>603200000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</row>
    <row r="6" spans="1:116" s="53" customFormat="1" ht="17" x14ac:dyDescent="0.55000000000000004">
      <c r="A6" s="477">
        <v>1</v>
      </c>
      <c r="B6" s="478" t="s">
        <v>354</v>
      </c>
      <c r="C6" s="479">
        <v>-1288697480</v>
      </c>
      <c r="D6" s="480">
        <v>0</v>
      </c>
      <c r="E6" s="481">
        <f>2549792440+1079464420+I6+1824000+I8</f>
        <v>4993797820</v>
      </c>
      <c r="F6" s="480">
        <f>C6+D6-E6</f>
        <v>-6282495300</v>
      </c>
      <c r="G6" s="482">
        <f>E6-C6-D6</f>
        <v>6282495300</v>
      </c>
      <c r="I6" s="328">
        <f>191325*290</f>
        <v>55484250</v>
      </c>
    </row>
    <row r="7" spans="1:116" s="53" customFormat="1" ht="17" x14ac:dyDescent="0.55000000000000004">
      <c r="A7" s="475">
        <v>2</v>
      </c>
      <c r="B7" s="468" t="s">
        <v>385</v>
      </c>
      <c r="C7" s="469"/>
      <c r="D7" s="470"/>
      <c r="E7" s="471">
        <f>709141000+I5+3280465+I7</f>
        <v>1371105715</v>
      </c>
      <c r="F7" s="470">
        <f t="shared" ref="F7:F10" si="0">C7+D7-E7</f>
        <v>-1371105715</v>
      </c>
      <c r="G7" s="476">
        <f t="shared" ref="G7:G10" si="1">E7-C7-D7</f>
        <v>1371105715</v>
      </c>
      <c r="I7" s="328">
        <f>191325*290</f>
        <v>55484250</v>
      </c>
    </row>
    <row r="8" spans="1:116" s="53" customFormat="1" ht="17" x14ac:dyDescent="0.55000000000000004">
      <c r="A8" s="475">
        <v>3</v>
      </c>
      <c r="B8" s="472" t="s">
        <v>340</v>
      </c>
      <c r="C8" s="474">
        <v>-1536300000</v>
      </c>
      <c r="D8" s="470">
        <v>0</v>
      </c>
      <c r="E8" s="471">
        <v>23200000</v>
      </c>
      <c r="F8" s="470">
        <f t="shared" si="0"/>
        <v>-1559500000</v>
      </c>
      <c r="G8" s="476">
        <f t="shared" si="1"/>
        <v>1559500000</v>
      </c>
      <c r="I8" s="328">
        <f>4507699*290</f>
        <v>1307232710</v>
      </c>
    </row>
    <row r="9" spans="1:116" s="53" customFormat="1" ht="17" x14ac:dyDescent="0.55000000000000004">
      <c r="A9" s="475">
        <v>4</v>
      </c>
      <c r="B9" s="472" t="s">
        <v>353</v>
      </c>
      <c r="C9" s="469"/>
      <c r="D9" s="470"/>
      <c r="E9" s="471">
        <v>145650182</v>
      </c>
      <c r="F9" s="470">
        <f t="shared" si="0"/>
        <v>-145650182</v>
      </c>
      <c r="G9" s="476">
        <f t="shared" si="1"/>
        <v>145650182</v>
      </c>
      <c r="I9" s="328"/>
    </row>
    <row r="10" spans="1:116" s="53" customFormat="1" ht="17.5" thickBot="1" x14ac:dyDescent="0.6">
      <c r="A10" s="483">
        <v>5</v>
      </c>
      <c r="B10" s="484" t="s">
        <v>367</v>
      </c>
      <c r="C10" s="485">
        <v>5000000000</v>
      </c>
      <c r="D10" s="486"/>
      <c r="E10" s="487"/>
      <c r="F10" s="486">
        <f t="shared" si="0"/>
        <v>5000000000</v>
      </c>
      <c r="G10" s="488"/>
      <c r="I10" s="328"/>
    </row>
    <row r="11" spans="1:116" ht="17.5" thickBot="1" x14ac:dyDescent="0.6">
      <c r="A11" s="489"/>
      <c r="B11" s="497" t="s">
        <v>358</v>
      </c>
      <c r="C11" s="491">
        <f>SUM(C6:C10)</f>
        <v>2175002520</v>
      </c>
      <c r="D11" s="491">
        <f t="shared" ref="D11:G11" si="2">SUM(D6:D10)</f>
        <v>0</v>
      </c>
      <c r="E11" s="491">
        <f t="shared" si="2"/>
        <v>6533753717</v>
      </c>
      <c r="F11" s="491">
        <f t="shared" si="2"/>
        <v>-4358751197</v>
      </c>
      <c r="G11" s="492">
        <f>SUM(G6:G10)</f>
        <v>9358751197</v>
      </c>
    </row>
  </sheetData>
  <mergeCells count="2">
    <mergeCell ref="B1:G1"/>
    <mergeCell ref="B2:G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47"/>
  <sheetViews>
    <sheetView view="pageLayout" topLeftCell="A2" zoomScaleNormal="100" workbookViewId="0">
      <selection activeCell="B12" sqref="B12"/>
    </sheetView>
  </sheetViews>
  <sheetFormatPr defaultColWidth="9.1796875" defaultRowHeight="17" x14ac:dyDescent="0.55000000000000004"/>
  <cols>
    <col min="1" max="1" width="5.453125" style="53" customWidth="1"/>
    <col min="2" max="2" width="42.54296875" style="22" customWidth="1"/>
    <col min="3" max="3" width="16.1796875" style="22" hidden="1" customWidth="1"/>
    <col min="4" max="4" width="16.453125" style="53" hidden="1" customWidth="1"/>
    <col min="5" max="5" width="14.81640625" style="53" hidden="1" customWidth="1"/>
    <col min="6" max="7" width="16.453125" style="53" customWidth="1"/>
    <col min="8" max="8" width="18.453125" style="53" customWidth="1"/>
    <col min="9" max="9" width="15.1796875" style="53" customWidth="1"/>
    <col min="10" max="10" width="17.81640625" style="53" customWidth="1"/>
    <col min="11" max="16384" width="9.1796875" style="53"/>
  </cols>
  <sheetData>
    <row r="1" spans="1:11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  <c r="I1" s="405"/>
    </row>
    <row r="2" spans="1:11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  <c r="I2" s="405"/>
    </row>
    <row r="3" spans="1:11" ht="18.5" x14ac:dyDescent="0.55000000000000004">
      <c r="A3" s="325"/>
      <c r="B3" s="325"/>
      <c r="C3" s="325"/>
      <c r="D3" s="325"/>
      <c r="E3" s="325"/>
      <c r="F3" s="325"/>
      <c r="G3" s="325"/>
      <c r="H3" s="325"/>
      <c r="I3" s="325"/>
    </row>
    <row r="4" spans="1:11" ht="14.25" customHeight="1" x14ac:dyDescent="0.55000000000000004">
      <c r="A4" s="205" t="s">
        <v>72</v>
      </c>
      <c r="B4" s="205"/>
      <c r="C4" s="325"/>
      <c r="D4" s="325"/>
      <c r="E4" s="325"/>
      <c r="F4" s="325"/>
      <c r="G4" s="325"/>
      <c r="H4" s="325"/>
      <c r="I4" s="325"/>
    </row>
    <row r="5" spans="1:11" ht="14.25" customHeight="1" x14ac:dyDescent="0.55000000000000004">
      <c r="A5" s="205" t="s">
        <v>73</v>
      </c>
      <c r="B5" s="205"/>
      <c r="C5" s="325"/>
      <c r="D5" s="325"/>
      <c r="E5" s="325"/>
      <c r="F5" s="325"/>
      <c r="G5" s="325"/>
      <c r="H5" s="325"/>
      <c r="I5" s="325"/>
    </row>
    <row r="6" spans="1:11" ht="14.25" customHeight="1" x14ac:dyDescent="0.55000000000000004">
      <c r="A6" s="205" t="s">
        <v>74</v>
      </c>
      <c r="B6" s="205"/>
      <c r="C6" s="325"/>
      <c r="D6" s="325"/>
      <c r="E6" s="325"/>
      <c r="F6" s="325"/>
      <c r="G6" s="325"/>
      <c r="H6" s="325"/>
      <c r="I6" s="325"/>
    </row>
    <row r="7" spans="1:11" ht="14.25" customHeight="1" x14ac:dyDescent="0.55000000000000004">
      <c r="A7" s="206" t="s">
        <v>75</v>
      </c>
      <c r="B7" s="206"/>
      <c r="C7" s="325"/>
      <c r="D7" s="325"/>
      <c r="E7" s="325"/>
      <c r="F7" s="325"/>
      <c r="G7" s="325"/>
      <c r="H7" s="325"/>
      <c r="I7" s="325"/>
    </row>
    <row r="8" spans="1:11" ht="27.65" customHeight="1" x14ac:dyDescent="0.55000000000000004">
      <c r="A8" s="406" t="s">
        <v>331</v>
      </c>
      <c r="B8" s="406"/>
      <c r="C8" s="406"/>
      <c r="D8" s="406"/>
      <c r="E8" s="406"/>
      <c r="F8" s="406"/>
      <c r="G8" s="406"/>
      <c r="H8" s="406"/>
      <c r="I8" s="406"/>
      <c r="J8" s="2"/>
      <c r="K8" s="2"/>
    </row>
    <row r="9" spans="1:11" ht="23.25" customHeight="1" x14ac:dyDescent="0.55000000000000004">
      <c r="A9" s="406" t="s">
        <v>332</v>
      </c>
      <c r="B9" s="406"/>
      <c r="C9" s="406"/>
      <c r="D9" s="406"/>
      <c r="E9" s="406"/>
      <c r="F9" s="406"/>
      <c r="G9" s="406"/>
      <c r="H9" s="406"/>
      <c r="I9" s="406"/>
      <c r="J9" s="2"/>
      <c r="K9" s="2"/>
    </row>
    <row r="10" spans="1:11" ht="20.25" customHeight="1" x14ac:dyDescent="0.55000000000000004">
      <c r="A10" s="410" t="s">
        <v>0</v>
      </c>
      <c r="B10" s="410" t="s">
        <v>4</v>
      </c>
      <c r="C10" s="410" t="s">
        <v>10</v>
      </c>
      <c r="D10" s="412" t="s">
        <v>8</v>
      </c>
      <c r="E10" s="413" t="s">
        <v>9</v>
      </c>
      <c r="F10" s="408" t="s">
        <v>333</v>
      </c>
      <c r="G10" s="415" t="s">
        <v>337</v>
      </c>
      <c r="H10" s="415"/>
      <c r="I10" s="408" t="s">
        <v>1</v>
      </c>
    </row>
    <row r="11" spans="1:11" ht="25.4" customHeight="1" x14ac:dyDescent="0.55000000000000004">
      <c r="A11" s="411"/>
      <c r="B11" s="411"/>
      <c r="C11" s="411"/>
      <c r="D11" s="412"/>
      <c r="E11" s="414"/>
      <c r="F11" s="408"/>
      <c r="G11" s="416"/>
      <c r="H11" s="416"/>
      <c r="I11" s="408"/>
    </row>
    <row r="12" spans="1:11" ht="18.5" x14ac:dyDescent="0.55000000000000004">
      <c r="A12" s="106">
        <v>1</v>
      </c>
      <c r="B12" s="5" t="s">
        <v>21</v>
      </c>
      <c r="C12" s="94">
        <f>'ປະນອນ 101'!D42</f>
        <v>133091800</v>
      </c>
      <c r="D12" s="94">
        <f>'ປະນອນ 101'!E42</f>
        <v>0</v>
      </c>
      <c r="E12" s="94">
        <f>'ປະນອນ 101'!F42</f>
        <v>7131067</v>
      </c>
      <c r="F12" s="94">
        <f>C12+D12-E12</f>
        <v>125960733</v>
      </c>
      <c r="G12" s="94">
        <v>0</v>
      </c>
      <c r="H12" s="94">
        <f>G12+F12</f>
        <v>125960733</v>
      </c>
      <c r="I12" s="6"/>
      <c r="J12" s="326"/>
    </row>
    <row r="13" spans="1:11" x14ac:dyDescent="0.55000000000000004">
      <c r="A13" s="100">
        <v>2</v>
      </c>
      <c r="B13" s="5" t="s">
        <v>317</v>
      </c>
      <c r="C13" s="97">
        <f>ຊ່ອງຕະອູ!D63</f>
        <v>1858641064</v>
      </c>
      <c r="D13" s="97">
        <f>ຊ່ອງຕະອູ!E63</f>
        <v>0</v>
      </c>
      <c r="E13" s="97">
        <f>ຊ່ອງຕະອູ!F63</f>
        <v>1482746279</v>
      </c>
      <c r="F13" s="309">
        <f t="shared" ref="F13:F34" si="0">C13+D13-E13</f>
        <v>375894785</v>
      </c>
      <c r="G13" s="309">
        <v>0</v>
      </c>
      <c r="H13" s="94">
        <f t="shared" ref="H13:H34" si="1">G13+F13</f>
        <v>375894785</v>
      </c>
      <c r="I13" s="7"/>
      <c r="J13" s="326"/>
    </row>
    <row r="14" spans="1:11" x14ac:dyDescent="0.55000000000000004">
      <c r="A14" s="106">
        <v>3</v>
      </c>
      <c r="B14" s="9" t="s">
        <v>22</v>
      </c>
      <c r="C14" s="97">
        <f>ທາງປູຢາງປະທຸມພອນ!D37</f>
        <v>30907000</v>
      </c>
      <c r="D14" s="97">
        <f>ທາງປູຢາງປະທຸມພອນ!E37</f>
        <v>2123441238</v>
      </c>
      <c r="E14" s="97">
        <f>ທາງປູຢາງປະທຸມພອນ!F37</f>
        <v>2000000000</v>
      </c>
      <c r="F14" s="94">
        <f t="shared" si="0"/>
        <v>154348238</v>
      </c>
      <c r="G14" s="94">
        <v>0</v>
      </c>
      <c r="H14" s="94">
        <f t="shared" si="1"/>
        <v>154348238</v>
      </c>
      <c r="I14" s="7"/>
      <c r="J14" s="326"/>
    </row>
    <row r="15" spans="1:11" x14ac:dyDescent="0.55000000000000004">
      <c r="A15" s="100">
        <v>4</v>
      </c>
      <c r="B15" s="9" t="s">
        <v>23</v>
      </c>
      <c r="C15" s="97">
        <f>'ສາງທ່າບົກ-ທ່າແຂກ'!D37</f>
        <v>173310000</v>
      </c>
      <c r="D15" s="97">
        <f>'ສາງທ່າບົກ-ທ່າແຂກ'!E37</f>
        <v>0</v>
      </c>
      <c r="E15" s="97">
        <f>'ສາງທ່າບົກ-ທ່າແຂກ'!F37+120000000</f>
        <v>124950000</v>
      </c>
      <c r="F15" s="94">
        <f t="shared" si="0"/>
        <v>48360000</v>
      </c>
      <c r="G15" s="94">
        <v>0</v>
      </c>
      <c r="H15" s="94">
        <f t="shared" si="1"/>
        <v>48360000</v>
      </c>
      <c r="I15" s="54"/>
      <c r="J15" s="326"/>
    </row>
    <row r="16" spans="1:11" x14ac:dyDescent="0.55000000000000004">
      <c r="A16" s="106">
        <v>5</v>
      </c>
      <c r="B16" s="11" t="s">
        <v>24</v>
      </c>
      <c r="C16" s="97">
        <f>ສະໜາມບິນຫຼວງພະບາງ!D41</f>
        <v>990902578</v>
      </c>
      <c r="D16" s="97">
        <f>ສະໜາມບິນຫຼວງພະບາງ!E41</f>
        <v>0</v>
      </c>
      <c r="E16" s="97">
        <f>ສະໜາມບິນຫຼວງພະບາງ!F41</f>
        <v>9465383</v>
      </c>
      <c r="F16" s="94">
        <f t="shared" si="0"/>
        <v>981437195</v>
      </c>
      <c r="G16" s="94">
        <v>0</v>
      </c>
      <c r="H16" s="94">
        <f t="shared" si="1"/>
        <v>981437195</v>
      </c>
      <c r="I16" s="54"/>
      <c r="J16" s="326"/>
    </row>
    <row r="17" spans="1:10" x14ac:dyDescent="0.55000000000000004">
      <c r="A17" s="100">
        <v>6</v>
      </c>
      <c r="B17" s="5" t="s">
        <v>25</v>
      </c>
      <c r="C17" s="98">
        <f>ທາງລົງພາວເວີ້ເຮົ້າອີມູນ!D68</f>
        <v>765454656</v>
      </c>
      <c r="D17" s="98">
        <f>ທາງລົງພາວເວີ້ເຮົ້າອີມູນ!E68</f>
        <v>2094515000</v>
      </c>
      <c r="E17" s="98">
        <f>ທາງລົງພາວເວີ້ເຮົ້າອີມູນ!F68</f>
        <v>1155500682</v>
      </c>
      <c r="F17" s="94">
        <f t="shared" si="0"/>
        <v>1704468974</v>
      </c>
      <c r="G17" s="94">
        <v>3000000000</v>
      </c>
      <c r="H17" s="94">
        <f t="shared" si="1"/>
        <v>4704468974</v>
      </c>
      <c r="I17" s="54"/>
      <c r="J17" s="326"/>
    </row>
    <row r="18" spans="1:10" x14ac:dyDescent="0.55000000000000004">
      <c r="A18" s="106">
        <v>7</v>
      </c>
      <c r="B18" s="5" t="s">
        <v>141</v>
      </c>
      <c r="C18" s="98">
        <f>ວຽກປັບປຸງຕາຂ່າຍເຂື່ອນນ້ຳອີ່ມູນ!D66</f>
        <v>0</v>
      </c>
      <c r="D18" s="98">
        <f>ວຽກປັບປຸງຕາຂ່າຍເຂື່ອນນ້ຳອີ່ມູນ!E66</f>
        <v>944263040</v>
      </c>
      <c r="E18" s="98">
        <f>ວຽກປັບປຸງຕາຂ່າຍເຂື່ອນນ້ຳອີ່ມູນ!F66+100000000</f>
        <v>1044263040</v>
      </c>
      <c r="F18" s="244">
        <f t="shared" si="0"/>
        <v>-100000000</v>
      </c>
      <c r="G18" s="309">
        <v>0</v>
      </c>
      <c r="H18" s="94">
        <f t="shared" si="1"/>
        <v>-100000000</v>
      </c>
      <c r="I18" s="54"/>
      <c r="J18" s="326"/>
    </row>
    <row r="19" spans="1:10" x14ac:dyDescent="0.55000000000000004">
      <c r="A19" s="100">
        <v>8</v>
      </c>
      <c r="B19" s="5" t="s">
        <v>26</v>
      </c>
      <c r="C19" s="98">
        <f>ແຄ້ມອີມູນ!D41</f>
        <v>520007480</v>
      </c>
      <c r="D19" s="98">
        <f>ແຄ້ມອີມູນ!E41</f>
        <v>1191953943</v>
      </c>
      <c r="E19" s="98">
        <f>ແຄ້ມອີມູນ!F41</f>
        <v>123201020</v>
      </c>
      <c r="F19" s="94">
        <f t="shared" si="0"/>
        <v>1588760403</v>
      </c>
      <c r="G19" s="94">
        <f>140000*8830</f>
        <v>1236200000</v>
      </c>
      <c r="H19" s="94">
        <f t="shared" si="1"/>
        <v>2824960403</v>
      </c>
      <c r="I19" s="54"/>
      <c r="J19" s="326"/>
    </row>
    <row r="20" spans="1:10" x14ac:dyDescent="0.55000000000000004">
      <c r="A20" s="106">
        <v>9</v>
      </c>
      <c r="B20" s="5" t="s">
        <v>335</v>
      </c>
      <c r="C20" s="98"/>
      <c r="D20" s="98"/>
      <c r="E20" s="98"/>
      <c r="F20" s="94"/>
      <c r="G20" s="94">
        <f>600000*8830</f>
        <v>5298000000</v>
      </c>
      <c r="H20" s="94">
        <f t="shared" si="1"/>
        <v>5298000000</v>
      </c>
      <c r="I20" s="54"/>
      <c r="J20" s="326"/>
    </row>
    <row r="21" spans="1:10" x14ac:dyDescent="0.55000000000000004">
      <c r="A21" s="100">
        <v>10</v>
      </c>
      <c r="B21" s="5" t="s">
        <v>27</v>
      </c>
      <c r="C21" s="98">
        <f>ໂຮງຂົບຫີນ!D54</f>
        <v>764441321</v>
      </c>
      <c r="D21" s="98">
        <f>ໂຮງຂົບຫີນ!E54</f>
        <v>456593</v>
      </c>
      <c r="E21" s="98">
        <f>ໂຮງຂົບຫີນ!F54+61769126</f>
        <v>1211274195.7</v>
      </c>
      <c r="F21" s="244">
        <f t="shared" si="0"/>
        <v>-446376281.70000005</v>
      </c>
      <c r="G21" s="309">
        <f>548000*8830</f>
        <v>4838840000</v>
      </c>
      <c r="H21" s="94">
        <f t="shared" si="1"/>
        <v>4392463718.3000002</v>
      </c>
      <c r="I21" s="54"/>
      <c r="J21" s="326"/>
    </row>
    <row r="22" spans="1:10" x14ac:dyDescent="0.55000000000000004">
      <c r="A22" s="106">
        <v>11</v>
      </c>
      <c r="B22" s="11" t="s">
        <v>28</v>
      </c>
      <c r="C22" s="98">
        <f>ໂຮງແຮມພູສະເຫຼົ່າ!D51</f>
        <v>-43637802</v>
      </c>
      <c r="D22" s="98">
        <f>ໂຮງແຮມພູສະເຫຼົ່າ!E51</f>
        <v>0</v>
      </c>
      <c r="E22" s="98">
        <f>ໂຮງແຮມພູສະເຫຼົ່າ!F51</f>
        <v>785700867</v>
      </c>
      <c r="F22" s="244">
        <f t="shared" si="0"/>
        <v>-829338669</v>
      </c>
      <c r="G22" s="309">
        <v>0</v>
      </c>
      <c r="H22" s="94">
        <f t="shared" si="1"/>
        <v>-829338669</v>
      </c>
      <c r="I22" s="54"/>
      <c r="J22" s="326"/>
    </row>
    <row r="23" spans="1:10" x14ac:dyDescent="0.55000000000000004">
      <c r="A23" s="100">
        <v>12</v>
      </c>
      <c r="B23" s="5" t="s">
        <v>40</v>
      </c>
      <c r="C23" s="98">
        <f>'ບໍລິຫານ ສໍານັກງານໃຫຍ່'!D110</f>
        <v>649625915</v>
      </c>
      <c r="D23" s="98">
        <f>'ບໍລິຫານ ສໍານັກງານໃຫຍ່'!E110</f>
        <v>33326000</v>
      </c>
      <c r="E23" s="98">
        <f>'ບໍລິຫານ ສໍານັກງານໃຫຍ່'!F110</f>
        <v>564472692</v>
      </c>
      <c r="F23" s="309">
        <f t="shared" si="0"/>
        <v>118479223</v>
      </c>
      <c r="G23" s="309">
        <v>0</v>
      </c>
      <c r="H23" s="94">
        <f t="shared" si="1"/>
        <v>118479223</v>
      </c>
      <c r="I23" s="54"/>
      <c r="J23" s="326"/>
    </row>
    <row r="24" spans="1:10" x14ac:dyDescent="0.55000000000000004">
      <c r="A24" s="106">
        <v>13</v>
      </c>
      <c r="B24" s="5" t="s">
        <v>41</v>
      </c>
      <c r="C24" s="98">
        <f>ແຮບໍລິຫານຮັບແຂກ!D31</f>
        <v>24370708</v>
      </c>
      <c r="D24" s="98">
        <f>ແຮບໍລິຫານຮັບແຂກ!E31</f>
        <v>0</v>
      </c>
      <c r="E24" s="98">
        <f>ແຮບໍລິຫານຮັບແຂກ!F31</f>
        <v>3272321</v>
      </c>
      <c r="F24" s="309">
        <f t="shared" si="0"/>
        <v>21098387</v>
      </c>
      <c r="G24" s="309">
        <v>0</v>
      </c>
      <c r="H24" s="94">
        <f t="shared" si="1"/>
        <v>21098387</v>
      </c>
      <c r="I24" s="54"/>
      <c r="J24" s="326"/>
    </row>
    <row r="25" spans="1:10" x14ac:dyDescent="0.55000000000000004">
      <c r="A25" s="100">
        <v>14</v>
      </c>
      <c r="B25" s="5" t="s">
        <v>42</v>
      </c>
      <c r="C25" s="98">
        <f>'ສ້ອມແປງເຊນໍ້ານ້ອຍ 1,6'!D37</f>
        <v>-26260240</v>
      </c>
      <c r="D25" s="98">
        <f>'ສ້ອມແປງເຊນໍ້ານ້ອຍ 1,6'!E37</f>
        <v>0</v>
      </c>
      <c r="E25" s="98">
        <f>'ສ້ອມແປງເຊນໍ້ານ້ອຍ 1,6'!F37</f>
        <v>177623800</v>
      </c>
      <c r="F25" s="244">
        <f t="shared" si="0"/>
        <v>-203884040</v>
      </c>
      <c r="G25" s="309">
        <v>1200000000</v>
      </c>
      <c r="H25" s="94">
        <f t="shared" si="1"/>
        <v>996115960</v>
      </c>
      <c r="I25" s="54"/>
      <c r="J25" s="326"/>
    </row>
    <row r="26" spans="1:10" x14ac:dyDescent="0.55000000000000004">
      <c r="A26" s="106">
        <v>15</v>
      </c>
      <c r="B26" s="9" t="s">
        <v>29</v>
      </c>
      <c r="C26" s="98">
        <f>ສ່ວນຕົວປະທານ!D41</f>
        <v>1360000000</v>
      </c>
      <c r="D26" s="98">
        <f>ສ່ວນຕົວປະທານ!E41</f>
        <v>0</v>
      </c>
      <c r="E26" s="98">
        <f>ສ່ວນຕົວປະທານ!F41</f>
        <v>1360000000</v>
      </c>
      <c r="F26" s="309">
        <f t="shared" si="0"/>
        <v>0</v>
      </c>
      <c r="G26" s="309"/>
      <c r="H26" s="94">
        <f t="shared" si="1"/>
        <v>0</v>
      </c>
      <c r="I26" s="105"/>
      <c r="J26" s="326"/>
    </row>
    <row r="27" spans="1:10" x14ac:dyDescent="0.55000000000000004">
      <c r="A27" s="100">
        <v>16</v>
      </c>
      <c r="B27" s="11" t="s">
        <v>32</v>
      </c>
      <c r="C27" s="98">
        <f>ສໍາຮອງແລ່ນເງິນພາກລັດ!D33</f>
        <v>300000000</v>
      </c>
      <c r="D27" s="98">
        <f>ສໍາຮອງແລ່ນເງິນພາກລັດ!E33</f>
        <v>0</v>
      </c>
      <c r="E27" s="98">
        <f>ສໍາຮອງແລ່ນເງິນພາກລັດ!F33</f>
        <v>0</v>
      </c>
      <c r="F27" s="94">
        <f t="shared" si="0"/>
        <v>300000000</v>
      </c>
      <c r="G27" s="309">
        <v>0</v>
      </c>
      <c r="H27" s="94">
        <f t="shared" si="1"/>
        <v>300000000</v>
      </c>
      <c r="I27" s="105"/>
      <c r="J27" s="326"/>
    </row>
    <row r="28" spans="1:10" x14ac:dyDescent="0.55000000000000004">
      <c r="A28" s="106">
        <v>17</v>
      </c>
      <c r="B28" s="5" t="s">
        <v>34</v>
      </c>
      <c r="C28" s="98">
        <f>BOL!D32</f>
        <v>61800828</v>
      </c>
      <c r="D28" s="98">
        <f>BOL!E32</f>
        <v>0</v>
      </c>
      <c r="E28" s="98">
        <f>BOL!F32</f>
        <v>101737514</v>
      </c>
      <c r="F28" s="244">
        <f t="shared" si="0"/>
        <v>-39936686</v>
      </c>
      <c r="G28" s="244">
        <v>0</v>
      </c>
      <c r="H28" s="94">
        <f t="shared" si="1"/>
        <v>-39936686</v>
      </c>
      <c r="I28" s="105"/>
      <c r="J28" s="326"/>
    </row>
    <row r="29" spans="1:10" x14ac:dyDescent="0.55000000000000004">
      <c r="A29" s="100">
        <v>18</v>
      </c>
      <c r="B29" s="5" t="s">
        <v>336</v>
      </c>
      <c r="C29" s="98">
        <f>'ເຂື່ອນນ້ຳກົງ2+3'!D33</f>
        <v>62723500</v>
      </c>
      <c r="D29" s="98">
        <f>'ເຂື່ອນນ້ຳກົງ2+3'!E33</f>
        <v>0</v>
      </c>
      <c r="E29" s="98">
        <f>'ເຂື່ອນນ້ຳກົງ2+3'!F33</f>
        <v>62723500</v>
      </c>
      <c r="F29" s="244">
        <f t="shared" si="0"/>
        <v>0</v>
      </c>
      <c r="G29" s="309">
        <v>0</v>
      </c>
      <c r="H29" s="94">
        <f t="shared" si="1"/>
        <v>0</v>
      </c>
      <c r="I29" s="105"/>
      <c r="J29" s="326"/>
    </row>
    <row r="30" spans="1:10" x14ac:dyDescent="0.55000000000000004">
      <c r="A30" s="106">
        <v>19</v>
      </c>
      <c r="B30" s="32" t="s">
        <v>44</v>
      </c>
      <c r="C30" s="232">
        <f>'ເຮືອນປະທານ ຫລັກ 10'!D32</f>
        <v>-288679480</v>
      </c>
      <c r="D30" s="98">
        <f>'ເຮືອນປະທານ ຫລັກ 10'!E32</f>
        <v>0</v>
      </c>
      <c r="E30" s="98">
        <f>'ເຮືອນປະທານ ຫລັກ 10'!F32</f>
        <v>1000018000</v>
      </c>
      <c r="F30" s="244">
        <f t="shared" si="0"/>
        <v>-1288697480</v>
      </c>
      <c r="G30" s="244">
        <v>0</v>
      </c>
      <c r="H30" s="94">
        <f t="shared" si="1"/>
        <v>-1288697480</v>
      </c>
      <c r="I30" s="105"/>
      <c r="J30" s="326"/>
    </row>
    <row r="31" spans="1:10" x14ac:dyDescent="0.55000000000000004">
      <c r="A31" s="100">
        <v>20</v>
      </c>
      <c r="B31" s="5" t="s">
        <v>307</v>
      </c>
      <c r="C31" s="232"/>
      <c r="D31" s="98"/>
      <c r="E31" s="94">
        <f>5400000*284.5</f>
        <v>1536300000</v>
      </c>
      <c r="F31" s="244">
        <f t="shared" si="0"/>
        <v>-1536300000</v>
      </c>
      <c r="G31" s="244">
        <v>0</v>
      </c>
      <c r="H31" s="94">
        <f t="shared" si="1"/>
        <v>-1536300000</v>
      </c>
      <c r="I31" s="105"/>
      <c r="J31" s="326"/>
    </row>
    <row r="32" spans="1:10" x14ac:dyDescent="0.55000000000000004">
      <c r="A32" s="106">
        <v>21</v>
      </c>
      <c r="B32" s="32" t="s">
        <v>43</v>
      </c>
      <c r="C32" s="232">
        <f>'ຊີເອັສຊີ VTE'!D62</f>
        <v>6559205569</v>
      </c>
      <c r="D32" s="98">
        <f>'ຊີເອັສຊີ VTE'!E62</f>
        <v>0</v>
      </c>
      <c r="E32" s="98">
        <f>'ຊີເອັສຊີ VTE'!F62</f>
        <v>6394308465</v>
      </c>
      <c r="F32" s="309">
        <f t="shared" si="0"/>
        <v>164897104</v>
      </c>
      <c r="G32" s="309">
        <v>0</v>
      </c>
      <c r="H32" s="94">
        <f t="shared" si="1"/>
        <v>164897104</v>
      </c>
      <c r="I32" s="105"/>
      <c r="J32" s="326"/>
    </row>
    <row r="33" spans="1:10" x14ac:dyDescent="0.55000000000000004">
      <c r="A33" s="100">
        <v>22</v>
      </c>
      <c r="B33" s="32" t="s">
        <v>48</v>
      </c>
      <c r="C33" s="99">
        <f>ກະລ່າ!D32</f>
        <v>159931573</v>
      </c>
      <c r="D33" s="98">
        <f>ກະລ່າ!E32</f>
        <v>0</v>
      </c>
      <c r="E33" s="98">
        <f>ກະລ່າ!F32</f>
        <v>159931573</v>
      </c>
      <c r="F33" s="244">
        <f t="shared" si="0"/>
        <v>0</v>
      </c>
      <c r="G33" s="244">
        <v>0</v>
      </c>
      <c r="H33" s="94">
        <f t="shared" si="1"/>
        <v>0</v>
      </c>
      <c r="I33" s="105"/>
      <c r="J33" s="326"/>
    </row>
    <row r="34" spans="1:10" x14ac:dyDescent="0.55000000000000004">
      <c r="A34" s="106">
        <v>23</v>
      </c>
      <c r="B34" s="32" t="s">
        <v>86</v>
      </c>
      <c r="C34" s="99">
        <f>ວຽກສາຍສົ່ງປາກຫົງສາ!D32</f>
        <v>0</v>
      </c>
      <c r="D34" s="98">
        <f>ວຽກສາຍສົ່ງປາກຫົງສາ!E32</f>
        <v>1208109012</v>
      </c>
      <c r="E34" s="97">
        <f>ວຽກສາຍສົ່ງປາກຫົງສາ!F32</f>
        <v>1208109012</v>
      </c>
      <c r="F34" s="244">
        <f t="shared" si="0"/>
        <v>0</v>
      </c>
      <c r="G34" s="244">
        <v>0</v>
      </c>
      <c r="H34" s="94">
        <f t="shared" si="1"/>
        <v>0</v>
      </c>
      <c r="I34" s="105"/>
      <c r="J34" s="326"/>
    </row>
    <row r="35" spans="1:10" x14ac:dyDescent="0.55000000000000004">
      <c r="A35" s="100">
        <v>24</v>
      </c>
      <c r="B35" s="55" t="s">
        <v>338</v>
      </c>
      <c r="C35" s="308">
        <f>ດອກເບ້ຍທະນາຄານ!D32</f>
        <v>0</v>
      </c>
      <c r="D35" s="98">
        <f>ດອກເບ້ຍທະນາຄານ!E32</f>
        <v>4853409000</v>
      </c>
      <c r="E35" s="98">
        <f>ດອກເບ້ຍທະນາຄານ!F32</f>
        <v>4064667383</v>
      </c>
      <c r="F35" s="309">
        <f>C35+D35-E35</f>
        <v>788741617</v>
      </c>
      <c r="G35" s="309">
        <f>2705156730+143000000</f>
        <v>2848156730</v>
      </c>
      <c r="H35" s="94">
        <f>G35+F35</f>
        <v>3636898347</v>
      </c>
      <c r="I35" s="105"/>
      <c r="J35" s="326"/>
    </row>
    <row r="36" spans="1:10" ht="21.65" customHeight="1" x14ac:dyDescent="0.55000000000000004">
      <c r="A36" s="16"/>
      <c r="B36" s="17"/>
      <c r="C36" s="103">
        <f t="shared" ref="C36:H36" si="2">SUM(C12:C35)</f>
        <v>14055836470</v>
      </c>
      <c r="D36" s="104">
        <f t="shared" si="2"/>
        <v>12449473826</v>
      </c>
      <c r="E36" s="104">
        <f t="shared" si="2"/>
        <v>24577396793.700001</v>
      </c>
      <c r="F36" s="104">
        <f t="shared" si="2"/>
        <v>1927913502.3000002</v>
      </c>
      <c r="G36" s="104">
        <f t="shared" si="2"/>
        <v>18421196730</v>
      </c>
      <c r="H36" s="104">
        <f t="shared" si="2"/>
        <v>20349110232.299999</v>
      </c>
      <c r="I36" s="17"/>
      <c r="J36" s="326"/>
    </row>
    <row r="37" spans="1:10" ht="22.5" x14ac:dyDescent="0.7">
      <c r="A37" s="18"/>
      <c r="B37" s="20"/>
      <c r="C37" s="20"/>
      <c r="D37" s="21"/>
      <c r="E37" s="21"/>
      <c r="F37" s="21"/>
      <c r="G37" s="21"/>
      <c r="H37" s="21"/>
      <c r="I37" s="19"/>
    </row>
    <row r="38" spans="1:10" ht="18.5" x14ac:dyDescent="0.55000000000000004">
      <c r="A38" s="409" t="s">
        <v>334</v>
      </c>
      <c r="B38" s="409"/>
      <c r="C38" s="409"/>
      <c r="D38" s="409"/>
      <c r="E38" s="409"/>
      <c r="F38" s="409"/>
      <c r="G38" s="409"/>
      <c r="H38" s="409"/>
      <c r="I38" s="409"/>
    </row>
    <row r="40" spans="1:10" x14ac:dyDescent="0.55000000000000004">
      <c r="D40" s="52"/>
      <c r="E40" s="52"/>
      <c r="F40" s="52"/>
      <c r="G40" s="52"/>
      <c r="H40" s="52"/>
    </row>
    <row r="41" spans="1:10" x14ac:dyDescent="0.55000000000000004">
      <c r="D41" s="52"/>
      <c r="E41" s="52"/>
      <c r="J41" s="52"/>
    </row>
    <row r="42" spans="1:10" x14ac:dyDescent="0.55000000000000004">
      <c r="D42" s="52"/>
      <c r="E42" s="52"/>
      <c r="J42" s="274"/>
    </row>
    <row r="43" spans="1:10" x14ac:dyDescent="0.55000000000000004">
      <c r="D43" s="52"/>
      <c r="E43" s="52"/>
      <c r="J43" s="274"/>
    </row>
    <row r="44" spans="1:10" x14ac:dyDescent="0.55000000000000004">
      <c r="D44" s="52"/>
      <c r="E44" s="52"/>
      <c r="J44" s="276"/>
    </row>
    <row r="45" spans="1:10" x14ac:dyDescent="0.55000000000000004">
      <c r="D45" s="52"/>
      <c r="J45" s="52"/>
    </row>
    <row r="47" spans="1:10" ht="18.5" x14ac:dyDescent="0.6">
      <c r="A47" s="407" t="s">
        <v>66</v>
      </c>
      <c r="B47" s="407"/>
      <c r="C47" s="407"/>
      <c r="D47" s="407"/>
      <c r="E47" s="407"/>
      <c r="F47" s="407"/>
      <c r="G47" s="407"/>
      <c r="H47" s="407"/>
      <c r="I47" s="407"/>
    </row>
  </sheetData>
  <mergeCells count="15">
    <mergeCell ref="A38:I38"/>
    <mergeCell ref="A47:I47"/>
    <mergeCell ref="A1:I1"/>
    <mergeCell ref="A2:I2"/>
    <mergeCell ref="A8:I8"/>
    <mergeCell ref="A9:I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</mergeCells>
  <pageMargins left="0.19" right="0.12" top="0.12968750000000001" bottom="0.38906249999999998" header="0.3" footer="0.3"/>
  <pageSetup scale="8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G33"/>
  <sheetViews>
    <sheetView view="pageLayout" topLeftCell="A10" zoomScaleNormal="100" workbookViewId="0">
      <selection activeCell="C20" sqref="C20"/>
    </sheetView>
  </sheetViews>
  <sheetFormatPr defaultColWidth="8.1796875" defaultRowHeight="17" x14ac:dyDescent="0.55000000000000004"/>
  <cols>
    <col min="1" max="1" width="5.453125" style="23" customWidth="1"/>
    <col min="2" max="2" width="12" style="23" customWidth="1"/>
    <col min="3" max="3" width="69" style="22" customWidth="1"/>
    <col min="4" max="4" width="18.1796875" style="242" customWidth="1"/>
    <col min="5" max="5" width="8" style="23" customWidth="1"/>
    <col min="6" max="6" width="24.54296875" style="23" customWidth="1"/>
    <col min="7" max="16384" width="8.1796875" style="23"/>
  </cols>
  <sheetData>
    <row r="1" spans="1:7" ht="18.5" x14ac:dyDescent="0.55000000000000004">
      <c r="A1" s="405" t="s">
        <v>5</v>
      </c>
      <c r="B1" s="405"/>
      <c r="C1" s="405"/>
      <c r="D1" s="405"/>
      <c r="E1" s="405"/>
    </row>
    <row r="2" spans="1:7" ht="18.5" x14ac:dyDescent="0.55000000000000004">
      <c r="A2" s="405" t="s">
        <v>6</v>
      </c>
      <c r="B2" s="405"/>
      <c r="C2" s="405"/>
      <c r="D2" s="405"/>
      <c r="E2" s="405"/>
    </row>
    <row r="3" spans="1:7" ht="18.5" x14ac:dyDescent="0.55000000000000004">
      <c r="A3" s="207"/>
      <c r="B3" s="207"/>
      <c r="C3" s="207"/>
      <c r="D3" s="236"/>
      <c r="E3" s="207"/>
    </row>
    <row r="4" spans="1:7" s="53" customFormat="1" ht="16.5" customHeight="1" x14ac:dyDescent="0.55000000000000004">
      <c r="A4" s="205" t="s">
        <v>72</v>
      </c>
      <c r="B4" s="205"/>
      <c r="C4" s="203"/>
      <c r="D4" s="236"/>
      <c r="E4" s="203"/>
    </row>
    <row r="5" spans="1:7" s="53" customFormat="1" ht="16.5" customHeight="1" x14ac:dyDescent="0.55000000000000004">
      <c r="A5" s="205" t="s">
        <v>73</v>
      </c>
      <c r="B5" s="205"/>
      <c r="C5" s="203"/>
      <c r="D5" s="236"/>
      <c r="E5" s="203"/>
    </row>
    <row r="6" spans="1:7" s="53" customFormat="1" ht="16.5" customHeight="1" x14ac:dyDescent="0.55000000000000004">
      <c r="A6" s="205" t="s">
        <v>74</v>
      </c>
      <c r="B6" s="205"/>
      <c r="C6" s="203"/>
      <c r="D6" s="236"/>
      <c r="E6" s="203"/>
    </row>
    <row r="7" spans="1:7" s="53" customFormat="1" ht="16.5" customHeight="1" x14ac:dyDescent="0.55000000000000004">
      <c r="A7" s="206" t="s">
        <v>75</v>
      </c>
      <c r="B7" s="206"/>
      <c r="C7" s="203"/>
      <c r="D7" s="236"/>
      <c r="E7" s="203"/>
    </row>
    <row r="8" spans="1:7" ht="27.65" customHeight="1" x14ac:dyDescent="0.55000000000000004">
      <c r="A8" s="406" t="s">
        <v>47</v>
      </c>
      <c r="B8" s="406"/>
      <c r="C8" s="406"/>
      <c r="D8" s="406"/>
      <c r="E8" s="406"/>
      <c r="F8" s="2"/>
      <c r="G8" s="2"/>
    </row>
    <row r="9" spans="1:7" ht="26.25" customHeight="1" x14ac:dyDescent="0.55000000000000004">
      <c r="A9" s="406" t="s">
        <v>76</v>
      </c>
      <c r="B9" s="406"/>
      <c r="C9" s="406"/>
      <c r="D9" s="406"/>
      <c r="E9" s="406"/>
      <c r="F9" s="2"/>
      <c r="G9" s="2"/>
    </row>
    <row r="10" spans="1:7" ht="20.25" customHeight="1" x14ac:dyDescent="0.55000000000000004">
      <c r="A10" s="410" t="s">
        <v>0</v>
      </c>
      <c r="B10" s="410" t="s">
        <v>3</v>
      </c>
      <c r="C10" s="410" t="s">
        <v>4</v>
      </c>
      <c r="D10" s="412" t="s">
        <v>312</v>
      </c>
      <c r="E10" s="408" t="s">
        <v>1</v>
      </c>
    </row>
    <row r="11" spans="1:7" ht="20.25" customHeight="1" x14ac:dyDescent="0.55000000000000004">
      <c r="A11" s="411"/>
      <c r="B11" s="411"/>
      <c r="C11" s="411"/>
      <c r="D11" s="412"/>
      <c r="E11" s="408"/>
    </row>
    <row r="12" spans="1:7" ht="18.5" x14ac:dyDescent="0.55000000000000004">
      <c r="A12" s="183">
        <v>1</v>
      </c>
      <c r="B12" s="106" t="s">
        <v>70</v>
      </c>
      <c r="C12" s="5" t="s">
        <v>71</v>
      </c>
      <c r="D12" s="235">
        <v>3331550250</v>
      </c>
      <c r="E12" s="6"/>
    </row>
    <row r="13" spans="1:7" x14ac:dyDescent="0.55000000000000004">
      <c r="A13" s="184">
        <v>2</v>
      </c>
      <c r="B13" s="209" t="s">
        <v>78</v>
      </c>
      <c r="C13" s="5" t="s">
        <v>80</v>
      </c>
      <c r="D13" s="235">
        <v>1191953943</v>
      </c>
      <c r="E13" s="116"/>
      <c r="F13" s="8"/>
    </row>
    <row r="14" spans="1:7" x14ac:dyDescent="0.55000000000000004">
      <c r="A14" s="183">
        <v>3</v>
      </c>
      <c r="B14" s="209" t="s">
        <v>138</v>
      </c>
      <c r="C14" s="5" t="s">
        <v>311</v>
      </c>
      <c r="D14" s="169">
        <v>994263040</v>
      </c>
      <c r="E14" s="102"/>
      <c r="F14" s="8"/>
    </row>
    <row r="15" spans="1:7" x14ac:dyDescent="0.55000000000000004">
      <c r="A15" s="184">
        <v>4</v>
      </c>
      <c r="B15" s="209" t="s">
        <v>138</v>
      </c>
      <c r="C15" s="5" t="s">
        <v>313</v>
      </c>
      <c r="D15" s="237">
        <v>2093340000</v>
      </c>
      <c r="E15" s="118"/>
    </row>
    <row r="16" spans="1:7" ht="18.5" x14ac:dyDescent="0.6">
      <c r="A16" s="183">
        <v>5</v>
      </c>
      <c r="B16" s="99"/>
      <c r="C16" s="5"/>
      <c r="D16" s="238"/>
      <c r="E16" s="35"/>
    </row>
    <row r="17" spans="1:6" ht="18.5" x14ac:dyDescent="0.6">
      <c r="A17" s="184">
        <v>6</v>
      </c>
      <c r="B17" s="99"/>
      <c r="C17" s="5"/>
      <c r="D17" s="238"/>
      <c r="E17" s="35"/>
    </row>
    <row r="18" spans="1:6" ht="18.5" x14ac:dyDescent="0.6">
      <c r="A18" s="183">
        <v>7</v>
      </c>
      <c r="B18" s="99"/>
      <c r="C18" s="5"/>
      <c r="D18" s="238"/>
      <c r="E18" s="35"/>
    </row>
    <row r="19" spans="1:6" ht="18.5" x14ac:dyDescent="0.6">
      <c r="A19" s="184">
        <v>8</v>
      </c>
      <c r="B19" s="99"/>
      <c r="C19" s="5"/>
      <c r="D19" s="238"/>
      <c r="E19" s="35"/>
    </row>
    <row r="20" spans="1:6" ht="18.5" x14ac:dyDescent="0.6">
      <c r="A20" s="183">
        <v>9</v>
      </c>
      <c r="B20" s="99"/>
      <c r="C20" s="5"/>
      <c r="D20" s="238"/>
      <c r="E20" s="35"/>
    </row>
    <row r="21" spans="1:6" ht="18.5" x14ac:dyDescent="0.6">
      <c r="A21" s="184">
        <v>10</v>
      </c>
      <c r="B21" s="99"/>
      <c r="C21" s="5"/>
      <c r="D21" s="238"/>
      <c r="E21" s="35"/>
    </row>
    <row r="22" spans="1:6" ht="18.5" x14ac:dyDescent="0.6">
      <c r="A22" s="183">
        <v>11</v>
      </c>
      <c r="B22" s="99"/>
      <c r="C22" s="5"/>
      <c r="D22" s="238"/>
      <c r="E22" s="35"/>
    </row>
    <row r="23" spans="1:6" ht="18.5" x14ac:dyDescent="0.6">
      <c r="A23" s="184">
        <v>12</v>
      </c>
      <c r="B23" s="99"/>
      <c r="C23" s="5"/>
      <c r="D23" s="238"/>
      <c r="E23" s="35"/>
    </row>
    <row r="24" spans="1:6" ht="18.5" x14ac:dyDescent="0.6">
      <c r="A24" s="183">
        <v>13</v>
      </c>
      <c r="B24" s="99"/>
      <c r="C24" s="5"/>
      <c r="D24" s="238"/>
      <c r="E24" s="35"/>
    </row>
    <row r="25" spans="1:6" x14ac:dyDescent="0.55000000000000004">
      <c r="A25" s="184">
        <v>14</v>
      </c>
      <c r="B25" s="112"/>
      <c r="C25" s="32"/>
      <c r="D25" s="169"/>
      <c r="E25" s="10"/>
      <c r="F25" s="34"/>
    </row>
    <row r="26" spans="1:6" x14ac:dyDescent="0.55000000000000004">
      <c r="A26" s="183">
        <v>15</v>
      </c>
      <c r="B26" s="112"/>
      <c r="C26" s="9"/>
      <c r="D26" s="169"/>
      <c r="E26" s="10"/>
      <c r="F26" s="34"/>
    </row>
    <row r="27" spans="1:6" x14ac:dyDescent="0.55000000000000004">
      <c r="A27" s="184">
        <v>16</v>
      </c>
      <c r="B27" s="112"/>
      <c r="C27" s="9"/>
      <c r="D27" s="169"/>
      <c r="E27" s="10"/>
      <c r="F27" s="34"/>
    </row>
    <row r="28" spans="1:6" x14ac:dyDescent="0.55000000000000004">
      <c r="A28" s="183">
        <v>17</v>
      </c>
      <c r="B28" s="112"/>
      <c r="C28" s="9"/>
      <c r="D28" s="169"/>
      <c r="E28" s="10"/>
      <c r="F28" s="34"/>
    </row>
    <row r="29" spans="1:6" x14ac:dyDescent="0.55000000000000004">
      <c r="A29" s="184">
        <v>18</v>
      </c>
      <c r="B29" s="112"/>
      <c r="C29" s="9"/>
      <c r="D29" s="169"/>
      <c r="E29" s="10"/>
    </row>
    <row r="30" spans="1:6" x14ac:dyDescent="0.55000000000000004">
      <c r="A30" s="183">
        <v>19</v>
      </c>
      <c r="B30" s="185"/>
      <c r="C30" s="36"/>
      <c r="D30" s="239"/>
      <c r="E30" s="37"/>
    </row>
    <row r="31" spans="1:6" ht="21.65" customHeight="1" x14ac:dyDescent="0.55000000000000004">
      <c r="A31" s="16"/>
      <c r="B31" s="16"/>
      <c r="C31" s="17"/>
      <c r="D31" s="240">
        <f>SUM(D12:D30)</f>
        <v>7611107233</v>
      </c>
      <c r="E31" s="17"/>
    </row>
    <row r="32" spans="1:6" ht="22.5" x14ac:dyDescent="0.7">
      <c r="A32" s="18"/>
      <c r="B32" s="18"/>
      <c r="C32" s="20"/>
      <c r="D32" s="241"/>
      <c r="E32" s="19"/>
    </row>
    <row r="33" spans="1:5" ht="18.5" x14ac:dyDescent="0.55000000000000004">
      <c r="A33" s="409" t="s">
        <v>30</v>
      </c>
      <c r="B33" s="409"/>
      <c r="C33" s="409"/>
      <c r="D33" s="409"/>
      <c r="E33" s="409"/>
    </row>
  </sheetData>
  <mergeCells count="10">
    <mergeCell ref="E10:E11"/>
    <mergeCell ref="A33:E33"/>
    <mergeCell ref="B10:B11"/>
    <mergeCell ref="A1:E1"/>
    <mergeCell ref="A2:E2"/>
    <mergeCell ref="A8:E8"/>
    <mergeCell ref="A9:E9"/>
    <mergeCell ref="A10:A11"/>
    <mergeCell ref="C10:C11"/>
    <mergeCell ref="D10:D11"/>
  </mergeCells>
  <pageMargins left="0.43" right="0.24" top="0.75" bottom="0.75" header="0.3" footer="0.3"/>
  <pageSetup paperSize="9"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J54"/>
  <sheetViews>
    <sheetView view="pageLayout" topLeftCell="A11" zoomScaleNormal="100" workbookViewId="0">
      <selection activeCell="C27" sqref="C27"/>
    </sheetView>
  </sheetViews>
  <sheetFormatPr defaultColWidth="9.1796875" defaultRowHeight="17" x14ac:dyDescent="0.55000000000000004"/>
  <cols>
    <col min="1" max="1" width="4" style="1" customWidth="1"/>
    <col min="2" max="2" width="11.453125" style="22" customWidth="1"/>
    <col min="3" max="3" width="46.54296875" style="22" customWidth="1"/>
    <col min="4" max="4" width="14.54296875" style="22" customWidth="1"/>
    <col min="5" max="5" width="14.453125" style="1" customWidth="1"/>
    <col min="6" max="6" width="14.54296875" style="1" customWidth="1"/>
    <col min="7" max="7" width="14.54296875" style="23" customWidth="1"/>
    <col min="8" max="8" width="7.1796875" style="1" customWidth="1"/>
    <col min="9" max="9" width="24.54296875" style="1" customWidth="1"/>
    <col min="10" max="16384" width="9.1796875" style="1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35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s="23" customFormat="1" ht="35.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20"/>
      <c r="E11" s="412"/>
      <c r="F11" s="414"/>
      <c r="G11" s="408"/>
      <c r="H11" s="408"/>
    </row>
    <row r="12" spans="1:10" x14ac:dyDescent="0.55000000000000004">
      <c r="A12" s="107">
        <v>1</v>
      </c>
      <c r="B12" s="107" t="s">
        <v>50</v>
      </c>
      <c r="C12" s="175" t="s">
        <v>10</v>
      </c>
      <c r="D12" s="176">
        <v>133091800</v>
      </c>
      <c r="E12" s="248"/>
      <c r="F12" s="248">
        <v>0</v>
      </c>
      <c r="G12" s="113">
        <f>D12</f>
        <v>133091800</v>
      </c>
      <c r="H12" s="61"/>
    </row>
    <row r="13" spans="1:10" x14ac:dyDescent="0.55000000000000004">
      <c r="A13" s="108">
        <v>2</v>
      </c>
      <c r="B13" s="108" t="s">
        <v>164</v>
      </c>
      <c r="C13" s="40" t="s">
        <v>162</v>
      </c>
      <c r="D13" s="59"/>
      <c r="E13" s="177"/>
      <c r="F13" s="59">
        <v>854400</v>
      </c>
      <c r="G13" s="116">
        <f>G12+E13-F13</f>
        <v>132237400</v>
      </c>
      <c r="H13" s="62"/>
    </row>
    <row r="14" spans="1:10" x14ac:dyDescent="0.55000000000000004">
      <c r="A14" s="109">
        <v>3</v>
      </c>
      <c r="B14" s="108" t="s">
        <v>37</v>
      </c>
      <c r="C14" s="39" t="s">
        <v>163</v>
      </c>
      <c r="D14" s="58"/>
      <c r="E14" s="102"/>
      <c r="F14" s="58">
        <v>6276667</v>
      </c>
      <c r="G14" s="116">
        <f>G13+E14-F14</f>
        <v>125960733</v>
      </c>
      <c r="H14" s="63"/>
      <c r="I14" s="8"/>
    </row>
    <row r="15" spans="1:10" x14ac:dyDescent="0.55000000000000004">
      <c r="A15" s="108">
        <v>4</v>
      </c>
      <c r="B15" s="108" t="s">
        <v>37</v>
      </c>
      <c r="C15" s="29"/>
      <c r="D15" s="119"/>
      <c r="E15" s="118"/>
      <c r="F15" s="118"/>
      <c r="G15" s="116">
        <f>G14+E15-F15</f>
        <v>125960733</v>
      </c>
      <c r="H15" s="63"/>
      <c r="I15" s="8"/>
    </row>
    <row r="16" spans="1:10" x14ac:dyDescent="0.55000000000000004">
      <c r="A16" s="109">
        <v>5</v>
      </c>
      <c r="B16" s="108" t="s">
        <v>37</v>
      </c>
      <c r="C16" s="29"/>
      <c r="D16" s="119"/>
      <c r="E16" s="118"/>
      <c r="F16" s="118"/>
      <c r="G16" s="116">
        <f>G15+E16-F16</f>
        <v>125960733</v>
      </c>
      <c r="H16" s="64"/>
    </row>
    <row r="17" spans="1:8" x14ac:dyDescent="0.55000000000000004">
      <c r="A17" s="108">
        <v>6</v>
      </c>
      <c r="B17" s="108" t="s">
        <v>37</v>
      </c>
      <c r="C17" s="65"/>
      <c r="D17" s="120"/>
      <c r="E17" s="118"/>
      <c r="F17" s="121"/>
      <c r="G17" s="116">
        <f>G16+E17-F17</f>
        <v>125960733</v>
      </c>
      <c r="H17" s="64"/>
    </row>
    <row r="18" spans="1:8" x14ac:dyDescent="0.55000000000000004">
      <c r="A18" s="109">
        <v>7</v>
      </c>
      <c r="B18" s="108" t="s">
        <v>37</v>
      </c>
      <c r="C18" s="24"/>
      <c r="D18" s="122"/>
      <c r="E18" s="102"/>
      <c r="F18" s="102"/>
      <c r="G18" s="116">
        <f t="shared" ref="G18:G41" si="0">G17+E18-F18</f>
        <v>125960733</v>
      </c>
      <c r="H18" s="64"/>
    </row>
    <row r="19" spans="1:8" x14ac:dyDescent="0.55000000000000004">
      <c r="A19" s="108">
        <v>8</v>
      </c>
      <c r="B19" s="108" t="s">
        <v>37</v>
      </c>
      <c r="C19" s="24"/>
      <c r="D19" s="122"/>
      <c r="E19" s="102"/>
      <c r="F19" s="102"/>
      <c r="G19" s="116">
        <f t="shared" si="0"/>
        <v>125960733</v>
      </c>
      <c r="H19" s="64"/>
    </row>
    <row r="20" spans="1:8" x14ac:dyDescent="0.55000000000000004">
      <c r="A20" s="109">
        <v>9</v>
      </c>
      <c r="B20" s="108" t="s">
        <v>37</v>
      </c>
      <c r="C20" s="42"/>
      <c r="D20" s="57"/>
      <c r="E20" s="102"/>
      <c r="F20" s="58"/>
      <c r="G20" s="116">
        <f t="shared" si="0"/>
        <v>125960733</v>
      </c>
      <c r="H20" s="64"/>
    </row>
    <row r="21" spans="1:8" x14ac:dyDescent="0.55000000000000004">
      <c r="A21" s="108">
        <v>10</v>
      </c>
      <c r="B21" s="108" t="s">
        <v>37</v>
      </c>
      <c r="C21" s="40"/>
      <c r="D21" s="123"/>
      <c r="E21" s="102"/>
      <c r="F21" s="59"/>
      <c r="G21" s="116">
        <f t="shared" si="0"/>
        <v>125960733</v>
      </c>
      <c r="H21" s="64"/>
    </row>
    <row r="22" spans="1:8" x14ac:dyDescent="0.55000000000000004">
      <c r="A22" s="109">
        <v>11</v>
      </c>
      <c r="B22" s="108" t="s">
        <v>37</v>
      </c>
      <c r="C22" s="40"/>
      <c r="D22" s="122"/>
      <c r="E22" s="102"/>
      <c r="F22" s="84"/>
      <c r="G22" s="116">
        <f t="shared" si="0"/>
        <v>125960733</v>
      </c>
      <c r="H22" s="64"/>
    </row>
    <row r="23" spans="1:8" x14ac:dyDescent="0.55000000000000004">
      <c r="A23" s="108">
        <v>12</v>
      </c>
      <c r="B23" s="108" t="s">
        <v>37</v>
      </c>
      <c r="C23" s="40"/>
      <c r="D23" s="122"/>
      <c r="E23" s="102"/>
      <c r="F23" s="84"/>
      <c r="G23" s="116">
        <f t="shared" si="0"/>
        <v>125960733</v>
      </c>
      <c r="H23" s="64"/>
    </row>
    <row r="24" spans="1:8" x14ac:dyDescent="0.55000000000000004">
      <c r="A24" s="109">
        <v>13</v>
      </c>
      <c r="B24" s="108" t="s">
        <v>37</v>
      </c>
      <c r="C24" s="50"/>
      <c r="D24" s="122"/>
      <c r="E24" s="102"/>
      <c r="F24" s="118"/>
      <c r="G24" s="116">
        <f t="shared" si="0"/>
        <v>125960733</v>
      </c>
      <c r="H24" s="64"/>
    </row>
    <row r="25" spans="1:8" x14ac:dyDescent="0.55000000000000004">
      <c r="A25" s="108">
        <v>14</v>
      </c>
      <c r="B25" s="108" t="s">
        <v>37</v>
      </c>
      <c r="C25" s="29"/>
      <c r="D25" s="119"/>
      <c r="E25" s="102"/>
      <c r="F25" s="102"/>
      <c r="G25" s="116">
        <f t="shared" si="0"/>
        <v>125960733</v>
      </c>
      <c r="H25" s="64"/>
    </row>
    <row r="26" spans="1:8" x14ac:dyDescent="0.55000000000000004">
      <c r="A26" s="109">
        <v>15</v>
      </c>
      <c r="B26" s="108" t="s">
        <v>37</v>
      </c>
      <c r="C26" s="29"/>
      <c r="D26" s="119"/>
      <c r="E26" s="102"/>
      <c r="F26" s="102"/>
      <c r="G26" s="116">
        <f t="shared" si="0"/>
        <v>125960733</v>
      </c>
      <c r="H26" s="64"/>
    </row>
    <row r="27" spans="1:8" x14ac:dyDescent="0.55000000000000004">
      <c r="A27" s="108">
        <v>16</v>
      </c>
      <c r="B27" s="108" t="s">
        <v>37</v>
      </c>
      <c r="C27" s="24"/>
      <c r="D27" s="122"/>
      <c r="E27" s="102"/>
      <c r="F27" s="102"/>
      <c r="G27" s="116">
        <f t="shared" si="0"/>
        <v>125960733</v>
      </c>
      <c r="H27" s="64"/>
    </row>
    <row r="28" spans="1:8" x14ac:dyDescent="0.55000000000000004">
      <c r="A28" s="109">
        <v>17</v>
      </c>
      <c r="B28" s="108" t="s">
        <v>37</v>
      </c>
      <c r="C28" s="24"/>
      <c r="D28" s="122"/>
      <c r="E28" s="102"/>
      <c r="F28" s="102"/>
      <c r="G28" s="116">
        <f t="shared" si="0"/>
        <v>125960733</v>
      </c>
      <c r="H28" s="66"/>
    </row>
    <row r="29" spans="1:8" x14ac:dyDescent="0.55000000000000004">
      <c r="A29" s="108">
        <v>18</v>
      </c>
      <c r="B29" s="108" t="s">
        <v>37</v>
      </c>
      <c r="C29" s="24"/>
      <c r="D29" s="122"/>
      <c r="E29" s="102"/>
      <c r="F29" s="102"/>
      <c r="G29" s="116">
        <f t="shared" si="0"/>
        <v>125960733</v>
      </c>
      <c r="H29" s="66"/>
    </row>
    <row r="30" spans="1:8" x14ac:dyDescent="0.55000000000000004">
      <c r="A30" s="109">
        <v>19</v>
      </c>
      <c r="B30" s="108" t="s">
        <v>37</v>
      </c>
      <c r="C30" s="24"/>
      <c r="D30" s="122"/>
      <c r="E30" s="102"/>
      <c r="F30" s="102"/>
      <c r="G30" s="116">
        <f t="shared" si="0"/>
        <v>125960733</v>
      </c>
      <c r="H30" s="66"/>
    </row>
    <row r="31" spans="1:8" x14ac:dyDescent="0.55000000000000004">
      <c r="A31" s="108">
        <v>20</v>
      </c>
      <c r="B31" s="108" t="s">
        <v>37</v>
      </c>
      <c r="C31" s="24"/>
      <c r="D31" s="122"/>
      <c r="E31" s="102"/>
      <c r="F31" s="102"/>
      <c r="G31" s="116">
        <f t="shared" si="0"/>
        <v>125960733</v>
      </c>
      <c r="H31" s="64"/>
    </row>
    <row r="32" spans="1:8" x14ac:dyDescent="0.55000000000000004">
      <c r="A32" s="109">
        <v>21</v>
      </c>
      <c r="B32" s="108" t="s">
        <v>37</v>
      </c>
      <c r="C32" s="65"/>
      <c r="D32" s="123"/>
      <c r="E32" s="102"/>
      <c r="F32" s="102"/>
      <c r="G32" s="116">
        <f t="shared" si="0"/>
        <v>125960733</v>
      </c>
      <c r="H32" s="64"/>
    </row>
    <row r="33" spans="1:8" x14ac:dyDescent="0.55000000000000004">
      <c r="A33" s="108">
        <v>22</v>
      </c>
      <c r="B33" s="108" t="s">
        <v>37</v>
      </c>
      <c r="C33" s="5"/>
      <c r="D33" s="124"/>
      <c r="E33" s="98"/>
      <c r="F33" s="98"/>
      <c r="G33" s="94">
        <f t="shared" si="0"/>
        <v>125960733</v>
      </c>
      <c r="H33" s="10"/>
    </row>
    <row r="34" spans="1:8" x14ac:dyDescent="0.55000000000000004">
      <c r="A34" s="109">
        <v>23</v>
      </c>
      <c r="B34" s="108" t="s">
        <v>37</v>
      </c>
      <c r="C34" s="5"/>
      <c r="D34" s="124"/>
      <c r="E34" s="98"/>
      <c r="F34" s="98"/>
      <c r="G34" s="94">
        <f t="shared" si="0"/>
        <v>125960733</v>
      </c>
      <c r="H34" s="10"/>
    </row>
    <row r="35" spans="1:8" x14ac:dyDescent="0.55000000000000004">
      <c r="A35" s="108">
        <v>24</v>
      </c>
      <c r="B35" s="108" t="s">
        <v>37</v>
      </c>
      <c r="C35" s="5"/>
      <c r="D35" s="124"/>
      <c r="E35" s="98"/>
      <c r="F35" s="98"/>
      <c r="G35" s="94">
        <f t="shared" si="0"/>
        <v>125960733</v>
      </c>
      <c r="H35" s="10"/>
    </row>
    <row r="36" spans="1:8" x14ac:dyDescent="0.55000000000000004">
      <c r="A36" s="109">
        <v>25</v>
      </c>
      <c r="B36" s="108" t="s">
        <v>37</v>
      </c>
      <c r="C36" s="5"/>
      <c r="D36" s="124"/>
      <c r="E36" s="98"/>
      <c r="F36" s="98"/>
      <c r="G36" s="94">
        <f t="shared" si="0"/>
        <v>125960733</v>
      </c>
      <c r="H36" s="10"/>
    </row>
    <row r="37" spans="1:8" x14ac:dyDescent="0.55000000000000004">
      <c r="A37" s="108">
        <v>26</v>
      </c>
      <c r="B37" s="108" t="s">
        <v>37</v>
      </c>
      <c r="C37" s="12"/>
      <c r="D37" s="101"/>
      <c r="E37" s="98"/>
      <c r="F37" s="98"/>
      <c r="G37" s="94">
        <f t="shared" si="0"/>
        <v>125960733</v>
      </c>
      <c r="H37" s="10"/>
    </row>
    <row r="38" spans="1:8" x14ac:dyDescent="0.55000000000000004">
      <c r="A38" s="109">
        <v>27</v>
      </c>
      <c r="B38" s="108" t="s">
        <v>37</v>
      </c>
      <c r="C38" s="12"/>
      <c r="D38" s="101"/>
      <c r="E38" s="98"/>
      <c r="F38" s="98"/>
      <c r="G38" s="94">
        <f t="shared" si="0"/>
        <v>125960733</v>
      </c>
      <c r="H38" s="10"/>
    </row>
    <row r="39" spans="1:8" x14ac:dyDescent="0.55000000000000004">
      <c r="A39" s="108">
        <v>28</v>
      </c>
      <c r="B39" s="108" t="s">
        <v>37</v>
      </c>
      <c r="C39" s="5"/>
      <c r="D39" s="124"/>
      <c r="E39" s="98"/>
      <c r="F39" s="98"/>
      <c r="G39" s="94">
        <f t="shared" si="0"/>
        <v>125960733</v>
      </c>
      <c r="H39" s="10"/>
    </row>
    <row r="40" spans="1:8" x14ac:dyDescent="0.55000000000000004">
      <c r="A40" s="109">
        <v>29</v>
      </c>
      <c r="B40" s="108" t="s">
        <v>37</v>
      </c>
      <c r="C40" s="14"/>
      <c r="D40" s="125"/>
      <c r="E40" s="98"/>
      <c r="F40" s="98"/>
      <c r="G40" s="94">
        <f t="shared" si="0"/>
        <v>125960733</v>
      </c>
      <c r="H40" s="10"/>
    </row>
    <row r="41" spans="1:8" x14ac:dyDescent="0.55000000000000004">
      <c r="A41" s="108">
        <v>30</v>
      </c>
      <c r="B41" s="108" t="s">
        <v>37</v>
      </c>
      <c r="C41" s="15"/>
      <c r="D41" s="126"/>
      <c r="E41" s="98"/>
      <c r="F41" s="98"/>
      <c r="G41" s="94">
        <f t="shared" si="0"/>
        <v>125960733</v>
      </c>
      <c r="H41" s="10"/>
    </row>
    <row r="42" spans="1:8" ht="21.65" customHeight="1" x14ac:dyDescent="0.55000000000000004">
      <c r="A42" s="16"/>
      <c r="B42" s="17" t="s">
        <v>2</v>
      </c>
      <c r="C42" s="17"/>
      <c r="D42" s="127">
        <f>SUM(D12:D41)</f>
        <v>133091800</v>
      </c>
      <c r="E42" s="128">
        <f>SUM(E12:E41)</f>
        <v>0</v>
      </c>
      <c r="F42" s="128">
        <f>SUM(F12:F41)</f>
        <v>7131067</v>
      </c>
      <c r="G42" s="128">
        <f>D42+E42-F42</f>
        <v>125960733</v>
      </c>
      <c r="H42" s="17"/>
    </row>
    <row r="43" spans="1:8" ht="22.5" x14ac:dyDescent="0.7">
      <c r="A43" s="18"/>
      <c r="B43" s="19"/>
      <c r="C43" s="20"/>
      <c r="D43" s="20"/>
      <c r="E43" s="21"/>
      <c r="F43" s="21"/>
      <c r="G43" s="47"/>
      <c r="H43" s="19"/>
    </row>
    <row r="44" spans="1:8" ht="18.5" x14ac:dyDescent="0.55000000000000004">
      <c r="A44" s="419" t="s">
        <v>69</v>
      </c>
      <c r="B44" s="419"/>
      <c r="C44" s="419"/>
      <c r="D44" s="419"/>
      <c r="E44" s="419"/>
      <c r="F44" s="419"/>
      <c r="G44" s="419"/>
      <c r="H44" s="419"/>
    </row>
    <row r="54" spans="1:8" ht="18.5" x14ac:dyDescent="0.6">
      <c r="A54" s="407" t="s">
        <v>67</v>
      </c>
      <c r="B54" s="407"/>
      <c r="C54" s="407"/>
      <c r="D54" s="407"/>
      <c r="E54" s="407"/>
      <c r="F54" s="407"/>
      <c r="G54" s="407"/>
      <c r="H54" s="407"/>
    </row>
  </sheetData>
  <mergeCells count="14">
    <mergeCell ref="A54:H54"/>
    <mergeCell ref="A44:H44"/>
    <mergeCell ref="A10:A11"/>
    <mergeCell ref="B10:B11"/>
    <mergeCell ref="E10:E11"/>
    <mergeCell ref="G10:G11"/>
    <mergeCell ref="C10:C11"/>
    <mergeCell ref="D10:D11"/>
    <mergeCell ref="A8:H8"/>
    <mergeCell ref="F10:F11"/>
    <mergeCell ref="H10:H11"/>
    <mergeCell ref="A9:H9"/>
    <mergeCell ref="A1:H1"/>
    <mergeCell ref="A2:H2"/>
  </mergeCells>
  <pageMargins left="0.11666666666666667" right="0.15833333333333333" top="0.75" bottom="0.75" header="0.3" footer="0.3"/>
  <pageSetup paperSize="9" scale="8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J85"/>
  <sheetViews>
    <sheetView view="pageLayout" topLeftCell="A22" zoomScale="70" zoomScaleNormal="100" zoomScalePageLayoutView="70" workbookViewId="0">
      <selection activeCell="F63" sqref="F63"/>
    </sheetView>
  </sheetViews>
  <sheetFormatPr defaultColWidth="9.1796875" defaultRowHeight="17" x14ac:dyDescent="0.55000000000000004"/>
  <cols>
    <col min="1" max="1" width="5.453125" style="23" customWidth="1"/>
    <col min="2" max="2" width="10" style="22" customWidth="1"/>
    <col min="3" max="3" width="46" style="22" customWidth="1"/>
    <col min="4" max="4" width="17.1796875" style="22" customWidth="1"/>
    <col min="5" max="5" width="14.453125" style="23" customWidth="1"/>
    <col min="6" max="6" width="16.54296875" style="23" customWidth="1"/>
    <col min="7" max="7" width="14.54296875" style="23" customWidth="1"/>
    <col min="8" max="8" width="8.1796875" style="23" customWidth="1"/>
    <col min="9" max="9" width="24.54296875" style="23" customWidth="1"/>
    <col min="10" max="16384" width="9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3.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3.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3.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3.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77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2.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21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20"/>
      <c r="E11" s="421"/>
      <c r="F11" s="414"/>
      <c r="G11" s="408"/>
      <c r="H11" s="408"/>
    </row>
    <row r="12" spans="1:10" ht="18.5" x14ac:dyDescent="0.55000000000000004">
      <c r="A12" s="129">
        <v>1</v>
      </c>
      <c r="B12" s="107" t="s">
        <v>50</v>
      </c>
      <c r="C12" s="56" t="s">
        <v>10</v>
      </c>
      <c r="D12" s="174">
        <v>858641064</v>
      </c>
      <c r="E12" s="130"/>
      <c r="F12" s="131">
        <v>0</v>
      </c>
      <c r="G12" s="113">
        <f>D12</f>
        <v>858641064</v>
      </c>
      <c r="H12" s="4"/>
    </row>
    <row r="13" spans="1:10" s="53" customFormat="1" ht="18.5" x14ac:dyDescent="0.55000000000000004">
      <c r="A13" s="106"/>
      <c r="B13" s="108"/>
      <c r="C13" s="56"/>
      <c r="D13" s="320">
        <v>1000000000</v>
      </c>
      <c r="E13" s="321"/>
      <c r="F13" s="310"/>
      <c r="G13" s="116">
        <f>G12+D13+E13-F13</f>
        <v>1858641064</v>
      </c>
      <c r="H13" s="6"/>
    </row>
    <row r="14" spans="1:10" ht="18.5" x14ac:dyDescent="0.55000000000000004">
      <c r="A14" s="106">
        <v>2</v>
      </c>
      <c r="B14" s="108" t="s">
        <v>60</v>
      </c>
      <c r="C14" s="38" t="s">
        <v>57</v>
      </c>
      <c r="D14" s="84"/>
      <c r="E14" s="94"/>
      <c r="F14" s="84">
        <v>255481600</v>
      </c>
      <c r="G14" s="116">
        <f t="shared" ref="G14:G56" si="0">G13+D14+E14-F14</f>
        <v>1603159464</v>
      </c>
      <c r="H14" s="6"/>
    </row>
    <row r="15" spans="1:10" x14ac:dyDescent="0.55000000000000004">
      <c r="A15" s="100">
        <v>3</v>
      </c>
      <c r="B15" s="110" t="s">
        <v>145</v>
      </c>
      <c r="C15" s="5" t="s">
        <v>148</v>
      </c>
      <c r="D15" s="132"/>
      <c r="E15" s="97"/>
      <c r="F15" s="95">
        <v>241315748</v>
      </c>
      <c r="G15" s="116">
        <f t="shared" si="0"/>
        <v>1361843716</v>
      </c>
      <c r="H15" s="7"/>
      <c r="I15" s="8"/>
    </row>
    <row r="16" spans="1:10" x14ac:dyDescent="0.55000000000000004">
      <c r="A16" s="106">
        <v>4</v>
      </c>
      <c r="B16" s="110" t="s">
        <v>37</v>
      </c>
      <c r="C16" s="5" t="s">
        <v>87</v>
      </c>
      <c r="D16" s="132"/>
      <c r="E16" s="97"/>
      <c r="F16" s="97">
        <v>6000</v>
      </c>
      <c r="G16" s="116">
        <f t="shared" si="0"/>
        <v>1361837716</v>
      </c>
      <c r="H16" s="7"/>
      <c r="I16" s="8"/>
    </row>
    <row r="17" spans="1:8" x14ac:dyDescent="0.55000000000000004">
      <c r="A17" s="100">
        <v>5</v>
      </c>
      <c r="B17" s="110" t="s">
        <v>164</v>
      </c>
      <c r="C17" s="249" t="s">
        <v>172</v>
      </c>
      <c r="D17" s="250"/>
      <c r="E17" s="97"/>
      <c r="F17" s="250">
        <f>56594*280</f>
        <v>15846320</v>
      </c>
      <c r="G17" s="116">
        <f t="shared" si="0"/>
        <v>1345991396</v>
      </c>
      <c r="H17" s="10"/>
    </row>
    <row r="18" spans="1:8" x14ac:dyDescent="0.55000000000000004">
      <c r="A18" s="106">
        <v>6</v>
      </c>
      <c r="B18" s="110" t="s">
        <v>37</v>
      </c>
      <c r="C18" s="249" t="s">
        <v>173</v>
      </c>
      <c r="D18" s="250"/>
      <c r="E18" s="97"/>
      <c r="F18" s="250">
        <f>59833*280</f>
        <v>16753240</v>
      </c>
      <c r="G18" s="116">
        <f t="shared" si="0"/>
        <v>1329238156</v>
      </c>
      <c r="H18" s="10"/>
    </row>
    <row r="19" spans="1:8" x14ac:dyDescent="0.55000000000000004">
      <c r="A19" s="100">
        <v>7</v>
      </c>
      <c r="B19" s="110" t="s">
        <v>37</v>
      </c>
      <c r="C19" s="249" t="s">
        <v>174</v>
      </c>
      <c r="D19" s="250"/>
      <c r="E19" s="98"/>
      <c r="F19" s="250">
        <f>53872*280</f>
        <v>15084160</v>
      </c>
      <c r="G19" s="116">
        <f t="shared" si="0"/>
        <v>1314153996</v>
      </c>
      <c r="H19" s="10"/>
    </row>
    <row r="20" spans="1:8" x14ac:dyDescent="0.55000000000000004">
      <c r="A20" s="106">
        <v>8</v>
      </c>
      <c r="B20" s="110" t="s">
        <v>37</v>
      </c>
      <c r="C20" s="249" t="s">
        <v>175</v>
      </c>
      <c r="D20" s="250"/>
      <c r="E20" s="98"/>
      <c r="F20" s="250">
        <f>51248*280</f>
        <v>14349440</v>
      </c>
      <c r="G20" s="116">
        <f t="shared" si="0"/>
        <v>1299804556</v>
      </c>
      <c r="H20" s="10"/>
    </row>
    <row r="21" spans="1:8" x14ac:dyDescent="0.55000000000000004">
      <c r="A21" s="100">
        <v>9</v>
      </c>
      <c r="B21" s="110" t="s">
        <v>37</v>
      </c>
      <c r="C21" s="249" t="s">
        <v>176</v>
      </c>
      <c r="D21" s="250"/>
      <c r="E21" s="98"/>
      <c r="F21" s="250">
        <v>37502128</v>
      </c>
      <c r="G21" s="116">
        <f t="shared" si="0"/>
        <v>1262302428</v>
      </c>
      <c r="H21" s="10"/>
    </row>
    <row r="22" spans="1:8" x14ac:dyDescent="0.55000000000000004">
      <c r="A22" s="106">
        <v>10</v>
      </c>
      <c r="B22" s="110" t="s">
        <v>37</v>
      </c>
      <c r="C22" s="249" t="s">
        <v>177</v>
      </c>
      <c r="D22" s="250"/>
      <c r="E22" s="98"/>
      <c r="F22" s="250">
        <v>12690688</v>
      </c>
      <c r="G22" s="116">
        <f t="shared" si="0"/>
        <v>1249611740</v>
      </c>
      <c r="H22" s="10"/>
    </row>
    <row r="23" spans="1:8" x14ac:dyDescent="0.55000000000000004">
      <c r="A23" s="100">
        <v>11</v>
      </c>
      <c r="B23" s="110" t="s">
        <v>37</v>
      </c>
      <c r="C23" s="249" t="s">
        <v>178</v>
      </c>
      <c r="D23" s="250"/>
      <c r="E23" s="98"/>
      <c r="F23" s="250">
        <v>15471232</v>
      </c>
      <c r="G23" s="116">
        <f t="shared" si="0"/>
        <v>1234140508</v>
      </c>
      <c r="H23" s="10"/>
    </row>
    <row r="24" spans="1:8" x14ac:dyDescent="0.55000000000000004">
      <c r="A24" s="106">
        <v>12</v>
      </c>
      <c r="B24" s="110" t="s">
        <v>37</v>
      </c>
      <c r="C24" s="249" t="s">
        <v>179</v>
      </c>
      <c r="D24" s="250"/>
      <c r="E24" s="98"/>
      <c r="F24" s="250">
        <v>15471232</v>
      </c>
      <c r="G24" s="116">
        <f t="shared" si="0"/>
        <v>1218669276</v>
      </c>
      <c r="H24" s="10"/>
    </row>
    <row r="25" spans="1:8" x14ac:dyDescent="0.55000000000000004">
      <c r="A25" s="100">
        <v>13</v>
      </c>
      <c r="B25" s="110" t="s">
        <v>37</v>
      </c>
      <c r="C25" s="249" t="s">
        <v>180</v>
      </c>
      <c r="D25" s="250"/>
      <c r="E25" s="98"/>
      <c r="F25" s="250">
        <v>19851289</v>
      </c>
      <c r="G25" s="116">
        <f t="shared" si="0"/>
        <v>1198817987</v>
      </c>
      <c r="H25" s="10"/>
    </row>
    <row r="26" spans="1:8" x14ac:dyDescent="0.55000000000000004">
      <c r="A26" s="106">
        <v>14</v>
      </c>
      <c r="B26" s="110" t="s">
        <v>37</v>
      </c>
      <c r="C26" s="249" t="s">
        <v>181</v>
      </c>
      <c r="D26" s="250"/>
      <c r="E26" s="98"/>
      <c r="F26" s="250">
        <v>16092556</v>
      </c>
      <c r="G26" s="116">
        <f t="shared" si="0"/>
        <v>1182725431</v>
      </c>
      <c r="H26" s="10"/>
    </row>
    <row r="27" spans="1:8" x14ac:dyDescent="0.55000000000000004">
      <c r="A27" s="100">
        <v>15</v>
      </c>
      <c r="B27" s="110" t="s">
        <v>37</v>
      </c>
      <c r="C27" s="249" t="s">
        <v>182</v>
      </c>
      <c r="D27" s="250"/>
      <c r="E27" s="98"/>
      <c r="F27" s="250">
        <v>17111040</v>
      </c>
      <c r="G27" s="116">
        <f t="shared" si="0"/>
        <v>1165614391</v>
      </c>
      <c r="H27" s="10"/>
    </row>
    <row r="28" spans="1:8" x14ac:dyDescent="0.55000000000000004">
      <c r="A28" s="106">
        <v>16</v>
      </c>
      <c r="B28" s="110" t="s">
        <v>37</v>
      </c>
      <c r="C28" s="249" t="s">
        <v>183</v>
      </c>
      <c r="D28" s="250"/>
      <c r="E28" s="98"/>
      <c r="F28" s="250">
        <v>17111040</v>
      </c>
      <c r="G28" s="116">
        <f t="shared" si="0"/>
        <v>1148503351</v>
      </c>
      <c r="H28" s="10"/>
    </row>
    <row r="29" spans="1:8" x14ac:dyDescent="0.55000000000000004">
      <c r="A29" s="100">
        <v>17</v>
      </c>
      <c r="B29" s="110" t="s">
        <v>37</v>
      </c>
      <c r="C29" s="249" t="s">
        <v>184</v>
      </c>
      <c r="D29" s="250"/>
      <c r="E29" s="98"/>
      <c r="F29" s="250">
        <v>30605939</v>
      </c>
      <c r="G29" s="116">
        <f t="shared" si="0"/>
        <v>1117897412</v>
      </c>
      <c r="H29" s="10"/>
    </row>
    <row r="30" spans="1:8" x14ac:dyDescent="0.55000000000000004">
      <c r="A30" s="106">
        <v>18</v>
      </c>
      <c r="B30" s="110" t="s">
        <v>37</v>
      </c>
      <c r="C30" s="249" t="s">
        <v>185</v>
      </c>
      <c r="D30" s="250"/>
      <c r="E30" s="98"/>
      <c r="F30" s="250">
        <v>20431464</v>
      </c>
      <c r="G30" s="116">
        <f t="shared" si="0"/>
        <v>1097465948</v>
      </c>
      <c r="H30" s="10"/>
    </row>
    <row r="31" spans="1:8" x14ac:dyDescent="0.55000000000000004">
      <c r="A31" s="100">
        <v>19</v>
      </c>
      <c r="B31" s="110" t="s">
        <v>37</v>
      </c>
      <c r="C31" s="251" t="s">
        <v>186</v>
      </c>
      <c r="D31" s="252"/>
      <c r="E31" s="98"/>
      <c r="F31" s="252">
        <v>26150385</v>
      </c>
      <c r="G31" s="116">
        <f t="shared" si="0"/>
        <v>1071315563</v>
      </c>
      <c r="H31" s="10"/>
    </row>
    <row r="32" spans="1:8" x14ac:dyDescent="0.55000000000000004">
      <c r="A32" s="106">
        <v>20</v>
      </c>
      <c r="B32" s="110" t="s">
        <v>37</v>
      </c>
      <c r="C32" s="251" t="s">
        <v>187</v>
      </c>
      <c r="D32" s="252"/>
      <c r="E32" s="98"/>
      <c r="F32" s="252">
        <v>33107032</v>
      </c>
      <c r="G32" s="116">
        <f t="shared" si="0"/>
        <v>1038208531</v>
      </c>
      <c r="H32" s="10"/>
    </row>
    <row r="33" spans="1:8" x14ac:dyDescent="0.55000000000000004">
      <c r="A33" s="100">
        <v>21</v>
      </c>
      <c r="B33" s="110" t="s">
        <v>37</v>
      </c>
      <c r="C33" s="251" t="s">
        <v>188</v>
      </c>
      <c r="D33" s="252"/>
      <c r="E33" s="98"/>
      <c r="F33" s="252">
        <v>11692544</v>
      </c>
      <c r="G33" s="116">
        <f t="shared" si="0"/>
        <v>1026515987</v>
      </c>
      <c r="H33" s="10"/>
    </row>
    <row r="34" spans="1:8" x14ac:dyDescent="0.55000000000000004">
      <c r="A34" s="106">
        <v>22</v>
      </c>
      <c r="B34" s="110" t="s">
        <v>37</v>
      </c>
      <c r="C34" s="251" t="s">
        <v>189</v>
      </c>
      <c r="D34" s="252"/>
      <c r="E34" s="98"/>
      <c r="F34" s="252">
        <v>32139947</v>
      </c>
      <c r="G34" s="116">
        <f t="shared" si="0"/>
        <v>994376040</v>
      </c>
      <c r="H34" s="46"/>
    </row>
    <row r="35" spans="1:8" x14ac:dyDescent="0.55000000000000004">
      <c r="A35" s="100">
        <v>23</v>
      </c>
      <c r="B35" s="110" t="s">
        <v>37</v>
      </c>
      <c r="C35" s="251" t="s">
        <v>190</v>
      </c>
      <c r="D35" s="252"/>
      <c r="E35" s="98"/>
      <c r="F35" s="252">
        <v>37644544</v>
      </c>
      <c r="G35" s="116">
        <f t="shared" si="0"/>
        <v>956731496</v>
      </c>
      <c r="H35" s="46"/>
    </row>
    <row r="36" spans="1:8" x14ac:dyDescent="0.55000000000000004">
      <c r="A36" s="106">
        <v>24</v>
      </c>
      <c r="B36" s="110" t="s">
        <v>37</v>
      </c>
      <c r="C36" s="253" t="s">
        <v>191</v>
      </c>
      <c r="D36" s="252"/>
      <c r="E36" s="96"/>
      <c r="F36" s="252">
        <v>30586019</v>
      </c>
      <c r="G36" s="116">
        <f t="shared" si="0"/>
        <v>926145477</v>
      </c>
      <c r="H36" s="46"/>
    </row>
    <row r="37" spans="1:8" x14ac:dyDescent="0.55000000000000004">
      <c r="A37" s="100">
        <v>25</v>
      </c>
      <c r="B37" s="110" t="s">
        <v>37</v>
      </c>
      <c r="C37" s="247" t="s">
        <v>192</v>
      </c>
      <c r="D37" s="69"/>
      <c r="E37" s="96"/>
      <c r="F37" s="69">
        <v>68993750</v>
      </c>
      <c r="G37" s="116">
        <f t="shared" si="0"/>
        <v>857151727</v>
      </c>
      <c r="H37" s="46"/>
    </row>
    <row r="38" spans="1:8" x14ac:dyDescent="0.55000000000000004">
      <c r="A38" s="106">
        <v>26</v>
      </c>
      <c r="B38" s="110" t="s">
        <v>37</v>
      </c>
      <c r="C38" s="39" t="s">
        <v>193</v>
      </c>
      <c r="D38" s="58"/>
      <c r="E38" s="96"/>
      <c r="F38" s="58">
        <v>64739792</v>
      </c>
      <c r="G38" s="116">
        <f t="shared" si="0"/>
        <v>792411935</v>
      </c>
      <c r="H38" s="10"/>
    </row>
    <row r="39" spans="1:8" s="53" customFormat="1" x14ac:dyDescent="0.55000000000000004">
      <c r="A39" s="100">
        <v>27</v>
      </c>
      <c r="B39" s="110" t="s">
        <v>37</v>
      </c>
      <c r="C39" s="40" t="s">
        <v>194</v>
      </c>
      <c r="D39" s="58"/>
      <c r="E39" s="98"/>
      <c r="F39" s="58">
        <v>2508000</v>
      </c>
      <c r="G39" s="116">
        <f t="shared" si="0"/>
        <v>789903935</v>
      </c>
      <c r="H39" s="54"/>
    </row>
    <row r="40" spans="1:8" s="53" customFormat="1" x14ac:dyDescent="0.55000000000000004">
      <c r="A40" s="106">
        <v>28</v>
      </c>
      <c r="B40" s="110" t="s">
        <v>37</v>
      </c>
      <c r="C40" s="40" t="s">
        <v>195</v>
      </c>
      <c r="D40" s="58"/>
      <c r="E40" s="98"/>
      <c r="F40" s="58">
        <v>276430400</v>
      </c>
      <c r="G40" s="116">
        <f t="shared" si="0"/>
        <v>513473535</v>
      </c>
      <c r="H40" s="54"/>
    </row>
    <row r="41" spans="1:8" s="53" customFormat="1" x14ac:dyDescent="0.55000000000000004">
      <c r="A41" s="100">
        <v>29</v>
      </c>
      <c r="B41" s="110" t="s">
        <v>37</v>
      </c>
      <c r="C41" s="41" t="s">
        <v>196</v>
      </c>
      <c r="D41" s="69"/>
      <c r="E41" s="228"/>
      <c r="F41" s="69">
        <f>7200*8664</f>
        <v>62380800</v>
      </c>
      <c r="G41" s="116">
        <f t="shared" si="0"/>
        <v>451092735</v>
      </c>
      <c r="H41" s="54"/>
    </row>
    <row r="42" spans="1:8" s="53" customFormat="1" x14ac:dyDescent="0.55000000000000004">
      <c r="A42" s="100">
        <v>30</v>
      </c>
      <c r="B42" s="110" t="s">
        <v>164</v>
      </c>
      <c r="C42" s="277" t="s">
        <v>272</v>
      </c>
      <c r="D42" s="250"/>
      <c r="E42" s="278"/>
      <c r="F42" s="250">
        <v>4000000</v>
      </c>
      <c r="G42" s="116">
        <f t="shared" si="0"/>
        <v>447092735</v>
      </c>
      <c r="H42" s="54"/>
    </row>
    <row r="43" spans="1:8" s="53" customFormat="1" x14ac:dyDescent="0.55000000000000004">
      <c r="A43" s="106">
        <v>31</v>
      </c>
      <c r="B43" s="110" t="s">
        <v>37</v>
      </c>
      <c r="C43" s="279" t="s">
        <v>273</v>
      </c>
      <c r="D43" s="280"/>
      <c r="E43" s="278"/>
      <c r="F43" s="280">
        <v>4982800</v>
      </c>
      <c r="G43" s="116">
        <f t="shared" si="0"/>
        <v>442109935</v>
      </c>
      <c r="H43" s="54"/>
    </row>
    <row r="44" spans="1:8" s="53" customFormat="1" x14ac:dyDescent="0.55000000000000004">
      <c r="A44" s="100">
        <v>32</v>
      </c>
      <c r="B44" s="110" t="s">
        <v>37</v>
      </c>
      <c r="C44" s="249" t="s">
        <v>274</v>
      </c>
      <c r="D44" s="250"/>
      <c r="E44" s="278"/>
      <c r="F44" s="250">
        <v>10500000</v>
      </c>
      <c r="G44" s="116">
        <f t="shared" si="0"/>
        <v>431609935</v>
      </c>
      <c r="H44" s="54"/>
    </row>
    <row r="45" spans="1:8" s="53" customFormat="1" x14ac:dyDescent="0.55000000000000004">
      <c r="A45" s="106">
        <v>33</v>
      </c>
      <c r="B45" s="110" t="s">
        <v>37</v>
      </c>
      <c r="C45" s="249" t="s">
        <v>275</v>
      </c>
      <c r="D45" s="250"/>
      <c r="E45" s="278"/>
      <c r="F45" s="250">
        <v>23000000</v>
      </c>
      <c r="G45" s="116">
        <f t="shared" si="0"/>
        <v>408609935</v>
      </c>
      <c r="H45" s="54"/>
    </row>
    <row r="46" spans="1:8" s="53" customFormat="1" x14ac:dyDescent="0.55000000000000004">
      <c r="A46" s="100">
        <v>34</v>
      </c>
      <c r="B46" s="110" t="s">
        <v>37</v>
      </c>
      <c r="C46" s="249" t="s">
        <v>276</v>
      </c>
      <c r="D46" s="250"/>
      <c r="E46" s="278"/>
      <c r="F46" s="250">
        <f>3705*8830</f>
        <v>32715150</v>
      </c>
      <c r="G46" s="116">
        <f t="shared" si="0"/>
        <v>375894785</v>
      </c>
      <c r="H46" s="54"/>
    </row>
    <row r="47" spans="1:8" s="53" customFormat="1" x14ac:dyDescent="0.55000000000000004">
      <c r="A47" s="100">
        <v>35</v>
      </c>
      <c r="B47" s="110" t="s">
        <v>37</v>
      </c>
      <c r="C47" s="88"/>
      <c r="D47" s="132"/>
      <c r="E47" s="98"/>
      <c r="F47" s="59"/>
      <c r="G47" s="116">
        <f t="shared" si="0"/>
        <v>375894785</v>
      </c>
      <c r="H47" s="54"/>
    </row>
    <row r="48" spans="1:8" s="53" customFormat="1" x14ac:dyDescent="0.55000000000000004">
      <c r="A48" s="106">
        <v>36</v>
      </c>
      <c r="B48" s="110" t="s">
        <v>37</v>
      </c>
      <c r="C48" s="88"/>
      <c r="D48" s="132"/>
      <c r="E48" s="98"/>
      <c r="F48" s="59"/>
      <c r="G48" s="116">
        <f t="shared" si="0"/>
        <v>375894785</v>
      </c>
      <c r="H48" s="54"/>
    </row>
    <row r="49" spans="1:8" s="53" customFormat="1" x14ac:dyDescent="0.55000000000000004">
      <c r="A49" s="100">
        <v>37</v>
      </c>
      <c r="B49" s="110" t="s">
        <v>37</v>
      </c>
      <c r="C49" s="88"/>
      <c r="D49" s="132"/>
      <c r="E49" s="98"/>
      <c r="F49" s="59"/>
      <c r="G49" s="116">
        <f t="shared" si="0"/>
        <v>375894785</v>
      </c>
      <c r="H49" s="54"/>
    </row>
    <row r="50" spans="1:8" s="53" customFormat="1" x14ac:dyDescent="0.55000000000000004">
      <c r="A50" s="106">
        <v>38</v>
      </c>
      <c r="B50" s="110" t="s">
        <v>37</v>
      </c>
      <c r="C50" s="88"/>
      <c r="D50" s="132"/>
      <c r="E50" s="98"/>
      <c r="F50" s="59"/>
      <c r="G50" s="116">
        <f t="shared" si="0"/>
        <v>375894785</v>
      </c>
      <c r="H50" s="54"/>
    </row>
    <row r="51" spans="1:8" s="53" customFormat="1" x14ac:dyDescent="0.55000000000000004">
      <c r="A51" s="100">
        <v>39</v>
      </c>
      <c r="B51" s="110" t="s">
        <v>37</v>
      </c>
      <c r="C51" s="89"/>
      <c r="D51" s="132"/>
      <c r="E51" s="98"/>
      <c r="F51" s="90"/>
      <c r="G51" s="116">
        <f t="shared" si="0"/>
        <v>375894785</v>
      </c>
      <c r="H51" s="54"/>
    </row>
    <row r="52" spans="1:8" s="53" customFormat="1" x14ac:dyDescent="0.55000000000000004">
      <c r="A52" s="100">
        <v>40</v>
      </c>
      <c r="B52" s="110" t="s">
        <v>37</v>
      </c>
      <c r="C52" s="88"/>
      <c r="D52" s="132"/>
      <c r="E52" s="98"/>
      <c r="F52" s="59"/>
      <c r="G52" s="116">
        <f t="shared" si="0"/>
        <v>375894785</v>
      </c>
      <c r="H52" s="54"/>
    </row>
    <row r="53" spans="1:8" s="53" customFormat="1" x14ac:dyDescent="0.55000000000000004">
      <c r="A53" s="106">
        <v>41</v>
      </c>
      <c r="B53" s="110" t="s">
        <v>37</v>
      </c>
      <c r="C53" s="88"/>
      <c r="D53" s="132"/>
      <c r="E53" s="98"/>
      <c r="F53" s="59"/>
      <c r="G53" s="116">
        <f t="shared" si="0"/>
        <v>375894785</v>
      </c>
      <c r="H53" s="54"/>
    </row>
    <row r="54" spans="1:8" s="53" customFormat="1" x14ac:dyDescent="0.55000000000000004">
      <c r="A54" s="100">
        <v>42</v>
      </c>
      <c r="B54" s="110" t="s">
        <v>37</v>
      </c>
      <c r="C54" s="28"/>
      <c r="D54" s="132"/>
      <c r="E54" s="98"/>
      <c r="F54" s="98"/>
      <c r="G54" s="116">
        <f t="shared" si="0"/>
        <v>375894785</v>
      </c>
      <c r="H54" s="54"/>
    </row>
    <row r="55" spans="1:8" s="53" customFormat="1" x14ac:dyDescent="0.55000000000000004">
      <c r="A55" s="106">
        <v>43</v>
      </c>
      <c r="B55" s="110" t="s">
        <v>37</v>
      </c>
      <c r="C55" s="28"/>
      <c r="D55" s="132"/>
      <c r="E55" s="98"/>
      <c r="F55" s="98"/>
      <c r="G55" s="116">
        <f t="shared" si="0"/>
        <v>375894785</v>
      </c>
      <c r="H55" s="54"/>
    </row>
    <row r="56" spans="1:8" s="53" customFormat="1" x14ac:dyDescent="0.55000000000000004">
      <c r="A56" s="100">
        <v>44</v>
      </c>
      <c r="B56" s="110" t="s">
        <v>37</v>
      </c>
      <c r="C56" s="28"/>
      <c r="D56" s="132"/>
      <c r="E56" s="98"/>
      <c r="F56" s="98"/>
      <c r="G56" s="116">
        <f t="shared" si="0"/>
        <v>375894785</v>
      </c>
      <c r="H56" s="54"/>
    </row>
    <row r="57" spans="1:8" s="53" customFormat="1" x14ac:dyDescent="0.55000000000000004">
      <c r="A57" s="100">
        <v>45</v>
      </c>
      <c r="B57" s="110" t="s">
        <v>37</v>
      </c>
      <c r="C57" s="28"/>
      <c r="D57" s="132"/>
      <c r="E57" s="98"/>
      <c r="F57" s="98"/>
      <c r="G57" s="116">
        <f t="shared" ref="G57:G62" si="1">G56+E57-F57</f>
        <v>375894785</v>
      </c>
      <c r="H57" s="54"/>
    </row>
    <row r="58" spans="1:8" s="53" customFormat="1" x14ac:dyDescent="0.55000000000000004">
      <c r="A58" s="106">
        <v>46</v>
      </c>
      <c r="B58" s="110" t="s">
        <v>37</v>
      </c>
      <c r="C58" s="28"/>
      <c r="D58" s="132"/>
      <c r="E58" s="98"/>
      <c r="F58" s="98"/>
      <c r="G58" s="116">
        <f t="shared" si="1"/>
        <v>375894785</v>
      </c>
      <c r="H58" s="54"/>
    </row>
    <row r="59" spans="1:8" x14ac:dyDescent="0.55000000000000004">
      <c r="A59" s="100">
        <v>47</v>
      </c>
      <c r="B59" s="110" t="s">
        <v>37</v>
      </c>
      <c r="C59" s="14"/>
      <c r="D59" s="125"/>
      <c r="E59" s="98"/>
      <c r="F59" s="98"/>
      <c r="G59" s="116">
        <f t="shared" si="1"/>
        <v>375894785</v>
      </c>
      <c r="H59" s="10"/>
    </row>
    <row r="60" spans="1:8" x14ac:dyDescent="0.55000000000000004">
      <c r="A60" s="106">
        <v>48</v>
      </c>
      <c r="B60" s="110" t="s">
        <v>37</v>
      </c>
      <c r="C60" s="15"/>
      <c r="D60" s="126"/>
      <c r="E60" s="98"/>
      <c r="F60" s="98"/>
      <c r="G60" s="116">
        <f t="shared" si="1"/>
        <v>375894785</v>
      </c>
      <c r="H60" s="10"/>
    </row>
    <row r="61" spans="1:8" x14ac:dyDescent="0.55000000000000004">
      <c r="A61" s="100">
        <v>49</v>
      </c>
      <c r="B61" s="110" t="s">
        <v>37</v>
      </c>
      <c r="C61" s="12"/>
      <c r="D61" s="101"/>
      <c r="E61" s="98"/>
      <c r="F61" s="98"/>
      <c r="G61" s="116">
        <f t="shared" si="1"/>
        <v>375894785</v>
      </c>
      <c r="H61" s="10"/>
    </row>
    <row r="62" spans="1:8" x14ac:dyDescent="0.55000000000000004">
      <c r="A62" s="100">
        <v>50</v>
      </c>
      <c r="B62" s="110" t="s">
        <v>37</v>
      </c>
      <c r="C62" s="12"/>
      <c r="D62" s="101"/>
      <c r="E62" s="98"/>
      <c r="F62" s="98"/>
      <c r="G62" s="116">
        <f t="shared" si="1"/>
        <v>375894785</v>
      </c>
      <c r="H62" s="10"/>
    </row>
    <row r="63" spans="1:8" ht="21.65" customHeight="1" x14ac:dyDescent="0.55000000000000004">
      <c r="A63" s="16"/>
      <c r="B63" s="17" t="s">
        <v>2</v>
      </c>
      <c r="C63" s="17"/>
      <c r="D63" s="137">
        <f>SUM(D12:D62)</f>
        <v>1858641064</v>
      </c>
      <c r="E63" s="104">
        <f>SUM(E12:E62)</f>
        <v>0</v>
      </c>
      <c r="F63" s="104">
        <f>SUM(F12:F62)</f>
        <v>1482746279</v>
      </c>
      <c r="G63" s="104">
        <f>D63+E63-F63</f>
        <v>375894785</v>
      </c>
      <c r="H63" s="17"/>
    </row>
    <row r="64" spans="1:8" ht="22.5" x14ac:dyDescent="0.7">
      <c r="A64" s="18"/>
      <c r="B64" s="19"/>
      <c r="C64" s="20"/>
      <c r="D64" s="67"/>
      <c r="E64" s="68"/>
      <c r="F64" s="68"/>
      <c r="G64" s="68"/>
      <c r="H64" s="19"/>
    </row>
    <row r="65" spans="1:8" ht="18.5" x14ac:dyDescent="0.55000000000000004">
      <c r="A65" s="419" t="s">
        <v>68</v>
      </c>
      <c r="B65" s="419"/>
      <c r="C65" s="419"/>
      <c r="D65" s="419"/>
      <c r="E65" s="419"/>
      <c r="F65" s="419"/>
      <c r="G65" s="419"/>
      <c r="H65" s="419"/>
    </row>
    <row r="66" spans="1:8" x14ac:dyDescent="0.55000000000000004">
      <c r="A66" s="53"/>
      <c r="E66" s="53"/>
      <c r="F66" s="53"/>
      <c r="G66" s="53"/>
      <c r="H66" s="53"/>
    </row>
    <row r="67" spans="1:8" x14ac:dyDescent="0.55000000000000004">
      <c r="A67" s="53"/>
      <c r="E67" s="53"/>
      <c r="F67" s="53"/>
      <c r="G67" s="53"/>
      <c r="H67" s="53"/>
    </row>
    <row r="68" spans="1:8" x14ac:dyDescent="0.55000000000000004">
      <c r="A68" s="53"/>
      <c r="E68" s="53"/>
      <c r="F68" s="53"/>
      <c r="G68" s="53"/>
      <c r="H68" s="53"/>
    </row>
    <row r="69" spans="1:8" x14ac:dyDescent="0.55000000000000004">
      <c r="A69" s="53"/>
      <c r="E69" s="53"/>
      <c r="F69" s="53"/>
      <c r="G69" s="53"/>
      <c r="H69" s="53"/>
    </row>
    <row r="70" spans="1:8" x14ac:dyDescent="0.55000000000000004">
      <c r="A70" s="53"/>
      <c r="E70" s="53"/>
      <c r="F70" s="53"/>
      <c r="G70" s="53"/>
      <c r="H70" s="53"/>
    </row>
    <row r="71" spans="1:8" x14ac:dyDescent="0.55000000000000004">
      <c r="A71" s="53"/>
      <c r="E71" s="53"/>
      <c r="F71" s="53"/>
      <c r="G71" s="53"/>
      <c r="H71" s="53"/>
    </row>
    <row r="72" spans="1:8" x14ac:dyDescent="0.55000000000000004">
      <c r="A72" s="53"/>
      <c r="E72" s="53"/>
      <c r="F72" s="53"/>
      <c r="G72" s="53"/>
      <c r="H72" s="53"/>
    </row>
    <row r="73" spans="1:8" x14ac:dyDescent="0.55000000000000004">
      <c r="A73" s="53"/>
      <c r="E73" s="53"/>
      <c r="F73" s="53"/>
      <c r="G73" s="53"/>
      <c r="H73" s="53"/>
    </row>
    <row r="74" spans="1:8" x14ac:dyDescent="0.55000000000000004">
      <c r="A74" s="53"/>
      <c r="E74" s="53"/>
      <c r="F74" s="53"/>
      <c r="G74" s="53"/>
      <c r="H74" s="53"/>
    </row>
    <row r="75" spans="1:8" ht="18.5" x14ac:dyDescent="0.6">
      <c r="A75" s="407" t="s">
        <v>67</v>
      </c>
      <c r="B75" s="407"/>
      <c r="C75" s="407"/>
      <c r="D75" s="407"/>
      <c r="E75" s="407"/>
      <c r="F75" s="407"/>
      <c r="G75" s="407"/>
      <c r="H75" s="407"/>
    </row>
    <row r="76" spans="1:8" x14ac:dyDescent="0.55000000000000004">
      <c r="B76" s="23"/>
      <c r="C76" s="23"/>
      <c r="D76" s="23"/>
    </row>
    <row r="77" spans="1:8" x14ac:dyDescent="0.55000000000000004">
      <c r="B77" s="23"/>
      <c r="C77" s="23"/>
      <c r="D77" s="23"/>
    </row>
    <row r="78" spans="1:8" x14ac:dyDescent="0.55000000000000004">
      <c r="B78" s="23"/>
      <c r="C78" s="23"/>
      <c r="D78" s="23"/>
    </row>
    <row r="79" spans="1:8" x14ac:dyDescent="0.55000000000000004">
      <c r="B79" s="23"/>
      <c r="C79" s="23"/>
      <c r="D79" s="23"/>
    </row>
    <row r="80" spans="1:8" x14ac:dyDescent="0.55000000000000004">
      <c r="B80" s="23"/>
      <c r="C80" s="23"/>
      <c r="D80" s="23"/>
    </row>
    <row r="81" spans="2:4" x14ac:dyDescent="0.55000000000000004">
      <c r="B81" s="23"/>
      <c r="C81" s="23"/>
      <c r="D81" s="23"/>
    </row>
    <row r="82" spans="2:4" x14ac:dyDescent="0.55000000000000004">
      <c r="B82" s="23"/>
      <c r="C82" s="23"/>
      <c r="D82" s="23"/>
    </row>
    <row r="83" spans="2:4" x14ac:dyDescent="0.55000000000000004">
      <c r="B83" s="23"/>
      <c r="C83" s="23"/>
      <c r="D83" s="23"/>
    </row>
    <row r="84" spans="2:4" x14ac:dyDescent="0.55000000000000004">
      <c r="B84" s="23"/>
      <c r="C84" s="23"/>
      <c r="D84" s="23"/>
    </row>
    <row r="85" spans="2:4" x14ac:dyDescent="0.55000000000000004">
      <c r="B85" s="23"/>
      <c r="C85" s="23"/>
      <c r="D85" s="23"/>
    </row>
  </sheetData>
  <mergeCells count="14">
    <mergeCell ref="A75:H75"/>
    <mergeCell ref="G10:G11"/>
    <mergeCell ref="H10:H11"/>
    <mergeCell ref="A65:H65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9.166666666666666E-2" right="0.1" top="0.75" bottom="0.75" header="0.3" footer="0.3"/>
  <pageSetup scale="8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J49"/>
  <sheetViews>
    <sheetView view="pageLayout" topLeftCell="A4" zoomScaleNormal="100" workbookViewId="0">
      <selection activeCell="E14" sqref="E14"/>
    </sheetView>
  </sheetViews>
  <sheetFormatPr defaultColWidth="8.1796875" defaultRowHeight="17" x14ac:dyDescent="0.55000000000000004"/>
  <cols>
    <col min="1" max="1" width="3.54296875" style="23" customWidth="1"/>
    <col min="2" max="2" width="11.453125" style="22" customWidth="1"/>
    <col min="3" max="3" width="39.81640625" style="22" customWidth="1"/>
    <col min="4" max="4" width="11.81640625" style="22" customWidth="1"/>
    <col min="5" max="5" width="15.453125" style="23" customWidth="1"/>
    <col min="6" max="6" width="14.54296875" style="23" customWidth="1"/>
    <col min="7" max="7" width="16.453125" style="23" customWidth="1"/>
    <col min="8" max="8" width="8.54296875" style="23" customWidth="1"/>
    <col min="9" max="9" width="24.54296875" style="23" customWidth="1"/>
    <col min="10" max="16384" width="8.1796875" style="23"/>
  </cols>
  <sheetData>
    <row r="1" spans="1:10" ht="18.5" x14ac:dyDescent="0.55000000000000004">
      <c r="A1" s="405" t="s">
        <v>5</v>
      </c>
      <c r="B1" s="405"/>
      <c r="C1" s="405"/>
      <c r="D1" s="405"/>
      <c r="E1" s="405"/>
      <c r="F1" s="405"/>
      <c r="G1" s="405"/>
      <c r="H1" s="405"/>
    </row>
    <row r="2" spans="1:10" ht="18.5" x14ac:dyDescent="0.55000000000000004">
      <c r="A2" s="405" t="s">
        <v>6</v>
      </c>
      <c r="B2" s="405"/>
      <c r="C2" s="405"/>
      <c r="D2" s="405"/>
      <c r="E2" s="405"/>
      <c r="F2" s="405"/>
      <c r="G2" s="405"/>
      <c r="H2" s="405"/>
    </row>
    <row r="3" spans="1:10" s="53" customFormat="1" ht="18.5" x14ac:dyDescent="0.55000000000000004">
      <c r="A3" s="203"/>
      <c r="B3" s="203"/>
      <c r="C3" s="203"/>
      <c r="D3" s="203"/>
      <c r="E3" s="203"/>
      <c r="F3" s="203"/>
      <c r="G3" s="203"/>
      <c r="H3" s="203"/>
    </row>
    <row r="4" spans="1:10" s="53" customFormat="1" ht="15" customHeight="1" x14ac:dyDescent="0.55000000000000004">
      <c r="A4" s="205" t="s">
        <v>72</v>
      </c>
      <c r="B4" s="205"/>
      <c r="C4" s="203"/>
      <c r="D4" s="203"/>
      <c r="E4" s="203"/>
      <c r="F4" s="203"/>
      <c r="G4" s="203"/>
      <c r="H4" s="203"/>
    </row>
    <row r="5" spans="1:10" s="53" customFormat="1" ht="15" customHeight="1" x14ac:dyDescent="0.55000000000000004">
      <c r="A5" s="205" t="s">
        <v>73</v>
      </c>
      <c r="B5" s="205"/>
      <c r="C5" s="203"/>
      <c r="D5" s="203"/>
      <c r="E5" s="203"/>
      <c r="F5" s="203"/>
      <c r="G5" s="203"/>
      <c r="H5" s="203"/>
    </row>
    <row r="6" spans="1:10" s="53" customFormat="1" ht="15" customHeight="1" x14ac:dyDescent="0.55000000000000004">
      <c r="A6" s="205" t="s">
        <v>74</v>
      </c>
      <c r="B6" s="205"/>
      <c r="C6" s="203"/>
      <c r="D6" s="203"/>
      <c r="E6" s="203"/>
      <c r="F6" s="203"/>
      <c r="G6" s="203"/>
      <c r="H6" s="203"/>
    </row>
    <row r="7" spans="1:10" s="53" customFormat="1" ht="15" customHeight="1" x14ac:dyDescent="0.55000000000000004">
      <c r="A7" s="206" t="s">
        <v>75</v>
      </c>
      <c r="B7" s="206"/>
      <c r="C7" s="203"/>
      <c r="D7" s="203"/>
      <c r="E7" s="203"/>
      <c r="F7" s="203"/>
      <c r="G7" s="203"/>
      <c r="H7" s="203"/>
    </row>
    <row r="8" spans="1:10" ht="27.65" customHeight="1" x14ac:dyDescent="0.55000000000000004">
      <c r="A8" s="418" t="s">
        <v>11</v>
      </c>
      <c r="B8" s="418"/>
      <c r="C8" s="418"/>
      <c r="D8" s="418"/>
      <c r="E8" s="418"/>
      <c r="F8" s="418"/>
      <c r="G8" s="418"/>
      <c r="H8" s="418"/>
      <c r="I8" s="2"/>
      <c r="J8" s="2"/>
    </row>
    <row r="9" spans="1:10" ht="32.15" customHeight="1" x14ac:dyDescent="0.55000000000000004">
      <c r="A9" s="418" t="s">
        <v>53</v>
      </c>
      <c r="B9" s="418"/>
      <c r="C9" s="418"/>
      <c r="D9" s="418"/>
      <c r="E9" s="418"/>
      <c r="F9" s="418"/>
      <c r="G9" s="418"/>
      <c r="H9" s="418"/>
      <c r="I9" s="2"/>
      <c r="J9" s="2"/>
    </row>
    <row r="10" spans="1:10" ht="20.25" customHeight="1" x14ac:dyDescent="0.55000000000000004">
      <c r="A10" s="410" t="s">
        <v>0</v>
      </c>
      <c r="B10" s="410" t="s">
        <v>3</v>
      </c>
      <c r="C10" s="410" t="s">
        <v>4</v>
      </c>
      <c r="D10" s="410" t="s">
        <v>10</v>
      </c>
      <c r="E10" s="412" t="s">
        <v>8</v>
      </c>
      <c r="F10" s="413" t="s">
        <v>9</v>
      </c>
      <c r="G10" s="408" t="s">
        <v>7</v>
      </c>
      <c r="H10" s="408" t="s">
        <v>1</v>
      </c>
    </row>
    <row r="11" spans="1:10" ht="20.25" customHeight="1" x14ac:dyDescent="0.55000000000000004">
      <c r="A11" s="411"/>
      <c r="B11" s="411"/>
      <c r="C11" s="411"/>
      <c r="D11" s="411"/>
      <c r="E11" s="412"/>
      <c r="F11" s="414"/>
      <c r="G11" s="408"/>
      <c r="H11" s="408"/>
    </row>
    <row r="12" spans="1:10" ht="18.5" x14ac:dyDescent="0.55000000000000004">
      <c r="A12" s="129">
        <v>1</v>
      </c>
      <c r="B12" s="107" t="s">
        <v>51</v>
      </c>
      <c r="C12" s="3" t="s">
        <v>10</v>
      </c>
      <c r="D12" s="113">
        <v>30907000</v>
      </c>
      <c r="E12" s="113"/>
      <c r="F12" s="113">
        <v>0</v>
      </c>
      <c r="G12" s="113">
        <f>D12</f>
        <v>30907000</v>
      </c>
      <c r="H12" s="4"/>
    </row>
    <row r="13" spans="1:10" ht="34" x14ac:dyDescent="0.55000000000000004">
      <c r="A13" s="106">
        <v>2</v>
      </c>
      <c r="B13" s="300" t="s">
        <v>314</v>
      </c>
      <c r="C13" s="301" t="s">
        <v>315</v>
      </c>
      <c r="D13" s="160"/>
      <c r="E13" s="116">
        <f>2121343098+2098140</f>
        <v>2123441238</v>
      </c>
      <c r="F13" s="117"/>
      <c r="G13" s="116">
        <f>G12+E13-F13</f>
        <v>2154348238</v>
      </c>
      <c r="H13" s="6"/>
    </row>
    <row r="14" spans="1:10" x14ac:dyDescent="0.55000000000000004">
      <c r="A14" s="100">
        <v>3</v>
      </c>
      <c r="B14" s="300" t="s">
        <v>37</v>
      </c>
      <c r="C14" s="24" t="s">
        <v>316</v>
      </c>
      <c r="D14" s="115"/>
      <c r="E14" s="118"/>
      <c r="F14" s="118">
        <v>2000000000</v>
      </c>
      <c r="G14" s="116">
        <f>G13+E14-F14</f>
        <v>154348238</v>
      </c>
      <c r="H14" s="7"/>
      <c r="I14" s="8"/>
    </row>
    <row r="15" spans="1:10" x14ac:dyDescent="0.55000000000000004">
      <c r="A15" s="106"/>
      <c r="B15" s="300"/>
      <c r="C15" s="9"/>
      <c r="D15" s="119"/>
      <c r="E15" s="118"/>
      <c r="F15" s="118"/>
      <c r="G15" s="116">
        <f t="shared" ref="G15:G36" si="0">G14+E15-F15</f>
        <v>154348238</v>
      </c>
      <c r="H15" s="7"/>
      <c r="I15" s="8"/>
    </row>
    <row r="16" spans="1:10" x14ac:dyDescent="0.55000000000000004">
      <c r="A16" s="100"/>
      <c r="B16" s="108"/>
      <c r="C16" s="9"/>
      <c r="D16" s="119"/>
      <c r="E16" s="118"/>
      <c r="F16" s="118"/>
      <c r="G16" s="116">
        <f t="shared" si="0"/>
        <v>154348238</v>
      </c>
      <c r="H16" s="10"/>
    </row>
    <row r="17" spans="1:8" x14ac:dyDescent="0.55000000000000004">
      <c r="A17" s="106"/>
      <c r="B17" s="108"/>
      <c r="C17" s="11"/>
      <c r="D17" s="120"/>
      <c r="E17" s="118"/>
      <c r="F17" s="118"/>
      <c r="G17" s="116">
        <f t="shared" si="0"/>
        <v>154348238</v>
      </c>
      <c r="H17" s="10"/>
    </row>
    <row r="18" spans="1:8" x14ac:dyDescent="0.55000000000000004">
      <c r="A18" s="100"/>
      <c r="B18" s="108"/>
      <c r="C18" s="5"/>
      <c r="D18" s="122"/>
      <c r="E18" s="102"/>
      <c r="F18" s="102"/>
      <c r="G18" s="116">
        <f t="shared" si="0"/>
        <v>154348238</v>
      </c>
      <c r="H18" s="10"/>
    </row>
    <row r="19" spans="1:8" x14ac:dyDescent="0.55000000000000004">
      <c r="A19" s="106"/>
      <c r="B19" s="108"/>
      <c r="C19" s="5"/>
      <c r="D19" s="122"/>
      <c r="E19" s="102"/>
      <c r="F19" s="102"/>
      <c r="G19" s="116">
        <f t="shared" si="0"/>
        <v>154348238</v>
      </c>
      <c r="H19" s="10"/>
    </row>
    <row r="20" spans="1:8" x14ac:dyDescent="0.55000000000000004">
      <c r="A20" s="100"/>
      <c r="B20" s="108"/>
      <c r="C20" s="5"/>
      <c r="D20" s="122"/>
      <c r="E20" s="102"/>
      <c r="F20" s="102"/>
      <c r="G20" s="116">
        <f t="shared" si="0"/>
        <v>154348238</v>
      </c>
      <c r="H20" s="10"/>
    </row>
    <row r="21" spans="1:8" x14ac:dyDescent="0.55000000000000004">
      <c r="A21" s="106"/>
      <c r="B21" s="108"/>
      <c r="C21" s="11"/>
      <c r="D21" s="123"/>
      <c r="E21" s="102"/>
      <c r="F21" s="102"/>
      <c r="G21" s="116">
        <f t="shared" si="0"/>
        <v>154348238</v>
      </c>
      <c r="H21" s="10"/>
    </row>
    <row r="22" spans="1:8" x14ac:dyDescent="0.55000000000000004">
      <c r="A22" s="100"/>
      <c r="B22" s="108"/>
      <c r="C22" s="5"/>
      <c r="D22" s="122"/>
      <c r="E22" s="102"/>
      <c r="F22" s="102"/>
      <c r="G22" s="116">
        <f t="shared" si="0"/>
        <v>154348238</v>
      </c>
      <c r="H22" s="13"/>
    </row>
    <row r="23" spans="1:8" x14ac:dyDescent="0.55000000000000004">
      <c r="A23" s="106"/>
      <c r="B23" s="108"/>
      <c r="C23" s="5"/>
      <c r="D23" s="122"/>
      <c r="E23" s="102"/>
      <c r="F23" s="102"/>
      <c r="G23" s="116">
        <f t="shared" si="0"/>
        <v>154348238</v>
      </c>
      <c r="H23" s="10"/>
    </row>
    <row r="24" spans="1:8" x14ac:dyDescent="0.55000000000000004">
      <c r="A24" s="100"/>
      <c r="B24" s="108"/>
      <c r="C24" s="11"/>
      <c r="D24" s="123"/>
      <c r="E24" s="102"/>
      <c r="F24" s="102"/>
      <c r="G24" s="116">
        <f t="shared" si="0"/>
        <v>154348238</v>
      </c>
      <c r="H24" s="10"/>
    </row>
    <row r="25" spans="1:8" x14ac:dyDescent="0.55000000000000004">
      <c r="A25" s="106"/>
      <c r="B25" s="108"/>
      <c r="C25" s="5"/>
      <c r="D25" s="122"/>
      <c r="E25" s="102"/>
      <c r="F25" s="102"/>
      <c r="G25" s="116">
        <f t="shared" si="0"/>
        <v>154348238</v>
      </c>
      <c r="H25" s="10"/>
    </row>
    <row r="26" spans="1:8" x14ac:dyDescent="0.55000000000000004">
      <c r="A26" s="100"/>
      <c r="B26" s="108"/>
      <c r="C26" s="5"/>
      <c r="D26" s="122"/>
      <c r="E26" s="102"/>
      <c r="F26" s="102"/>
      <c r="G26" s="116">
        <f t="shared" si="0"/>
        <v>154348238</v>
      </c>
      <c r="H26" s="10"/>
    </row>
    <row r="27" spans="1:8" x14ac:dyDescent="0.55000000000000004">
      <c r="A27" s="106"/>
      <c r="B27" s="108"/>
      <c r="C27" s="11"/>
      <c r="D27" s="123"/>
      <c r="E27" s="102"/>
      <c r="F27" s="102"/>
      <c r="G27" s="116">
        <f t="shared" si="0"/>
        <v>154348238</v>
      </c>
      <c r="H27" s="10"/>
    </row>
    <row r="28" spans="1:8" x14ac:dyDescent="0.55000000000000004">
      <c r="A28" s="100"/>
      <c r="B28" s="108"/>
      <c r="C28" s="5"/>
      <c r="D28" s="122"/>
      <c r="E28" s="102"/>
      <c r="F28" s="102"/>
      <c r="G28" s="116">
        <f t="shared" si="0"/>
        <v>154348238</v>
      </c>
      <c r="H28" s="10"/>
    </row>
    <row r="29" spans="1:8" x14ac:dyDescent="0.55000000000000004">
      <c r="A29" s="106"/>
      <c r="B29" s="108"/>
      <c r="C29" s="5"/>
      <c r="D29" s="122"/>
      <c r="E29" s="102"/>
      <c r="F29" s="102"/>
      <c r="G29" s="116">
        <f t="shared" si="0"/>
        <v>154348238</v>
      </c>
      <c r="H29" s="10"/>
    </row>
    <row r="30" spans="1:8" x14ac:dyDescent="0.55000000000000004">
      <c r="A30" s="100"/>
      <c r="B30" s="108"/>
      <c r="C30" s="5"/>
      <c r="D30" s="122"/>
      <c r="E30" s="102"/>
      <c r="F30" s="102"/>
      <c r="G30" s="116">
        <f t="shared" si="0"/>
        <v>154348238</v>
      </c>
      <c r="H30" s="10"/>
    </row>
    <row r="31" spans="1:8" x14ac:dyDescent="0.55000000000000004">
      <c r="A31" s="106"/>
      <c r="B31" s="108"/>
      <c r="C31" s="5"/>
      <c r="D31" s="122"/>
      <c r="E31" s="102"/>
      <c r="F31" s="102"/>
      <c r="G31" s="116">
        <f t="shared" si="0"/>
        <v>154348238</v>
      </c>
      <c r="H31" s="10"/>
    </row>
    <row r="32" spans="1:8" x14ac:dyDescent="0.55000000000000004">
      <c r="A32" s="100"/>
      <c r="B32" s="108"/>
      <c r="C32" s="12"/>
      <c r="D32" s="119"/>
      <c r="E32" s="102"/>
      <c r="F32" s="102"/>
      <c r="G32" s="116">
        <f t="shared" si="0"/>
        <v>154348238</v>
      </c>
      <c r="H32" s="10"/>
    </row>
    <row r="33" spans="1:8" x14ac:dyDescent="0.55000000000000004">
      <c r="A33" s="106"/>
      <c r="B33" s="108"/>
      <c r="C33" s="12"/>
      <c r="D33" s="119"/>
      <c r="E33" s="102"/>
      <c r="F33" s="102"/>
      <c r="G33" s="116">
        <f t="shared" si="0"/>
        <v>154348238</v>
      </c>
      <c r="H33" s="10"/>
    </row>
    <row r="34" spans="1:8" x14ac:dyDescent="0.55000000000000004">
      <c r="A34" s="100"/>
      <c r="B34" s="108"/>
      <c r="C34" s="5"/>
      <c r="D34" s="122"/>
      <c r="E34" s="102"/>
      <c r="F34" s="102"/>
      <c r="G34" s="116">
        <f t="shared" si="0"/>
        <v>154348238</v>
      </c>
      <c r="H34" s="10"/>
    </row>
    <row r="35" spans="1:8" x14ac:dyDescent="0.55000000000000004">
      <c r="A35" s="106"/>
      <c r="B35" s="108"/>
      <c r="C35" s="14"/>
      <c r="D35" s="119"/>
      <c r="E35" s="102"/>
      <c r="F35" s="102"/>
      <c r="G35" s="116">
        <f t="shared" si="0"/>
        <v>154348238</v>
      </c>
      <c r="H35" s="10"/>
    </row>
    <row r="36" spans="1:8" x14ac:dyDescent="0.55000000000000004">
      <c r="A36" s="100"/>
      <c r="B36" s="108"/>
      <c r="C36" s="15"/>
      <c r="D36" s="148"/>
      <c r="E36" s="102"/>
      <c r="F36" s="102"/>
      <c r="G36" s="116">
        <f t="shared" si="0"/>
        <v>154348238</v>
      </c>
      <c r="H36" s="10"/>
    </row>
    <row r="37" spans="1:8" ht="21.65" customHeight="1" x14ac:dyDescent="0.55000000000000004">
      <c r="A37" s="16"/>
      <c r="B37" s="17" t="s">
        <v>2</v>
      </c>
      <c r="C37" s="17"/>
      <c r="D37" s="127">
        <f>SUM(D12:D36)</f>
        <v>30907000</v>
      </c>
      <c r="E37" s="128">
        <f>SUM(E12:E36)</f>
        <v>2123441238</v>
      </c>
      <c r="F37" s="128">
        <f>SUM(F12:F36)</f>
        <v>2000000000</v>
      </c>
      <c r="G37" s="128">
        <f>D37+E37-F37</f>
        <v>154348238</v>
      </c>
      <c r="H37" s="17"/>
    </row>
    <row r="38" spans="1:8" ht="22.5" x14ac:dyDescent="0.7">
      <c r="A38" s="18"/>
      <c r="B38" s="19"/>
      <c r="C38" s="20"/>
      <c r="D38" s="20"/>
      <c r="E38" s="21"/>
      <c r="F38" s="21"/>
      <c r="G38" s="21"/>
      <c r="H38" s="19"/>
    </row>
    <row r="39" spans="1:8" ht="18.5" x14ac:dyDescent="0.55000000000000004">
      <c r="A39" s="419" t="s">
        <v>68</v>
      </c>
      <c r="B39" s="419"/>
      <c r="C39" s="419"/>
      <c r="D39" s="419"/>
      <c r="E39" s="419"/>
      <c r="F39" s="419"/>
      <c r="G39" s="419"/>
      <c r="H39" s="419"/>
    </row>
    <row r="40" spans="1:8" x14ac:dyDescent="0.55000000000000004">
      <c r="A40" s="53"/>
      <c r="E40" s="53"/>
      <c r="F40" s="53"/>
      <c r="G40" s="53"/>
      <c r="H40" s="53"/>
    </row>
    <row r="41" spans="1:8" x14ac:dyDescent="0.55000000000000004">
      <c r="A41" s="53"/>
      <c r="E41" s="53"/>
      <c r="F41" s="53"/>
      <c r="G41" s="53"/>
      <c r="H41" s="53"/>
    </row>
    <row r="42" spans="1:8" x14ac:dyDescent="0.55000000000000004">
      <c r="A42" s="53"/>
      <c r="E42" s="53"/>
      <c r="F42" s="53"/>
      <c r="G42" s="53"/>
      <c r="H42" s="53"/>
    </row>
    <row r="43" spans="1:8" x14ac:dyDescent="0.55000000000000004">
      <c r="A43" s="53"/>
      <c r="E43" s="53"/>
      <c r="F43" s="53"/>
      <c r="G43" s="53"/>
      <c r="H43" s="53"/>
    </row>
    <row r="44" spans="1:8" x14ac:dyDescent="0.55000000000000004">
      <c r="A44" s="53"/>
      <c r="E44" s="53"/>
      <c r="F44" s="53"/>
      <c r="G44" s="53"/>
      <c r="H44" s="53"/>
    </row>
    <row r="45" spans="1:8" x14ac:dyDescent="0.55000000000000004">
      <c r="A45" s="53"/>
      <c r="E45" s="53"/>
      <c r="F45" s="53"/>
      <c r="G45" s="53"/>
      <c r="H45" s="53"/>
    </row>
    <row r="46" spans="1:8" x14ac:dyDescent="0.55000000000000004">
      <c r="A46" s="53"/>
      <c r="E46" s="53"/>
      <c r="F46" s="53"/>
      <c r="G46" s="53"/>
      <c r="H46" s="53"/>
    </row>
    <row r="47" spans="1:8" x14ac:dyDescent="0.55000000000000004">
      <c r="A47" s="53"/>
      <c r="E47" s="53"/>
      <c r="F47" s="53"/>
      <c r="G47" s="53"/>
      <c r="H47" s="53"/>
    </row>
    <row r="48" spans="1:8" x14ac:dyDescent="0.55000000000000004">
      <c r="A48" s="53"/>
      <c r="E48" s="53"/>
      <c r="F48" s="53"/>
      <c r="G48" s="53"/>
      <c r="H48" s="53"/>
    </row>
    <row r="49" spans="1:8" ht="18.5" x14ac:dyDescent="0.6">
      <c r="A49" s="407" t="s">
        <v>67</v>
      </c>
      <c r="B49" s="407"/>
      <c r="C49" s="407"/>
      <c r="D49" s="407"/>
      <c r="E49" s="407"/>
      <c r="F49" s="407"/>
      <c r="G49" s="407"/>
      <c r="H49" s="407"/>
    </row>
  </sheetData>
  <mergeCells count="14">
    <mergeCell ref="A49:H49"/>
    <mergeCell ref="G10:G11"/>
    <mergeCell ref="H10:H11"/>
    <mergeCell ref="A39:H39"/>
    <mergeCell ref="A1:H1"/>
    <mergeCell ref="A2:H2"/>
    <mergeCell ref="A8:H8"/>
    <mergeCell ref="A9:H9"/>
    <mergeCell ref="A10:A11"/>
    <mergeCell ref="B10:B11"/>
    <mergeCell ref="C10:C11"/>
    <mergeCell ref="E10:E11"/>
    <mergeCell ref="F10:F11"/>
    <mergeCell ref="D10:D11"/>
  </mergeCells>
  <pageMargins left="0.17708333333333334" right="0.19" top="0.75" bottom="0.75" header="0.3" footer="0.3"/>
  <pageSetup scale="8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Total</vt:lpstr>
      <vt:lpstr>Total (2)</vt:lpstr>
      <vt:lpstr>Total (4)</vt:lpstr>
      <vt:lpstr>ວຽກສ່ວນຕົວປະທານ</vt:lpstr>
      <vt:lpstr>Total (3)</vt:lpstr>
      <vt:lpstr>ຕິດຕາມຮັບໃນເດືອນ</vt:lpstr>
      <vt:lpstr>ປະນອນ 101</vt:lpstr>
      <vt:lpstr>ຊ່ອງຕະອູ</vt:lpstr>
      <vt:lpstr>ທາງປູຢາງປະທຸມພອນ</vt:lpstr>
      <vt:lpstr>ສາງທ່າບົກ-ທ່າແຂກ</vt:lpstr>
      <vt:lpstr>ສະໜາມບິນຫຼວງພະບາງ</vt:lpstr>
      <vt:lpstr>ທາງລົງພາວເວີ້ເຮົ້າອີມູນ</vt:lpstr>
      <vt:lpstr>ແຄ້ມອີມູນ</vt:lpstr>
      <vt:lpstr>ໂຮງຂົບຫີນ</vt:lpstr>
      <vt:lpstr>ໂຮງແຮມພູສະເຫຼົ່າ</vt:lpstr>
      <vt:lpstr>ບໍລິຫານ ສໍານັກງານໃຫຍ່</vt:lpstr>
      <vt:lpstr>ແຮບໍລິຫານຮັບແຂກ</vt:lpstr>
      <vt:lpstr>ສ້ອມແປງເຊນໍ້ານ້ອຍ 1,6</vt:lpstr>
      <vt:lpstr>ສ່ວນຕົວປະທານ</vt:lpstr>
      <vt:lpstr>ສໍາຮອງແລ່ນເງິນພາກລັດ</vt:lpstr>
      <vt:lpstr>BOL</vt:lpstr>
      <vt:lpstr>ກະລ່າ</vt:lpstr>
      <vt:lpstr>ຊີເອັສຊີ VTE</vt:lpstr>
      <vt:lpstr>ເຮືອນປະທານ ຫລັກ 10</vt:lpstr>
      <vt:lpstr>ວຽກສາຍສົ່ງປາກຫົງສາ</vt:lpstr>
      <vt:lpstr>ວຽກປັບປຸງຕາຂ່າຍເຂື່ອນນ້ຳອີ່ມູນ</vt:lpstr>
      <vt:lpstr>ເຂື່ອນນ້ຳກົງ2+3</vt:lpstr>
      <vt:lpstr>ດອກເບ້ຍທະນາຄານ</vt:lpstr>
      <vt:lpstr>'Total (4)'!Print_Area</vt:lpstr>
      <vt:lpstr>ດອກເບ້ຍທະນາຄານ!Print_Area</vt:lpstr>
    </vt:vector>
  </TitlesOfParts>
  <Company>MAHAXAY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YEAN</dc:creator>
  <cp:lastModifiedBy>Vongsathit</cp:lastModifiedBy>
  <cp:lastPrinted>2019-07-08T09:14:51Z</cp:lastPrinted>
  <dcterms:created xsi:type="dcterms:W3CDTF">2013-02-01T05:37:32Z</dcterms:created>
  <dcterms:modified xsi:type="dcterms:W3CDTF">2019-07-08T09:45:29Z</dcterms:modified>
</cp:coreProperties>
</file>