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80" windowWidth="19420" windowHeight="7700"/>
  </bookViews>
  <sheets>
    <sheet name="Déperditions thermiques" sheetId="2" r:id="rId1"/>
    <sheet name="Calcul DJU" sheetId="5" r:id="rId2"/>
    <sheet name="T° ext base" sheetId="6" r:id="rId3"/>
  </sheets>
  <definedNames>
    <definedName name="Choix1">#REF!</definedName>
    <definedName name="Choix2">#REF!</definedName>
    <definedName name="Choix3">#REF!</definedName>
    <definedName name="Choix4">#REF!</definedName>
    <definedName name="_xlnm.Print_Area" localSheetId="0">'Déperditions thermiques'!$A$1:$O$94</definedName>
  </definedNames>
  <calcPr calcId="145621"/>
</workbook>
</file>

<file path=xl/calcChain.xml><?xml version="1.0" encoding="utf-8"?>
<calcChain xmlns="http://schemas.openxmlformats.org/spreadsheetml/2006/main">
  <c r="N3" i="2" l="1"/>
  <c r="H4" i="5" l="1"/>
  <c r="T81" i="5"/>
  <c r="S81" i="5"/>
  <c r="R81" i="5"/>
  <c r="T80" i="5"/>
  <c r="S80" i="5"/>
  <c r="R80" i="5"/>
  <c r="T65" i="5"/>
  <c r="S65" i="5"/>
  <c r="R65" i="5"/>
  <c r="T61" i="5"/>
  <c r="S61" i="5"/>
  <c r="R61" i="5"/>
  <c r="T55" i="5"/>
  <c r="S55" i="5"/>
  <c r="R55" i="5"/>
  <c r="T49" i="5"/>
  <c r="S49" i="5"/>
  <c r="R49" i="5"/>
  <c r="T48" i="5"/>
  <c r="S48" i="5"/>
  <c r="R48" i="5"/>
  <c r="T44" i="5"/>
  <c r="S44" i="5"/>
  <c r="R44" i="5"/>
  <c r="T145" i="5"/>
  <c r="S145" i="5"/>
  <c r="R145" i="5"/>
  <c r="R143" i="5"/>
  <c r="T143" i="5" s="1"/>
  <c r="S143" i="5"/>
  <c r="T60" i="5"/>
  <c r="S60" i="5"/>
  <c r="R60" i="5"/>
  <c r="T52" i="5"/>
  <c r="S52" i="5"/>
  <c r="R52" i="5"/>
  <c r="T51" i="5"/>
  <c r="S51" i="5"/>
  <c r="R51" i="5"/>
  <c r="L94" i="2" l="1"/>
  <c r="L86" i="2"/>
  <c r="L77" i="2"/>
  <c r="L59" i="2"/>
  <c r="L51" i="2"/>
  <c r="L42" i="2"/>
  <c r="L34" i="2"/>
  <c r="L26" i="2"/>
  <c r="H93" i="2"/>
  <c r="H92" i="2"/>
  <c r="H94" i="2" s="1"/>
  <c r="H91" i="2"/>
  <c r="H85" i="2"/>
  <c r="H84" i="2"/>
  <c r="H83" i="2"/>
  <c r="H76" i="2"/>
  <c r="H75" i="2"/>
  <c r="H74" i="2"/>
  <c r="H77" i="2" s="1"/>
  <c r="H50" i="2"/>
  <c r="H49" i="2"/>
  <c r="H48" i="2"/>
  <c r="H51" i="2" s="1"/>
  <c r="H41" i="2"/>
  <c r="H40" i="2"/>
  <c r="H39" i="2"/>
  <c r="H33" i="2"/>
  <c r="H32" i="2"/>
  <c r="H31" i="2"/>
  <c r="H25" i="2"/>
  <c r="H24" i="2"/>
  <c r="H23" i="2"/>
  <c r="J7" i="2"/>
  <c r="H42" i="2" l="1"/>
  <c r="H34" i="2"/>
  <c r="H59" i="2"/>
  <c r="H86" i="2"/>
  <c r="N94" i="2" l="1"/>
  <c r="M94" i="2"/>
  <c r="N86" i="2"/>
  <c r="M86" i="2"/>
  <c r="N77" i="2"/>
  <c r="M77" i="2"/>
  <c r="N69" i="2"/>
  <c r="M69" i="2"/>
  <c r="N68" i="2"/>
  <c r="M68" i="2"/>
  <c r="N67" i="2"/>
  <c r="M67" i="2"/>
  <c r="N66" i="2"/>
  <c r="M66" i="2"/>
  <c r="N65" i="2"/>
  <c r="M65" i="2"/>
  <c r="N64" i="2"/>
  <c r="M64" i="2"/>
  <c r="N59" i="2"/>
  <c r="M59" i="2"/>
  <c r="N51" i="2"/>
  <c r="M51" i="2"/>
  <c r="N42" i="2"/>
  <c r="M42" i="2"/>
  <c r="N34" i="2"/>
  <c r="M34" i="2"/>
  <c r="N26" i="2"/>
  <c r="M26" i="2"/>
  <c r="L8" i="2"/>
  <c r="L9" i="2" s="1"/>
  <c r="K13" i="2" s="1"/>
  <c r="J94" i="2" l="1"/>
  <c r="F94" i="2"/>
  <c r="J86" i="2"/>
  <c r="F86" i="2"/>
  <c r="J77" i="2"/>
  <c r="F77" i="2"/>
  <c r="F59" i="2"/>
  <c r="J59" i="2"/>
  <c r="F51" i="2"/>
  <c r="J51" i="2"/>
  <c r="J42" i="2"/>
  <c r="F42" i="2"/>
  <c r="J34" i="2"/>
  <c r="F34" i="2"/>
  <c r="O64" i="2" l="1"/>
  <c r="P64" i="2" s="1"/>
  <c r="O66" i="2"/>
  <c r="P66" i="2" s="1"/>
  <c r="O68" i="2"/>
  <c r="P68" i="2" s="1"/>
  <c r="O94" i="2"/>
  <c r="P94" i="2" s="1"/>
  <c r="O77" i="2"/>
  <c r="P77" i="2" s="1"/>
  <c r="O67" i="2"/>
  <c r="P67" i="2" s="1"/>
  <c r="O86" i="2"/>
  <c r="P86" i="2" s="1"/>
  <c r="O65" i="2"/>
  <c r="P65" i="2" s="1"/>
  <c r="O69" i="2"/>
  <c r="P69" i="2" s="1"/>
  <c r="O59" i="2"/>
  <c r="P59" i="2" s="1"/>
  <c r="O34" i="2"/>
  <c r="P34" i="2" s="1"/>
  <c r="O51" i="2"/>
  <c r="P51" i="2" s="1"/>
  <c r="O42" i="2"/>
  <c r="P42" i="2" s="1"/>
  <c r="H26" i="2"/>
  <c r="J26" i="2" s="1"/>
  <c r="O26" i="2" s="1"/>
  <c r="P26" i="2" s="1"/>
  <c r="F26" i="2"/>
  <c r="K12" i="2" l="1"/>
  <c r="K14" i="2" s="1"/>
  <c r="M15" i="2" l="1"/>
  <c r="M16" i="2"/>
</calcChain>
</file>

<file path=xl/sharedStrings.xml><?xml version="1.0" encoding="utf-8"?>
<sst xmlns="http://schemas.openxmlformats.org/spreadsheetml/2006/main" count="514" uniqueCount="348">
  <si>
    <t>Date :</t>
  </si>
  <si>
    <t>Réf. Projet :</t>
  </si>
  <si>
    <t>Description :</t>
  </si>
  <si>
    <t>Propriétaire :</t>
  </si>
  <si>
    <t>Adresse :</t>
  </si>
  <si>
    <t>CP :</t>
  </si>
  <si>
    <t>Ville :</t>
  </si>
  <si>
    <t>Altitude :</t>
  </si>
  <si>
    <t>m</t>
  </si>
  <si>
    <t>m2</t>
  </si>
  <si>
    <t>°C</t>
  </si>
  <si>
    <t>Paroi</t>
  </si>
  <si>
    <t>Sud Séjour</t>
  </si>
  <si>
    <t>Couches</t>
  </si>
  <si>
    <t>Sol séjour</t>
  </si>
  <si>
    <t>Ep (cm)</t>
  </si>
  <si>
    <t>parpaing creux</t>
  </si>
  <si>
    <t>Chape + dallage BA</t>
  </si>
  <si>
    <t>placo + polystyrène</t>
  </si>
  <si>
    <t>Séjour</t>
  </si>
  <si>
    <t>L(m)</t>
  </si>
  <si>
    <t>H(m)</t>
  </si>
  <si>
    <t>S(m2)</t>
  </si>
  <si>
    <t>λ (W/m.K)</t>
  </si>
  <si>
    <t>R (m2.K/W)</t>
  </si>
  <si>
    <t>U (W/m2.K)</t>
  </si>
  <si>
    <t>Rsi+Rsx</t>
  </si>
  <si>
    <t>Planchers en contact direct avec le sol</t>
  </si>
  <si>
    <t>Planchers sans contact direct vers le sol, donnant sur espace non chauffé</t>
  </si>
  <si>
    <t>Total Paroi</t>
  </si>
  <si>
    <t>Parois verticales vers extérieur</t>
  </si>
  <si>
    <t>Parois verticales vers espace à t° différente</t>
  </si>
  <si>
    <t>Parois verticales vers espace non chauffé</t>
  </si>
  <si>
    <t>Portes et Vitrages</t>
  </si>
  <si>
    <t>Plafonds vers extérieur</t>
  </si>
  <si>
    <t>Plafonds vers espace à t° différente</t>
  </si>
  <si>
    <t>Hourdis</t>
  </si>
  <si>
    <t>Laine roche</t>
  </si>
  <si>
    <t>Plafonds vers comble non chauffé</t>
  </si>
  <si>
    <t>Ponts</t>
  </si>
  <si>
    <t>fk</t>
  </si>
  <si>
    <t>Pertes (W)</t>
  </si>
  <si>
    <t>Isolés</t>
  </si>
  <si>
    <t>t° eb (°C)</t>
  </si>
  <si>
    <t>t° i (°C)</t>
  </si>
  <si>
    <t>t° e (°C)</t>
  </si>
  <si>
    <t>x</t>
  </si>
  <si>
    <t>Cloison chambre</t>
  </si>
  <si>
    <t>Synthèse des déperditions</t>
  </si>
  <si>
    <t>Espace chauffé :</t>
  </si>
  <si>
    <t>Volume :</t>
  </si>
  <si>
    <t>m3</t>
  </si>
  <si>
    <t>Pertes par conduction</t>
  </si>
  <si>
    <t>Pertes aérauliques</t>
  </si>
  <si>
    <t>Type de ventilation :</t>
  </si>
  <si>
    <t>m3/h</t>
  </si>
  <si>
    <t>Coef sur-ventilation :</t>
  </si>
  <si>
    <t>Pertes Totales</t>
  </si>
  <si>
    <t>P (W)</t>
  </si>
  <si>
    <t>Détail des pertes par conduction</t>
  </si>
  <si>
    <t>PROJET</t>
  </si>
  <si>
    <t>Déperditions thermiques de l'espace à chauffer</t>
  </si>
  <si>
    <t>Température int. de référence :</t>
  </si>
  <si>
    <t>Débit réglementaire de renouvellement d'air :</t>
  </si>
  <si>
    <t>Débit de renouvellement retenu :</t>
  </si>
  <si>
    <t>DJU :</t>
  </si>
  <si>
    <t>kg de bois / an</t>
  </si>
  <si>
    <t>A titre indicatif , le besoin annuel sera de :</t>
  </si>
  <si>
    <t>Selon EN 12831</t>
  </si>
  <si>
    <t>Température extér. de base :</t>
  </si>
  <si>
    <t>Départements</t>
  </si>
  <si>
    <t>Villes</t>
  </si>
  <si>
    <t>DJU</t>
  </si>
  <si>
    <t>Altitudes</t>
  </si>
  <si>
    <t>Ain</t>
  </si>
  <si>
    <t>Ambérieu</t>
  </si>
  <si>
    <t>Aisne</t>
  </si>
  <si>
    <t>Saint-Quentin</t>
  </si>
  <si>
    <t>Allier</t>
  </si>
  <si>
    <t>Vichy</t>
  </si>
  <si>
    <t>Alpes de Haute Provence</t>
  </si>
  <si>
    <t>Allos</t>
  </si>
  <si>
    <t>Saint Auban sur Durance</t>
  </si>
  <si>
    <t>Hautes Alpes</t>
  </si>
  <si>
    <t>Gap-Ville</t>
  </si>
  <si>
    <t>Le Monetier Sestrières</t>
  </si>
  <si>
    <t>Orcières</t>
  </si>
  <si>
    <t>Alpes Maritimes</t>
  </si>
  <si>
    <t>Cannes</t>
  </si>
  <si>
    <t>Isola</t>
  </si>
  <si>
    <t>Saint Etienne de Tinée-Auron</t>
  </si>
  <si>
    <t>Ardèche</t>
  </si>
  <si>
    <t>Tournon</t>
  </si>
  <si>
    <t>Ardennes</t>
  </si>
  <si>
    <t>Sedan</t>
  </si>
  <si>
    <t>Ariège</t>
  </si>
  <si>
    <t>L'Hospitalet près l'Andorre</t>
  </si>
  <si>
    <t>Saint Girons</t>
  </si>
  <si>
    <t>Aube</t>
  </si>
  <si>
    <t>Romilly sur Seine</t>
  </si>
  <si>
    <t>Aude</t>
  </si>
  <si>
    <t>Carcassonne</t>
  </si>
  <si>
    <t>Aveyron</t>
  </si>
  <si>
    <t>Millau</t>
  </si>
  <si>
    <t>Rueyres Brommat</t>
  </si>
  <si>
    <t>Bouches du Rhône</t>
  </si>
  <si>
    <t>Aix en Provence</t>
  </si>
  <si>
    <t>Marseille Observatoire</t>
  </si>
  <si>
    <t>Calvados</t>
  </si>
  <si>
    <t>Caen</t>
  </si>
  <si>
    <t>Cantal</t>
  </si>
  <si>
    <t>Aurillac</t>
  </si>
  <si>
    <t>Saint Flour</t>
  </si>
  <si>
    <t>Charente</t>
  </si>
  <si>
    <t>Angoulème</t>
  </si>
  <si>
    <t>Charente Maritime</t>
  </si>
  <si>
    <t>La Rochelle Port</t>
  </si>
  <si>
    <t>Cher</t>
  </si>
  <si>
    <t>Avord</t>
  </si>
  <si>
    <t>Corrèze</t>
  </si>
  <si>
    <t>2 250 à 3 200</t>
  </si>
  <si>
    <t>100 à 980</t>
  </si>
  <si>
    <t>Corse</t>
  </si>
  <si>
    <t>Albertacce Popaja</t>
  </si>
  <si>
    <t>Bastia</t>
  </si>
  <si>
    <t>Bonifacio Cap Pertusato</t>
  </si>
  <si>
    <t>Carbini Marghèse</t>
  </si>
  <si>
    <t>Côte d'Or</t>
  </si>
  <si>
    <t>Dijon Longvic</t>
  </si>
  <si>
    <t>Côtes d'Armor</t>
  </si>
  <si>
    <t>Perros Guirrec Ploumanach</t>
  </si>
  <si>
    <t>Rostrenen</t>
  </si>
  <si>
    <t>Creuse</t>
  </si>
  <si>
    <t>La Courtine</t>
  </si>
  <si>
    <t>Dordogne</t>
  </si>
  <si>
    <t>Bergerac</t>
  </si>
  <si>
    <t>Doubs</t>
  </si>
  <si>
    <t>Besançon</t>
  </si>
  <si>
    <t>Charquemont</t>
  </si>
  <si>
    <t>Drôme</t>
  </si>
  <si>
    <t>Lus le croix Haute</t>
  </si>
  <si>
    <t>Montélimar</t>
  </si>
  <si>
    <t>Eure</t>
  </si>
  <si>
    <t>2 500 à 2 600</t>
  </si>
  <si>
    <t>Eure et loir</t>
  </si>
  <si>
    <t>Chartres</t>
  </si>
  <si>
    <t>Finistère</t>
  </si>
  <si>
    <t>Brest</t>
  </si>
  <si>
    <t>Gard</t>
  </si>
  <si>
    <t>Mont Aigoulal</t>
  </si>
  <si>
    <t>Nimes Courbessac</t>
  </si>
  <si>
    <t>Haute Garonne</t>
  </si>
  <si>
    <t>Bagnère de Luchon</t>
  </si>
  <si>
    <t>Toulouse</t>
  </si>
  <si>
    <t>Gers</t>
  </si>
  <si>
    <t>2 000 à 2 150</t>
  </si>
  <si>
    <t>80 à 380</t>
  </si>
  <si>
    <t>Gironde</t>
  </si>
  <si>
    <t>Bordeaux</t>
  </si>
  <si>
    <t>Cap Ferret</t>
  </si>
  <si>
    <t>Hérault</t>
  </si>
  <si>
    <t>Montpellier</t>
  </si>
  <si>
    <t>Sète</t>
  </si>
  <si>
    <t>Illes et Vilaine</t>
  </si>
  <si>
    <t>Rennes</t>
  </si>
  <si>
    <t>Indre</t>
  </si>
  <si>
    <t>Châteauroux</t>
  </si>
  <si>
    <t>Indre et Loire</t>
  </si>
  <si>
    <t>Tours</t>
  </si>
  <si>
    <t>Isère</t>
  </si>
  <si>
    <t>Besse en Oisans</t>
  </si>
  <si>
    <t>Grenoble</t>
  </si>
  <si>
    <t>Villard de lans</t>
  </si>
  <si>
    <t>Jura</t>
  </si>
  <si>
    <t>Saint Claude Etables</t>
  </si>
  <si>
    <t>Landes</t>
  </si>
  <si>
    <t>Dax</t>
  </si>
  <si>
    <t>Mont de Marsan</t>
  </si>
  <si>
    <t>Loir et Cher</t>
  </si>
  <si>
    <t>Romorantin</t>
  </si>
  <si>
    <t>Loire</t>
  </si>
  <si>
    <t>Saint Etienne Bouthéon</t>
  </si>
  <si>
    <t>Haute Loire</t>
  </si>
  <si>
    <t>Le Puy en Velay</t>
  </si>
  <si>
    <t>Loire Atlantique</t>
  </si>
  <si>
    <t>Nantes</t>
  </si>
  <si>
    <t>Loiret</t>
  </si>
  <si>
    <t>Orléans - Bricy</t>
  </si>
  <si>
    <t>Lot</t>
  </si>
  <si>
    <t>Gourdon</t>
  </si>
  <si>
    <t>Lot et Garonne</t>
  </si>
  <si>
    <t>Agen</t>
  </si>
  <si>
    <t>Lozère</t>
  </si>
  <si>
    <t>2 700 à 3 500</t>
  </si>
  <si>
    <t>400 à 1700</t>
  </si>
  <si>
    <t>Maine et Loire</t>
  </si>
  <si>
    <t>Angers</t>
  </si>
  <si>
    <t>Manche</t>
  </si>
  <si>
    <t>Cherbourg</t>
  </si>
  <si>
    <t>Marne</t>
  </si>
  <si>
    <t>Reims</t>
  </si>
  <si>
    <t>Marne (Haute)</t>
  </si>
  <si>
    <t xml:space="preserve">Langres </t>
  </si>
  <si>
    <t>Saint Dizier</t>
  </si>
  <si>
    <t>Mayenne</t>
  </si>
  <si>
    <t>2 300 à 2 550</t>
  </si>
  <si>
    <t>30 à 420</t>
  </si>
  <si>
    <t>Meurthe et Moselle</t>
  </si>
  <si>
    <t>Nancy</t>
  </si>
  <si>
    <t>Meuse</t>
  </si>
  <si>
    <t>Bar le Duc</t>
  </si>
  <si>
    <t>Morbihan</t>
  </si>
  <si>
    <t>Lorient</t>
  </si>
  <si>
    <t>Moselle</t>
  </si>
  <si>
    <t>Metz</t>
  </si>
  <si>
    <t>Nièvre</t>
  </si>
  <si>
    <t>Château Chinon</t>
  </si>
  <si>
    <t>Nevers</t>
  </si>
  <si>
    <t>Nord</t>
  </si>
  <si>
    <t>Lille</t>
  </si>
  <si>
    <t>Oise</t>
  </si>
  <si>
    <t>Beauvais</t>
  </si>
  <si>
    <t>Compiègne</t>
  </si>
  <si>
    <t>Creil</t>
  </si>
  <si>
    <t>Orne</t>
  </si>
  <si>
    <t>Alençon</t>
  </si>
  <si>
    <t>Pas de Calais</t>
  </si>
  <si>
    <t>Boulogne sur Mer</t>
  </si>
  <si>
    <t>Puy de Dôme</t>
  </si>
  <si>
    <t xml:space="preserve">Clermont Ferrand </t>
  </si>
  <si>
    <t>Le Mont Dore</t>
  </si>
  <si>
    <t xml:space="preserve">Puy de Dôme </t>
  </si>
  <si>
    <t>Pyrénées Atlantiques</t>
  </si>
  <si>
    <t>Biarritz</t>
  </si>
  <si>
    <t>Lac d'Artouste</t>
  </si>
  <si>
    <t>Pau</t>
  </si>
  <si>
    <t>Pyrénées (Hautes)</t>
  </si>
  <si>
    <t>Pic du Midi de Bigorre</t>
  </si>
  <si>
    <t>Tarbes</t>
  </si>
  <si>
    <t>Pyrénées Orientales</t>
  </si>
  <si>
    <t>Font Romeu</t>
  </si>
  <si>
    <t>Perpignan</t>
  </si>
  <si>
    <t>Prats de Mollo</t>
  </si>
  <si>
    <t>Bas Rhin</t>
  </si>
  <si>
    <t>Howald Melkereifelsen</t>
  </si>
  <si>
    <t>Strasbourg</t>
  </si>
  <si>
    <t>Haut Rhin</t>
  </si>
  <si>
    <t>Ballon de Guebwiller</t>
  </si>
  <si>
    <t>Colmar</t>
  </si>
  <si>
    <t>Mulhouse - Bâle</t>
  </si>
  <si>
    <t>Rhône</t>
  </si>
  <si>
    <t>Lyon</t>
  </si>
  <si>
    <t>Saône (Haute)</t>
  </si>
  <si>
    <t>Luxeuil les Bains</t>
  </si>
  <si>
    <t>Saône et Loire</t>
  </si>
  <si>
    <t>Chalon sur Saône</t>
  </si>
  <si>
    <t>Sarthe</t>
  </si>
  <si>
    <t>Le Mans</t>
  </si>
  <si>
    <t>Savoie</t>
  </si>
  <si>
    <t>Bourg Saint Maurice</t>
  </si>
  <si>
    <t>Tignes le Villaret</t>
  </si>
  <si>
    <t>Valloire</t>
  </si>
  <si>
    <t>Savoie (Haute)</t>
  </si>
  <si>
    <t>Annecy</t>
  </si>
  <si>
    <t>Annemasse</t>
  </si>
  <si>
    <t>Les Gets</t>
  </si>
  <si>
    <t xml:space="preserve">Paris </t>
  </si>
  <si>
    <t>Paris</t>
  </si>
  <si>
    <t>Seine Maritime</t>
  </si>
  <si>
    <t>Rouen</t>
  </si>
  <si>
    <t>Seine et Marne</t>
  </si>
  <si>
    <t>Melun</t>
  </si>
  <si>
    <t>Yvelines</t>
  </si>
  <si>
    <t>Villacoublay</t>
  </si>
  <si>
    <t>Deux-Sèvres</t>
  </si>
  <si>
    <t>2 100 à 2 350</t>
  </si>
  <si>
    <t>10 à 270</t>
  </si>
  <si>
    <t>Sommes</t>
  </si>
  <si>
    <t>Abbeville</t>
  </si>
  <si>
    <t>Tarn</t>
  </si>
  <si>
    <t>1 450 à 2 250</t>
  </si>
  <si>
    <t>120 à 1250</t>
  </si>
  <si>
    <t>Tarn et Garonne</t>
  </si>
  <si>
    <t>2 050 à 2 150</t>
  </si>
  <si>
    <t>70 à 500</t>
  </si>
  <si>
    <t>Var</t>
  </si>
  <si>
    <t>Brignoles</t>
  </si>
  <si>
    <t>Toulon</t>
  </si>
  <si>
    <t>Vaucluse</t>
  </si>
  <si>
    <t>Apt</t>
  </si>
  <si>
    <t>Vendée</t>
  </si>
  <si>
    <t>Les Sables d'Olonnes</t>
  </si>
  <si>
    <t>Vienne</t>
  </si>
  <si>
    <t>Poitiers</t>
  </si>
  <si>
    <t>Vienne (Haute)</t>
  </si>
  <si>
    <t>Limoges</t>
  </si>
  <si>
    <t>Vosges</t>
  </si>
  <si>
    <t>Epinal</t>
  </si>
  <si>
    <t>Yonne</t>
  </si>
  <si>
    <t>Auxerre</t>
  </si>
  <si>
    <t>Territoire de Belfort</t>
  </si>
  <si>
    <t>Belfort</t>
  </si>
  <si>
    <t>Essonne</t>
  </si>
  <si>
    <t>Etampes</t>
  </si>
  <si>
    <t>Hauts de Seine</t>
  </si>
  <si>
    <t>Seine-Saint-Denis</t>
  </si>
  <si>
    <t>Le Bourget</t>
  </si>
  <si>
    <t>Val-de-Marne</t>
  </si>
  <si>
    <t>Orly</t>
  </si>
  <si>
    <t>Val-d'Oise</t>
  </si>
  <si>
    <t>Pontoise</t>
  </si>
  <si>
    <t>Exemple</t>
  </si>
  <si>
    <t>- CCL Belfort  à 422 m altitude = 3,32</t>
  </si>
  <si>
    <t xml:space="preserve">     HK Belfort = 79,4</t>
  </si>
  <si>
    <t>- CCL Lieu x à 600 m altitude = 3,5</t>
  </si>
  <si>
    <t xml:space="preserve">    HK lieu x = 86,5</t>
  </si>
  <si>
    <t>- Territoire de Belfort : CC0 = 2.9 /  DJU = 2939 pour altitude de 422m</t>
  </si>
  <si>
    <t>- DJU lieu x = DJU Belfort * (86,5/79,4) = 3202</t>
  </si>
  <si>
    <t>Méthode calcul conso selon note COSTIC 13 303 (Facteur intermittence 0,9</t>
  </si>
  <si>
    <t>Si double flux, rdt  η =</t>
  </si>
  <si>
    <t>Ventilation</t>
  </si>
  <si>
    <t>Coef</t>
  </si>
  <si>
    <t>Naturelle</t>
  </si>
  <si>
    <t>VMC</t>
  </si>
  <si>
    <t>Double flux</t>
  </si>
  <si>
    <t>Non isolés</t>
  </si>
  <si>
    <t>Méthode simplifiée</t>
  </si>
  <si>
    <t>1/U = Rsi + Ri + Rsx</t>
  </si>
  <si>
    <t>Rsi : Résistance superficielle interne de la paroi</t>
  </si>
  <si>
    <t>Ri : Résistance thermique propre de la paroi</t>
  </si>
  <si>
    <t>Rsx : Résistance superficielle de la face externe</t>
  </si>
  <si>
    <t>EN 12831</t>
  </si>
  <si>
    <t>Mémo ordres de grandeur :</t>
  </si>
  <si>
    <t>RT2000</t>
  </si>
  <si>
    <t>RT2005</t>
  </si>
  <si>
    <t>RT2012</t>
  </si>
  <si>
    <t>100W/m2</t>
  </si>
  <si>
    <t>60W/m2</t>
  </si>
  <si>
    <t>40W/m2</t>
  </si>
  <si>
    <t>Ancien + 2vitrages + plafond isolé</t>
  </si>
  <si>
    <t>125W/m2</t>
  </si>
  <si>
    <t>Laine de roche</t>
  </si>
  <si>
    <t>kWh</t>
  </si>
  <si>
    <t>XX</t>
  </si>
  <si>
    <t>Sol maison</t>
  </si>
  <si>
    <t>Chape</t>
  </si>
  <si>
    <t>PUR</t>
  </si>
  <si>
    <t>Vitrages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</si>
</sst>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\ _€_-;\-* #,##0.0\ _€_-;_-* &quot;-&quot;??\ _€_-;_-@_-"/>
    <numFmt numFmtId="165" formatCode="0.000"/>
    <numFmt numFmtId="166" formatCode="_-* #,##0\ _€_-;\-* #,##0\ _€_-;_-* &quot;-&quot;??\ _€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9"/>
      <color rgb="FFFFFFFF"/>
      <name val="Calibri"/>
      <family val="2"/>
    </font>
    <font>
      <b/>
      <sz val="9"/>
      <color rgb="FF4A452A"/>
      <name val="Calibri"/>
      <family val="2"/>
    </font>
    <font>
      <sz val="9"/>
      <color rgb="FF4A452A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CC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2" fontId="0" fillId="0" borderId="0" xfId="0" applyNumberFormat="1"/>
    <xf numFmtId="0" fontId="0" fillId="0" borderId="0" xfId="0" applyBorder="1"/>
    <xf numFmtId="0" fontId="1" fillId="0" borderId="0" xfId="0" applyFont="1"/>
    <xf numFmtId="164" fontId="0" fillId="0" borderId="0" xfId="1" applyNumberFormat="1" applyFont="1"/>
    <xf numFmtId="0" fontId="0" fillId="0" borderId="0" xfId="0" applyBorder="1"/>
    <xf numFmtId="0" fontId="4" fillId="0" borderId="0" xfId="0" applyFont="1"/>
    <xf numFmtId="164" fontId="0" fillId="0" borderId="1" xfId="1" applyNumberFormat="1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16" xfId="1" applyNumberFormat="1" applyFont="1" applyBorder="1"/>
    <xf numFmtId="0" fontId="0" fillId="0" borderId="16" xfId="0" applyBorder="1"/>
    <xf numFmtId="0" fontId="3" fillId="0" borderId="10" xfId="0" applyFont="1" applyBorder="1"/>
    <xf numFmtId="0" fontId="3" fillId="0" borderId="11" xfId="0" applyFont="1" applyBorder="1"/>
    <xf numFmtId="0" fontId="5" fillId="0" borderId="11" xfId="0" applyFont="1" applyBorder="1"/>
    <xf numFmtId="0" fontId="5" fillId="0" borderId="12" xfId="0" applyFont="1" applyBorder="1"/>
    <xf numFmtId="165" fontId="0" fillId="0" borderId="16" xfId="0" applyNumberFormat="1" applyBorder="1"/>
    <xf numFmtId="165" fontId="3" fillId="0" borderId="16" xfId="0" applyNumberFormat="1" applyFont="1" applyBorder="1"/>
    <xf numFmtId="0" fontId="3" fillId="0" borderId="16" xfId="0" applyFont="1" applyBorder="1"/>
    <xf numFmtId="1" fontId="3" fillId="0" borderId="17" xfId="0" applyNumberFormat="1" applyFont="1" applyBorder="1"/>
    <xf numFmtId="164" fontId="0" fillId="0" borderId="0" xfId="1" applyNumberFormat="1" applyFont="1" applyBorder="1"/>
    <xf numFmtId="164" fontId="3" fillId="0" borderId="0" xfId="1" applyNumberFormat="1" applyFont="1" applyBorder="1"/>
    <xf numFmtId="165" fontId="3" fillId="0" borderId="0" xfId="0" applyNumberFormat="1" applyFont="1" applyBorder="1"/>
    <xf numFmtId="0" fontId="3" fillId="0" borderId="0" xfId="0" applyFont="1" applyBorder="1"/>
    <xf numFmtId="1" fontId="3" fillId="0" borderId="0" xfId="0" applyNumberFormat="1" applyFont="1" applyBorder="1"/>
    <xf numFmtId="164" fontId="2" fillId="0" borderId="16" xfId="1" applyNumberFormat="1" applyFont="1" applyBorder="1"/>
    <xf numFmtId="165" fontId="0" fillId="0" borderId="1" xfId="0" applyNumberFormat="1" applyBorder="1"/>
    <xf numFmtId="164" fontId="2" fillId="0" borderId="0" xfId="1" applyNumberFormat="1" applyFont="1" applyBorder="1"/>
    <xf numFmtId="165" fontId="0" fillId="0" borderId="0" xfId="0" applyNumberFormat="1" applyBorder="1"/>
    <xf numFmtId="1" fontId="3" fillId="0" borderId="14" xfId="0" applyNumberFormat="1" applyFont="1" applyBorder="1"/>
    <xf numFmtId="1" fontId="0" fillId="0" borderId="0" xfId="0" applyNumberFormat="1" applyBorder="1"/>
    <xf numFmtId="2" fontId="0" fillId="0" borderId="0" xfId="0" applyNumberFormat="1" applyBorder="1"/>
    <xf numFmtId="1" fontId="0" fillId="0" borderId="0" xfId="0" applyNumberFormat="1"/>
    <xf numFmtId="0" fontId="0" fillId="0" borderId="5" xfId="0" applyFill="1" applyBorder="1"/>
    <xf numFmtId="0" fontId="9" fillId="0" borderId="2" xfId="0" applyFont="1" applyBorder="1"/>
    <xf numFmtId="0" fontId="9" fillId="0" borderId="0" xfId="0" applyFont="1"/>
    <xf numFmtId="0" fontId="6" fillId="0" borderId="5" xfId="0" applyFont="1" applyBorder="1" applyAlignment="1">
      <alignment horizontal="right"/>
    </xf>
    <xf numFmtId="0" fontId="6" fillId="0" borderId="5" xfId="0" applyFont="1" applyFill="1" applyBorder="1" applyAlignment="1">
      <alignment horizontal="right"/>
    </xf>
    <xf numFmtId="0" fontId="6" fillId="0" borderId="0" xfId="0" applyFont="1" applyBorder="1"/>
    <xf numFmtId="1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166" fontId="0" fillId="0" borderId="0" xfId="0" applyNumberFormat="1" applyBorder="1"/>
    <xf numFmtId="0" fontId="10" fillId="0" borderId="3" xfId="0" applyFont="1" applyBorder="1"/>
    <xf numFmtId="2" fontId="0" fillId="0" borderId="1" xfId="0" applyNumberFormat="1" applyBorder="1"/>
    <xf numFmtId="0" fontId="1" fillId="0" borderId="0" xfId="0" applyFont="1" applyBorder="1"/>
    <xf numFmtId="0" fontId="0" fillId="2" borderId="0" xfId="0" applyFill="1" applyBorder="1"/>
    <xf numFmtId="0" fontId="0" fillId="2" borderId="1" xfId="0" applyFill="1" applyBorder="1"/>
    <xf numFmtId="0" fontId="6" fillId="2" borderId="0" xfId="0" applyFont="1" applyFill="1" applyBorder="1"/>
    <xf numFmtId="0" fontId="11" fillId="3" borderId="0" xfId="0" applyFont="1" applyFill="1" applyAlignment="1">
      <alignment vertical="center" wrapText="1"/>
    </xf>
    <xf numFmtId="0" fontId="11" fillId="3" borderId="0" xfId="0" applyFont="1" applyFill="1" applyAlignment="1">
      <alignment horizontal="center" vertical="center" wrapText="1"/>
    </xf>
    <xf numFmtId="0" fontId="12" fillId="4" borderId="0" xfId="0" applyFont="1" applyFill="1" applyAlignment="1">
      <alignment horizontal="center" vertical="center" wrapText="1"/>
    </xf>
    <xf numFmtId="0" fontId="12" fillId="4" borderId="0" xfId="0" applyFont="1" applyFill="1" applyAlignment="1">
      <alignment vertical="center" wrapText="1"/>
    </xf>
    <xf numFmtId="0" fontId="13" fillId="4" borderId="0" xfId="0" applyFont="1" applyFill="1" applyAlignment="1">
      <alignment vertical="center" wrapText="1"/>
    </xf>
    <xf numFmtId="3" fontId="13" fillId="4" borderId="0" xfId="0" applyNumberFormat="1" applyFont="1" applyFill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0" fontId="13" fillId="5" borderId="0" xfId="0" applyFont="1" applyFill="1" applyAlignment="1">
      <alignment vertical="center" wrapText="1"/>
    </xf>
    <xf numFmtId="3" fontId="13" fillId="5" borderId="0" xfId="0" applyNumberFormat="1" applyFont="1" applyFill="1" applyAlignment="1">
      <alignment horizontal="center" vertical="center" wrapText="1"/>
    </xf>
    <xf numFmtId="0" fontId="13" fillId="5" borderId="0" xfId="0" applyFont="1" applyFill="1" applyAlignment="1">
      <alignment horizontal="center" vertical="center" wrapText="1"/>
    </xf>
    <xf numFmtId="3" fontId="12" fillId="5" borderId="0" xfId="0" applyNumberFormat="1" applyFont="1" applyFill="1" applyAlignment="1">
      <alignment horizontal="center" vertical="center" wrapText="1"/>
    </xf>
    <xf numFmtId="3" fontId="12" fillId="4" borderId="0" xfId="0" applyNumberFormat="1" applyFont="1" applyFill="1" applyAlignment="1">
      <alignment horizontal="center" vertical="center" wrapText="1"/>
    </xf>
    <xf numFmtId="0" fontId="0" fillId="0" borderId="0" xfId="0" quotePrefix="1"/>
    <xf numFmtId="0" fontId="6" fillId="2" borderId="0" xfId="0" applyFont="1" applyFill="1" applyBorder="1" applyAlignment="1">
      <alignment horizontal="left"/>
    </xf>
    <xf numFmtId="0" fontId="0" fillId="0" borderId="0" xfId="0" applyBorder="1"/>
    <xf numFmtId="0" fontId="0" fillId="0" borderId="0" xfId="0" applyBorder="1"/>
    <xf numFmtId="164" fontId="3" fillId="2" borderId="16" xfId="1" applyNumberFormat="1" applyFont="1" applyFill="1" applyBorder="1"/>
    <xf numFmtId="2" fontId="0" fillId="0" borderId="16" xfId="0" applyNumberFormat="1" applyBorder="1"/>
    <xf numFmtId="0" fontId="0" fillId="2" borderId="16" xfId="0" applyFill="1" applyBorder="1"/>
    <xf numFmtId="164" fontId="0" fillId="2" borderId="1" xfId="1" applyNumberFormat="1" applyFont="1" applyFill="1" applyBorder="1"/>
    <xf numFmtId="0" fontId="5" fillId="0" borderId="0" xfId="0" applyFont="1" applyFill="1" applyBorder="1"/>
    <xf numFmtId="0" fontId="0" fillId="0" borderId="1" xfId="0" applyBorder="1"/>
    <xf numFmtId="0" fontId="0" fillId="2" borderId="1" xfId="0" applyFill="1" applyBorder="1"/>
    <xf numFmtId="0" fontId="0" fillId="0" borderId="0" xfId="0" applyBorder="1" applyAlignment="1">
      <alignment horizontal="righ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6" fontId="8" fillId="0" borderId="10" xfId="1" applyNumberFormat="1" applyFont="1" applyBorder="1" applyAlignment="1">
      <alignment horizontal="center"/>
    </xf>
    <xf numFmtId="166" fontId="8" fillId="0" borderId="12" xfId="1" applyNumberFormat="1" applyFont="1" applyBorder="1" applyAlignment="1">
      <alignment horizontal="center"/>
    </xf>
    <xf numFmtId="166" fontId="8" fillId="0" borderId="25" xfId="1" applyNumberFormat="1" applyFont="1" applyBorder="1" applyAlignment="1">
      <alignment horizontal="center"/>
    </xf>
    <xf numFmtId="166" fontId="8" fillId="0" borderId="26" xfId="1" applyNumberFormat="1" applyFont="1" applyBorder="1" applyAlignment="1">
      <alignment horizontal="center"/>
    </xf>
    <xf numFmtId="166" fontId="7" fillId="0" borderId="27" xfId="1" applyNumberFormat="1" applyFont="1" applyBorder="1" applyAlignment="1">
      <alignment horizontal="center"/>
    </xf>
    <xf numFmtId="166" fontId="7" fillId="0" borderId="28" xfId="1" applyNumberFormat="1" applyFont="1" applyBorder="1" applyAlignment="1">
      <alignment horizontal="center"/>
    </xf>
    <xf numFmtId="0" fontId="7" fillId="0" borderId="21" xfId="0" applyFont="1" applyFill="1" applyBorder="1" applyAlignment="1">
      <alignment horizontal="center"/>
    </xf>
    <xf numFmtId="0" fontId="7" fillId="0" borderId="22" xfId="0" applyFont="1" applyFill="1" applyBorder="1" applyAlignment="1">
      <alignment horizontal="center"/>
    </xf>
    <xf numFmtId="14" fontId="6" fillId="2" borderId="0" xfId="0" applyNumberFormat="1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7" fillId="0" borderId="18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20" xfId="0" applyFont="1" applyFill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23" xfId="0" applyFont="1" applyBorder="1" applyAlignment="1">
      <alignment horizontal="left"/>
    </xf>
    <xf numFmtId="0" fontId="8" fillId="0" borderId="15" xfId="0" applyFont="1" applyBorder="1" applyAlignment="1">
      <alignment horizontal="left"/>
    </xf>
    <xf numFmtId="0" fontId="8" fillId="0" borderId="16" xfId="0" applyFont="1" applyBorder="1" applyAlignment="1">
      <alignment horizontal="left"/>
    </xf>
    <xf numFmtId="0" fontId="8" fillId="0" borderId="24" xfId="0" applyFont="1" applyBorder="1" applyAlignment="1">
      <alignment horizontal="left"/>
    </xf>
    <xf numFmtId="0" fontId="11" fillId="3" borderId="29" xfId="0" applyFont="1" applyFill="1" applyBorder="1" applyAlignment="1">
      <alignment vertical="center" wrapText="1"/>
    </xf>
    <xf numFmtId="0" fontId="11" fillId="3" borderId="0" xfId="0" applyFont="1" applyFill="1" applyBorder="1" applyAlignment="1">
      <alignment vertical="center" wrapText="1"/>
    </xf>
    <xf numFmtId="0" fontId="12" fillId="5" borderId="0" xfId="0" applyFont="1" applyFill="1" applyAlignment="1">
      <alignment vertical="center" wrapText="1"/>
    </xf>
    <xf numFmtId="0" fontId="13" fillId="5" borderId="0" xfId="0" applyFont="1" applyFill="1" applyAlignment="1">
      <alignment vertical="center" wrapText="1"/>
    </xf>
    <xf numFmtId="0" fontId="13" fillId="5" borderId="0" xfId="0" applyFont="1" applyFill="1" applyAlignment="1">
      <alignment horizontal="center" vertic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7</xdr:row>
      <xdr:rowOff>28575</xdr:rowOff>
    </xdr:from>
    <xdr:to>
      <xdr:col>10</xdr:col>
      <xdr:colOff>256287</xdr:colOff>
      <xdr:row>26</xdr:row>
      <xdr:rowOff>142409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600075"/>
          <a:ext cx="7104762" cy="37333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10</xdr:col>
      <xdr:colOff>18191</xdr:colOff>
      <xdr:row>54</xdr:row>
      <xdr:rowOff>332581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4381500"/>
          <a:ext cx="6876191" cy="6352381"/>
        </a:xfrm>
        <a:prstGeom prst="rect">
          <a:avLst/>
        </a:prstGeom>
      </xdr:spPr>
    </xdr:pic>
    <xdr:clientData/>
  </xdr:twoCellAnchor>
  <xdr:twoCellAnchor editAs="oneCell">
    <xdr:from>
      <xdr:col>10</xdr:col>
      <xdr:colOff>733425</xdr:colOff>
      <xdr:row>6</xdr:row>
      <xdr:rowOff>171450</xdr:rowOff>
    </xdr:from>
    <xdr:to>
      <xdr:col>16</xdr:col>
      <xdr:colOff>456663</xdr:colOff>
      <xdr:row>38</xdr:row>
      <xdr:rowOff>27831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53425" y="552450"/>
          <a:ext cx="4295238" cy="59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</xdr:col>
      <xdr:colOff>513810</xdr:colOff>
      <xdr:row>32</xdr:row>
      <xdr:rowOff>170691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4323810" cy="607619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11</xdr:col>
      <xdr:colOff>704286</xdr:colOff>
      <xdr:row>29</xdr:row>
      <xdr:rowOff>180286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190500"/>
          <a:ext cx="4514286" cy="55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tabSelected="1" zoomScaleNormal="100" workbookViewId="0">
      <selection activeCell="K77" sqref="K77"/>
    </sheetView>
  </sheetViews>
  <sheetFormatPr baseColWidth="10" defaultRowHeight="14.5" x14ac:dyDescent="0.35"/>
  <cols>
    <col min="1" max="1" width="16" customWidth="1"/>
    <col min="2" max="3" width="6.453125" customWidth="1"/>
    <col min="4" max="4" width="8.26953125" customWidth="1"/>
    <col min="5" max="5" width="18.26953125" bestFit="1" customWidth="1"/>
    <col min="6" max="6" width="8" customWidth="1"/>
    <col min="7" max="7" width="10.26953125" customWidth="1"/>
    <col min="8" max="8" width="11.26953125" customWidth="1"/>
    <col min="9" max="9" width="8.81640625" customWidth="1"/>
    <col min="10" max="10" width="12.26953125" customWidth="1"/>
    <col min="11" max="11" width="10.453125" customWidth="1"/>
    <col min="12" max="12" width="5.26953125" customWidth="1"/>
    <col min="13" max="13" width="6.7265625" customWidth="1"/>
    <col min="14" max="14" width="8" customWidth="1"/>
    <col min="15" max="15" width="11.453125" customWidth="1"/>
    <col min="19" max="19" width="3.7265625" customWidth="1"/>
    <col min="20" max="20" width="21.54296875" customWidth="1"/>
    <col min="21" max="21" width="9.1796875" customWidth="1"/>
  </cols>
  <sheetData>
    <row r="1" spans="1:21" ht="21" x14ac:dyDescent="0.5">
      <c r="A1" s="46" t="s">
        <v>60</v>
      </c>
      <c r="B1" s="3"/>
      <c r="C1" s="3"/>
      <c r="D1" s="3"/>
      <c r="E1" s="3"/>
      <c r="F1" s="4"/>
      <c r="G1" s="2"/>
      <c r="H1" s="54" t="s">
        <v>61</v>
      </c>
      <c r="I1" s="3"/>
      <c r="J1" s="3"/>
      <c r="K1" s="3"/>
      <c r="L1" s="3"/>
      <c r="M1" s="3"/>
      <c r="N1" s="3" t="s">
        <v>326</v>
      </c>
      <c r="O1" s="4"/>
    </row>
    <row r="2" spans="1:21" ht="15" x14ac:dyDescent="0.25">
      <c r="A2" s="5"/>
      <c r="B2" s="76"/>
      <c r="C2" s="76"/>
      <c r="D2" s="76"/>
      <c r="E2" s="76"/>
      <c r="F2" s="6"/>
      <c r="G2" s="5"/>
      <c r="H2" s="76"/>
      <c r="I2" s="76"/>
      <c r="J2" s="76"/>
      <c r="K2" s="76"/>
      <c r="L2" s="76"/>
      <c r="M2" s="76"/>
      <c r="N2" s="76" t="s">
        <v>68</v>
      </c>
      <c r="O2" s="6"/>
    </row>
    <row r="3" spans="1:21" ht="18.5" x14ac:dyDescent="0.45">
      <c r="A3" s="48" t="s">
        <v>0</v>
      </c>
      <c r="B3" s="96">
        <v>44637</v>
      </c>
      <c r="C3" s="96"/>
      <c r="D3" s="96"/>
      <c r="E3" s="51"/>
      <c r="F3" s="6"/>
      <c r="G3" s="5"/>
      <c r="H3" s="50" t="s">
        <v>49</v>
      </c>
      <c r="I3" s="50"/>
      <c r="J3" s="59">
        <v>104</v>
      </c>
      <c r="K3" s="50" t="s">
        <v>9</v>
      </c>
      <c r="L3" s="85" t="s">
        <v>50</v>
      </c>
      <c r="M3" s="85"/>
      <c r="N3" s="57">
        <f>104*2.5</f>
        <v>260</v>
      </c>
      <c r="O3" s="6" t="s">
        <v>51</v>
      </c>
      <c r="P3" s="7"/>
      <c r="Q3" s="7"/>
      <c r="R3" s="7"/>
      <c r="S3" s="7"/>
    </row>
    <row r="4" spans="1:21" ht="18.5" x14ac:dyDescent="0.45">
      <c r="A4" s="48" t="s">
        <v>1</v>
      </c>
      <c r="B4" s="75"/>
      <c r="C4" s="75"/>
      <c r="D4" s="75"/>
      <c r="E4" s="59"/>
      <c r="F4" s="6"/>
      <c r="G4" s="5"/>
      <c r="H4" s="76" t="s">
        <v>62</v>
      </c>
      <c r="I4" s="76"/>
      <c r="J4" s="76"/>
      <c r="K4" s="76">
        <v>19</v>
      </c>
      <c r="L4" s="76" t="s">
        <v>10</v>
      </c>
      <c r="M4" s="76"/>
      <c r="N4" s="76"/>
      <c r="O4" s="6"/>
      <c r="P4" s="7"/>
      <c r="Q4" s="7" t="s">
        <v>320</v>
      </c>
      <c r="R4" s="7" t="s">
        <v>321</v>
      </c>
      <c r="S4" s="7"/>
    </row>
    <row r="5" spans="1:21" ht="18.75" x14ac:dyDescent="0.3">
      <c r="A5" s="48" t="s">
        <v>2</v>
      </c>
      <c r="B5" s="75"/>
      <c r="C5" s="75"/>
      <c r="D5" s="75"/>
      <c r="E5" s="59"/>
      <c r="F5" s="6"/>
      <c r="G5" s="5"/>
      <c r="H5" s="76"/>
      <c r="I5" s="76"/>
      <c r="J5" s="76"/>
      <c r="K5" s="76"/>
      <c r="L5" s="76"/>
      <c r="M5" s="76"/>
      <c r="N5" s="76"/>
      <c r="O5" s="6"/>
      <c r="P5" s="7"/>
      <c r="Q5" s="7" t="s">
        <v>322</v>
      </c>
      <c r="R5" s="7">
        <v>1.3</v>
      </c>
      <c r="S5" s="7"/>
    </row>
    <row r="6" spans="1:21" ht="18.5" x14ac:dyDescent="0.45">
      <c r="A6" s="48"/>
      <c r="B6" s="52"/>
      <c r="C6" s="52"/>
      <c r="D6" s="52"/>
      <c r="E6" s="50"/>
      <c r="F6" s="6"/>
      <c r="G6" s="5"/>
      <c r="H6" s="76" t="s">
        <v>54</v>
      </c>
      <c r="I6" s="76"/>
      <c r="J6" s="57" t="s">
        <v>323</v>
      </c>
      <c r="K6" s="76" t="s">
        <v>319</v>
      </c>
      <c r="L6" s="76"/>
      <c r="M6" s="76"/>
      <c r="N6" s="57">
        <v>80</v>
      </c>
      <c r="O6" s="6"/>
      <c r="P6" s="7"/>
      <c r="Q6" s="7" t="s">
        <v>323</v>
      </c>
      <c r="R6" s="56">
        <v>1.1499999999999999</v>
      </c>
      <c r="S6" s="7"/>
    </row>
    <row r="7" spans="1:21" ht="18.5" x14ac:dyDescent="0.45">
      <c r="A7" s="48" t="s">
        <v>3</v>
      </c>
      <c r="B7" s="75" t="s">
        <v>343</v>
      </c>
      <c r="C7" s="75"/>
      <c r="D7" s="75"/>
      <c r="E7" s="59"/>
      <c r="F7" s="6"/>
      <c r="G7" s="5"/>
      <c r="H7" s="11" t="s">
        <v>56</v>
      </c>
      <c r="I7" s="76"/>
      <c r="J7" s="43">
        <f>VLOOKUP(J6,Q5:R7,2,FALSE)</f>
        <v>1.1499999999999999</v>
      </c>
      <c r="K7" s="76"/>
      <c r="L7" s="76"/>
      <c r="M7" s="76"/>
      <c r="N7" s="76"/>
      <c r="O7" s="6"/>
      <c r="P7" s="7"/>
      <c r="Q7" s="11" t="s">
        <v>324</v>
      </c>
      <c r="R7" s="11">
        <v>1.05</v>
      </c>
      <c r="S7" s="7"/>
    </row>
    <row r="8" spans="1:21" ht="18.5" x14ac:dyDescent="0.45">
      <c r="A8" s="48" t="s">
        <v>4</v>
      </c>
      <c r="B8" s="75" t="s">
        <v>343</v>
      </c>
      <c r="C8" s="75"/>
      <c r="D8" s="75"/>
      <c r="E8" s="59"/>
      <c r="F8" s="6"/>
      <c r="G8" s="5"/>
      <c r="H8" s="11" t="s">
        <v>63</v>
      </c>
      <c r="I8" s="76"/>
      <c r="J8" s="42"/>
      <c r="K8" s="76"/>
      <c r="L8" s="42">
        <f>N3*0.42</f>
        <v>109.2</v>
      </c>
      <c r="M8" s="76" t="s">
        <v>55</v>
      </c>
      <c r="N8" s="76"/>
      <c r="O8" s="6"/>
      <c r="P8" s="7"/>
      <c r="Q8" s="7"/>
      <c r="R8" s="7"/>
      <c r="S8" s="7"/>
    </row>
    <row r="9" spans="1:21" ht="18.5" x14ac:dyDescent="0.45">
      <c r="A9" s="49" t="s">
        <v>5</v>
      </c>
      <c r="B9" s="97" t="s">
        <v>343</v>
      </c>
      <c r="C9" s="97"/>
      <c r="D9" s="75"/>
      <c r="E9" s="59"/>
      <c r="F9" s="6"/>
      <c r="G9" s="5"/>
      <c r="H9" s="11" t="s">
        <v>64</v>
      </c>
      <c r="I9" s="76"/>
      <c r="J9" s="42"/>
      <c r="K9" s="76"/>
      <c r="L9" s="42">
        <f>L8*J7</f>
        <v>125.58</v>
      </c>
      <c r="M9" s="76" t="s">
        <v>55</v>
      </c>
      <c r="N9" s="42"/>
      <c r="O9" s="6"/>
      <c r="P9" s="7"/>
      <c r="Q9" s="7"/>
      <c r="R9" s="7"/>
      <c r="S9" s="7"/>
    </row>
    <row r="10" spans="1:21" ht="19" thickBot="1" x14ac:dyDescent="0.5">
      <c r="A10" s="48" t="s">
        <v>6</v>
      </c>
      <c r="B10" s="75" t="s">
        <v>343</v>
      </c>
      <c r="C10" s="75"/>
      <c r="D10" s="75"/>
      <c r="E10" s="59"/>
      <c r="F10" s="6"/>
      <c r="G10" s="5"/>
      <c r="H10" s="11"/>
      <c r="I10" s="76"/>
      <c r="J10" s="42"/>
      <c r="K10" s="76"/>
      <c r="L10" s="42"/>
      <c r="M10" s="76"/>
      <c r="N10" s="42"/>
      <c r="O10" s="6"/>
      <c r="P10" s="7"/>
      <c r="Q10" s="11" t="s">
        <v>332</v>
      </c>
      <c r="S10" s="7"/>
      <c r="T10" t="s">
        <v>339</v>
      </c>
      <c r="U10" t="s">
        <v>340</v>
      </c>
    </row>
    <row r="11" spans="1:21" ht="21.5" thickBot="1" x14ac:dyDescent="0.55000000000000004">
      <c r="A11" s="48" t="s">
        <v>7</v>
      </c>
      <c r="B11" s="75">
        <v>254</v>
      </c>
      <c r="C11" s="52" t="s">
        <v>8</v>
      </c>
      <c r="D11" s="52"/>
      <c r="E11" s="50"/>
      <c r="F11" s="6"/>
      <c r="G11" s="5"/>
      <c r="H11" s="98" t="s">
        <v>48</v>
      </c>
      <c r="I11" s="99"/>
      <c r="J11" s="100"/>
      <c r="K11" s="86" t="s">
        <v>58</v>
      </c>
      <c r="L11" s="87"/>
      <c r="M11" s="76"/>
      <c r="N11" s="76"/>
      <c r="O11" s="6"/>
      <c r="P11" s="7"/>
      <c r="Q11" s="7"/>
      <c r="S11" s="7"/>
      <c r="T11" t="s">
        <v>333</v>
      </c>
      <c r="U11" t="s">
        <v>336</v>
      </c>
    </row>
    <row r="12" spans="1:21" ht="21" x14ac:dyDescent="0.35">
      <c r="A12" s="5"/>
      <c r="B12" s="76"/>
      <c r="C12" s="76"/>
      <c r="D12" s="76"/>
      <c r="E12" s="76"/>
      <c r="F12" s="6"/>
      <c r="G12" s="5"/>
      <c r="H12" s="101" t="s">
        <v>52</v>
      </c>
      <c r="I12" s="102"/>
      <c r="J12" s="103"/>
      <c r="K12" s="88">
        <f>SUM(P:P)</f>
        <v>2479.6774783501146</v>
      </c>
      <c r="L12" s="89"/>
      <c r="M12" s="76"/>
      <c r="N12" s="76"/>
      <c r="O12" s="6"/>
      <c r="P12" s="13"/>
      <c r="Q12" s="13"/>
      <c r="S12" s="13"/>
      <c r="T12" t="s">
        <v>334</v>
      </c>
      <c r="U12" t="s">
        <v>337</v>
      </c>
    </row>
    <row r="13" spans="1:21" ht="21.5" thickBot="1" x14ac:dyDescent="0.55000000000000004">
      <c r="A13" s="45" t="s">
        <v>69</v>
      </c>
      <c r="B13" s="76"/>
      <c r="C13" s="76"/>
      <c r="D13" s="57">
        <v>-6</v>
      </c>
      <c r="E13" s="76" t="s">
        <v>10</v>
      </c>
      <c r="F13" s="6"/>
      <c r="G13" s="5"/>
      <c r="H13" s="104" t="s">
        <v>53</v>
      </c>
      <c r="I13" s="105"/>
      <c r="J13" s="106"/>
      <c r="K13" s="90">
        <f>IF(J6="Double flux",0.34*(K4-D13)*L9*(100-N6)/100,0.34*(K4-D13)*L9)</f>
        <v>1067.43</v>
      </c>
      <c r="L13" s="91"/>
      <c r="M13" s="76"/>
      <c r="N13" s="76"/>
      <c r="O13" s="6"/>
      <c r="P13" s="13"/>
      <c r="Q13" s="13"/>
      <c r="S13" s="13"/>
      <c r="T13" t="s">
        <v>335</v>
      </c>
      <c r="U13" t="s">
        <v>338</v>
      </c>
    </row>
    <row r="14" spans="1:21" ht="21.5" thickBot="1" x14ac:dyDescent="0.55000000000000004">
      <c r="A14" s="5"/>
      <c r="B14" s="76"/>
      <c r="C14" s="76" t="s">
        <v>65</v>
      </c>
      <c r="D14" s="57">
        <v>2400</v>
      </c>
      <c r="E14" s="76"/>
      <c r="F14" s="6"/>
      <c r="G14" s="5"/>
      <c r="H14" s="94" t="s">
        <v>57</v>
      </c>
      <c r="I14" s="95"/>
      <c r="J14" s="95"/>
      <c r="K14" s="92">
        <f>SUM(K12:K13)</f>
        <v>3547.1074783501144</v>
      </c>
      <c r="L14" s="93"/>
      <c r="M14" s="76"/>
      <c r="N14" s="53"/>
      <c r="O14" s="6"/>
      <c r="P14" s="13"/>
      <c r="Q14" s="13"/>
      <c r="R14" s="13"/>
      <c r="S14" s="13"/>
    </row>
    <row r="15" spans="1:21" x14ac:dyDescent="0.35">
      <c r="A15" s="5"/>
      <c r="B15" s="76"/>
      <c r="C15" s="76"/>
      <c r="D15" s="76"/>
      <c r="E15" s="76"/>
      <c r="F15" s="6"/>
      <c r="G15" s="5"/>
      <c r="H15" s="76"/>
      <c r="I15" s="76" t="s">
        <v>67</v>
      </c>
      <c r="J15" s="42"/>
      <c r="K15" s="76"/>
      <c r="L15" s="76"/>
      <c r="M15" s="42">
        <f>24*K14/(K4-D13)*D14*0.9/0.8/4160</f>
        <v>2210.1208134335329</v>
      </c>
      <c r="N15" s="53" t="s">
        <v>66</v>
      </c>
      <c r="O15" s="6"/>
      <c r="P15" s="16"/>
      <c r="Q15" s="16" t="s">
        <v>318</v>
      </c>
      <c r="R15" s="16"/>
      <c r="S15" s="16"/>
    </row>
    <row r="16" spans="1:21" ht="15" thickBot="1" x14ac:dyDescent="0.4">
      <c r="A16" s="8"/>
      <c r="B16" s="9"/>
      <c r="C16" s="9"/>
      <c r="D16" s="9"/>
      <c r="E16" s="9"/>
      <c r="F16" s="10"/>
      <c r="G16" s="8"/>
      <c r="H16" s="9"/>
      <c r="I16" s="9"/>
      <c r="J16" s="9"/>
      <c r="K16" s="9"/>
      <c r="L16" s="9"/>
      <c r="M16" s="42">
        <f>24*K14/(K4-D13)*D14*0.9/1000</f>
        <v>7355.2820671067984</v>
      </c>
      <c r="N16" s="9" t="s">
        <v>342</v>
      </c>
      <c r="O16" s="10"/>
      <c r="P16" s="13"/>
      <c r="Q16" s="13"/>
      <c r="R16" s="13"/>
      <c r="S16" s="13"/>
    </row>
    <row r="17" spans="1:19" x14ac:dyDescent="0.3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</row>
    <row r="18" spans="1:19" ht="21" x14ac:dyDescent="0.5">
      <c r="A18" s="47" t="s">
        <v>59</v>
      </c>
      <c r="Q18" s="11" t="s">
        <v>331</v>
      </c>
      <c r="R18" t="s">
        <v>327</v>
      </c>
    </row>
    <row r="19" spans="1:19" x14ac:dyDescent="0.35">
      <c r="Q19" s="77"/>
      <c r="R19" t="s">
        <v>328</v>
      </c>
    </row>
    <row r="20" spans="1:19" ht="15.5" x14ac:dyDescent="0.35">
      <c r="A20" s="17" t="s">
        <v>27</v>
      </c>
      <c r="G20" s="14"/>
      <c r="H20" s="14"/>
      <c r="I20" s="14"/>
      <c r="J20" s="14"/>
      <c r="Q20" s="77"/>
      <c r="R20" t="s">
        <v>329</v>
      </c>
    </row>
    <row r="21" spans="1:19" ht="15" thickBot="1" x14ac:dyDescent="0.4">
      <c r="G21" s="14"/>
      <c r="H21" s="14"/>
      <c r="I21" s="14"/>
      <c r="J21" s="14"/>
      <c r="Q21" s="77"/>
      <c r="R21" t="s">
        <v>330</v>
      </c>
    </row>
    <row r="22" spans="1:19" x14ac:dyDescent="0.35">
      <c r="A22" s="24" t="s">
        <v>11</v>
      </c>
      <c r="B22" s="25" t="s">
        <v>20</v>
      </c>
      <c r="C22" s="25" t="s">
        <v>21</v>
      </c>
      <c r="D22" s="25" t="s">
        <v>22</v>
      </c>
      <c r="E22" s="25" t="s">
        <v>13</v>
      </c>
      <c r="F22" s="25" t="s">
        <v>15</v>
      </c>
      <c r="G22" s="26" t="s">
        <v>23</v>
      </c>
      <c r="H22" s="26" t="s">
        <v>24</v>
      </c>
      <c r="I22" s="26" t="s">
        <v>26</v>
      </c>
      <c r="J22" s="26" t="s">
        <v>25</v>
      </c>
      <c r="K22" s="26" t="s">
        <v>39</v>
      </c>
      <c r="L22" s="26" t="s">
        <v>40</v>
      </c>
      <c r="M22" s="26" t="s">
        <v>44</v>
      </c>
      <c r="N22" s="26" t="s">
        <v>45</v>
      </c>
      <c r="O22" s="27" t="s">
        <v>41</v>
      </c>
      <c r="Q22" s="82" t="s">
        <v>39</v>
      </c>
      <c r="R22" s="82" t="s">
        <v>40</v>
      </c>
    </row>
    <row r="23" spans="1:19" x14ac:dyDescent="0.35">
      <c r="A23" s="19" t="s">
        <v>14</v>
      </c>
      <c r="B23" s="18"/>
      <c r="C23" s="18"/>
      <c r="D23" s="18"/>
      <c r="E23" s="1" t="s">
        <v>17</v>
      </c>
      <c r="F23" s="58"/>
      <c r="G23" s="58"/>
      <c r="H23" s="55">
        <f>IF(G23=0,0,(F23/100)/G23)</f>
        <v>0</v>
      </c>
      <c r="I23" s="1"/>
      <c r="J23" s="1"/>
      <c r="K23" s="1"/>
      <c r="L23" s="1"/>
      <c r="M23" s="1"/>
      <c r="N23" s="1"/>
      <c r="O23" s="20"/>
      <c r="Q23" t="s">
        <v>42</v>
      </c>
      <c r="R23">
        <v>0.3</v>
      </c>
    </row>
    <row r="24" spans="1:19" x14ac:dyDescent="0.35">
      <c r="A24" s="19"/>
      <c r="B24" s="18"/>
      <c r="C24" s="18"/>
      <c r="D24" s="18"/>
      <c r="E24" s="1" t="s">
        <v>37</v>
      </c>
      <c r="F24" s="58"/>
      <c r="G24" s="58"/>
      <c r="H24" s="55">
        <f t="shared" ref="H24:H25" si="0">IF(G24=0,0,(F24/100)/G24)</f>
        <v>0</v>
      </c>
      <c r="I24" s="1"/>
      <c r="J24" s="1"/>
      <c r="K24" s="1"/>
      <c r="L24" s="1"/>
      <c r="M24" s="1"/>
      <c r="N24" s="1"/>
      <c r="O24" s="20"/>
      <c r="Q24" t="s">
        <v>325</v>
      </c>
      <c r="R24">
        <v>0.42</v>
      </c>
    </row>
    <row r="25" spans="1:19" x14ac:dyDescent="0.35">
      <c r="A25" s="19"/>
      <c r="B25" s="18"/>
      <c r="C25" s="18"/>
      <c r="D25" s="18"/>
      <c r="E25" s="1"/>
      <c r="F25" s="58"/>
      <c r="G25" s="58"/>
      <c r="H25" s="55">
        <f t="shared" si="0"/>
        <v>0</v>
      </c>
      <c r="I25" s="1"/>
      <c r="J25" s="1"/>
      <c r="K25" s="1"/>
      <c r="L25" s="1"/>
      <c r="M25" s="1"/>
      <c r="N25" s="1"/>
      <c r="O25" s="20"/>
    </row>
    <row r="26" spans="1:19" ht="15" thickBot="1" x14ac:dyDescent="0.4">
      <c r="A26" s="21"/>
      <c r="B26" s="22"/>
      <c r="C26" s="22"/>
      <c r="D26" s="78"/>
      <c r="E26" s="23" t="s">
        <v>29</v>
      </c>
      <c r="F26" s="23">
        <f>SUM(F23:F25)</f>
        <v>0</v>
      </c>
      <c r="G26" s="23"/>
      <c r="H26" s="79">
        <f>SUM(H23:H25)</f>
        <v>0</v>
      </c>
      <c r="I26" s="23">
        <v>0.17</v>
      </c>
      <c r="J26" s="29">
        <f>1/(H26+I26)</f>
        <v>5.8823529411764701</v>
      </c>
      <c r="K26" s="80" t="s">
        <v>325</v>
      </c>
      <c r="L26" s="30">
        <f>VLOOKUP(K26,Q23:R24,2,FALSE)</f>
        <v>0.42</v>
      </c>
      <c r="M26" s="23">
        <f>$K$4</f>
        <v>19</v>
      </c>
      <c r="N26" s="23">
        <f>$D$13</f>
        <v>-6</v>
      </c>
      <c r="O26" s="31">
        <f>L26*D26*J26*(M26-N26)</f>
        <v>0</v>
      </c>
      <c r="P26" s="44">
        <f>O26</f>
        <v>0</v>
      </c>
    </row>
    <row r="27" spans="1:19" x14ac:dyDescent="0.35">
      <c r="B27" s="15"/>
      <c r="C27" s="15"/>
      <c r="D27" s="15"/>
    </row>
    <row r="28" spans="1:19" ht="15.5" x14ac:dyDescent="0.35">
      <c r="A28" s="17" t="s">
        <v>28</v>
      </c>
      <c r="B28" s="15"/>
      <c r="C28" s="15"/>
      <c r="D28" s="15"/>
    </row>
    <row r="29" spans="1:19" ht="15" thickBot="1" x14ac:dyDescent="0.4">
      <c r="B29" s="15"/>
      <c r="C29" s="15"/>
      <c r="D29" s="15"/>
    </row>
    <row r="30" spans="1:19" x14ac:dyDescent="0.35">
      <c r="A30" s="24" t="s">
        <v>11</v>
      </c>
      <c r="B30" s="25" t="s">
        <v>20</v>
      </c>
      <c r="C30" s="25" t="s">
        <v>21</v>
      </c>
      <c r="D30" s="25" t="s">
        <v>22</v>
      </c>
      <c r="E30" s="25" t="s">
        <v>13</v>
      </c>
      <c r="F30" s="25" t="s">
        <v>15</v>
      </c>
      <c r="G30" s="26" t="s">
        <v>23</v>
      </c>
      <c r="H30" s="26" t="s">
        <v>24</v>
      </c>
      <c r="I30" s="26" t="s">
        <v>26</v>
      </c>
      <c r="J30" s="26" t="s">
        <v>25</v>
      </c>
      <c r="K30" s="26" t="s">
        <v>39</v>
      </c>
      <c r="L30" s="26" t="s">
        <v>40</v>
      </c>
      <c r="M30" s="26" t="s">
        <v>44</v>
      </c>
      <c r="N30" s="26" t="s">
        <v>43</v>
      </c>
      <c r="O30" s="27" t="s">
        <v>41</v>
      </c>
      <c r="Q30" s="82" t="s">
        <v>39</v>
      </c>
      <c r="R30" s="82" t="s">
        <v>40</v>
      </c>
    </row>
    <row r="31" spans="1:19" x14ac:dyDescent="0.35">
      <c r="A31" s="19" t="s">
        <v>344</v>
      </c>
      <c r="B31" s="18"/>
      <c r="C31" s="18"/>
      <c r="D31" s="18"/>
      <c r="E31" s="1" t="s">
        <v>345</v>
      </c>
      <c r="F31" s="58">
        <v>6</v>
      </c>
      <c r="G31" s="58">
        <v>2.2999999999999998</v>
      </c>
      <c r="H31" s="55">
        <f>IF(G31=0,0,(F31/100)/G31)</f>
        <v>2.6086956521739132E-2</v>
      </c>
      <c r="I31" s="1"/>
      <c r="J31" s="1"/>
      <c r="K31" s="1"/>
      <c r="L31" s="1"/>
      <c r="M31" s="1"/>
      <c r="N31" s="1"/>
      <c r="O31" s="20"/>
      <c r="Q31" t="s">
        <v>42</v>
      </c>
      <c r="R31">
        <v>0.8</v>
      </c>
    </row>
    <row r="32" spans="1:19" x14ac:dyDescent="0.35">
      <c r="A32" s="19"/>
      <c r="B32" s="18"/>
      <c r="C32" s="18"/>
      <c r="D32" s="18"/>
      <c r="E32" s="83" t="s">
        <v>346</v>
      </c>
      <c r="F32" s="84">
        <v>8</v>
      </c>
      <c r="G32" s="84">
        <v>2.4E-2</v>
      </c>
      <c r="H32" s="55">
        <f t="shared" ref="H32:H33" si="1">IF(G32=0,0,(F32/100)/G32)</f>
        <v>3.3333333333333335</v>
      </c>
      <c r="I32" s="1"/>
      <c r="J32" s="1"/>
      <c r="K32" s="1"/>
      <c r="L32" s="1"/>
      <c r="M32" s="1"/>
      <c r="N32" s="1"/>
      <c r="O32" s="20"/>
      <c r="Q32" t="s">
        <v>325</v>
      </c>
      <c r="R32">
        <v>1.1200000000000001</v>
      </c>
    </row>
    <row r="33" spans="1:18" x14ac:dyDescent="0.35">
      <c r="A33" s="19"/>
      <c r="B33" s="18"/>
      <c r="C33" s="18"/>
      <c r="D33" s="18"/>
      <c r="E33" s="1"/>
      <c r="F33" s="58"/>
      <c r="G33" s="58"/>
      <c r="H33" s="55">
        <f t="shared" si="1"/>
        <v>0</v>
      </c>
      <c r="I33" s="1"/>
      <c r="J33" s="1"/>
      <c r="K33" s="1"/>
      <c r="L33" s="1"/>
      <c r="M33" s="1"/>
      <c r="N33" s="1"/>
      <c r="O33" s="20"/>
    </row>
    <row r="34" spans="1:18" ht="15" thickBot="1" x14ac:dyDescent="0.4">
      <c r="A34" s="21"/>
      <c r="B34" s="22"/>
      <c r="C34" s="22"/>
      <c r="D34" s="78">
        <v>105</v>
      </c>
      <c r="E34" s="23" t="s">
        <v>29</v>
      </c>
      <c r="F34" s="23">
        <f>SUM(F31:F33)</f>
        <v>14</v>
      </c>
      <c r="G34" s="23"/>
      <c r="H34" s="79">
        <f>SUM(H31:H33)</f>
        <v>3.3594202898550725</v>
      </c>
      <c r="I34" s="23">
        <v>0.34</v>
      </c>
      <c r="J34" s="29">
        <f>1/(H34+I34)</f>
        <v>0.27031262242419496</v>
      </c>
      <c r="K34" s="80" t="s">
        <v>42</v>
      </c>
      <c r="L34" s="30">
        <f>VLOOKUP(K34,Q31:R32,2,FALSE)</f>
        <v>0.8</v>
      </c>
      <c r="M34" s="23">
        <f>$K$4</f>
        <v>19</v>
      </c>
      <c r="N34" s="23">
        <f>$D$13</f>
        <v>-6</v>
      </c>
      <c r="O34" s="31">
        <f>L34*D34*J34*(M34-N34)</f>
        <v>567.65650709080933</v>
      </c>
      <c r="P34" s="44">
        <f>O34</f>
        <v>567.65650709080933</v>
      </c>
    </row>
    <row r="35" spans="1:18" x14ac:dyDescent="0.35">
      <c r="A35" s="13"/>
      <c r="B35" s="32"/>
      <c r="C35" s="32"/>
      <c r="D35" s="33"/>
      <c r="E35" s="13"/>
      <c r="F35" s="13"/>
      <c r="G35" s="13"/>
      <c r="H35" s="13"/>
      <c r="I35" s="13"/>
      <c r="J35" s="34"/>
      <c r="K35" s="13"/>
      <c r="L35" s="35"/>
      <c r="M35" s="13"/>
      <c r="N35" s="13"/>
      <c r="O35" s="36"/>
    </row>
    <row r="36" spans="1:18" ht="15.5" x14ac:dyDescent="0.35">
      <c r="A36" s="17" t="s">
        <v>30</v>
      </c>
      <c r="B36" s="15"/>
      <c r="C36" s="15"/>
      <c r="D36" s="15"/>
    </row>
    <row r="37" spans="1:18" ht="16" thickBot="1" x14ac:dyDescent="0.4">
      <c r="A37" s="17"/>
      <c r="B37" s="15"/>
      <c r="C37" s="15"/>
      <c r="D37" s="15"/>
    </row>
    <row r="38" spans="1:18" x14ac:dyDescent="0.35">
      <c r="A38" s="24" t="s">
        <v>11</v>
      </c>
      <c r="B38" s="25" t="s">
        <v>20</v>
      </c>
      <c r="C38" s="25" t="s">
        <v>21</v>
      </c>
      <c r="D38" s="25" t="s">
        <v>22</v>
      </c>
      <c r="E38" s="25" t="s">
        <v>13</v>
      </c>
      <c r="F38" s="25" t="s">
        <v>15</v>
      </c>
      <c r="G38" s="26" t="s">
        <v>23</v>
      </c>
      <c r="H38" s="26" t="s">
        <v>24</v>
      </c>
      <c r="I38" s="26" t="s">
        <v>26</v>
      </c>
      <c r="J38" s="26" t="s">
        <v>25</v>
      </c>
      <c r="K38" s="26" t="s">
        <v>39</v>
      </c>
      <c r="L38" s="26" t="s">
        <v>40</v>
      </c>
      <c r="M38" s="26" t="s">
        <v>44</v>
      </c>
      <c r="N38" s="26" t="s">
        <v>43</v>
      </c>
      <c r="O38" s="27" t="s">
        <v>41</v>
      </c>
      <c r="Q38" s="82" t="s">
        <v>39</v>
      </c>
      <c r="R38" s="82" t="s">
        <v>40</v>
      </c>
    </row>
    <row r="39" spans="1:18" x14ac:dyDescent="0.35">
      <c r="A39" s="1" t="s">
        <v>12</v>
      </c>
      <c r="B39" s="18"/>
      <c r="C39" s="18"/>
      <c r="D39" s="18"/>
      <c r="E39" s="83" t="s">
        <v>16</v>
      </c>
      <c r="F39" s="84">
        <v>20</v>
      </c>
      <c r="G39" s="84">
        <v>0.85</v>
      </c>
      <c r="H39" s="55">
        <f>IF(G39=0,0,(F39/100)/G39)</f>
        <v>0.23529411764705885</v>
      </c>
      <c r="I39" s="1"/>
      <c r="J39" s="1"/>
      <c r="K39" s="1"/>
      <c r="L39" s="1"/>
      <c r="M39" s="1"/>
      <c r="N39" s="1"/>
      <c r="O39" s="20"/>
      <c r="Q39" t="s">
        <v>42</v>
      </c>
      <c r="R39">
        <v>1</v>
      </c>
    </row>
    <row r="40" spans="1:18" x14ac:dyDescent="0.35">
      <c r="A40" s="1"/>
      <c r="B40" s="18"/>
      <c r="C40" s="18"/>
      <c r="D40" s="18"/>
      <c r="E40" s="83" t="s">
        <v>18</v>
      </c>
      <c r="F40" s="84">
        <v>10</v>
      </c>
      <c r="G40" s="84">
        <v>0.03</v>
      </c>
      <c r="H40" s="55">
        <f t="shared" ref="H40:H41" si="2">IF(G40=0,0,(F40/100)/G40)</f>
        <v>3.3333333333333335</v>
      </c>
      <c r="I40" s="1"/>
      <c r="J40" s="1"/>
      <c r="K40" s="1"/>
      <c r="L40" s="1"/>
      <c r="M40" s="1"/>
      <c r="N40" s="1"/>
      <c r="O40" s="20"/>
      <c r="Q40" t="s">
        <v>325</v>
      </c>
      <c r="R40">
        <v>1.4</v>
      </c>
    </row>
    <row r="41" spans="1:18" x14ac:dyDescent="0.35">
      <c r="A41" s="1"/>
      <c r="B41" s="18"/>
      <c r="C41" s="18"/>
      <c r="D41" s="18"/>
      <c r="E41" s="1"/>
      <c r="F41" s="58"/>
      <c r="G41" s="58"/>
      <c r="H41" s="55">
        <f t="shared" si="2"/>
        <v>0</v>
      </c>
      <c r="I41" s="1"/>
      <c r="J41" s="1"/>
      <c r="K41" s="1"/>
      <c r="L41" s="1"/>
      <c r="M41" s="1"/>
      <c r="N41" s="1"/>
      <c r="O41" s="20"/>
    </row>
    <row r="42" spans="1:18" ht="15" thickBot="1" x14ac:dyDescent="0.4">
      <c r="A42" s="21"/>
      <c r="B42" s="22"/>
      <c r="C42" s="22"/>
      <c r="D42" s="78">
        <v>88</v>
      </c>
      <c r="E42" s="23" t="s">
        <v>29</v>
      </c>
      <c r="F42" s="23">
        <f>SUM(F39:F41)</f>
        <v>30</v>
      </c>
      <c r="G42" s="23"/>
      <c r="H42" s="79">
        <f>SUM(H39:H41)</f>
        <v>3.5686274509803924</v>
      </c>
      <c r="I42" s="23">
        <v>0.17</v>
      </c>
      <c r="J42" s="29">
        <f>1/(H42+I42)</f>
        <v>0.26747784129648083</v>
      </c>
      <c r="K42" s="80" t="s">
        <v>42</v>
      </c>
      <c r="L42" s="30">
        <f>VLOOKUP(K42,Q39:R40,2,FALSE)</f>
        <v>1</v>
      </c>
      <c r="M42" s="23">
        <f>$K$4</f>
        <v>19</v>
      </c>
      <c r="N42" s="23">
        <f>$D$13</f>
        <v>-6</v>
      </c>
      <c r="O42" s="31">
        <f>L42*D42*J42*(M42-N42)</f>
        <v>588.45125085225789</v>
      </c>
      <c r="P42" s="44">
        <f>O42</f>
        <v>588.45125085225789</v>
      </c>
    </row>
    <row r="43" spans="1:18" ht="15.5" x14ac:dyDescent="0.35">
      <c r="A43" s="17"/>
      <c r="B43" s="15"/>
      <c r="C43" s="15"/>
      <c r="D43" s="15"/>
    </row>
    <row r="44" spans="1:18" x14ac:dyDescent="0.35">
      <c r="B44" s="15"/>
      <c r="C44" s="15"/>
      <c r="D44" s="15"/>
    </row>
    <row r="45" spans="1:18" ht="15.5" x14ac:dyDescent="0.35">
      <c r="A45" s="17" t="s">
        <v>31</v>
      </c>
      <c r="B45" s="15"/>
      <c r="C45" s="15"/>
      <c r="D45" s="15"/>
      <c r="H45" s="12"/>
    </row>
    <row r="46" spans="1:18" ht="16" thickBot="1" x14ac:dyDescent="0.4">
      <c r="A46" s="17"/>
      <c r="B46" s="15"/>
      <c r="C46" s="15"/>
      <c r="D46" s="15"/>
      <c r="H46" s="12"/>
    </row>
    <row r="47" spans="1:18" x14ac:dyDescent="0.35">
      <c r="A47" s="24" t="s">
        <v>11</v>
      </c>
      <c r="B47" s="25" t="s">
        <v>20</v>
      </c>
      <c r="C47" s="25" t="s">
        <v>21</v>
      </c>
      <c r="D47" s="25" t="s">
        <v>22</v>
      </c>
      <c r="E47" s="25" t="s">
        <v>13</v>
      </c>
      <c r="F47" s="25" t="s">
        <v>15</v>
      </c>
      <c r="G47" s="26" t="s">
        <v>23</v>
      </c>
      <c r="H47" s="26" t="s">
        <v>24</v>
      </c>
      <c r="I47" s="26" t="s">
        <v>26</v>
      </c>
      <c r="J47" s="26" t="s">
        <v>25</v>
      </c>
      <c r="K47" s="26" t="s">
        <v>39</v>
      </c>
      <c r="L47" s="26" t="s">
        <v>40</v>
      </c>
      <c r="M47" s="26" t="s">
        <v>44</v>
      </c>
      <c r="N47" s="26" t="s">
        <v>43</v>
      </c>
      <c r="O47" s="27" t="s">
        <v>41</v>
      </c>
      <c r="Q47" s="82" t="s">
        <v>39</v>
      </c>
      <c r="R47" s="82" t="s">
        <v>40</v>
      </c>
    </row>
    <row r="48" spans="1:18" x14ac:dyDescent="0.35">
      <c r="A48" s="1" t="s">
        <v>47</v>
      </c>
      <c r="B48" s="18"/>
      <c r="C48" s="18"/>
      <c r="D48" s="18"/>
      <c r="E48" s="1"/>
      <c r="F48" s="58"/>
      <c r="G48" s="58"/>
      <c r="H48" s="55">
        <f>IF(G48=0,0,(F48/100)/G48)</f>
        <v>0</v>
      </c>
      <c r="I48" s="1"/>
      <c r="J48" s="1"/>
      <c r="K48" s="1"/>
      <c r="L48" s="1"/>
      <c r="M48" s="1"/>
      <c r="N48" s="1"/>
      <c r="O48" s="20"/>
      <c r="Q48" t="s">
        <v>42</v>
      </c>
      <c r="R48">
        <v>0.5</v>
      </c>
    </row>
    <row r="49" spans="1:18" x14ac:dyDescent="0.35">
      <c r="A49" s="1"/>
      <c r="B49" s="18"/>
      <c r="C49" s="18"/>
      <c r="D49" s="18"/>
      <c r="E49" s="1"/>
      <c r="F49" s="58"/>
      <c r="G49" s="58"/>
      <c r="H49" s="55">
        <f t="shared" ref="H49:H50" si="3">IF(G49=0,0,(F49/100)/G49)</f>
        <v>0</v>
      </c>
      <c r="I49" s="1"/>
      <c r="J49" s="1"/>
      <c r="K49" s="1"/>
      <c r="L49" s="1"/>
      <c r="M49" s="1"/>
      <c r="N49" s="1"/>
      <c r="O49" s="20"/>
      <c r="Q49" t="s">
        <v>325</v>
      </c>
      <c r="R49">
        <v>0.7</v>
      </c>
    </row>
    <row r="50" spans="1:18" x14ac:dyDescent="0.35">
      <c r="A50" s="1"/>
      <c r="B50" s="18"/>
      <c r="C50" s="18"/>
      <c r="D50" s="18"/>
      <c r="E50" s="1"/>
      <c r="F50" s="58"/>
      <c r="G50" s="58"/>
      <c r="H50" s="55">
        <f t="shared" si="3"/>
        <v>0</v>
      </c>
      <c r="I50" s="1"/>
      <c r="J50" s="1"/>
      <c r="K50" s="1"/>
      <c r="L50" s="1"/>
      <c r="M50" s="1"/>
      <c r="N50" s="1"/>
      <c r="O50" s="20"/>
    </row>
    <row r="51" spans="1:18" ht="15" thickBot="1" x14ac:dyDescent="0.4">
      <c r="A51" s="21"/>
      <c r="B51" s="37"/>
      <c r="C51" s="37"/>
      <c r="D51" s="78">
        <v>0</v>
      </c>
      <c r="E51" s="23" t="s">
        <v>29</v>
      </c>
      <c r="F51" s="23">
        <f>SUM(F48:F50)</f>
        <v>0</v>
      </c>
      <c r="G51" s="23"/>
      <c r="H51" s="79">
        <f>SUM(H48:H50)</f>
        <v>0</v>
      </c>
      <c r="I51" s="23">
        <v>0.26</v>
      </c>
      <c r="J51" s="29">
        <f>1/(H51+I51)</f>
        <v>3.8461538461538458</v>
      </c>
      <c r="K51" s="80" t="s">
        <v>325</v>
      </c>
      <c r="L51" s="30">
        <f>VLOOKUP(K51,Q48:R49,2,FALSE)</f>
        <v>0.7</v>
      </c>
      <c r="M51" s="23">
        <f>$K$4</f>
        <v>19</v>
      </c>
      <c r="N51" s="23">
        <f>$D$13</f>
        <v>-6</v>
      </c>
      <c r="O51" s="31">
        <f>L51*D51*J51*(M51-N51)</f>
        <v>0</v>
      </c>
      <c r="P51" s="44">
        <f>O51</f>
        <v>0</v>
      </c>
    </row>
    <row r="52" spans="1:18" ht="15.5" x14ac:dyDescent="0.35">
      <c r="A52" s="17"/>
      <c r="B52" s="15"/>
      <c r="C52" s="15"/>
      <c r="D52" s="15"/>
      <c r="H52" s="12"/>
    </row>
    <row r="53" spans="1:18" ht="15.5" x14ac:dyDescent="0.35">
      <c r="A53" s="17" t="s">
        <v>32</v>
      </c>
      <c r="B53" s="15"/>
      <c r="C53" s="15"/>
      <c r="D53" s="15"/>
      <c r="H53" s="12"/>
    </row>
    <row r="54" spans="1:18" ht="16" thickBot="1" x14ac:dyDescent="0.4">
      <c r="A54" s="17"/>
      <c r="B54" s="15"/>
      <c r="C54" s="15"/>
      <c r="D54" s="15"/>
      <c r="H54" s="12"/>
    </row>
    <row r="55" spans="1:18" x14ac:dyDescent="0.35">
      <c r="A55" s="24" t="s">
        <v>11</v>
      </c>
      <c r="B55" s="25" t="s">
        <v>20</v>
      </c>
      <c r="C55" s="25" t="s">
        <v>21</v>
      </c>
      <c r="D55" s="25" t="s">
        <v>22</v>
      </c>
      <c r="E55" s="25" t="s">
        <v>13</v>
      </c>
      <c r="F55" s="25" t="s">
        <v>15</v>
      </c>
      <c r="G55" s="26" t="s">
        <v>23</v>
      </c>
      <c r="H55" s="26" t="s">
        <v>24</v>
      </c>
      <c r="I55" s="26" t="s">
        <v>26</v>
      </c>
      <c r="J55" s="26" t="s">
        <v>25</v>
      </c>
      <c r="K55" s="26" t="s">
        <v>39</v>
      </c>
      <c r="L55" s="26" t="s">
        <v>40</v>
      </c>
      <c r="M55" s="26" t="s">
        <v>44</v>
      </c>
      <c r="N55" s="26" t="s">
        <v>43</v>
      </c>
      <c r="O55" s="27" t="s">
        <v>41</v>
      </c>
      <c r="Q55" s="82" t="s">
        <v>39</v>
      </c>
      <c r="R55" s="82" t="s">
        <v>40</v>
      </c>
    </row>
    <row r="56" spans="1:18" x14ac:dyDescent="0.35">
      <c r="A56" s="1"/>
      <c r="B56" s="18"/>
      <c r="C56" s="18"/>
      <c r="D56" s="18"/>
      <c r="E56" s="1"/>
      <c r="F56" s="58"/>
      <c r="G56" s="58"/>
      <c r="H56" s="55"/>
      <c r="I56" s="1"/>
      <c r="J56" s="1"/>
      <c r="K56" s="1"/>
      <c r="L56" s="1"/>
      <c r="M56" s="1"/>
      <c r="N56" s="1"/>
      <c r="O56" s="20"/>
      <c r="Q56" t="s">
        <v>42</v>
      </c>
      <c r="R56">
        <v>0.8</v>
      </c>
    </row>
    <row r="57" spans="1:18" x14ac:dyDescent="0.35">
      <c r="A57" s="1"/>
      <c r="B57" s="18"/>
      <c r="C57" s="18"/>
      <c r="D57" s="18"/>
      <c r="E57" s="1"/>
      <c r="F57" s="58"/>
      <c r="G57" s="58"/>
      <c r="H57" s="55"/>
      <c r="I57" s="1"/>
      <c r="J57" s="1"/>
      <c r="K57" s="1"/>
      <c r="L57" s="1"/>
      <c r="M57" s="1"/>
      <c r="N57" s="1"/>
      <c r="O57" s="20"/>
      <c r="Q57" t="s">
        <v>325</v>
      </c>
      <c r="R57">
        <v>1.1200000000000001</v>
      </c>
    </row>
    <row r="58" spans="1:18" x14ac:dyDescent="0.35">
      <c r="A58" s="1"/>
      <c r="B58" s="18"/>
      <c r="C58" s="18"/>
      <c r="D58" s="18"/>
      <c r="E58" s="1"/>
      <c r="F58" s="58"/>
      <c r="G58" s="58"/>
      <c r="H58" s="55"/>
      <c r="I58" s="1"/>
      <c r="J58" s="1"/>
      <c r="K58" s="1"/>
      <c r="L58" s="1"/>
      <c r="M58" s="1"/>
      <c r="N58" s="1"/>
      <c r="O58" s="20"/>
    </row>
    <row r="59" spans="1:18" ht="15" thickBot="1" x14ac:dyDescent="0.4">
      <c r="A59" s="21"/>
      <c r="B59" s="37"/>
      <c r="C59" s="37"/>
      <c r="D59" s="78">
        <v>0</v>
      </c>
      <c r="E59" s="23" t="s">
        <v>29</v>
      </c>
      <c r="F59" s="23">
        <f>SUM(F56:F58)</f>
        <v>0</v>
      </c>
      <c r="G59" s="23"/>
      <c r="H59" s="79">
        <f>SUM(H56:H58)</f>
        <v>0</v>
      </c>
      <c r="I59" s="23">
        <v>0.26</v>
      </c>
      <c r="J59" s="29">
        <f>1/(H59+I59)</f>
        <v>3.8461538461538458</v>
      </c>
      <c r="K59" s="80" t="s">
        <v>42</v>
      </c>
      <c r="L59" s="30">
        <f>VLOOKUP(K59,Q56:R57,2,FALSE)</f>
        <v>0.8</v>
      </c>
      <c r="M59" s="23">
        <f>$K$4</f>
        <v>19</v>
      </c>
      <c r="N59" s="23">
        <f>$D$13</f>
        <v>-6</v>
      </c>
      <c r="O59" s="31">
        <f>L59*D59*J59*(M59-N59)</f>
        <v>0</v>
      </c>
      <c r="P59" s="44">
        <f>O59</f>
        <v>0</v>
      </c>
    </row>
    <row r="60" spans="1:18" x14ac:dyDescent="0.35">
      <c r="A60" s="13"/>
      <c r="B60" s="39"/>
      <c r="C60" s="39"/>
      <c r="D60" s="33"/>
      <c r="E60" s="13"/>
      <c r="F60" s="13"/>
      <c r="G60" s="13"/>
      <c r="H60" s="40"/>
      <c r="I60" s="13"/>
      <c r="J60" s="34"/>
      <c r="K60" s="13"/>
      <c r="L60" s="35"/>
      <c r="M60" s="13"/>
      <c r="N60" s="13"/>
      <c r="O60" s="36"/>
    </row>
    <row r="61" spans="1:18" ht="15.5" x14ac:dyDescent="0.35">
      <c r="A61" s="17" t="s">
        <v>33</v>
      </c>
      <c r="B61" s="15"/>
      <c r="C61" s="15"/>
      <c r="D61" s="15"/>
    </row>
    <row r="62" spans="1:18" ht="16" thickBot="1" x14ac:dyDescent="0.4">
      <c r="A62" s="17"/>
      <c r="B62" s="15"/>
      <c r="C62" s="15"/>
      <c r="D62" s="15"/>
    </row>
    <row r="63" spans="1:18" x14ac:dyDescent="0.35">
      <c r="A63" s="24" t="s">
        <v>11</v>
      </c>
      <c r="B63" s="25" t="s">
        <v>20</v>
      </c>
      <c r="C63" s="25" t="s">
        <v>21</v>
      </c>
      <c r="D63" s="25" t="s">
        <v>22</v>
      </c>
      <c r="E63" s="25"/>
      <c r="F63" s="25"/>
      <c r="G63" s="26"/>
      <c r="H63" s="26"/>
      <c r="I63" s="26"/>
      <c r="J63" s="26" t="s">
        <v>25</v>
      </c>
      <c r="K63" s="26"/>
      <c r="L63" s="26" t="s">
        <v>40</v>
      </c>
      <c r="M63" s="26" t="s">
        <v>44</v>
      </c>
      <c r="N63" s="26" t="s">
        <v>43</v>
      </c>
      <c r="O63" s="27" t="s">
        <v>41</v>
      </c>
    </row>
    <row r="64" spans="1:18" x14ac:dyDescent="0.35">
      <c r="A64" s="19" t="s">
        <v>347</v>
      </c>
      <c r="B64" s="18"/>
      <c r="C64" s="18"/>
      <c r="D64" s="81">
        <v>20</v>
      </c>
      <c r="E64" s="1"/>
      <c r="F64" s="1"/>
      <c r="G64" s="1"/>
      <c r="H64" s="38"/>
      <c r="I64" s="1"/>
      <c r="J64" s="58">
        <v>1.4</v>
      </c>
      <c r="K64" s="1"/>
      <c r="L64" s="1">
        <v>1</v>
      </c>
      <c r="M64" s="1">
        <f t="shared" ref="M64:M69" si="4">$K$4</f>
        <v>19</v>
      </c>
      <c r="N64" s="1">
        <f t="shared" ref="N64:N69" si="5">$D$13</f>
        <v>-6</v>
      </c>
      <c r="O64" s="41">
        <f t="shared" ref="O64:O69" si="6">L64*D64*J64*(M64-N64)</f>
        <v>700</v>
      </c>
      <c r="P64" s="44">
        <f t="shared" ref="P64:P69" si="7">O64</f>
        <v>700</v>
      </c>
    </row>
    <row r="65" spans="1:18" x14ac:dyDescent="0.35">
      <c r="A65" s="19"/>
      <c r="B65" s="18"/>
      <c r="C65" s="18"/>
      <c r="D65" s="81"/>
      <c r="E65" s="1"/>
      <c r="F65" s="1"/>
      <c r="G65" s="1"/>
      <c r="H65" s="38"/>
      <c r="I65" s="1"/>
      <c r="J65" s="58">
        <v>1.4</v>
      </c>
      <c r="K65" s="1"/>
      <c r="L65" s="1">
        <v>1</v>
      </c>
      <c r="M65" s="1">
        <f t="shared" si="4"/>
        <v>19</v>
      </c>
      <c r="N65" s="1">
        <f t="shared" si="5"/>
        <v>-6</v>
      </c>
      <c r="O65" s="41">
        <f t="shared" si="6"/>
        <v>0</v>
      </c>
      <c r="P65" s="44">
        <f t="shared" si="7"/>
        <v>0</v>
      </c>
    </row>
    <row r="66" spans="1:18" x14ac:dyDescent="0.35">
      <c r="A66" s="19"/>
      <c r="B66" s="18"/>
      <c r="C66" s="18"/>
      <c r="D66" s="81"/>
      <c r="E66" s="1"/>
      <c r="F66" s="1"/>
      <c r="G66" s="1"/>
      <c r="H66" s="38"/>
      <c r="I66" s="1"/>
      <c r="J66" s="58">
        <v>1.4</v>
      </c>
      <c r="K66" s="1"/>
      <c r="L66" s="1">
        <v>1</v>
      </c>
      <c r="M66" s="1">
        <f t="shared" si="4"/>
        <v>19</v>
      </c>
      <c r="N66" s="1">
        <f t="shared" si="5"/>
        <v>-6</v>
      </c>
      <c r="O66" s="41">
        <f t="shared" si="6"/>
        <v>0</v>
      </c>
      <c r="P66" s="44">
        <f t="shared" si="7"/>
        <v>0</v>
      </c>
    </row>
    <row r="67" spans="1:18" x14ac:dyDescent="0.35">
      <c r="A67" s="19"/>
      <c r="B67" s="18"/>
      <c r="C67" s="18"/>
      <c r="D67" s="81"/>
      <c r="E67" s="1"/>
      <c r="F67" s="1"/>
      <c r="G67" s="1"/>
      <c r="H67" s="38"/>
      <c r="I67" s="1"/>
      <c r="J67" s="58">
        <v>1.4</v>
      </c>
      <c r="K67" s="1"/>
      <c r="L67" s="1">
        <v>1</v>
      </c>
      <c r="M67" s="1">
        <f t="shared" si="4"/>
        <v>19</v>
      </c>
      <c r="N67" s="1">
        <f t="shared" si="5"/>
        <v>-6</v>
      </c>
      <c r="O67" s="41">
        <f t="shared" si="6"/>
        <v>0</v>
      </c>
      <c r="P67" s="44">
        <f t="shared" si="7"/>
        <v>0</v>
      </c>
    </row>
    <row r="68" spans="1:18" x14ac:dyDescent="0.35">
      <c r="A68" s="19"/>
      <c r="B68" s="18"/>
      <c r="C68" s="18"/>
      <c r="D68" s="81"/>
      <c r="E68" s="1"/>
      <c r="F68" s="1"/>
      <c r="G68" s="1"/>
      <c r="H68" s="38"/>
      <c r="I68" s="1"/>
      <c r="J68" s="58">
        <v>1.4</v>
      </c>
      <c r="K68" s="1"/>
      <c r="L68" s="1">
        <v>1</v>
      </c>
      <c r="M68" s="1">
        <f t="shared" si="4"/>
        <v>19</v>
      </c>
      <c r="N68" s="1">
        <f t="shared" si="5"/>
        <v>-6</v>
      </c>
      <c r="O68" s="41">
        <f t="shared" si="6"/>
        <v>0</v>
      </c>
      <c r="P68" s="44">
        <f t="shared" si="7"/>
        <v>0</v>
      </c>
    </row>
    <row r="69" spans="1:18" ht="15" thickBot="1" x14ac:dyDescent="0.4">
      <c r="A69" s="21"/>
      <c r="B69" s="22"/>
      <c r="C69" s="22"/>
      <c r="D69" s="81"/>
      <c r="E69" s="23"/>
      <c r="F69" s="23"/>
      <c r="G69" s="23"/>
      <c r="H69" s="28"/>
      <c r="I69" s="23"/>
      <c r="J69" s="80">
        <v>1.4</v>
      </c>
      <c r="K69" s="23"/>
      <c r="L69" s="23">
        <v>1</v>
      </c>
      <c r="M69" s="23">
        <f t="shared" si="4"/>
        <v>19</v>
      </c>
      <c r="N69" s="23">
        <f t="shared" si="5"/>
        <v>-6</v>
      </c>
      <c r="O69" s="31">
        <f t="shared" si="6"/>
        <v>0</v>
      </c>
      <c r="P69" s="44">
        <f t="shared" si="7"/>
        <v>0</v>
      </c>
    </row>
    <row r="70" spans="1:18" ht="15.5" x14ac:dyDescent="0.35">
      <c r="A70" s="17"/>
      <c r="B70" s="15"/>
      <c r="C70" s="15"/>
      <c r="D70" s="15"/>
    </row>
    <row r="71" spans="1:18" ht="15.5" x14ac:dyDescent="0.35">
      <c r="A71" s="17" t="s">
        <v>34</v>
      </c>
      <c r="B71" s="15"/>
      <c r="C71" s="15"/>
      <c r="D71" s="15"/>
    </row>
    <row r="72" spans="1:18" ht="16" thickBot="1" x14ac:dyDescent="0.4">
      <c r="A72" s="17"/>
      <c r="B72" s="15"/>
      <c r="C72" s="15"/>
      <c r="D72" s="15"/>
    </row>
    <row r="73" spans="1:18" x14ac:dyDescent="0.35">
      <c r="A73" s="24" t="s">
        <v>11</v>
      </c>
      <c r="B73" s="25" t="s">
        <v>20</v>
      </c>
      <c r="C73" s="25" t="s">
        <v>21</v>
      </c>
      <c r="D73" s="25" t="s">
        <v>22</v>
      </c>
      <c r="E73" s="25" t="s">
        <v>13</v>
      </c>
      <c r="F73" s="25" t="s">
        <v>15</v>
      </c>
      <c r="G73" s="26" t="s">
        <v>23</v>
      </c>
      <c r="H73" s="26" t="s">
        <v>24</v>
      </c>
      <c r="I73" s="26" t="s">
        <v>26</v>
      </c>
      <c r="J73" s="26" t="s">
        <v>25</v>
      </c>
      <c r="K73" s="26" t="s">
        <v>39</v>
      </c>
      <c r="L73" s="26" t="s">
        <v>40</v>
      </c>
      <c r="M73" s="26" t="s">
        <v>44</v>
      </c>
      <c r="N73" s="26" t="s">
        <v>43</v>
      </c>
      <c r="O73" s="27" t="s">
        <v>41</v>
      </c>
      <c r="Q73" s="82" t="s">
        <v>39</v>
      </c>
      <c r="R73" s="82" t="s">
        <v>40</v>
      </c>
    </row>
    <row r="74" spans="1:18" x14ac:dyDescent="0.35">
      <c r="A74" s="1" t="s">
        <v>46</v>
      </c>
      <c r="B74" s="18"/>
      <c r="C74" s="18"/>
      <c r="D74" s="18"/>
      <c r="E74" s="1" t="s">
        <v>341</v>
      </c>
      <c r="F74" s="58">
        <v>20</v>
      </c>
      <c r="G74" s="58">
        <v>0.04</v>
      </c>
      <c r="H74" s="55">
        <f>IF(G74=0,0,(F74/100)/G74)</f>
        <v>5</v>
      </c>
      <c r="I74" s="1"/>
      <c r="J74" s="1"/>
      <c r="K74" s="1"/>
      <c r="L74" s="1"/>
      <c r="M74" s="1"/>
      <c r="N74" s="1"/>
      <c r="O74" s="20"/>
      <c r="Q74" t="s">
        <v>42</v>
      </c>
      <c r="R74">
        <v>1</v>
      </c>
    </row>
    <row r="75" spans="1:18" x14ac:dyDescent="0.35">
      <c r="A75" s="1"/>
      <c r="B75" s="18"/>
      <c r="C75" s="18"/>
      <c r="D75" s="18"/>
      <c r="E75" s="1"/>
      <c r="F75" s="58"/>
      <c r="G75" s="58"/>
      <c r="H75" s="55">
        <f t="shared" ref="H75:H76" si="8">IF(G75=0,0,(F75/100)/G75)</f>
        <v>0</v>
      </c>
      <c r="I75" s="1"/>
      <c r="J75" s="1"/>
      <c r="K75" s="1"/>
      <c r="L75" s="1"/>
      <c r="M75" s="1"/>
      <c r="N75" s="1"/>
      <c r="O75" s="20"/>
      <c r="Q75" t="s">
        <v>325</v>
      </c>
      <c r="R75">
        <v>1.4</v>
      </c>
    </row>
    <row r="76" spans="1:18" x14ac:dyDescent="0.35">
      <c r="A76" s="1"/>
      <c r="B76" s="18"/>
      <c r="C76" s="18"/>
      <c r="D76" s="18"/>
      <c r="E76" s="1"/>
      <c r="F76" s="58"/>
      <c r="G76" s="58"/>
      <c r="H76" s="55">
        <f t="shared" si="8"/>
        <v>0</v>
      </c>
      <c r="I76" s="1"/>
      <c r="J76" s="1"/>
      <c r="K76" s="1"/>
      <c r="L76" s="1"/>
      <c r="M76" s="1"/>
      <c r="N76" s="1"/>
      <c r="O76" s="20"/>
    </row>
    <row r="77" spans="1:18" ht="15" thickBot="1" x14ac:dyDescent="0.4">
      <c r="A77" s="21"/>
      <c r="B77" s="37">
        <v>0</v>
      </c>
      <c r="C77" s="37">
        <v>0</v>
      </c>
      <c r="D77" s="78">
        <v>52</v>
      </c>
      <c r="E77" s="23" t="s">
        <v>29</v>
      </c>
      <c r="F77" s="23">
        <f>SUM(F74:F76)</f>
        <v>20</v>
      </c>
      <c r="G77" s="23"/>
      <c r="H77" s="79">
        <f>SUM(H74:H76)</f>
        <v>5</v>
      </c>
      <c r="I77" s="23">
        <v>0.14000000000000001</v>
      </c>
      <c r="J77" s="29">
        <f>1/(H77+I77)</f>
        <v>0.19455252918287938</v>
      </c>
      <c r="K77" s="80" t="s">
        <v>42</v>
      </c>
      <c r="L77" s="30">
        <f>VLOOKUP(K77,Q74:R75,2,FALSE)</f>
        <v>1</v>
      </c>
      <c r="M77" s="23">
        <f>$K$4</f>
        <v>19</v>
      </c>
      <c r="N77" s="23">
        <f>$D$13</f>
        <v>-6</v>
      </c>
      <c r="O77" s="31">
        <f>L77*D77*J77*(M77-N77)</f>
        <v>252.91828793774317</v>
      </c>
      <c r="P77" s="44">
        <f>O77</f>
        <v>252.91828793774317</v>
      </c>
    </row>
    <row r="78" spans="1:18" ht="15.5" x14ac:dyDescent="0.35">
      <c r="A78" s="17"/>
      <c r="B78" s="15"/>
      <c r="C78" s="15"/>
      <c r="D78" s="15"/>
    </row>
    <row r="79" spans="1:18" ht="15.5" x14ac:dyDescent="0.35">
      <c r="A79" s="17"/>
      <c r="B79" s="15"/>
      <c r="C79" s="15"/>
      <c r="D79" s="15"/>
    </row>
    <row r="80" spans="1:18" ht="15.5" x14ac:dyDescent="0.35">
      <c r="A80" s="17" t="s">
        <v>38</v>
      </c>
      <c r="B80" s="15"/>
      <c r="C80" s="15"/>
      <c r="D80" s="15"/>
    </row>
    <row r="81" spans="1:18" ht="16" thickBot="1" x14ac:dyDescent="0.4">
      <c r="A81" s="17"/>
      <c r="B81" s="15"/>
      <c r="C81" s="15"/>
      <c r="D81" s="15"/>
    </row>
    <row r="82" spans="1:18" x14ac:dyDescent="0.35">
      <c r="A82" s="24" t="s">
        <v>11</v>
      </c>
      <c r="B82" s="25" t="s">
        <v>20</v>
      </c>
      <c r="C82" s="25" t="s">
        <v>21</v>
      </c>
      <c r="D82" s="25" t="s">
        <v>22</v>
      </c>
      <c r="E82" s="25" t="s">
        <v>13</v>
      </c>
      <c r="F82" s="25" t="s">
        <v>15</v>
      </c>
      <c r="G82" s="26" t="s">
        <v>23</v>
      </c>
      <c r="H82" s="26" t="s">
        <v>24</v>
      </c>
      <c r="I82" s="26" t="s">
        <v>26</v>
      </c>
      <c r="J82" s="26" t="s">
        <v>25</v>
      </c>
      <c r="K82" s="26" t="s">
        <v>39</v>
      </c>
      <c r="L82" s="26" t="s">
        <v>40</v>
      </c>
      <c r="M82" s="26" t="s">
        <v>44</v>
      </c>
      <c r="N82" s="26" t="s">
        <v>43</v>
      </c>
      <c r="O82" s="27" t="s">
        <v>41</v>
      </c>
      <c r="Q82" s="82" t="s">
        <v>39</v>
      </c>
      <c r="R82" s="82" t="s">
        <v>40</v>
      </c>
    </row>
    <row r="83" spans="1:18" x14ac:dyDescent="0.35">
      <c r="A83" s="1" t="s">
        <v>19</v>
      </c>
      <c r="B83" s="18"/>
      <c r="C83" s="18"/>
      <c r="D83" s="18"/>
      <c r="E83" s="1" t="s">
        <v>36</v>
      </c>
      <c r="F83" s="58">
        <v>20</v>
      </c>
      <c r="G83" s="58">
        <v>1.1499999999999999</v>
      </c>
      <c r="H83" s="55">
        <f>IF(G83=0,0,(F83/100)/G83)</f>
        <v>0.17391304347826089</v>
      </c>
      <c r="I83" s="1"/>
      <c r="J83" s="1"/>
      <c r="K83" s="1"/>
      <c r="L83" s="1"/>
      <c r="M83" s="1"/>
      <c r="N83" s="1"/>
      <c r="O83" s="20"/>
      <c r="Q83" t="s">
        <v>42</v>
      </c>
      <c r="R83">
        <v>0.9</v>
      </c>
    </row>
    <row r="84" spans="1:18" x14ac:dyDescent="0.35">
      <c r="A84" s="1"/>
      <c r="B84" s="18"/>
      <c r="C84" s="18"/>
      <c r="D84" s="18"/>
      <c r="E84" s="1" t="s">
        <v>37</v>
      </c>
      <c r="F84" s="58">
        <v>24</v>
      </c>
      <c r="G84" s="58">
        <v>0.04</v>
      </c>
      <c r="H84" s="55">
        <f t="shared" ref="H84:H85" si="9">IF(G84=0,0,(F84/100)/G84)</f>
        <v>6</v>
      </c>
      <c r="I84" s="1"/>
      <c r="J84" s="1"/>
      <c r="K84" s="1"/>
      <c r="L84" s="1"/>
      <c r="M84" s="1"/>
      <c r="N84" s="1"/>
      <c r="O84" s="20"/>
      <c r="Q84" t="s">
        <v>325</v>
      </c>
      <c r="R84">
        <v>1.26</v>
      </c>
    </row>
    <row r="85" spans="1:18" x14ac:dyDescent="0.35">
      <c r="A85" s="1"/>
      <c r="B85" s="18"/>
      <c r="C85" s="18"/>
      <c r="D85" s="18"/>
      <c r="E85" s="1"/>
      <c r="F85" s="58"/>
      <c r="G85" s="58"/>
      <c r="H85" s="55">
        <f t="shared" si="9"/>
        <v>0</v>
      </c>
      <c r="I85" s="1"/>
      <c r="J85" s="1"/>
      <c r="K85" s="1"/>
      <c r="L85" s="1"/>
      <c r="M85" s="1"/>
      <c r="N85" s="1"/>
      <c r="O85" s="20"/>
    </row>
    <row r="86" spans="1:18" ht="15" thickBot="1" x14ac:dyDescent="0.4">
      <c r="A86" s="21"/>
      <c r="B86" s="37">
        <v>0</v>
      </c>
      <c r="C86" s="37">
        <v>0</v>
      </c>
      <c r="D86" s="78">
        <v>105</v>
      </c>
      <c r="E86" s="23" t="s">
        <v>29</v>
      </c>
      <c r="F86" s="23">
        <f>SUM(F83:F85)</f>
        <v>44</v>
      </c>
      <c r="G86" s="23"/>
      <c r="H86" s="79">
        <f>SUM(H83:H85)</f>
        <v>6.1739130434782608</v>
      </c>
      <c r="I86" s="23">
        <v>0.2</v>
      </c>
      <c r="J86" s="29">
        <f>1/(H86+I86)</f>
        <v>0.15688949522510232</v>
      </c>
      <c r="K86" s="80" t="s">
        <v>42</v>
      </c>
      <c r="L86" s="30">
        <f>VLOOKUP(K86,Q83:R84,2,FALSE)</f>
        <v>0.9</v>
      </c>
      <c r="M86" s="23">
        <f>$K$4</f>
        <v>19</v>
      </c>
      <c r="N86" s="23">
        <f>$D$13</f>
        <v>-6</v>
      </c>
      <c r="O86" s="31">
        <f>L86*D86*J86*(M86-N86)</f>
        <v>370.65143246930421</v>
      </c>
      <c r="P86" s="44">
        <f>O86</f>
        <v>370.65143246930421</v>
      </c>
    </row>
    <row r="87" spans="1:18" ht="15.5" x14ac:dyDescent="0.35">
      <c r="A87" s="17"/>
      <c r="B87" s="15"/>
      <c r="C87" s="15"/>
      <c r="D87" s="15"/>
    </row>
    <row r="88" spans="1:18" ht="15.5" x14ac:dyDescent="0.35">
      <c r="A88" s="17" t="s">
        <v>35</v>
      </c>
      <c r="B88" s="15"/>
      <c r="C88" s="15"/>
      <c r="D88" s="15"/>
    </row>
    <row r="89" spans="1:18" ht="16" thickBot="1" x14ac:dyDescent="0.4">
      <c r="A89" s="17"/>
      <c r="B89" s="15"/>
      <c r="C89" s="15"/>
      <c r="D89" s="15"/>
    </row>
    <row r="90" spans="1:18" x14ac:dyDescent="0.35">
      <c r="A90" s="24" t="s">
        <v>11</v>
      </c>
      <c r="B90" s="25" t="s">
        <v>20</v>
      </c>
      <c r="C90" s="25" t="s">
        <v>21</v>
      </c>
      <c r="D90" s="25" t="s">
        <v>22</v>
      </c>
      <c r="E90" s="25" t="s">
        <v>13</v>
      </c>
      <c r="F90" s="25" t="s">
        <v>15</v>
      </c>
      <c r="G90" s="26" t="s">
        <v>23</v>
      </c>
      <c r="H90" s="26" t="s">
        <v>24</v>
      </c>
      <c r="I90" s="26" t="s">
        <v>26</v>
      </c>
      <c r="J90" s="26" t="s">
        <v>25</v>
      </c>
      <c r="K90" s="26" t="s">
        <v>39</v>
      </c>
      <c r="L90" s="26" t="s">
        <v>40</v>
      </c>
      <c r="M90" s="26" t="s">
        <v>44</v>
      </c>
      <c r="N90" s="26" t="s">
        <v>43</v>
      </c>
      <c r="O90" s="27" t="s">
        <v>41</v>
      </c>
      <c r="Q90" s="82" t="s">
        <v>39</v>
      </c>
      <c r="R90" s="82" t="s">
        <v>40</v>
      </c>
    </row>
    <row r="91" spans="1:18" x14ac:dyDescent="0.35">
      <c r="A91" s="1" t="s">
        <v>46</v>
      </c>
      <c r="B91" s="18"/>
      <c r="C91" s="18"/>
      <c r="D91" s="18"/>
      <c r="E91" s="1"/>
      <c r="F91" s="58"/>
      <c r="G91" s="58"/>
      <c r="H91" s="55">
        <f>IF(G91=0,0,(F91/100)/G91)</f>
        <v>0</v>
      </c>
      <c r="I91" s="1"/>
      <c r="J91" s="1"/>
      <c r="K91" s="1"/>
      <c r="L91" s="1"/>
      <c r="M91" s="1"/>
      <c r="N91" s="1"/>
      <c r="O91" s="20"/>
      <c r="Q91" t="s">
        <v>42</v>
      </c>
      <c r="R91">
        <v>0.9</v>
      </c>
    </row>
    <row r="92" spans="1:18" x14ac:dyDescent="0.35">
      <c r="A92" s="1"/>
      <c r="B92" s="18"/>
      <c r="C92" s="18"/>
      <c r="D92" s="18"/>
      <c r="E92" s="1"/>
      <c r="F92" s="58"/>
      <c r="G92" s="58"/>
      <c r="H92" s="55">
        <f t="shared" ref="H92:H93" si="10">IF(G92=0,0,(F92/100)/G92)</f>
        <v>0</v>
      </c>
      <c r="I92" s="1"/>
      <c r="J92" s="1"/>
      <c r="K92" s="1"/>
      <c r="L92" s="1"/>
      <c r="M92" s="1"/>
      <c r="N92" s="1"/>
      <c r="O92" s="20"/>
      <c r="Q92" t="s">
        <v>325</v>
      </c>
      <c r="R92">
        <v>1.26</v>
      </c>
    </row>
    <row r="93" spans="1:18" x14ac:dyDescent="0.35">
      <c r="A93" s="1"/>
      <c r="B93" s="18"/>
      <c r="C93" s="18"/>
      <c r="D93" s="18"/>
      <c r="E93" s="1"/>
      <c r="F93" s="58"/>
      <c r="G93" s="58"/>
      <c r="H93" s="55">
        <f t="shared" si="10"/>
        <v>0</v>
      </c>
      <c r="I93" s="1"/>
      <c r="J93" s="1"/>
      <c r="K93" s="1"/>
      <c r="L93" s="1"/>
      <c r="M93" s="1"/>
      <c r="N93" s="1"/>
      <c r="O93" s="20"/>
    </row>
    <row r="94" spans="1:18" ht="15" thickBot="1" x14ac:dyDescent="0.4">
      <c r="A94" s="21"/>
      <c r="B94" s="37">
        <v>0</v>
      </c>
      <c r="C94" s="37">
        <v>0</v>
      </c>
      <c r="D94" s="78">
        <v>0</v>
      </c>
      <c r="E94" s="23" t="s">
        <v>29</v>
      </c>
      <c r="F94" s="23">
        <f>SUM(F91:F93)</f>
        <v>0</v>
      </c>
      <c r="G94" s="23"/>
      <c r="H94" s="79">
        <f>SUM(H91:H93)</f>
        <v>0</v>
      </c>
      <c r="I94" s="23">
        <v>0.2</v>
      </c>
      <c r="J94" s="29">
        <f>1/(H94+I94)</f>
        <v>5</v>
      </c>
      <c r="K94" s="80" t="s">
        <v>325</v>
      </c>
      <c r="L94" s="30">
        <f>VLOOKUP(K94,Q91:R92,2,FALSE)</f>
        <v>1.26</v>
      </c>
      <c r="M94" s="23">
        <f>$K$4</f>
        <v>19</v>
      </c>
      <c r="N94" s="23">
        <f>$D$13</f>
        <v>-6</v>
      </c>
      <c r="O94" s="31">
        <f>L94*D94*J94*(M94-N94)</f>
        <v>0</v>
      </c>
      <c r="P94" s="44">
        <f>O94</f>
        <v>0</v>
      </c>
    </row>
  </sheetData>
  <mergeCells count="11">
    <mergeCell ref="H14:J14"/>
    <mergeCell ref="B3:D3"/>
    <mergeCell ref="B9:C9"/>
    <mergeCell ref="H11:J11"/>
    <mergeCell ref="H12:J12"/>
    <mergeCell ref="H13:J13"/>
    <mergeCell ref="L3:M3"/>
    <mergeCell ref="K11:L11"/>
    <mergeCell ref="K12:L12"/>
    <mergeCell ref="K13:L13"/>
    <mergeCell ref="K14:L14"/>
  </mergeCells>
  <dataValidations count="3">
    <dataValidation type="decimal" allowBlank="1" showInputMessage="1" showErrorMessage="1" sqref="N6">
      <formula1>0</formula1>
      <formula2>100</formula2>
    </dataValidation>
    <dataValidation type="list" allowBlank="1" showInputMessage="1" showErrorMessage="1" sqref="J6">
      <formula1>$Q$5:$Q$7</formula1>
    </dataValidation>
    <dataValidation type="list" allowBlank="1" showInputMessage="1" showErrorMessage="1" sqref="K26 K34 K42 K51 K59 K77 K86 K94">
      <formula1>$Q$23:$Q$24</formula1>
    </dataValidation>
  </dataValidations>
  <pageMargins left="0.31496062992125984" right="0.31496062992125984" top="1.3385826771653544" bottom="0.74803149606299213" header="0.31496062992125984" footer="0.31496062992125984"/>
  <pageSetup paperSize="9" scale="95" orientation="landscape" horizontalDpi="4294967293" verticalDpi="0" r:id="rId1"/>
  <headerFooter>
    <oddHeader xml:space="preserve">&amp;C&amp;24                            &amp;20  &amp;11                                                                                                                                                                       &amp;G
</oddHeader>
    <oddFooter>&amp;R\&amp;F\&amp;A\ Page &amp;P sur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7"/>
  <sheetViews>
    <sheetView topLeftCell="B49" workbookViewId="0">
      <selection activeCell="O66" sqref="O66"/>
    </sheetView>
  </sheetViews>
  <sheetFormatPr baseColWidth="10" defaultRowHeight="14.5" x14ac:dyDescent="0.35"/>
  <sheetData>
    <row r="1" spans="1:8" ht="15" x14ac:dyDescent="0.25">
      <c r="A1" t="s">
        <v>311</v>
      </c>
    </row>
    <row r="2" spans="1:8" ht="15" x14ac:dyDescent="0.25">
      <c r="B2" s="74" t="s">
        <v>316</v>
      </c>
    </row>
    <row r="3" spans="1:8" x14ac:dyDescent="0.35">
      <c r="B3" s="74" t="s">
        <v>312</v>
      </c>
    </row>
    <row r="4" spans="1:8" ht="15" x14ac:dyDescent="0.25">
      <c r="B4" t="s">
        <v>313</v>
      </c>
      <c r="H4">
        <f>2939+200</f>
        <v>3139</v>
      </c>
    </row>
    <row r="5" spans="1:8" x14ac:dyDescent="0.35">
      <c r="B5" s="74" t="s">
        <v>314</v>
      </c>
    </row>
    <row r="6" spans="1:8" ht="15" x14ac:dyDescent="0.25">
      <c r="B6" t="s">
        <v>315</v>
      </c>
    </row>
    <row r="7" spans="1:8" ht="15" x14ac:dyDescent="0.25">
      <c r="B7" s="74" t="s">
        <v>317</v>
      </c>
    </row>
    <row r="40" spans="12:20" x14ac:dyDescent="0.35">
      <c r="L40" s="107" t="s">
        <v>70</v>
      </c>
      <c r="M40" s="108"/>
      <c r="N40" s="60" t="s">
        <v>71</v>
      </c>
      <c r="O40" s="61" t="s">
        <v>72</v>
      </c>
      <c r="P40" s="61" t="s">
        <v>73</v>
      </c>
    </row>
    <row r="41" spans="12:20" x14ac:dyDescent="0.35">
      <c r="L41" s="62">
        <v>1</v>
      </c>
      <c r="M41" s="63" t="s">
        <v>74</v>
      </c>
      <c r="N41" s="64" t="s">
        <v>75</v>
      </c>
      <c r="O41" s="65">
        <v>2626</v>
      </c>
      <c r="P41" s="66">
        <v>252</v>
      </c>
    </row>
    <row r="42" spans="12:20" ht="24" x14ac:dyDescent="0.25">
      <c r="L42" s="67">
        <v>2</v>
      </c>
      <c r="M42" s="68" t="s">
        <v>76</v>
      </c>
      <c r="N42" s="69" t="s">
        <v>77</v>
      </c>
      <c r="O42" s="70">
        <v>2724</v>
      </c>
      <c r="P42" s="71">
        <v>98</v>
      </c>
    </row>
    <row r="43" spans="12:20" ht="15" x14ac:dyDescent="0.25">
      <c r="L43" s="62">
        <v>3</v>
      </c>
      <c r="M43" s="63" t="s">
        <v>78</v>
      </c>
      <c r="N43" s="64" t="s">
        <v>79</v>
      </c>
      <c r="O43" s="65">
        <v>2508</v>
      </c>
      <c r="P43" s="66">
        <v>250</v>
      </c>
    </row>
    <row r="44" spans="12:20" ht="36" x14ac:dyDescent="0.25">
      <c r="L44" s="67">
        <v>4</v>
      </c>
      <c r="M44" s="68" t="s">
        <v>80</v>
      </c>
      <c r="N44" s="69" t="s">
        <v>81</v>
      </c>
      <c r="O44" s="70">
        <v>3470</v>
      </c>
      <c r="P44" s="70">
        <v>1431</v>
      </c>
      <c r="R44">
        <f>3470-2213</f>
        <v>1257</v>
      </c>
      <c r="S44">
        <f>1431-457</f>
        <v>974</v>
      </c>
      <c r="T44">
        <f>+R44/S44</f>
        <v>1.2905544147843941</v>
      </c>
    </row>
    <row r="45" spans="12:20" x14ac:dyDescent="0.35">
      <c r="L45" s="109"/>
      <c r="M45" s="109"/>
      <c r="N45" s="110" t="s">
        <v>82</v>
      </c>
      <c r="O45" s="70">
        <v>2213</v>
      </c>
      <c r="P45" s="111">
        <v>457</v>
      </c>
    </row>
    <row r="46" spans="12:20" x14ac:dyDescent="0.35">
      <c r="L46" s="109"/>
      <c r="M46" s="109"/>
      <c r="N46" s="110"/>
      <c r="O46" s="70">
        <v>2213</v>
      </c>
      <c r="P46" s="111"/>
    </row>
    <row r="47" spans="12:20" ht="15" x14ac:dyDescent="0.25">
      <c r="L47" s="62">
        <v>5</v>
      </c>
      <c r="M47" s="63" t="s">
        <v>83</v>
      </c>
      <c r="N47" s="64" t="s">
        <v>84</v>
      </c>
      <c r="O47" s="65">
        <v>2789</v>
      </c>
      <c r="P47" s="66">
        <v>775</v>
      </c>
    </row>
    <row r="48" spans="12:20" ht="24" x14ac:dyDescent="0.35">
      <c r="L48" s="63"/>
      <c r="M48" s="63"/>
      <c r="N48" s="64" t="s">
        <v>85</v>
      </c>
      <c r="O48" s="65">
        <v>4475</v>
      </c>
      <c r="P48" s="65">
        <v>2000</v>
      </c>
      <c r="R48">
        <f>4475-3586</f>
        <v>889</v>
      </c>
      <c r="S48">
        <f>2000-1440</f>
        <v>560</v>
      </c>
      <c r="T48">
        <f>+R48/S48</f>
        <v>1.5874999999999999</v>
      </c>
    </row>
    <row r="49" spans="12:20" x14ac:dyDescent="0.35">
      <c r="L49" s="63"/>
      <c r="M49" s="63"/>
      <c r="N49" s="64" t="s">
        <v>86</v>
      </c>
      <c r="O49" s="65">
        <v>3586</v>
      </c>
      <c r="P49" s="65">
        <v>1440</v>
      </c>
      <c r="R49">
        <f>3586-2789</f>
        <v>797</v>
      </c>
      <c r="S49">
        <f>1440-775</f>
        <v>665</v>
      </c>
      <c r="T49">
        <f>+R49/S49</f>
        <v>1.1984962406015038</v>
      </c>
    </row>
    <row r="50" spans="12:20" ht="24" x14ac:dyDescent="0.25">
      <c r="L50" s="67">
        <v>6</v>
      </c>
      <c r="M50" s="68" t="s">
        <v>87</v>
      </c>
      <c r="N50" s="69" t="s">
        <v>88</v>
      </c>
      <c r="O50" s="70">
        <v>1619</v>
      </c>
      <c r="P50" s="71">
        <v>3</v>
      </c>
    </row>
    <row r="51" spans="12:20" ht="15" x14ac:dyDescent="0.25">
      <c r="L51" s="68"/>
      <c r="M51" s="68"/>
      <c r="N51" s="69" t="s">
        <v>89</v>
      </c>
      <c r="O51" s="70">
        <v>2925</v>
      </c>
      <c r="P51" s="71">
        <v>870</v>
      </c>
      <c r="R51">
        <f>2925-1619</f>
        <v>1306</v>
      </c>
      <c r="S51">
        <f>870-3</f>
        <v>867</v>
      </c>
      <c r="T51">
        <f>+R51/S51</f>
        <v>1.5063437139561706</v>
      </c>
    </row>
    <row r="52" spans="12:20" ht="36" x14ac:dyDescent="0.35">
      <c r="L52" s="68"/>
      <c r="M52" s="68"/>
      <c r="N52" s="69" t="s">
        <v>90</v>
      </c>
      <c r="O52" s="70">
        <v>3428</v>
      </c>
      <c r="P52" s="70">
        <v>1610</v>
      </c>
      <c r="R52">
        <f>3428-2925</f>
        <v>503</v>
      </c>
      <c r="S52">
        <f>1610-870</f>
        <v>740</v>
      </c>
      <c r="T52">
        <f>+R52/S52</f>
        <v>0.67972972972972978</v>
      </c>
    </row>
    <row r="53" spans="12:20" x14ac:dyDescent="0.35">
      <c r="L53" s="62">
        <v>7</v>
      </c>
      <c r="M53" s="63" t="s">
        <v>91</v>
      </c>
      <c r="N53" s="64" t="s">
        <v>92</v>
      </c>
      <c r="O53" s="65">
        <v>2314</v>
      </c>
      <c r="P53" s="66">
        <v>123</v>
      </c>
    </row>
    <row r="54" spans="12:20" ht="15" x14ac:dyDescent="0.25">
      <c r="L54" s="67">
        <v>8</v>
      </c>
      <c r="M54" s="68" t="s">
        <v>93</v>
      </c>
      <c r="N54" s="69" t="s">
        <v>94</v>
      </c>
      <c r="O54" s="70">
        <v>2939</v>
      </c>
      <c r="P54" s="71">
        <v>153</v>
      </c>
    </row>
    <row r="55" spans="12:20" ht="24" x14ac:dyDescent="0.35">
      <c r="L55" s="62">
        <v>9</v>
      </c>
      <c r="M55" s="63" t="s">
        <v>95</v>
      </c>
      <c r="N55" s="64" t="s">
        <v>96</v>
      </c>
      <c r="O55" s="65">
        <v>3206</v>
      </c>
      <c r="P55" s="65">
        <v>1428</v>
      </c>
      <c r="R55">
        <f>3206-2272</f>
        <v>934</v>
      </c>
      <c r="S55">
        <f>1428-411</f>
        <v>1017</v>
      </c>
      <c r="T55">
        <f>+R55/S55</f>
        <v>0.91838741396263524</v>
      </c>
    </row>
    <row r="56" spans="12:20" x14ac:dyDescent="0.35">
      <c r="L56" s="63"/>
      <c r="M56" s="63"/>
      <c r="N56" s="64" t="s">
        <v>97</v>
      </c>
      <c r="O56" s="65">
        <v>2272</v>
      </c>
      <c r="P56" s="66">
        <v>411</v>
      </c>
    </row>
    <row r="57" spans="12:20" ht="24" x14ac:dyDescent="0.35">
      <c r="L57" s="67">
        <v>10</v>
      </c>
      <c r="M57" s="68" t="s">
        <v>98</v>
      </c>
      <c r="N57" s="69" t="s">
        <v>99</v>
      </c>
      <c r="O57" s="70">
        <v>2620</v>
      </c>
      <c r="P57" s="71">
        <v>77</v>
      </c>
    </row>
    <row r="58" spans="12:20" x14ac:dyDescent="0.35">
      <c r="L58" s="62">
        <v>11</v>
      </c>
      <c r="M58" s="63" t="s">
        <v>100</v>
      </c>
      <c r="N58" s="64" t="s">
        <v>101</v>
      </c>
      <c r="O58" s="65">
        <v>1930</v>
      </c>
      <c r="P58" s="66">
        <v>123</v>
      </c>
    </row>
    <row r="59" spans="12:20" x14ac:dyDescent="0.35">
      <c r="L59" s="67">
        <v>12</v>
      </c>
      <c r="M59" s="68" t="s">
        <v>102</v>
      </c>
      <c r="N59" s="69" t="s">
        <v>103</v>
      </c>
      <c r="O59" s="70">
        <v>2374</v>
      </c>
      <c r="P59" s="71">
        <v>410</v>
      </c>
    </row>
    <row r="60" spans="12:20" ht="24" x14ac:dyDescent="0.35">
      <c r="L60" s="68"/>
      <c r="M60" s="68"/>
      <c r="N60" s="69" t="s">
        <v>104</v>
      </c>
      <c r="O60" s="70">
        <v>2703</v>
      </c>
      <c r="P60" s="71">
        <v>732</v>
      </c>
      <c r="R60">
        <f>2703-2374</f>
        <v>329</v>
      </c>
      <c r="S60">
        <f>732-410</f>
        <v>322</v>
      </c>
      <c r="T60">
        <f>+R60/S60</f>
        <v>1.0217391304347827</v>
      </c>
    </row>
    <row r="61" spans="12:20" ht="24" x14ac:dyDescent="0.35">
      <c r="L61" s="62">
        <v>13</v>
      </c>
      <c r="M61" s="63" t="s">
        <v>105</v>
      </c>
      <c r="N61" s="64" t="s">
        <v>106</v>
      </c>
      <c r="O61" s="65">
        <v>1750</v>
      </c>
      <c r="P61" s="66">
        <v>215</v>
      </c>
      <c r="R61">
        <f>1750-1627</f>
        <v>123</v>
      </c>
      <c r="S61">
        <f>215-75</f>
        <v>140</v>
      </c>
      <c r="T61">
        <f>+R61/S61</f>
        <v>0.87857142857142856</v>
      </c>
    </row>
    <row r="62" spans="12:20" ht="24" x14ac:dyDescent="0.35">
      <c r="L62" s="63"/>
      <c r="M62" s="63"/>
      <c r="N62" s="64" t="s">
        <v>107</v>
      </c>
      <c r="O62" s="65">
        <v>1627</v>
      </c>
      <c r="P62" s="66">
        <v>75</v>
      </c>
    </row>
    <row r="63" spans="12:20" x14ac:dyDescent="0.35">
      <c r="L63" s="67">
        <v>14</v>
      </c>
      <c r="M63" s="68" t="s">
        <v>108</v>
      </c>
      <c r="N63" s="69" t="s">
        <v>109</v>
      </c>
      <c r="O63" s="70">
        <v>2451</v>
      </c>
      <c r="P63" s="71">
        <v>66</v>
      </c>
    </row>
    <row r="64" spans="12:20" x14ac:dyDescent="0.35">
      <c r="L64" s="62">
        <v>15</v>
      </c>
      <c r="M64" s="63" t="s">
        <v>110</v>
      </c>
      <c r="N64" s="64" t="s">
        <v>111</v>
      </c>
      <c r="O64" s="65">
        <v>2921</v>
      </c>
      <c r="P64" s="66">
        <v>680</v>
      </c>
    </row>
    <row r="65" spans="12:20" x14ac:dyDescent="0.35">
      <c r="L65" s="63"/>
      <c r="M65" s="63"/>
      <c r="N65" s="64" t="s">
        <v>112</v>
      </c>
      <c r="O65" s="65">
        <v>3302</v>
      </c>
      <c r="P65" s="66">
        <v>906</v>
      </c>
      <c r="R65">
        <f>3302-2921</f>
        <v>381</v>
      </c>
      <c r="S65">
        <f>906-680</f>
        <v>226</v>
      </c>
      <c r="T65">
        <f>+R65/S65</f>
        <v>1.6858407079646018</v>
      </c>
    </row>
    <row r="66" spans="12:20" x14ac:dyDescent="0.35">
      <c r="L66" s="67">
        <v>16</v>
      </c>
      <c r="M66" s="68" t="s">
        <v>113</v>
      </c>
      <c r="N66" s="69" t="s">
        <v>114</v>
      </c>
      <c r="O66" s="70">
        <v>2136</v>
      </c>
      <c r="P66" s="71">
        <v>83</v>
      </c>
    </row>
    <row r="67" spans="12:20" ht="24" x14ac:dyDescent="0.35">
      <c r="L67" s="62">
        <v>17</v>
      </c>
      <c r="M67" s="63" t="s">
        <v>115</v>
      </c>
      <c r="N67" s="64" t="s">
        <v>116</v>
      </c>
      <c r="O67" s="65">
        <v>1945</v>
      </c>
      <c r="P67" s="66">
        <v>1</v>
      </c>
    </row>
    <row r="68" spans="12:20" x14ac:dyDescent="0.35">
      <c r="L68" s="67">
        <v>18</v>
      </c>
      <c r="M68" s="68" t="s">
        <v>117</v>
      </c>
      <c r="N68" s="69" t="s">
        <v>118</v>
      </c>
      <c r="O68" s="70">
        <v>2487</v>
      </c>
      <c r="P68" s="71">
        <v>177</v>
      </c>
    </row>
    <row r="69" spans="12:20" x14ac:dyDescent="0.35">
      <c r="L69" s="62">
        <v>19</v>
      </c>
      <c r="M69" s="63" t="s">
        <v>119</v>
      </c>
      <c r="N69" s="64"/>
      <c r="O69" s="66" t="s">
        <v>120</v>
      </c>
      <c r="P69" s="66" t="s">
        <v>121</v>
      </c>
    </row>
    <row r="70" spans="12:20" ht="24" x14ac:dyDescent="0.35">
      <c r="L70" s="67">
        <v>20</v>
      </c>
      <c r="M70" s="68" t="s">
        <v>122</v>
      </c>
      <c r="N70" s="69" t="s">
        <v>123</v>
      </c>
      <c r="O70" s="70">
        <v>3022</v>
      </c>
      <c r="P70" s="70">
        <v>1074</v>
      </c>
    </row>
    <row r="71" spans="12:20" x14ac:dyDescent="0.35">
      <c r="L71" s="68"/>
      <c r="M71" s="68"/>
      <c r="N71" s="69" t="s">
        <v>124</v>
      </c>
      <c r="O71" s="70">
        <v>1478</v>
      </c>
      <c r="P71" s="71">
        <v>10</v>
      </c>
    </row>
    <row r="72" spans="12:20" ht="24" x14ac:dyDescent="0.35">
      <c r="L72" s="68"/>
      <c r="M72" s="68"/>
      <c r="N72" s="69" t="s">
        <v>125</v>
      </c>
      <c r="O72" s="72">
        <v>1259</v>
      </c>
      <c r="P72" s="71">
        <v>105</v>
      </c>
    </row>
    <row r="73" spans="12:20" ht="24" x14ac:dyDescent="0.35">
      <c r="L73" s="68"/>
      <c r="M73" s="68"/>
      <c r="N73" s="69" t="s">
        <v>126</v>
      </c>
      <c r="O73" s="70">
        <v>2774</v>
      </c>
      <c r="P73" s="71">
        <v>980</v>
      </c>
    </row>
    <row r="74" spans="12:20" x14ac:dyDescent="0.35">
      <c r="L74" s="62">
        <v>21</v>
      </c>
      <c r="M74" s="63" t="s">
        <v>127</v>
      </c>
      <c r="N74" s="64" t="s">
        <v>128</v>
      </c>
      <c r="O74" s="65">
        <v>2675</v>
      </c>
      <c r="P74" s="66">
        <v>220</v>
      </c>
    </row>
    <row r="75" spans="12:20" ht="24" x14ac:dyDescent="0.35">
      <c r="L75" s="67">
        <v>22</v>
      </c>
      <c r="M75" s="68" t="s">
        <v>129</v>
      </c>
      <c r="N75" s="69" t="s">
        <v>130</v>
      </c>
      <c r="O75" s="70">
        <v>2105</v>
      </c>
      <c r="P75" s="71">
        <v>78</v>
      </c>
    </row>
    <row r="76" spans="12:20" x14ac:dyDescent="0.35">
      <c r="L76" s="68"/>
      <c r="M76" s="68"/>
      <c r="N76" s="69" t="s">
        <v>131</v>
      </c>
      <c r="O76" s="70">
        <v>2445</v>
      </c>
      <c r="P76" s="71">
        <v>262</v>
      </c>
    </row>
    <row r="77" spans="12:20" x14ac:dyDescent="0.35">
      <c r="L77" s="62">
        <v>23</v>
      </c>
      <c r="M77" s="63" t="s">
        <v>132</v>
      </c>
      <c r="N77" s="64" t="s">
        <v>133</v>
      </c>
      <c r="O77" s="65">
        <v>3061</v>
      </c>
      <c r="P77" s="66">
        <v>765</v>
      </c>
    </row>
    <row r="78" spans="12:20" x14ac:dyDescent="0.35">
      <c r="L78" s="67">
        <v>24</v>
      </c>
      <c r="M78" s="68" t="s">
        <v>134</v>
      </c>
      <c r="N78" s="69" t="s">
        <v>135</v>
      </c>
      <c r="O78" s="70">
        <v>2079</v>
      </c>
      <c r="P78" s="71">
        <v>31</v>
      </c>
    </row>
    <row r="79" spans="12:20" x14ac:dyDescent="0.35">
      <c r="L79" s="62">
        <v>25</v>
      </c>
      <c r="M79" s="63" t="s">
        <v>136</v>
      </c>
      <c r="N79" s="64" t="s">
        <v>137</v>
      </c>
      <c r="O79" s="65">
        <v>2719</v>
      </c>
      <c r="P79" s="66">
        <v>311</v>
      </c>
    </row>
    <row r="80" spans="12:20" x14ac:dyDescent="0.35">
      <c r="L80" s="63"/>
      <c r="M80" s="63"/>
      <c r="N80" s="64" t="s">
        <v>138</v>
      </c>
      <c r="O80" s="65">
        <v>3548</v>
      </c>
      <c r="P80" s="66">
        <v>870</v>
      </c>
      <c r="R80">
        <f>3548-2719</f>
        <v>829</v>
      </c>
      <c r="S80">
        <f>870-311</f>
        <v>559</v>
      </c>
      <c r="T80">
        <f>+R80/S80</f>
        <v>1.483005366726297</v>
      </c>
    </row>
    <row r="81" spans="12:20" ht="24" x14ac:dyDescent="0.35">
      <c r="L81" s="67">
        <v>26</v>
      </c>
      <c r="M81" s="68" t="s">
        <v>139</v>
      </c>
      <c r="N81" s="69" t="s">
        <v>140</v>
      </c>
      <c r="O81" s="70">
        <v>3389</v>
      </c>
      <c r="P81" s="70">
        <v>1036</v>
      </c>
      <c r="R81">
        <f>3389-2121</f>
        <v>1268</v>
      </c>
      <c r="S81">
        <f>1306-73</f>
        <v>1233</v>
      </c>
      <c r="T81">
        <f>+R81/S81</f>
        <v>1.0283860502838604</v>
      </c>
    </row>
    <row r="82" spans="12:20" x14ac:dyDescent="0.35">
      <c r="L82" s="68"/>
      <c r="M82" s="68"/>
      <c r="N82" s="69" t="s">
        <v>141</v>
      </c>
      <c r="O82" s="70">
        <v>2121</v>
      </c>
      <c r="P82" s="71">
        <v>73</v>
      </c>
    </row>
    <row r="83" spans="12:20" x14ac:dyDescent="0.35">
      <c r="L83" s="62">
        <v>27</v>
      </c>
      <c r="M83" s="63" t="s">
        <v>142</v>
      </c>
      <c r="N83" s="64"/>
      <c r="O83" s="66" t="s">
        <v>143</v>
      </c>
      <c r="P83" s="66">
        <v>150</v>
      </c>
    </row>
    <row r="84" spans="12:20" x14ac:dyDescent="0.35">
      <c r="L84" s="67">
        <v>28</v>
      </c>
      <c r="M84" s="68" t="s">
        <v>144</v>
      </c>
      <c r="N84" s="69" t="s">
        <v>145</v>
      </c>
      <c r="O84" s="70">
        <v>2586</v>
      </c>
      <c r="P84" s="71">
        <v>155</v>
      </c>
    </row>
    <row r="85" spans="12:20" x14ac:dyDescent="0.35">
      <c r="L85" s="62">
        <v>29</v>
      </c>
      <c r="M85" s="63" t="s">
        <v>146</v>
      </c>
      <c r="N85" s="64" t="s">
        <v>147</v>
      </c>
      <c r="O85" s="65">
        <v>1990</v>
      </c>
      <c r="P85" s="66">
        <v>44</v>
      </c>
    </row>
    <row r="86" spans="12:20" x14ac:dyDescent="0.35">
      <c r="L86" s="67">
        <v>30</v>
      </c>
      <c r="M86" s="68" t="s">
        <v>148</v>
      </c>
      <c r="N86" s="69" t="s">
        <v>149</v>
      </c>
      <c r="O86" s="70">
        <v>3928</v>
      </c>
      <c r="P86" s="70">
        <v>1567</v>
      </c>
    </row>
    <row r="87" spans="12:20" ht="24" x14ac:dyDescent="0.35">
      <c r="L87" s="68"/>
      <c r="M87" s="68"/>
      <c r="N87" s="69" t="s">
        <v>150</v>
      </c>
      <c r="O87" s="70">
        <v>1782</v>
      </c>
      <c r="P87" s="71">
        <v>59</v>
      </c>
    </row>
    <row r="88" spans="12:20" ht="24" x14ac:dyDescent="0.35">
      <c r="L88" s="62">
        <v>31</v>
      </c>
      <c r="M88" s="63" t="s">
        <v>151</v>
      </c>
      <c r="N88" s="64" t="s">
        <v>152</v>
      </c>
      <c r="O88" s="65">
        <v>2511</v>
      </c>
      <c r="P88" s="66">
        <v>630</v>
      </c>
    </row>
    <row r="89" spans="12:20" x14ac:dyDescent="0.35">
      <c r="L89" s="63"/>
      <c r="M89" s="63"/>
      <c r="N89" s="64" t="s">
        <v>153</v>
      </c>
      <c r="O89" s="65">
        <v>2035</v>
      </c>
      <c r="P89" s="66">
        <v>194</v>
      </c>
    </row>
    <row r="90" spans="12:20" x14ac:dyDescent="0.35">
      <c r="L90" s="67">
        <v>32</v>
      </c>
      <c r="M90" s="68" t="s">
        <v>154</v>
      </c>
      <c r="N90" s="69"/>
      <c r="O90" s="71" t="s">
        <v>155</v>
      </c>
      <c r="P90" s="71" t="s">
        <v>156</v>
      </c>
    </row>
    <row r="91" spans="12:20" x14ac:dyDescent="0.35">
      <c r="L91" s="62">
        <v>33</v>
      </c>
      <c r="M91" s="63" t="s">
        <v>157</v>
      </c>
      <c r="N91" s="64" t="s">
        <v>158</v>
      </c>
      <c r="O91" s="65">
        <v>2037</v>
      </c>
      <c r="P91" s="66">
        <v>47</v>
      </c>
    </row>
    <row r="92" spans="12:20" x14ac:dyDescent="0.35">
      <c r="L92" s="63"/>
      <c r="M92" s="63"/>
      <c r="N92" s="64" t="s">
        <v>159</v>
      </c>
      <c r="O92" s="65">
        <v>1652</v>
      </c>
      <c r="P92" s="66">
        <v>9</v>
      </c>
    </row>
    <row r="93" spans="12:20" x14ac:dyDescent="0.35">
      <c r="L93" s="67">
        <v>34</v>
      </c>
      <c r="M93" s="68" t="s">
        <v>160</v>
      </c>
      <c r="N93" s="69" t="s">
        <v>161</v>
      </c>
      <c r="O93" s="70">
        <v>1703</v>
      </c>
      <c r="P93" s="71">
        <v>81</v>
      </c>
    </row>
    <row r="94" spans="12:20" x14ac:dyDescent="0.35">
      <c r="L94" s="68"/>
      <c r="M94" s="68"/>
      <c r="N94" s="69" t="s">
        <v>162</v>
      </c>
      <c r="O94" s="70">
        <v>1520</v>
      </c>
      <c r="P94" s="71">
        <v>94</v>
      </c>
    </row>
    <row r="95" spans="12:20" x14ac:dyDescent="0.35">
      <c r="L95" s="62">
        <v>35</v>
      </c>
      <c r="M95" s="63" t="s">
        <v>163</v>
      </c>
      <c r="N95" s="64" t="s">
        <v>164</v>
      </c>
      <c r="O95" s="65">
        <v>2292</v>
      </c>
      <c r="P95" s="66">
        <v>35</v>
      </c>
    </row>
    <row r="96" spans="12:20" x14ac:dyDescent="0.35">
      <c r="L96" s="67">
        <v>36</v>
      </c>
      <c r="M96" s="68" t="s">
        <v>165</v>
      </c>
      <c r="N96" s="69" t="s">
        <v>166</v>
      </c>
      <c r="O96" s="70">
        <v>2403</v>
      </c>
      <c r="P96" s="71">
        <v>160</v>
      </c>
    </row>
    <row r="97" spans="12:16" x14ac:dyDescent="0.35">
      <c r="L97" s="62">
        <v>37</v>
      </c>
      <c r="M97" s="63" t="s">
        <v>167</v>
      </c>
      <c r="N97" s="64" t="s">
        <v>168</v>
      </c>
      <c r="O97" s="65">
        <v>2338</v>
      </c>
      <c r="P97" s="66">
        <v>96</v>
      </c>
    </row>
    <row r="98" spans="12:16" ht="24" x14ac:dyDescent="0.35">
      <c r="L98" s="67">
        <v>38</v>
      </c>
      <c r="M98" s="68" t="s">
        <v>169</v>
      </c>
      <c r="N98" s="69" t="s">
        <v>170</v>
      </c>
      <c r="O98" s="70">
        <v>3700</v>
      </c>
      <c r="P98" s="70">
        <v>1470</v>
      </c>
    </row>
    <row r="99" spans="12:16" x14ac:dyDescent="0.35">
      <c r="L99" s="68"/>
      <c r="M99" s="68"/>
      <c r="N99" s="69" t="s">
        <v>171</v>
      </c>
      <c r="O99" s="70">
        <v>2614</v>
      </c>
      <c r="P99" s="71">
        <v>223</v>
      </c>
    </row>
    <row r="100" spans="12:16" x14ac:dyDescent="0.35">
      <c r="L100" s="68"/>
      <c r="M100" s="68"/>
      <c r="N100" s="69" t="s">
        <v>172</v>
      </c>
      <c r="O100" s="70">
        <v>3451</v>
      </c>
      <c r="P100" s="70">
        <v>1050</v>
      </c>
    </row>
    <row r="101" spans="12:16" ht="24" x14ac:dyDescent="0.35">
      <c r="L101" s="62">
        <v>39</v>
      </c>
      <c r="M101" s="63" t="s">
        <v>173</v>
      </c>
      <c r="N101" s="64" t="s">
        <v>174</v>
      </c>
      <c r="O101" s="65">
        <v>2918</v>
      </c>
      <c r="P101" s="66">
        <v>400</v>
      </c>
    </row>
    <row r="102" spans="12:16" x14ac:dyDescent="0.35">
      <c r="L102" s="67">
        <v>40</v>
      </c>
      <c r="M102" s="68" t="s">
        <v>175</v>
      </c>
      <c r="N102" s="69" t="s">
        <v>176</v>
      </c>
      <c r="O102" s="70">
        <v>1785</v>
      </c>
      <c r="P102" s="71">
        <v>31</v>
      </c>
    </row>
    <row r="103" spans="12:16" ht="24" x14ac:dyDescent="0.35">
      <c r="L103" s="68"/>
      <c r="M103" s="68"/>
      <c r="N103" s="69" t="s">
        <v>177</v>
      </c>
      <c r="O103" s="70">
        <v>2036</v>
      </c>
      <c r="P103" s="71">
        <v>59</v>
      </c>
    </row>
    <row r="104" spans="12:16" x14ac:dyDescent="0.35">
      <c r="L104" s="62">
        <v>41</v>
      </c>
      <c r="M104" s="63" t="s">
        <v>178</v>
      </c>
      <c r="N104" s="64" t="s">
        <v>179</v>
      </c>
      <c r="O104" s="65">
        <v>2467</v>
      </c>
      <c r="P104" s="66">
        <v>84</v>
      </c>
    </row>
    <row r="105" spans="12:16" ht="24" x14ac:dyDescent="0.35">
      <c r="L105" s="67">
        <v>42</v>
      </c>
      <c r="M105" s="68" t="s">
        <v>180</v>
      </c>
      <c r="N105" s="69" t="s">
        <v>181</v>
      </c>
      <c r="O105" s="70">
        <v>2636</v>
      </c>
      <c r="P105" s="71">
        <v>399</v>
      </c>
    </row>
    <row r="106" spans="12:16" ht="24" x14ac:dyDescent="0.35">
      <c r="L106" s="62">
        <v>43</v>
      </c>
      <c r="M106" s="63" t="s">
        <v>182</v>
      </c>
      <c r="N106" s="64" t="s">
        <v>183</v>
      </c>
      <c r="O106" s="65">
        <v>2905</v>
      </c>
      <c r="P106" s="66">
        <v>714</v>
      </c>
    </row>
    <row r="107" spans="12:16" ht="24" x14ac:dyDescent="0.35">
      <c r="L107" s="67">
        <v>44</v>
      </c>
      <c r="M107" s="68" t="s">
        <v>184</v>
      </c>
      <c r="N107" s="69" t="s">
        <v>185</v>
      </c>
      <c r="O107" s="70">
        <v>2199</v>
      </c>
      <c r="P107" s="71">
        <v>26</v>
      </c>
    </row>
    <row r="108" spans="12:16" x14ac:dyDescent="0.35">
      <c r="L108" s="62">
        <v>45</v>
      </c>
      <c r="M108" s="63" t="s">
        <v>186</v>
      </c>
      <c r="N108" s="64" t="s">
        <v>187</v>
      </c>
      <c r="O108" s="65">
        <v>2532</v>
      </c>
      <c r="P108" s="66">
        <v>124</v>
      </c>
    </row>
    <row r="109" spans="12:16" x14ac:dyDescent="0.35">
      <c r="L109" s="67">
        <v>46</v>
      </c>
      <c r="M109" s="68" t="s">
        <v>188</v>
      </c>
      <c r="N109" s="69" t="s">
        <v>189</v>
      </c>
      <c r="O109" s="70">
        <v>2132</v>
      </c>
      <c r="P109" s="71">
        <v>205</v>
      </c>
    </row>
    <row r="110" spans="12:16" ht="24" x14ac:dyDescent="0.35">
      <c r="L110" s="62">
        <v>47</v>
      </c>
      <c r="M110" s="63" t="s">
        <v>190</v>
      </c>
      <c r="N110" s="64" t="s">
        <v>191</v>
      </c>
      <c r="O110" s="65">
        <v>2078</v>
      </c>
      <c r="P110" s="66">
        <v>61</v>
      </c>
    </row>
    <row r="111" spans="12:16" x14ac:dyDescent="0.35">
      <c r="L111" s="67">
        <v>48</v>
      </c>
      <c r="M111" s="68" t="s">
        <v>192</v>
      </c>
      <c r="N111" s="69"/>
      <c r="O111" s="71" t="s">
        <v>193</v>
      </c>
      <c r="P111" s="71" t="s">
        <v>194</v>
      </c>
    </row>
    <row r="112" spans="12:16" x14ac:dyDescent="0.35">
      <c r="L112" s="62">
        <v>49</v>
      </c>
      <c r="M112" s="63" t="s">
        <v>195</v>
      </c>
      <c r="N112" s="64" t="s">
        <v>196</v>
      </c>
      <c r="O112" s="65">
        <v>2308</v>
      </c>
      <c r="P112" s="66">
        <v>54</v>
      </c>
    </row>
    <row r="113" spans="12:16" x14ac:dyDescent="0.35">
      <c r="L113" s="67">
        <v>50</v>
      </c>
      <c r="M113" s="68" t="s">
        <v>197</v>
      </c>
      <c r="N113" s="69" t="s">
        <v>198</v>
      </c>
      <c r="O113" s="70">
        <v>2118</v>
      </c>
      <c r="P113" s="71">
        <v>8</v>
      </c>
    </row>
    <row r="114" spans="12:16" x14ac:dyDescent="0.35">
      <c r="L114" s="62">
        <v>51</v>
      </c>
      <c r="M114" s="63" t="s">
        <v>199</v>
      </c>
      <c r="N114" s="64" t="s">
        <v>200</v>
      </c>
      <c r="O114" s="65">
        <v>2665</v>
      </c>
      <c r="P114" s="66">
        <v>94</v>
      </c>
    </row>
    <row r="115" spans="12:16" x14ac:dyDescent="0.35">
      <c r="L115" s="67">
        <v>52</v>
      </c>
      <c r="M115" s="68" t="s">
        <v>201</v>
      </c>
      <c r="N115" s="69" t="s">
        <v>202</v>
      </c>
      <c r="O115" s="70">
        <v>2954</v>
      </c>
      <c r="P115" s="71">
        <v>464</v>
      </c>
    </row>
    <row r="116" spans="12:16" x14ac:dyDescent="0.35">
      <c r="L116" s="68"/>
      <c r="M116" s="68"/>
      <c r="N116" s="69" t="s">
        <v>203</v>
      </c>
      <c r="O116" s="70">
        <v>2615</v>
      </c>
      <c r="P116" s="71">
        <v>139</v>
      </c>
    </row>
    <row r="117" spans="12:16" x14ac:dyDescent="0.35">
      <c r="L117" s="62">
        <v>53</v>
      </c>
      <c r="M117" s="63" t="s">
        <v>204</v>
      </c>
      <c r="N117" s="64"/>
      <c r="O117" s="66" t="s">
        <v>205</v>
      </c>
      <c r="P117" s="66" t="s">
        <v>206</v>
      </c>
    </row>
    <row r="118" spans="12:16" ht="24" x14ac:dyDescent="0.35">
      <c r="L118" s="67">
        <v>54</v>
      </c>
      <c r="M118" s="68" t="s">
        <v>207</v>
      </c>
      <c r="N118" s="69" t="s">
        <v>208</v>
      </c>
      <c r="O118" s="70">
        <v>2854</v>
      </c>
      <c r="P118" s="71">
        <v>203</v>
      </c>
    </row>
    <row r="119" spans="12:16" x14ac:dyDescent="0.35">
      <c r="L119" s="62">
        <v>55</v>
      </c>
      <c r="M119" s="63" t="s">
        <v>209</v>
      </c>
      <c r="N119" s="64" t="s">
        <v>210</v>
      </c>
      <c r="O119" s="65">
        <v>2985</v>
      </c>
      <c r="P119" s="66">
        <v>313</v>
      </c>
    </row>
    <row r="120" spans="12:16" x14ac:dyDescent="0.35">
      <c r="L120" s="67">
        <v>56</v>
      </c>
      <c r="M120" s="68" t="s">
        <v>211</v>
      </c>
      <c r="N120" s="69" t="s">
        <v>212</v>
      </c>
      <c r="O120" s="70">
        <v>2163</v>
      </c>
      <c r="P120" s="71">
        <v>42</v>
      </c>
    </row>
    <row r="121" spans="12:16" x14ac:dyDescent="0.35">
      <c r="L121" s="62">
        <v>57</v>
      </c>
      <c r="M121" s="63" t="s">
        <v>213</v>
      </c>
      <c r="N121" s="64" t="s">
        <v>214</v>
      </c>
      <c r="O121" s="65">
        <v>2797</v>
      </c>
      <c r="P121" s="66">
        <v>170</v>
      </c>
    </row>
    <row r="122" spans="12:16" ht="24" x14ac:dyDescent="0.35">
      <c r="L122" s="67">
        <v>58</v>
      </c>
      <c r="M122" s="68" t="s">
        <v>215</v>
      </c>
      <c r="N122" s="69" t="s">
        <v>216</v>
      </c>
      <c r="O122" s="70">
        <v>2858</v>
      </c>
      <c r="P122" s="71">
        <v>598</v>
      </c>
    </row>
    <row r="123" spans="12:16" x14ac:dyDescent="0.35">
      <c r="L123" s="68"/>
      <c r="M123" s="68"/>
      <c r="N123" s="69" t="s">
        <v>217</v>
      </c>
      <c r="O123" s="70">
        <v>2536</v>
      </c>
      <c r="P123" s="71">
        <v>176</v>
      </c>
    </row>
    <row r="124" spans="12:16" x14ac:dyDescent="0.35">
      <c r="L124" s="62">
        <v>59</v>
      </c>
      <c r="M124" s="63" t="s">
        <v>218</v>
      </c>
      <c r="N124" s="64" t="s">
        <v>219</v>
      </c>
      <c r="O124" s="65">
        <v>2693</v>
      </c>
      <c r="P124" s="66">
        <v>55</v>
      </c>
    </row>
    <row r="125" spans="12:16" x14ac:dyDescent="0.35">
      <c r="L125" s="67">
        <v>60</v>
      </c>
      <c r="M125" s="68" t="s">
        <v>220</v>
      </c>
      <c r="N125" s="69" t="s">
        <v>221</v>
      </c>
      <c r="O125" s="70">
        <v>2680</v>
      </c>
      <c r="P125" s="71">
        <v>101</v>
      </c>
    </row>
    <row r="126" spans="12:16" x14ac:dyDescent="0.35">
      <c r="L126" s="68"/>
      <c r="M126" s="68"/>
      <c r="N126" s="69" t="s">
        <v>222</v>
      </c>
      <c r="O126" s="70">
        <v>2577</v>
      </c>
      <c r="P126" s="71">
        <v>41</v>
      </c>
    </row>
    <row r="127" spans="12:16" x14ac:dyDescent="0.35">
      <c r="L127" s="68"/>
      <c r="M127" s="68"/>
      <c r="N127" s="69" t="s">
        <v>223</v>
      </c>
      <c r="O127" s="70">
        <v>2636</v>
      </c>
      <c r="P127" s="71">
        <v>88</v>
      </c>
    </row>
    <row r="128" spans="12:16" x14ac:dyDescent="0.35">
      <c r="L128" s="62">
        <v>61</v>
      </c>
      <c r="M128" s="63" t="s">
        <v>224</v>
      </c>
      <c r="N128" s="64" t="s">
        <v>225</v>
      </c>
      <c r="O128" s="65">
        <v>2537</v>
      </c>
      <c r="P128" s="66">
        <v>73</v>
      </c>
    </row>
    <row r="129" spans="12:20" ht="24" x14ac:dyDescent="0.35">
      <c r="L129" s="67">
        <v>62</v>
      </c>
      <c r="M129" s="68" t="s">
        <v>226</v>
      </c>
      <c r="N129" s="69" t="s">
        <v>227</v>
      </c>
      <c r="O129" s="70">
        <v>2537</v>
      </c>
      <c r="P129" s="71">
        <v>73</v>
      </c>
    </row>
    <row r="130" spans="12:20" ht="24" x14ac:dyDescent="0.35">
      <c r="L130" s="62">
        <v>63</v>
      </c>
      <c r="M130" s="63" t="s">
        <v>228</v>
      </c>
      <c r="N130" s="64" t="s">
        <v>229</v>
      </c>
      <c r="O130" s="65">
        <v>2509</v>
      </c>
      <c r="P130" s="66">
        <v>329</v>
      </c>
    </row>
    <row r="131" spans="12:20" x14ac:dyDescent="0.35">
      <c r="L131" s="63"/>
      <c r="M131" s="63"/>
      <c r="N131" s="64" t="s">
        <v>230</v>
      </c>
      <c r="O131" s="65">
        <v>3342</v>
      </c>
      <c r="P131" s="65">
        <v>1050</v>
      </c>
    </row>
    <row r="132" spans="12:20" x14ac:dyDescent="0.35">
      <c r="L132" s="63"/>
      <c r="M132" s="63"/>
      <c r="N132" s="64" t="s">
        <v>231</v>
      </c>
      <c r="O132" s="65">
        <v>3918</v>
      </c>
      <c r="P132" s="65">
        <v>1465</v>
      </c>
    </row>
    <row r="133" spans="12:20" ht="24" x14ac:dyDescent="0.35">
      <c r="L133" s="67">
        <v>64</v>
      </c>
      <c r="M133" s="68" t="s">
        <v>232</v>
      </c>
      <c r="N133" s="69" t="s">
        <v>233</v>
      </c>
      <c r="O133" s="70">
        <v>1432</v>
      </c>
      <c r="P133" s="71">
        <v>28</v>
      </c>
    </row>
    <row r="134" spans="12:20" x14ac:dyDescent="0.35">
      <c r="L134" s="68"/>
      <c r="M134" s="68"/>
      <c r="N134" s="69" t="s">
        <v>234</v>
      </c>
      <c r="O134" s="70">
        <v>4083</v>
      </c>
      <c r="P134" s="70">
        <v>2000</v>
      </c>
    </row>
    <row r="135" spans="12:20" x14ac:dyDescent="0.35">
      <c r="L135" s="68"/>
      <c r="M135" s="68"/>
      <c r="N135" s="69" t="s">
        <v>235</v>
      </c>
      <c r="O135" s="70">
        <v>2048</v>
      </c>
      <c r="P135" s="71">
        <v>189</v>
      </c>
    </row>
    <row r="136" spans="12:20" ht="24" x14ac:dyDescent="0.35">
      <c r="L136" s="62">
        <v>65</v>
      </c>
      <c r="M136" s="63" t="s">
        <v>236</v>
      </c>
      <c r="N136" s="64" t="s">
        <v>237</v>
      </c>
      <c r="O136" s="73">
        <v>5243</v>
      </c>
      <c r="P136" s="65">
        <v>2860</v>
      </c>
    </row>
    <row r="137" spans="12:20" x14ac:dyDescent="0.35">
      <c r="L137" s="63"/>
      <c r="M137" s="63"/>
      <c r="N137" s="64" t="s">
        <v>238</v>
      </c>
      <c r="O137" s="65">
        <v>2166</v>
      </c>
      <c r="P137" s="66">
        <v>360</v>
      </c>
    </row>
    <row r="138" spans="12:20" ht="24" x14ac:dyDescent="0.35">
      <c r="L138" s="67">
        <v>66</v>
      </c>
      <c r="M138" s="68" t="s">
        <v>239</v>
      </c>
      <c r="N138" s="69" t="s">
        <v>240</v>
      </c>
      <c r="O138" s="70">
        <v>3602</v>
      </c>
      <c r="P138" s="70">
        <v>1705</v>
      </c>
    </row>
    <row r="139" spans="12:20" x14ac:dyDescent="0.35">
      <c r="L139" s="68"/>
      <c r="M139" s="68"/>
      <c r="N139" s="69" t="s">
        <v>241</v>
      </c>
      <c r="O139" s="70">
        <v>1464</v>
      </c>
      <c r="P139" s="71">
        <v>43</v>
      </c>
    </row>
    <row r="140" spans="12:20" x14ac:dyDescent="0.35">
      <c r="L140" s="68"/>
      <c r="M140" s="68"/>
      <c r="N140" s="69" t="s">
        <v>242</v>
      </c>
      <c r="O140" s="70">
        <v>2397</v>
      </c>
      <c r="P140" s="70">
        <v>1000</v>
      </c>
    </row>
    <row r="141" spans="12:20" ht="24" x14ac:dyDescent="0.35">
      <c r="L141" s="62">
        <v>67</v>
      </c>
      <c r="M141" s="63" t="s">
        <v>243</v>
      </c>
      <c r="N141" s="64" t="s">
        <v>244</v>
      </c>
      <c r="O141" s="65">
        <v>3310</v>
      </c>
      <c r="P141" s="66">
        <v>775</v>
      </c>
    </row>
    <row r="142" spans="12:20" x14ac:dyDescent="0.35">
      <c r="L142" s="63"/>
      <c r="M142" s="63"/>
      <c r="N142" s="64" t="s">
        <v>245</v>
      </c>
      <c r="O142" s="65">
        <v>2706</v>
      </c>
      <c r="P142" s="66">
        <v>139</v>
      </c>
    </row>
    <row r="143" spans="12:20" ht="24" x14ac:dyDescent="0.35">
      <c r="L143" s="67">
        <v>68</v>
      </c>
      <c r="M143" s="68" t="s">
        <v>246</v>
      </c>
      <c r="N143" s="69" t="s">
        <v>247</v>
      </c>
      <c r="O143" s="70">
        <v>4036</v>
      </c>
      <c r="P143" s="70">
        <v>1390</v>
      </c>
      <c r="R143">
        <f>4036-2575</f>
        <v>1461</v>
      </c>
      <c r="S143">
        <f>1390-190</f>
        <v>1200</v>
      </c>
      <c r="T143">
        <f>+R143/S143</f>
        <v>1.2175</v>
      </c>
    </row>
    <row r="144" spans="12:20" x14ac:dyDescent="0.35">
      <c r="L144" s="68"/>
      <c r="M144" s="68"/>
      <c r="N144" s="69" t="s">
        <v>248</v>
      </c>
      <c r="O144" s="70">
        <v>2575</v>
      </c>
      <c r="P144" s="71">
        <v>190</v>
      </c>
    </row>
    <row r="145" spans="12:20" ht="24" x14ac:dyDescent="0.35">
      <c r="L145" s="68"/>
      <c r="M145" s="68"/>
      <c r="N145" s="69" t="s">
        <v>249</v>
      </c>
      <c r="O145" s="70">
        <v>2948</v>
      </c>
      <c r="P145" s="71">
        <v>267</v>
      </c>
      <c r="R145">
        <f>2948-2575</f>
        <v>373</v>
      </c>
      <c r="S145">
        <f>267-190</f>
        <v>77</v>
      </c>
      <c r="T145">
        <f>+R145/S145</f>
        <v>4.8441558441558445</v>
      </c>
    </row>
    <row r="146" spans="12:20" x14ac:dyDescent="0.35">
      <c r="L146" s="62">
        <v>69</v>
      </c>
      <c r="M146" s="63" t="s">
        <v>250</v>
      </c>
      <c r="N146" s="64" t="s">
        <v>251</v>
      </c>
      <c r="O146" s="65">
        <v>2499</v>
      </c>
      <c r="P146" s="66">
        <v>196</v>
      </c>
    </row>
    <row r="147" spans="12:20" ht="24" x14ac:dyDescent="0.35">
      <c r="L147" s="67">
        <v>70</v>
      </c>
      <c r="M147" s="68" t="s">
        <v>252</v>
      </c>
      <c r="N147" s="69" t="s">
        <v>253</v>
      </c>
      <c r="O147" s="70">
        <v>2944</v>
      </c>
      <c r="P147" s="71">
        <v>272</v>
      </c>
    </row>
    <row r="148" spans="12:20" ht="24" x14ac:dyDescent="0.35">
      <c r="L148" s="62">
        <v>71</v>
      </c>
      <c r="M148" s="63" t="s">
        <v>254</v>
      </c>
      <c r="N148" s="64" t="s">
        <v>255</v>
      </c>
      <c r="O148" s="65">
        <v>2638</v>
      </c>
      <c r="P148" s="66">
        <v>179</v>
      </c>
    </row>
    <row r="149" spans="12:20" x14ac:dyDescent="0.35">
      <c r="L149" s="67">
        <v>72</v>
      </c>
      <c r="M149" s="68" t="s">
        <v>256</v>
      </c>
      <c r="N149" s="69" t="s">
        <v>257</v>
      </c>
      <c r="O149" s="70">
        <v>2428</v>
      </c>
      <c r="P149" s="71">
        <v>52</v>
      </c>
    </row>
    <row r="150" spans="12:20" ht="24" x14ac:dyDescent="0.35">
      <c r="L150" s="62">
        <v>73</v>
      </c>
      <c r="M150" s="63" t="s">
        <v>258</v>
      </c>
      <c r="N150" s="64" t="s">
        <v>259</v>
      </c>
      <c r="O150" s="65">
        <v>3096</v>
      </c>
      <c r="P150" s="66">
        <v>865</v>
      </c>
    </row>
    <row r="151" spans="12:20" ht="24" x14ac:dyDescent="0.35">
      <c r="L151" s="63"/>
      <c r="M151" s="63"/>
      <c r="N151" s="64" t="s">
        <v>260</v>
      </c>
      <c r="O151" s="65">
        <v>3996</v>
      </c>
      <c r="P151" s="65">
        <v>1750</v>
      </c>
    </row>
    <row r="152" spans="12:20" x14ac:dyDescent="0.35">
      <c r="L152" s="63"/>
      <c r="M152" s="63"/>
      <c r="N152" s="64" t="s">
        <v>261</v>
      </c>
      <c r="O152" s="65">
        <v>3452</v>
      </c>
      <c r="P152" s="65">
        <v>1296</v>
      </c>
    </row>
    <row r="153" spans="12:20" x14ac:dyDescent="0.35">
      <c r="L153" s="67">
        <v>74</v>
      </c>
      <c r="M153" s="68" t="s">
        <v>262</v>
      </c>
      <c r="N153" s="69" t="s">
        <v>263</v>
      </c>
      <c r="O153" s="70">
        <v>2756</v>
      </c>
      <c r="P153" s="71">
        <v>448</v>
      </c>
    </row>
    <row r="154" spans="12:20" x14ac:dyDescent="0.35">
      <c r="L154" s="68"/>
      <c r="M154" s="68"/>
      <c r="N154" s="69" t="s">
        <v>264</v>
      </c>
      <c r="O154" s="70">
        <v>3006</v>
      </c>
      <c r="P154" s="71">
        <v>445</v>
      </c>
    </row>
    <row r="155" spans="12:20" x14ac:dyDescent="0.35">
      <c r="L155" s="68"/>
      <c r="M155" s="68"/>
      <c r="N155" s="69" t="s">
        <v>265</v>
      </c>
      <c r="O155" s="70">
        <v>3807</v>
      </c>
      <c r="P155" s="70">
        <v>1200</v>
      </c>
    </row>
    <row r="156" spans="12:20" x14ac:dyDescent="0.35">
      <c r="L156" s="62">
        <v>75</v>
      </c>
      <c r="M156" s="63" t="s">
        <v>266</v>
      </c>
      <c r="N156" s="64" t="s">
        <v>267</v>
      </c>
      <c r="O156" s="65">
        <v>2406</v>
      </c>
      <c r="P156" s="66">
        <v>78</v>
      </c>
    </row>
    <row r="157" spans="12:20" ht="24" x14ac:dyDescent="0.35">
      <c r="L157" s="67">
        <v>76</v>
      </c>
      <c r="M157" s="68" t="s">
        <v>268</v>
      </c>
      <c r="N157" s="69" t="s">
        <v>269</v>
      </c>
      <c r="O157" s="70">
        <v>2569</v>
      </c>
      <c r="P157" s="71">
        <v>68</v>
      </c>
    </row>
    <row r="158" spans="12:20" ht="24" x14ac:dyDescent="0.35">
      <c r="L158" s="62">
        <v>77</v>
      </c>
      <c r="M158" s="63" t="s">
        <v>270</v>
      </c>
      <c r="N158" s="64" t="s">
        <v>271</v>
      </c>
      <c r="O158" s="65">
        <v>2547</v>
      </c>
      <c r="P158" s="66">
        <v>91</v>
      </c>
    </row>
    <row r="159" spans="12:20" x14ac:dyDescent="0.35">
      <c r="L159" s="67">
        <v>78</v>
      </c>
      <c r="M159" s="68" t="s">
        <v>272</v>
      </c>
      <c r="N159" s="69" t="s">
        <v>273</v>
      </c>
      <c r="O159" s="70">
        <v>2659</v>
      </c>
      <c r="P159" s="71">
        <v>171</v>
      </c>
    </row>
    <row r="160" spans="12:20" x14ac:dyDescent="0.35">
      <c r="L160" s="62">
        <v>79</v>
      </c>
      <c r="M160" s="63" t="s">
        <v>274</v>
      </c>
      <c r="N160" s="64"/>
      <c r="O160" s="66" t="s">
        <v>275</v>
      </c>
      <c r="P160" s="66" t="s">
        <v>276</v>
      </c>
    </row>
    <row r="161" spans="12:16" x14ac:dyDescent="0.35">
      <c r="L161" s="67">
        <v>80</v>
      </c>
      <c r="M161" s="68" t="s">
        <v>277</v>
      </c>
      <c r="N161" s="69" t="s">
        <v>278</v>
      </c>
      <c r="O161" s="71">
        <v>2607</v>
      </c>
      <c r="P161" s="71">
        <v>57</v>
      </c>
    </row>
    <row r="162" spans="12:16" x14ac:dyDescent="0.35">
      <c r="L162" s="62">
        <v>81</v>
      </c>
      <c r="M162" s="63" t="s">
        <v>279</v>
      </c>
      <c r="N162" s="64"/>
      <c r="O162" s="66" t="s">
        <v>280</v>
      </c>
      <c r="P162" s="66" t="s">
        <v>281</v>
      </c>
    </row>
    <row r="163" spans="12:16" ht="24" x14ac:dyDescent="0.35">
      <c r="L163" s="67">
        <v>82</v>
      </c>
      <c r="M163" s="68" t="s">
        <v>282</v>
      </c>
      <c r="N163" s="69"/>
      <c r="O163" s="71" t="s">
        <v>283</v>
      </c>
      <c r="P163" s="71" t="s">
        <v>284</v>
      </c>
    </row>
    <row r="164" spans="12:16" x14ac:dyDescent="0.35">
      <c r="L164" s="62">
        <v>83</v>
      </c>
      <c r="M164" s="63" t="s">
        <v>285</v>
      </c>
      <c r="N164" s="64" t="s">
        <v>286</v>
      </c>
      <c r="O164" s="65">
        <v>1982</v>
      </c>
      <c r="P164" s="66">
        <v>205</v>
      </c>
    </row>
    <row r="165" spans="12:16" x14ac:dyDescent="0.35">
      <c r="L165" s="63"/>
      <c r="M165" s="63"/>
      <c r="N165" s="64" t="s">
        <v>287</v>
      </c>
      <c r="O165" s="65">
        <v>1377</v>
      </c>
      <c r="P165" s="66">
        <v>23</v>
      </c>
    </row>
    <row r="166" spans="12:16" x14ac:dyDescent="0.35">
      <c r="L166" s="67">
        <v>84</v>
      </c>
      <c r="M166" s="68" t="s">
        <v>288</v>
      </c>
      <c r="N166" s="69" t="s">
        <v>289</v>
      </c>
      <c r="O166" s="70">
        <v>2171</v>
      </c>
      <c r="P166" s="71">
        <v>234</v>
      </c>
    </row>
    <row r="167" spans="12:16" ht="24" x14ac:dyDescent="0.35">
      <c r="L167" s="62">
        <v>85</v>
      </c>
      <c r="M167" s="63" t="s">
        <v>290</v>
      </c>
      <c r="N167" s="64" t="s">
        <v>291</v>
      </c>
      <c r="O167" s="65">
        <v>2143</v>
      </c>
      <c r="P167" s="66">
        <v>9</v>
      </c>
    </row>
    <row r="168" spans="12:16" x14ac:dyDescent="0.35">
      <c r="L168" s="67">
        <v>86</v>
      </c>
      <c r="M168" s="68" t="s">
        <v>292</v>
      </c>
      <c r="N168" s="69" t="s">
        <v>293</v>
      </c>
      <c r="O168" s="70">
        <v>2363</v>
      </c>
      <c r="P168" s="71">
        <v>118</v>
      </c>
    </row>
    <row r="169" spans="12:16" ht="24" x14ac:dyDescent="0.35">
      <c r="L169" s="62">
        <v>87</v>
      </c>
      <c r="M169" s="63" t="s">
        <v>294</v>
      </c>
      <c r="N169" s="64" t="s">
        <v>295</v>
      </c>
      <c r="O169" s="65">
        <v>2520</v>
      </c>
      <c r="P169" s="66">
        <v>282</v>
      </c>
    </row>
    <row r="170" spans="12:16" x14ac:dyDescent="0.35">
      <c r="L170" s="67">
        <v>88</v>
      </c>
      <c r="M170" s="68" t="s">
        <v>296</v>
      </c>
      <c r="N170" s="69" t="s">
        <v>297</v>
      </c>
      <c r="O170" s="70">
        <v>2875</v>
      </c>
      <c r="P170" s="71">
        <v>385</v>
      </c>
    </row>
    <row r="171" spans="12:16" x14ac:dyDescent="0.35">
      <c r="L171" s="62">
        <v>89</v>
      </c>
      <c r="M171" s="63" t="s">
        <v>298</v>
      </c>
      <c r="N171" s="64" t="s">
        <v>299</v>
      </c>
      <c r="O171" s="65">
        <v>2535</v>
      </c>
      <c r="P171" s="66">
        <v>207</v>
      </c>
    </row>
    <row r="172" spans="12:16" ht="24" x14ac:dyDescent="0.35">
      <c r="L172" s="67">
        <v>90</v>
      </c>
      <c r="M172" s="68" t="s">
        <v>300</v>
      </c>
      <c r="N172" s="69" t="s">
        <v>301</v>
      </c>
      <c r="O172" s="70">
        <v>2939</v>
      </c>
      <c r="P172" s="71">
        <v>422</v>
      </c>
    </row>
    <row r="173" spans="12:16" x14ac:dyDescent="0.35">
      <c r="L173" s="62">
        <v>91</v>
      </c>
      <c r="M173" s="63" t="s">
        <v>302</v>
      </c>
      <c r="N173" s="64" t="s">
        <v>303</v>
      </c>
      <c r="O173" s="65">
        <v>2632</v>
      </c>
      <c r="P173" s="66">
        <v>145</v>
      </c>
    </row>
    <row r="174" spans="12:16" x14ac:dyDescent="0.35">
      <c r="L174" s="67">
        <v>92</v>
      </c>
      <c r="M174" s="68" t="s">
        <v>304</v>
      </c>
      <c r="N174" s="69"/>
      <c r="O174" s="70">
        <v>2500</v>
      </c>
      <c r="P174" s="69"/>
    </row>
    <row r="175" spans="12:16" ht="24" x14ac:dyDescent="0.35">
      <c r="L175" s="62">
        <v>93</v>
      </c>
      <c r="M175" s="63" t="s">
        <v>305</v>
      </c>
      <c r="N175" s="64" t="s">
        <v>306</v>
      </c>
      <c r="O175" s="65">
        <v>2464</v>
      </c>
      <c r="P175" s="66">
        <v>52</v>
      </c>
    </row>
    <row r="176" spans="12:16" x14ac:dyDescent="0.35">
      <c r="L176" s="67">
        <v>94</v>
      </c>
      <c r="M176" s="68" t="s">
        <v>307</v>
      </c>
      <c r="N176" s="69" t="s">
        <v>308</v>
      </c>
      <c r="O176" s="70">
        <v>2510</v>
      </c>
      <c r="P176" s="71">
        <v>89</v>
      </c>
    </row>
    <row r="177" spans="12:16" x14ac:dyDescent="0.35">
      <c r="L177" s="62">
        <v>95</v>
      </c>
      <c r="M177" s="63" t="s">
        <v>309</v>
      </c>
      <c r="N177" s="64" t="s">
        <v>310</v>
      </c>
      <c r="O177" s="65">
        <v>2559</v>
      </c>
      <c r="P177" s="66">
        <v>98</v>
      </c>
    </row>
  </sheetData>
  <mergeCells count="5">
    <mergeCell ref="L40:M40"/>
    <mergeCell ref="L45:L46"/>
    <mergeCell ref="M45:M46"/>
    <mergeCell ref="N45:N46"/>
    <mergeCell ref="P45:P4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7" sqref="F37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Déperditions thermiques</vt:lpstr>
      <vt:lpstr>Calcul DJU</vt:lpstr>
      <vt:lpstr>T° ext base</vt:lpstr>
      <vt:lpstr>'Déperditions thermiques'!Zone_d_impression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PIERRET</dc:creator>
  <cp:lastModifiedBy>Pascal</cp:lastModifiedBy>
  <cp:lastPrinted>2015-02-25T11:04:07Z</cp:lastPrinted>
  <dcterms:created xsi:type="dcterms:W3CDTF">2012-02-04T17:01:23Z</dcterms:created>
  <dcterms:modified xsi:type="dcterms:W3CDTF">2022-03-17T20:37:42Z</dcterms:modified>
</cp:coreProperties>
</file>