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keran\Google Drive\MIT\Courses@MIT\Thesis\simulations\"/>
    </mc:Choice>
  </mc:AlternateContent>
  <xr:revisionPtr revIDLastSave="0" documentId="13_ncr:1_{2CF227B0-5AEA-4F7C-BB34-7148F3E2DC7A}" xr6:coauthVersionLast="45" xr6:coauthVersionMax="45" xr10:uidLastSave="{00000000-0000-0000-0000-000000000000}"/>
  <bookViews>
    <workbookView xWindow="-28898" yWindow="-68" windowWidth="28996" windowHeight="15796" xr2:uid="{00000000-000D-0000-FFFF-FFFF00000000}"/>
  </bookViews>
  <sheets>
    <sheet name="Ship" sheetId="1" r:id="rId1"/>
    <sheet name="Aircraft_main_affect" sheetId="2" r:id="rId2"/>
    <sheet name="Refueling_aircraft" sheetId="3" r:id="rId3"/>
    <sheet name="maxCl_aspect_ratio" sheetId="4" r:id="rId4"/>
    <sheet name="Stakeholder and needs" sheetId="5" r:id="rId5"/>
    <sheet name="Branchmark Airplane" sheetId="6" r:id="rId6"/>
    <sheet name="Exponential growth" sheetId="8" r:id="rId7"/>
    <sheet name="Simulated Annealling_OLD" sheetId="9" r:id="rId8"/>
    <sheet name="PSO" sheetId="13" r:id="rId9"/>
    <sheet name="Refueling+Ship" sheetId="7" r:id="rId10"/>
    <sheet name="Optimal design" sheetId="12" r:id="rId11"/>
    <sheet name="Refueling+Ship (unit)" sheetId="17" r:id="rId12"/>
    <sheet name="Refueling strategies" sheetId="10" r:id="rId13"/>
    <sheet name="sensetivity study" sheetId="14" r:id="rId14"/>
    <sheet name="Cost" sheetId="15" r:id="rId15"/>
    <sheet name="Ship_Cost" sheetId="1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3" i="13" l="1"/>
  <c r="G23" i="13"/>
  <c r="H22" i="13"/>
  <c r="H23" i="13"/>
  <c r="H21" i="13"/>
  <c r="H18" i="13"/>
  <c r="H19" i="13"/>
  <c r="H20" i="13"/>
  <c r="H17" i="13"/>
  <c r="AC25" i="15" l="1"/>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 i="16"/>
  <c r="N11" i="16"/>
  <c r="N12" i="16"/>
  <c r="N9" i="16"/>
  <c r="N10"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52" i="16"/>
  <c r="N53" i="16"/>
  <c r="N54" i="16"/>
  <c r="N55" i="16"/>
  <c r="N56" i="16"/>
  <c r="N57" i="16"/>
  <c r="N58" i="16"/>
  <c r="N59" i="16"/>
  <c r="N60" i="16"/>
  <c r="N61" i="16"/>
  <c r="N62" i="16"/>
  <c r="N63" i="16"/>
  <c r="N64" i="16"/>
  <c r="N65" i="16"/>
  <c r="N66" i="16"/>
  <c r="N67" i="16"/>
  <c r="N68" i="16"/>
  <c r="N69" i="16"/>
  <c r="N70" i="16"/>
  <c r="N71" i="16"/>
  <c r="N72" i="16"/>
  <c r="N73" i="16"/>
  <c r="N74" i="16"/>
  <c r="N75" i="16"/>
  <c r="N8" i="16"/>
  <c r="N7" i="16"/>
  <c r="M44" i="17" l="1"/>
  <c r="AB20" i="15"/>
  <c r="AB21" i="15"/>
  <c r="AC21" i="15" s="1"/>
  <c r="AD21" i="15" s="1"/>
  <c r="AF21" i="15" s="1"/>
  <c r="AB22" i="15"/>
  <c r="AC22" i="15" s="1"/>
  <c r="AD22" i="15" s="1"/>
  <c r="AF22" i="15" s="1"/>
  <c r="AB23" i="15"/>
  <c r="AC23" i="15" s="1"/>
  <c r="AD23" i="15" s="1"/>
  <c r="AF23" i="15" s="1"/>
  <c r="AB24" i="15"/>
  <c r="AC24" i="15" s="1"/>
  <c r="AD24" i="15" s="1"/>
  <c r="AF24" i="15" s="1"/>
  <c r="AB25" i="15"/>
  <c r="AB26" i="15"/>
  <c r="AB27" i="15"/>
  <c r="AB28" i="15"/>
  <c r="AB29" i="15"/>
  <c r="AB30" i="15"/>
  <c r="AB31" i="15"/>
  <c r="AC31" i="15" s="1"/>
  <c r="AD31" i="15" s="1"/>
  <c r="AF31" i="15" s="1"/>
  <c r="AB32" i="15"/>
  <c r="AB33" i="15"/>
  <c r="AC33" i="15" s="1"/>
  <c r="AD33" i="15" s="1"/>
  <c r="AF33" i="15" s="1"/>
  <c r="AB34" i="15"/>
  <c r="AC34" i="15" s="1"/>
  <c r="AD34" i="15" s="1"/>
  <c r="AF34" i="15" s="1"/>
  <c r="AB35" i="15"/>
  <c r="AC35" i="15" s="1"/>
  <c r="AD35" i="15" s="1"/>
  <c r="AF35" i="15" s="1"/>
  <c r="AB36" i="15"/>
  <c r="AC36" i="15" s="1"/>
  <c r="AD36" i="15" s="1"/>
  <c r="AF36" i="15" s="1"/>
  <c r="AB37" i="15"/>
  <c r="AB38" i="15"/>
  <c r="AB39" i="15"/>
  <c r="AB40" i="15"/>
  <c r="AB41" i="15"/>
  <c r="AB42" i="15"/>
  <c r="AB43" i="15"/>
  <c r="AC43" i="15" s="1"/>
  <c r="AD43" i="15" s="1"/>
  <c r="AF43" i="15" s="1"/>
  <c r="AB44" i="15"/>
  <c r="AB45" i="15"/>
  <c r="AC45" i="15" s="1"/>
  <c r="AD45" i="15" s="1"/>
  <c r="AF45" i="15" s="1"/>
  <c r="AB46" i="15"/>
  <c r="AC46" i="15" s="1"/>
  <c r="AD46" i="15" s="1"/>
  <c r="AF46" i="15" s="1"/>
  <c r="AB47" i="15"/>
  <c r="AC47" i="15" s="1"/>
  <c r="AD47" i="15" s="1"/>
  <c r="AF47" i="15" s="1"/>
  <c r="AB48" i="15"/>
  <c r="AC48" i="15" s="1"/>
  <c r="AD48" i="15" s="1"/>
  <c r="AF48" i="15" s="1"/>
  <c r="AB49" i="15"/>
  <c r="AB50" i="15"/>
  <c r="AB51" i="15"/>
  <c r="AB52" i="15"/>
  <c r="AB53" i="15"/>
  <c r="AB54" i="15"/>
  <c r="AB55" i="15"/>
  <c r="AC55" i="15" s="1"/>
  <c r="AD55" i="15" s="1"/>
  <c r="AF55" i="15" s="1"/>
  <c r="AB56" i="15"/>
  <c r="AB57" i="15"/>
  <c r="AC57" i="15" s="1"/>
  <c r="AD57" i="15" s="1"/>
  <c r="AF57" i="15" s="1"/>
  <c r="AB58" i="15"/>
  <c r="AC58" i="15" s="1"/>
  <c r="AD58" i="15" s="1"/>
  <c r="AF58" i="15" s="1"/>
  <c r="AB59" i="15"/>
  <c r="AC59" i="15" s="1"/>
  <c r="AD59" i="15" s="1"/>
  <c r="AF59" i="15" s="1"/>
  <c r="AB60" i="15"/>
  <c r="AC60" i="15" s="1"/>
  <c r="AD60" i="15" s="1"/>
  <c r="AF60" i="15" s="1"/>
  <c r="AB61" i="15"/>
  <c r="AB62" i="15"/>
  <c r="AB63" i="15"/>
  <c r="AB64" i="15"/>
  <c r="AB65" i="15"/>
  <c r="AB66" i="15"/>
  <c r="AB67" i="15"/>
  <c r="AC67" i="15" s="1"/>
  <c r="AD67" i="15" s="1"/>
  <c r="AF67" i="15" s="1"/>
  <c r="AB68" i="15"/>
  <c r="AB69" i="15"/>
  <c r="AC69" i="15" s="1"/>
  <c r="AD69" i="15" s="1"/>
  <c r="AF69" i="15" s="1"/>
  <c r="AB70" i="15"/>
  <c r="AC70" i="15" s="1"/>
  <c r="AD70" i="15" s="1"/>
  <c r="AF70" i="15" s="1"/>
  <c r="AB71" i="15"/>
  <c r="AC71" i="15" s="1"/>
  <c r="AD71" i="15" s="1"/>
  <c r="AF71" i="15" s="1"/>
  <c r="AB72" i="15"/>
  <c r="AC72" i="15" s="1"/>
  <c r="AD72" i="15" s="1"/>
  <c r="AF72" i="15" s="1"/>
  <c r="AB19" i="15"/>
  <c r="AC19" i="15"/>
  <c r="AD19" i="15" s="1"/>
  <c r="AF19" i="15" s="1"/>
  <c r="AV77" i="17"/>
  <c r="AG58" i="17"/>
  <c r="X58" i="17"/>
  <c r="AA58" i="17" s="1"/>
  <c r="AI58" i="17" s="1"/>
  <c r="AK58" i="17" s="1"/>
  <c r="W58" i="17"/>
  <c r="Z58" i="17" s="1"/>
  <c r="AH58" i="17" s="1"/>
  <c r="AJ58" i="17" s="1"/>
  <c r="AG57" i="17"/>
  <c r="X57" i="17"/>
  <c r="AA57" i="17" s="1"/>
  <c r="AI57" i="17" s="1"/>
  <c r="AK57" i="17" s="1"/>
  <c r="W57" i="17"/>
  <c r="Z57" i="17" s="1"/>
  <c r="AH57" i="17" s="1"/>
  <c r="AJ57" i="17" s="1"/>
  <c r="AG56" i="17"/>
  <c r="X56" i="17"/>
  <c r="AA56" i="17" s="1"/>
  <c r="AI56" i="17" s="1"/>
  <c r="AK56" i="17" s="1"/>
  <c r="W56" i="17"/>
  <c r="Z56" i="17" s="1"/>
  <c r="AH56" i="17" s="1"/>
  <c r="AJ56" i="17" s="1"/>
  <c r="AG55" i="17"/>
  <c r="X55" i="17"/>
  <c r="AA55" i="17" s="1"/>
  <c r="AI55" i="17" s="1"/>
  <c r="AK55" i="17" s="1"/>
  <c r="W55" i="17"/>
  <c r="Z55" i="17" s="1"/>
  <c r="AH55" i="17" s="1"/>
  <c r="AJ55" i="17" s="1"/>
  <c r="AG54" i="17"/>
  <c r="X54" i="17"/>
  <c r="AA54" i="17" s="1"/>
  <c r="AI54" i="17" s="1"/>
  <c r="AK54" i="17" s="1"/>
  <c r="W54" i="17"/>
  <c r="Z54" i="17" s="1"/>
  <c r="AH54" i="17" s="1"/>
  <c r="AJ54" i="17" s="1"/>
  <c r="AG53" i="17"/>
  <c r="X53" i="17"/>
  <c r="AA53" i="17" s="1"/>
  <c r="AI53" i="17" s="1"/>
  <c r="AK53" i="17" s="1"/>
  <c r="W53" i="17"/>
  <c r="Z53" i="17" s="1"/>
  <c r="AH53" i="17" s="1"/>
  <c r="AJ53" i="17" s="1"/>
  <c r="M53" i="17"/>
  <c r="AG52" i="17"/>
  <c r="X52" i="17"/>
  <c r="AA52" i="17" s="1"/>
  <c r="AI52" i="17" s="1"/>
  <c r="AK52" i="17" s="1"/>
  <c r="W52" i="17"/>
  <c r="Z52" i="17" s="1"/>
  <c r="AH52" i="17" s="1"/>
  <c r="AJ52" i="17" s="1"/>
  <c r="AG51" i="17"/>
  <c r="AA51" i="17"/>
  <c r="AI51" i="17" s="1"/>
  <c r="AK51" i="17" s="1"/>
  <c r="Z51" i="17"/>
  <c r="AH51" i="17" s="1"/>
  <c r="AJ51" i="17" s="1"/>
  <c r="X51" i="17"/>
  <c r="W51" i="17"/>
  <c r="AG50" i="17"/>
  <c r="X50" i="17"/>
  <c r="AA50" i="17" s="1"/>
  <c r="AI50" i="17" s="1"/>
  <c r="AK50" i="17" s="1"/>
  <c r="W50" i="17"/>
  <c r="Z50" i="17" s="1"/>
  <c r="AH50" i="17" s="1"/>
  <c r="AJ50" i="17" s="1"/>
  <c r="AG49" i="17"/>
  <c r="X49" i="17"/>
  <c r="AA49" i="17" s="1"/>
  <c r="AI49" i="17" s="1"/>
  <c r="AK49" i="17" s="1"/>
  <c r="W49" i="17"/>
  <c r="Z49" i="17" s="1"/>
  <c r="AH49" i="17" s="1"/>
  <c r="AJ49" i="17" s="1"/>
  <c r="AG47" i="17"/>
  <c r="X47" i="17"/>
  <c r="AA47" i="17" s="1"/>
  <c r="AI47" i="17" s="1"/>
  <c r="AK47" i="17" s="1"/>
  <c r="W47" i="17"/>
  <c r="Z47" i="17" s="1"/>
  <c r="AH47" i="17" s="1"/>
  <c r="AJ47" i="17" s="1"/>
  <c r="AG46" i="17"/>
  <c r="X46" i="17"/>
  <c r="AA46" i="17" s="1"/>
  <c r="AI46" i="17" s="1"/>
  <c r="AK46" i="17" s="1"/>
  <c r="W46" i="17"/>
  <c r="Z46" i="17" s="1"/>
  <c r="AH46" i="17" s="1"/>
  <c r="AJ46" i="17" s="1"/>
  <c r="AG45" i="17"/>
  <c r="X45" i="17"/>
  <c r="AA45" i="17" s="1"/>
  <c r="AI45" i="17" s="1"/>
  <c r="AK45" i="17" s="1"/>
  <c r="W45" i="17"/>
  <c r="Z45" i="17" s="1"/>
  <c r="AH45" i="17" s="1"/>
  <c r="AJ45" i="17" s="1"/>
  <c r="AG44" i="17"/>
  <c r="X44" i="17"/>
  <c r="AA44" i="17" s="1"/>
  <c r="AI44" i="17" s="1"/>
  <c r="AK44" i="17" s="1"/>
  <c r="W44" i="17"/>
  <c r="Z44" i="17" s="1"/>
  <c r="AH44" i="17" s="1"/>
  <c r="AJ44" i="17" s="1"/>
  <c r="AG43" i="17"/>
  <c r="X43" i="17"/>
  <c r="AA43" i="17" s="1"/>
  <c r="AI43" i="17" s="1"/>
  <c r="AK43" i="17" s="1"/>
  <c r="W43" i="17"/>
  <c r="Z43" i="17" s="1"/>
  <c r="AH43" i="17" s="1"/>
  <c r="AJ43" i="17" s="1"/>
  <c r="AG42" i="17"/>
  <c r="Z42" i="17"/>
  <c r="AH42" i="17" s="1"/>
  <c r="AJ42" i="17" s="1"/>
  <c r="X42" i="17"/>
  <c r="AA42" i="17" s="1"/>
  <c r="AI42" i="17" s="1"/>
  <c r="AK42" i="17" s="1"/>
  <c r="W42" i="17"/>
  <c r="AG41" i="17"/>
  <c r="X41" i="17"/>
  <c r="AA41" i="17" s="1"/>
  <c r="AI41" i="17" s="1"/>
  <c r="AK41" i="17" s="1"/>
  <c r="W41" i="17"/>
  <c r="Z41" i="17" s="1"/>
  <c r="AH41" i="17" s="1"/>
  <c r="AJ41" i="17" s="1"/>
  <c r="K41" i="17"/>
  <c r="AG40" i="17"/>
  <c r="X40" i="17"/>
  <c r="AA40" i="17" s="1"/>
  <c r="AI40" i="17" s="1"/>
  <c r="AK40" i="17" s="1"/>
  <c r="W40" i="17"/>
  <c r="Z40" i="17" s="1"/>
  <c r="AH40" i="17" s="1"/>
  <c r="AJ40" i="17" s="1"/>
  <c r="AG39" i="17"/>
  <c r="X39" i="17"/>
  <c r="AA39" i="17" s="1"/>
  <c r="AI39" i="17" s="1"/>
  <c r="AK39" i="17" s="1"/>
  <c r="W39" i="17"/>
  <c r="Z39" i="17" s="1"/>
  <c r="AH39" i="17" s="1"/>
  <c r="AJ39" i="17" s="1"/>
  <c r="AH38" i="17"/>
  <c r="AJ38" i="17" s="1"/>
  <c r="AG38" i="17"/>
  <c r="Z38" i="17"/>
  <c r="X38" i="17"/>
  <c r="AA38" i="17" s="1"/>
  <c r="AI38" i="17" s="1"/>
  <c r="AK38" i="17" s="1"/>
  <c r="W38" i="17"/>
  <c r="AG36" i="17"/>
  <c r="X36" i="17"/>
  <c r="AA36" i="17" s="1"/>
  <c r="AI36" i="17" s="1"/>
  <c r="AK36" i="17" s="1"/>
  <c r="W36" i="17"/>
  <c r="Z36" i="17" s="1"/>
  <c r="AH36" i="17" s="1"/>
  <c r="AJ36" i="17" s="1"/>
  <c r="AG35" i="17"/>
  <c r="X35" i="17"/>
  <c r="AA35" i="17" s="1"/>
  <c r="AI35" i="17" s="1"/>
  <c r="AK35" i="17" s="1"/>
  <c r="W35" i="17"/>
  <c r="Z35" i="17" s="1"/>
  <c r="AH35" i="17" s="1"/>
  <c r="AJ35" i="17" s="1"/>
  <c r="AG34" i="17"/>
  <c r="X34" i="17"/>
  <c r="AA34" i="17" s="1"/>
  <c r="AI34" i="17" s="1"/>
  <c r="AK34" i="17" s="1"/>
  <c r="W34" i="17"/>
  <c r="Z34" i="17" s="1"/>
  <c r="AH34" i="17" s="1"/>
  <c r="AJ34" i="17" s="1"/>
  <c r="AG33" i="17"/>
  <c r="X33" i="17"/>
  <c r="AA33" i="17" s="1"/>
  <c r="AI33" i="17" s="1"/>
  <c r="AK33" i="17" s="1"/>
  <c r="W33" i="17"/>
  <c r="Z33" i="17" s="1"/>
  <c r="AH33" i="17" s="1"/>
  <c r="AJ33" i="17" s="1"/>
  <c r="K33" i="17"/>
  <c r="AG32" i="17"/>
  <c r="X32" i="17"/>
  <c r="AA32" i="17" s="1"/>
  <c r="AI32" i="17" s="1"/>
  <c r="AK32" i="17" s="1"/>
  <c r="W32" i="17"/>
  <c r="Z32" i="17" s="1"/>
  <c r="AH32" i="17" s="1"/>
  <c r="AJ32" i="17" s="1"/>
  <c r="AG31" i="17"/>
  <c r="X31" i="17"/>
  <c r="AA31" i="17" s="1"/>
  <c r="AI31" i="17" s="1"/>
  <c r="AK31" i="17" s="1"/>
  <c r="W31" i="17"/>
  <c r="Z31" i="17" s="1"/>
  <c r="AH31" i="17" s="1"/>
  <c r="AJ31" i="17" s="1"/>
  <c r="AG30" i="17"/>
  <c r="X30" i="17"/>
  <c r="AA30" i="17" s="1"/>
  <c r="AI30" i="17" s="1"/>
  <c r="AK30" i="17" s="1"/>
  <c r="W30" i="17"/>
  <c r="Z30" i="17" s="1"/>
  <c r="AH30" i="17" s="1"/>
  <c r="AJ30" i="17" s="1"/>
  <c r="AG29" i="17"/>
  <c r="X29" i="17"/>
  <c r="AA29" i="17" s="1"/>
  <c r="AI29" i="17" s="1"/>
  <c r="AK29" i="17" s="1"/>
  <c r="W29" i="17"/>
  <c r="Z29" i="17" s="1"/>
  <c r="AH29" i="17" s="1"/>
  <c r="AJ29" i="17" s="1"/>
  <c r="AG28" i="17"/>
  <c r="X28" i="17"/>
  <c r="AA28" i="17" s="1"/>
  <c r="AI28" i="17" s="1"/>
  <c r="AK28" i="17" s="1"/>
  <c r="W28" i="17"/>
  <c r="Z28" i="17" s="1"/>
  <c r="AH28" i="17" s="1"/>
  <c r="AJ28" i="17" s="1"/>
  <c r="AG27" i="17"/>
  <c r="X27" i="17"/>
  <c r="AA27" i="17" s="1"/>
  <c r="AI27" i="17" s="1"/>
  <c r="AK27" i="17" s="1"/>
  <c r="W27" i="17"/>
  <c r="Z27" i="17" s="1"/>
  <c r="AH27" i="17" s="1"/>
  <c r="AJ27" i="17" s="1"/>
  <c r="K26" i="17"/>
  <c r="AG25" i="17"/>
  <c r="X25" i="17"/>
  <c r="AA25" i="17" s="1"/>
  <c r="AI25" i="17" s="1"/>
  <c r="AK25" i="17" s="1"/>
  <c r="W25" i="17"/>
  <c r="Z25" i="17" s="1"/>
  <c r="AH25" i="17" s="1"/>
  <c r="AJ25" i="17" s="1"/>
  <c r="AG24" i="17"/>
  <c r="X24" i="17"/>
  <c r="AA24" i="17" s="1"/>
  <c r="AI24" i="17" s="1"/>
  <c r="AK24" i="17" s="1"/>
  <c r="W24" i="17"/>
  <c r="Z24" i="17" s="1"/>
  <c r="AH24" i="17" s="1"/>
  <c r="AJ24" i="17" s="1"/>
  <c r="AG23" i="17"/>
  <c r="AA23" i="17"/>
  <c r="AI23" i="17" s="1"/>
  <c r="AK23" i="17" s="1"/>
  <c r="X23" i="17"/>
  <c r="W23" i="17"/>
  <c r="Z23" i="17" s="1"/>
  <c r="AH23" i="17" s="1"/>
  <c r="AJ23" i="17" s="1"/>
  <c r="AG22" i="17"/>
  <c r="X22" i="17"/>
  <c r="AA22" i="17" s="1"/>
  <c r="AI22" i="17" s="1"/>
  <c r="AK22" i="17" s="1"/>
  <c r="W22" i="17"/>
  <c r="Z22" i="17" s="1"/>
  <c r="AH22" i="17" s="1"/>
  <c r="AJ22" i="17" s="1"/>
  <c r="AG21" i="17"/>
  <c r="X21" i="17"/>
  <c r="AA21" i="17" s="1"/>
  <c r="AI21" i="17" s="1"/>
  <c r="AK21" i="17" s="1"/>
  <c r="W21" i="17"/>
  <c r="Z21" i="17" s="1"/>
  <c r="AH21" i="17" s="1"/>
  <c r="AJ21" i="17" s="1"/>
  <c r="K21" i="17"/>
  <c r="AG20" i="17"/>
  <c r="X20" i="17"/>
  <c r="AA20" i="17" s="1"/>
  <c r="AI20" i="17" s="1"/>
  <c r="AK20" i="17" s="1"/>
  <c r="W20" i="17"/>
  <c r="Z20" i="17" s="1"/>
  <c r="AH20" i="17" s="1"/>
  <c r="AJ20" i="17" s="1"/>
  <c r="AH19" i="17"/>
  <c r="AJ19" i="17" s="1"/>
  <c r="AG19" i="17"/>
  <c r="Z19" i="17"/>
  <c r="X19" i="17"/>
  <c r="AA19" i="17" s="1"/>
  <c r="AI19" i="17" s="1"/>
  <c r="AK19" i="17" s="1"/>
  <c r="W19" i="17"/>
  <c r="AG18" i="17"/>
  <c r="Z18" i="17"/>
  <c r="AH18" i="17" s="1"/>
  <c r="AJ18" i="17" s="1"/>
  <c r="X18" i="17"/>
  <c r="AA18" i="17" s="1"/>
  <c r="AI18" i="17" s="1"/>
  <c r="AK18" i="17" s="1"/>
  <c r="W18" i="17"/>
  <c r="AG17" i="17"/>
  <c r="X17" i="17"/>
  <c r="AA17" i="17" s="1"/>
  <c r="AI17" i="17" s="1"/>
  <c r="AK17" i="17" s="1"/>
  <c r="W17" i="17"/>
  <c r="Z17" i="17" s="1"/>
  <c r="AH17" i="17" s="1"/>
  <c r="AJ17" i="17" s="1"/>
  <c r="AG16" i="17"/>
  <c r="X16" i="17"/>
  <c r="AA16" i="17" s="1"/>
  <c r="AI16" i="17" s="1"/>
  <c r="AK16" i="17" s="1"/>
  <c r="W16" i="17"/>
  <c r="Z16" i="17" s="1"/>
  <c r="AH16" i="17" s="1"/>
  <c r="AJ16" i="17" s="1"/>
  <c r="AH14" i="17"/>
  <c r="AJ14" i="17" s="1"/>
  <c r="AG14" i="17"/>
  <c r="AA14" i="17"/>
  <c r="AI14" i="17" s="1"/>
  <c r="AK14" i="17" s="1"/>
  <c r="Z14" i="17"/>
  <c r="X14" i="17"/>
  <c r="W14" i="17"/>
  <c r="AG13" i="17"/>
  <c r="X13" i="17"/>
  <c r="AA13" i="17" s="1"/>
  <c r="AI13" i="17" s="1"/>
  <c r="AK13" i="17" s="1"/>
  <c r="W13" i="17"/>
  <c r="Z13" i="17" s="1"/>
  <c r="AH13" i="17" s="1"/>
  <c r="AJ13" i="17" s="1"/>
  <c r="AG12" i="17"/>
  <c r="X12" i="17"/>
  <c r="AA12" i="17" s="1"/>
  <c r="AI12" i="17" s="1"/>
  <c r="AK12" i="17" s="1"/>
  <c r="W12" i="17"/>
  <c r="Z12" i="17" s="1"/>
  <c r="AH12" i="17" s="1"/>
  <c r="AJ12" i="17" s="1"/>
  <c r="AG11" i="17"/>
  <c r="X11" i="17"/>
  <c r="AA11" i="17" s="1"/>
  <c r="AI11" i="17" s="1"/>
  <c r="AK11" i="17" s="1"/>
  <c r="W11" i="17"/>
  <c r="Z11" i="17" s="1"/>
  <c r="AH11" i="17" s="1"/>
  <c r="AJ11" i="17" s="1"/>
  <c r="AH10" i="17"/>
  <c r="AJ10" i="17" s="1"/>
  <c r="AG10" i="17"/>
  <c r="AA10" i="17"/>
  <c r="AI10" i="17" s="1"/>
  <c r="AK10" i="17" s="1"/>
  <c r="Z10" i="17"/>
  <c r="X10" i="17"/>
  <c r="W10" i="17"/>
  <c r="AG9" i="17"/>
  <c r="X9" i="17"/>
  <c r="AA9" i="17" s="1"/>
  <c r="AI9" i="17" s="1"/>
  <c r="AK9" i="17" s="1"/>
  <c r="W9" i="17"/>
  <c r="Z9" i="17" s="1"/>
  <c r="AH9" i="17" s="1"/>
  <c r="AJ9" i="17" s="1"/>
  <c r="K9" i="17"/>
  <c r="AG8" i="17"/>
  <c r="X8" i="17"/>
  <c r="AA8" i="17" s="1"/>
  <c r="AI8" i="17" s="1"/>
  <c r="AK8" i="17" s="1"/>
  <c r="W8" i="17"/>
  <c r="Z8" i="17" s="1"/>
  <c r="AH8" i="17" s="1"/>
  <c r="AJ8" i="17" s="1"/>
  <c r="M8" i="17"/>
  <c r="L8" i="17"/>
  <c r="AG7" i="17"/>
  <c r="X7" i="17"/>
  <c r="AA7" i="17" s="1"/>
  <c r="AI7" i="17" s="1"/>
  <c r="AK7" i="17" s="1"/>
  <c r="W7" i="17"/>
  <c r="Z7" i="17" s="1"/>
  <c r="AH7" i="17" s="1"/>
  <c r="AJ7" i="17" s="1"/>
  <c r="AG6" i="17"/>
  <c r="X6" i="17"/>
  <c r="AA6" i="17" s="1"/>
  <c r="AI6" i="17" s="1"/>
  <c r="AK6" i="17" s="1"/>
  <c r="W6" i="17"/>
  <c r="Z6" i="17" s="1"/>
  <c r="AH6" i="17" s="1"/>
  <c r="AJ6" i="17" s="1"/>
  <c r="AH5" i="17"/>
  <c r="AJ5" i="17" s="1"/>
  <c r="AG5" i="17"/>
  <c r="AA5" i="17"/>
  <c r="AI5" i="17" s="1"/>
  <c r="AK5" i="17" s="1"/>
  <c r="Z5" i="17"/>
  <c r="X5" i="17"/>
  <c r="W5" i="17"/>
  <c r="M4" i="17"/>
  <c r="L4" i="17"/>
  <c r="AF29" i="15"/>
  <c r="AF40" i="15"/>
  <c r="AF51" i="15"/>
  <c r="AF62" i="15"/>
  <c r="AD26" i="15"/>
  <c r="AF26" i="15" s="1"/>
  <c r="AD27" i="15"/>
  <c r="AF27" i="15" s="1"/>
  <c r="AD32" i="15"/>
  <c r="AF32" i="15" s="1"/>
  <c r="AD38" i="15"/>
  <c r="AF38" i="15" s="1"/>
  <c r="AD39" i="15"/>
  <c r="AF39" i="15" s="1"/>
  <c r="AD50" i="15"/>
  <c r="AF50" i="15" s="1"/>
  <c r="AD56" i="15"/>
  <c r="AF56" i="15" s="1"/>
  <c r="AC20" i="15"/>
  <c r="AD20" i="15" s="1"/>
  <c r="AF20" i="15" s="1"/>
  <c r="AD25" i="15"/>
  <c r="AF25" i="15" s="1"/>
  <c r="AC26" i="15"/>
  <c r="AC27" i="15"/>
  <c r="AC28" i="15"/>
  <c r="AD28" i="15" s="1"/>
  <c r="AF28" i="15" s="1"/>
  <c r="AC29" i="15"/>
  <c r="AC30" i="15"/>
  <c r="AD30" i="15" s="1"/>
  <c r="AF30" i="15" s="1"/>
  <c r="AC32" i="15"/>
  <c r="AC37" i="15"/>
  <c r="AD37" i="15" s="1"/>
  <c r="AF37" i="15" s="1"/>
  <c r="AC38" i="15"/>
  <c r="AC39" i="15"/>
  <c r="AC40" i="15"/>
  <c r="AC41" i="15"/>
  <c r="AD41" i="15" s="1"/>
  <c r="AF41" i="15" s="1"/>
  <c r="AC42" i="15"/>
  <c r="AD42" i="15" s="1"/>
  <c r="AF42" i="15" s="1"/>
  <c r="AC44" i="15"/>
  <c r="AD44" i="15" s="1"/>
  <c r="AF44" i="15" s="1"/>
  <c r="AC49" i="15"/>
  <c r="AD49" i="15" s="1"/>
  <c r="AF49" i="15" s="1"/>
  <c r="AC50" i="15"/>
  <c r="AC51" i="15"/>
  <c r="AC52" i="15"/>
  <c r="AD52" i="15" s="1"/>
  <c r="AF52" i="15" s="1"/>
  <c r="AC53" i="15"/>
  <c r="AD53" i="15" s="1"/>
  <c r="AF53" i="15" s="1"/>
  <c r="AC54" i="15"/>
  <c r="AD54" i="15" s="1"/>
  <c r="AF54" i="15" s="1"/>
  <c r="AC56" i="15"/>
  <c r="AC61" i="15"/>
  <c r="AD61" i="15" s="1"/>
  <c r="AF61" i="15" s="1"/>
  <c r="AC62" i="15"/>
  <c r="AC63" i="15"/>
  <c r="AD63" i="15" s="1"/>
  <c r="AF63" i="15" s="1"/>
  <c r="AC64" i="15"/>
  <c r="AD64" i="15" s="1"/>
  <c r="AF64" i="15" s="1"/>
  <c r="AC65" i="15"/>
  <c r="AD65" i="15" s="1"/>
  <c r="AF65" i="15" s="1"/>
  <c r="AC66" i="15"/>
  <c r="AD66" i="15" s="1"/>
  <c r="AF66" i="15" s="1"/>
  <c r="AC68" i="15"/>
  <c r="AD68" i="15" s="1"/>
  <c r="AF68" i="15" s="1"/>
  <c r="K30" i="15"/>
  <c r="AI13" i="7"/>
  <c r="I26" i="15"/>
  <c r="Q20" i="15" s="1"/>
  <c r="O20" i="15"/>
  <c r="N20" i="15"/>
  <c r="P20" i="15" s="1"/>
  <c r="M20" i="15"/>
  <c r="Q19" i="15"/>
  <c r="O19" i="15"/>
  <c r="N19" i="15"/>
  <c r="P19" i="15" s="1"/>
  <c r="M19" i="15"/>
  <c r="Q18" i="15"/>
  <c r="O18" i="15"/>
  <c r="N18" i="15"/>
  <c r="P18" i="15" s="1"/>
  <c r="M18" i="15"/>
  <c r="Q17" i="15"/>
  <c r="O17" i="15"/>
  <c r="N17" i="15"/>
  <c r="P17" i="15" s="1"/>
  <c r="M17" i="15"/>
  <c r="Q16" i="15"/>
  <c r="O16" i="15"/>
  <c r="N16" i="15"/>
  <c r="P16" i="15" s="1"/>
  <c r="M16" i="15"/>
  <c r="Q15" i="15"/>
  <c r="P15" i="15"/>
  <c r="O15" i="15"/>
  <c r="N15" i="15"/>
  <c r="M15" i="15"/>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4" i="16"/>
  <c r="O45" i="16"/>
  <c r="O46" i="16"/>
  <c r="O47" i="16"/>
  <c r="O48" i="16"/>
  <c r="O49" i="16"/>
  <c r="O50" i="16"/>
  <c r="O51" i="16"/>
  <c r="O52" i="16"/>
  <c r="O53" i="16"/>
  <c r="O54" i="16"/>
  <c r="O55" i="16"/>
  <c r="O56" i="16"/>
  <c r="O57" i="16"/>
  <c r="O58" i="16"/>
  <c r="O59" i="16"/>
  <c r="O60" i="16"/>
  <c r="O61" i="16"/>
  <c r="O62" i="16"/>
  <c r="O63" i="16"/>
  <c r="O64" i="16"/>
  <c r="O65" i="16"/>
  <c r="O66" i="16"/>
  <c r="O67" i="16"/>
  <c r="O68" i="16"/>
  <c r="O69" i="16"/>
  <c r="O70" i="16"/>
  <c r="O71" i="16"/>
  <c r="O72" i="16"/>
  <c r="O73" i="16"/>
  <c r="O74" i="16"/>
  <c r="O75" i="16"/>
  <c r="O7" i="16"/>
  <c r="H4" i="15" l="1"/>
  <c r="H5" i="15"/>
  <c r="K1" i="15" s="1"/>
  <c r="I5" i="15" s="1"/>
  <c r="J5" i="15" s="1"/>
  <c r="K5" i="15" s="1"/>
  <c r="H6" i="15"/>
  <c r="H7" i="15"/>
  <c r="H8" i="15"/>
  <c r="I7" i="15" l="1"/>
  <c r="J7" i="15" s="1"/>
  <c r="K7" i="15" s="1"/>
  <c r="I4" i="15"/>
  <c r="J4" i="15" s="1"/>
  <c r="K4" i="15" s="1"/>
  <c r="I8" i="15"/>
  <c r="J8" i="15" s="1"/>
  <c r="K8" i="15" s="1"/>
  <c r="I6" i="15"/>
  <c r="J6" i="15" s="1"/>
  <c r="K6" i="15" s="1"/>
  <c r="H22" i="14"/>
  <c r="I22" i="14"/>
  <c r="H23" i="14"/>
  <c r="I23" i="14"/>
  <c r="H24" i="14"/>
  <c r="I24" i="14"/>
  <c r="H25" i="14"/>
  <c r="I25" i="14"/>
  <c r="I21" i="14"/>
  <c r="H21" i="14"/>
  <c r="AV77" i="7"/>
  <c r="U51" i="12" l="1"/>
  <c r="T51" i="12"/>
  <c r="S51" i="12"/>
  <c r="U50" i="12"/>
  <c r="T50" i="12"/>
  <c r="S50" i="12"/>
  <c r="U49" i="12"/>
  <c r="T49" i="12"/>
  <c r="S49" i="12"/>
  <c r="U48" i="12"/>
  <c r="T48" i="12"/>
  <c r="S48" i="12"/>
  <c r="U47" i="12"/>
  <c r="T47" i="12"/>
  <c r="S47" i="12"/>
  <c r="U46" i="12"/>
  <c r="T46" i="12"/>
  <c r="S46" i="12"/>
  <c r="R51" i="12"/>
  <c r="Q51" i="12"/>
  <c r="P51" i="12"/>
  <c r="R50" i="12"/>
  <c r="Q50" i="12"/>
  <c r="P50" i="12"/>
  <c r="R49" i="12"/>
  <c r="Q49" i="12"/>
  <c r="P49" i="12"/>
  <c r="R48" i="12"/>
  <c r="Q48" i="12"/>
  <c r="P48" i="12"/>
  <c r="R47" i="12"/>
  <c r="Q47" i="12"/>
  <c r="P47" i="12"/>
  <c r="R46" i="12"/>
  <c r="Q46" i="12"/>
  <c r="P46" i="12"/>
  <c r="O51" i="12"/>
  <c r="N51" i="12"/>
  <c r="M51" i="12"/>
  <c r="O50" i="12"/>
  <c r="N50" i="12"/>
  <c r="M50" i="12"/>
  <c r="O49" i="12"/>
  <c r="N49" i="12"/>
  <c r="M49" i="12"/>
  <c r="O48" i="12"/>
  <c r="N48" i="12"/>
  <c r="M48" i="12"/>
  <c r="O47" i="12"/>
  <c r="N47" i="12"/>
  <c r="M47" i="12"/>
  <c r="O46" i="12"/>
  <c r="N46" i="12"/>
  <c r="M46" i="12"/>
  <c r="L51" i="12"/>
  <c r="K51" i="12"/>
  <c r="J51" i="12"/>
  <c r="L50" i="12"/>
  <c r="K50" i="12"/>
  <c r="J50" i="12"/>
  <c r="L49" i="12"/>
  <c r="K49" i="12"/>
  <c r="J49" i="12"/>
  <c r="L48" i="12"/>
  <c r="K48" i="12"/>
  <c r="J48" i="12"/>
  <c r="L47" i="12"/>
  <c r="K47" i="12"/>
  <c r="J47" i="12"/>
  <c r="L46" i="12"/>
  <c r="K46" i="12"/>
  <c r="J46" i="12"/>
  <c r="I51" i="12"/>
  <c r="H51" i="12"/>
  <c r="G51" i="12"/>
  <c r="I50" i="12"/>
  <c r="H50" i="12"/>
  <c r="G50" i="12"/>
  <c r="I49" i="12"/>
  <c r="H49" i="12"/>
  <c r="G49" i="12"/>
  <c r="I48" i="12"/>
  <c r="H48" i="12"/>
  <c r="G48" i="12"/>
  <c r="I47" i="12"/>
  <c r="H47" i="12"/>
  <c r="G47" i="12"/>
  <c r="I46" i="12"/>
  <c r="H46" i="12"/>
  <c r="G46" i="12"/>
  <c r="U30" i="12"/>
  <c r="T30" i="12"/>
  <c r="S30" i="12"/>
  <c r="U29" i="12"/>
  <c r="T29" i="12"/>
  <c r="S29" i="12"/>
  <c r="U28" i="12"/>
  <c r="T28" i="12"/>
  <c r="S28" i="12"/>
  <c r="U27" i="12"/>
  <c r="T27" i="12"/>
  <c r="S27" i="12"/>
  <c r="U26" i="12"/>
  <c r="T26" i="12"/>
  <c r="S26" i="12"/>
  <c r="U25" i="12"/>
  <c r="T25" i="12"/>
  <c r="S25" i="12"/>
  <c r="R30" i="12"/>
  <c r="Q30" i="12"/>
  <c r="P30" i="12"/>
  <c r="R29" i="12"/>
  <c r="Q29" i="12"/>
  <c r="P29" i="12"/>
  <c r="R28" i="12"/>
  <c r="Q28" i="12"/>
  <c r="P28" i="12"/>
  <c r="R27" i="12"/>
  <c r="Q27" i="12"/>
  <c r="P27" i="12"/>
  <c r="R26" i="12"/>
  <c r="Q26" i="12"/>
  <c r="P26" i="12"/>
  <c r="R25" i="12"/>
  <c r="Q25" i="12"/>
  <c r="P25" i="12"/>
  <c r="O30" i="12"/>
  <c r="N30" i="12"/>
  <c r="M30" i="12"/>
  <c r="O29" i="12"/>
  <c r="N29" i="12"/>
  <c r="M29" i="12"/>
  <c r="O28" i="12"/>
  <c r="N28" i="12"/>
  <c r="M28" i="12"/>
  <c r="O27" i="12"/>
  <c r="N27" i="12"/>
  <c r="M27" i="12"/>
  <c r="O26" i="12"/>
  <c r="N26" i="12"/>
  <c r="M26" i="12"/>
  <c r="O25" i="12"/>
  <c r="N25" i="12"/>
  <c r="M25" i="12"/>
  <c r="L30" i="12"/>
  <c r="K30" i="12"/>
  <c r="J30" i="12"/>
  <c r="L29" i="12"/>
  <c r="K29" i="12"/>
  <c r="J29" i="12"/>
  <c r="L28" i="12"/>
  <c r="K28" i="12"/>
  <c r="J28" i="12"/>
  <c r="L27" i="12"/>
  <c r="K27" i="12"/>
  <c r="J27" i="12"/>
  <c r="L26" i="12"/>
  <c r="K26" i="12"/>
  <c r="J26" i="12"/>
  <c r="L25" i="12"/>
  <c r="K25" i="12"/>
  <c r="J25" i="12"/>
  <c r="I30" i="12"/>
  <c r="I29" i="12"/>
  <c r="I28" i="12"/>
  <c r="I27" i="12"/>
  <c r="I26" i="12"/>
  <c r="I25" i="12"/>
  <c r="H30" i="12"/>
  <c r="H29" i="12"/>
  <c r="H28" i="12"/>
  <c r="H27" i="12"/>
  <c r="H26" i="12"/>
  <c r="H25" i="12"/>
  <c r="G30" i="12"/>
  <c r="G29" i="12"/>
  <c r="G28" i="12"/>
  <c r="G27" i="12"/>
  <c r="G26" i="12"/>
  <c r="G25" i="12"/>
  <c r="AH5" i="7"/>
  <c r="K26" i="7"/>
  <c r="AG6" i="7"/>
  <c r="AG7" i="7"/>
  <c r="AG8" i="7"/>
  <c r="AG9" i="7"/>
  <c r="AG10" i="7"/>
  <c r="AG11" i="7"/>
  <c r="AG12" i="7"/>
  <c r="AG13" i="7"/>
  <c r="AG14" i="7"/>
  <c r="AG16" i="7"/>
  <c r="AG17" i="7"/>
  <c r="AG18" i="7"/>
  <c r="AG19" i="7"/>
  <c r="AG20" i="7"/>
  <c r="AG21" i="7"/>
  <c r="AG22" i="7"/>
  <c r="AG23" i="7"/>
  <c r="AG24" i="7"/>
  <c r="AG25" i="7"/>
  <c r="AG27" i="7"/>
  <c r="AG28" i="7"/>
  <c r="AG29" i="7"/>
  <c r="AG30" i="7"/>
  <c r="AG31" i="7"/>
  <c r="AG32" i="7"/>
  <c r="AG33" i="7"/>
  <c r="AG34" i="7"/>
  <c r="AG35" i="7"/>
  <c r="AG36" i="7"/>
  <c r="AG38" i="7"/>
  <c r="AG39" i="7"/>
  <c r="AG40" i="7"/>
  <c r="AG41" i="7"/>
  <c r="AG42" i="7"/>
  <c r="AG43" i="7"/>
  <c r="AG44" i="7"/>
  <c r="AG45" i="7"/>
  <c r="AG46" i="7"/>
  <c r="AG47" i="7"/>
  <c r="AG49" i="7"/>
  <c r="AG50" i="7"/>
  <c r="AG51" i="7"/>
  <c r="AG52" i="7"/>
  <c r="AG53" i="7"/>
  <c r="AG54" i="7"/>
  <c r="AG55" i="7"/>
  <c r="AG56" i="7"/>
  <c r="AG57" i="7"/>
  <c r="AG58" i="7"/>
  <c r="AG5" i="7"/>
  <c r="AH57" i="7"/>
  <c r="AJ57" i="7" s="1"/>
  <c r="AI57" i="7"/>
  <c r="AK57" i="7" s="1"/>
  <c r="AI19" i="7"/>
  <c r="AK19" i="7" s="1"/>
  <c r="K9" i="7"/>
  <c r="W52" i="10"/>
  <c r="W53" i="10"/>
  <c r="W54" i="10"/>
  <c r="W55" i="10"/>
  <c r="W56" i="10"/>
  <c r="W57" i="10"/>
  <c r="W58" i="10"/>
  <c r="W59" i="10"/>
  <c r="W60" i="10"/>
  <c r="W61" i="10"/>
  <c r="P86" i="12"/>
  <c r="K86" i="12"/>
  <c r="N86" i="12"/>
  <c r="L4" i="7"/>
  <c r="M53" i="7"/>
  <c r="K41" i="7"/>
  <c r="K33" i="7"/>
  <c r="K21" i="7"/>
  <c r="Z18" i="7"/>
  <c r="AH18" i="7" s="1"/>
  <c r="AJ18" i="7" s="1"/>
  <c r="AA18" i="7"/>
  <c r="AI18" i="7" s="1"/>
  <c r="AK18" i="7" s="1"/>
  <c r="Z19" i="7"/>
  <c r="AH19" i="7" s="1"/>
  <c r="AJ19" i="7" s="1"/>
  <c r="AA24" i="7"/>
  <c r="AI24" i="7" s="1"/>
  <c r="AK24" i="7" s="1"/>
  <c r="Z30" i="7"/>
  <c r="AH30" i="7" s="1"/>
  <c r="AJ30" i="7" s="1"/>
  <c r="AA30" i="7"/>
  <c r="AI30" i="7" s="1"/>
  <c r="AK30" i="7" s="1"/>
  <c r="Z44" i="7"/>
  <c r="AH44" i="7" s="1"/>
  <c r="AJ44" i="7" s="1"/>
  <c r="AA44" i="7"/>
  <c r="AI44" i="7" s="1"/>
  <c r="AK44" i="7" s="1"/>
  <c r="AA49" i="7"/>
  <c r="AI49" i="7" s="1"/>
  <c r="AK49" i="7" s="1"/>
  <c r="AA54" i="7"/>
  <c r="AI54" i="7" s="1"/>
  <c r="AK54" i="7" s="1"/>
  <c r="AA56" i="7"/>
  <c r="AI56" i="7" s="1"/>
  <c r="AK56" i="7" s="1"/>
  <c r="X58" i="7"/>
  <c r="AA58" i="7" s="1"/>
  <c r="AI58" i="7" s="1"/>
  <c r="AK58" i="7" s="1"/>
  <c r="W58" i="7"/>
  <c r="Z58" i="7" s="1"/>
  <c r="AH58" i="7" s="1"/>
  <c r="AJ58" i="7" s="1"/>
  <c r="X57" i="7"/>
  <c r="AA57" i="7" s="1"/>
  <c r="W57" i="7"/>
  <c r="Z57" i="7" s="1"/>
  <c r="X56" i="7"/>
  <c r="W56" i="7"/>
  <c r="Z56" i="7" s="1"/>
  <c r="AH56" i="7" s="1"/>
  <c r="AJ56" i="7" s="1"/>
  <c r="X55" i="7"/>
  <c r="AA55" i="7" s="1"/>
  <c r="AI55" i="7" s="1"/>
  <c r="AK55" i="7" s="1"/>
  <c r="W55" i="7"/>
  <c r="Z55" i="7" s="1"/>
  <c r="AH55" i="7" s="1"/>
  <c r="AJ55" i="7" s="1"/>
  <c r="X54" i="7"/>
  <c r="W54" i="7"/>
  <c r="Z54" i="7" s="1"/>
  <c r="AH54" i="7" s="1"/>
  <c r="AJ54" i="7" s="1"/>
  <c r="X53" i="7"/>
  <c r="AA53" i="7" s="1"/>
  <c r="AI53" i="7" s="1"/>
  <c r="AK53" i="7" s="1"/>
  <c r="W53" i="7"/>
  <c r="Z53" i="7" s="1"/>
  <c r="AH53" i="7" s="1"/>
  <c r="AJ53" i="7" s="1"/>
  <c r="X52" i="7"/>
  <c r="AA52" i="7" s="1"/>
  <c r="AI52" i="7" s="1"/>
  <c r="AK52" i="7" s="1"/>
  <c r="W52" i="7"/>
  <c r="Z52" i="7" s="1"/>
  <c r="AH52" i="7" s="1"/>
  <c r="AJ52" i="7" s="1"/>
  <c r="X51" i="7"/>
  <c r="AA51" i="7" s="1"/>
  <c r="AI51" i="7" s="1"/>
  <c r="AK51" i="7" s="1"/>
  <c r="W51" i="7"/>
  <c r="Z51" i="7" s="1"/>
  <c r="AH51" i="7" s="1"/>
  <c r="AJ51" i="7" s="1"/>
  <c r="X50" i="7"/>
  <c r="AA50" i="7" s="1"/>
  <c r="AI50" i="7" s="1"/>
  <c r="AK50" i="7" s="1"/>
  <c r="W50" i="7"/>
  <c r="Z50" i="7" s="1"/>
  <c r="AH50" i="7" s="1"/>
  <c r="AJ50" i="7" s="1"/>
  <c r="X49" i="7"/>
  <c r="W49" i="7"/>
  <c r="Z49" i="7" s="1"/>
  <c r="AH49" i="7" s="1"/>
  <c r="AJ49" i="7" s="1"/>
  <c r="X47" i="7"/>
  <c r="AA47" i="7" s="1"/>
  <c r="AI47" i="7" s="1"/>
  <c r="AK47" i="7" s="1"/>
  <c r="W47" i="7"/>
  <c r="Z47" i="7" s="1"/>
  <c r="AH47" i="7" s="1"/>
  <c r="AJ47" i="7" s="1"/>
  <c r="X46" i="7"/>
  <c r="AA46" i="7" s="1"/>
  <c r="AI46" i="7" s="1"/>
  <c r="AK46" i="7" s="1"/>
  <c r="W46" i="7"/>
  <c r="Z46" i="7" s="1"/>
  <c r="AH46" i="7" s="1"/>
  <c r="AJ46" i="7" s="1"/>
  <c r="X45" i="7"/>
  <c r="AA45" i="7" s="1"/>
  <c r="AI45" i="7" s="1"/>
  <c r="AK45" i="7" s="1"/>
  <c r="W45" i="7"/>
  <c r="Z45" i="7" s="1"/>
  <c r="AH45" i="7" s="1"/>
  <c r="AJ45" i="7" s="1"/>
  <c r="X44" i="7"/>
  <c r="W44" i="7"/>
  <c r="X43" i="7"/>
  <c r="AA43" i="7" s="1"/>
  <c r="AI43" i="7" s="1"/>
  <c r="AK43" i="7" s="1"/>
  <c r="W43" i="7"/>
  <c r="Z43" i="7" s="1"/>
  <c r="AH43" i="7" s="1"/>
  <c r="AJ43" i="7" s="1"/>
  <c r="X42" i="7"/>
  <c r="AA42" i="7" s="1"/>
  <c r="AI42" i="7" s="1"/>
  <c r="AK42" i="7" s="1"/>
  <c r="W42" i="7"/>
  <c r="Z42" i="7" s="1"/>
  <c r="AH42" i="7" s="1"/>
  <c r="AJ42" i="7" s="1"/>
  <c r="X41" i="7"/>
  <c r="AA41" i="7" s="1"/>
  <c r="AI41" i="7" s="1"/>
  <c r="AK41" i="7" s="1"/>
  <c r="W41" i="7"/>
  <c r="Z41" i="7" s="1"/>
  <c r="AH41" i="7" s="1"/>
  <c r="AJ41" i="7" s="1"/>
  <c r="X40" i="7"/>
  <c r="AA40" i="7" s="1"/>
  <c r="AI40" i="7" s="1"/>
  <c r="AK40" i="7" s="1"/>
  <c r="W40" i="7"/>
  <c r="Z40" i="7" s="1"/>
  <c r="AH40" i="7" s="1"/>
  <c r="AJ40" i="7" s="1"/>
  <c r="X39" i="7"/>
  <c r="AA39" i="7" s="1"/>
  <c r="AI39" i="7" s="1"/>
  <c r="AK39" i="7" s="1"/>
  <c r="W39" i="7"/>
  <c r="Z39" i="7" s="1"/>
  <c r="AH39" i="7" s="1"/>
  <c r="AJ39" i="7" s="1"/>
  <c r="X38" i="7"/>
  <c r="AA38" i="7" s="1"/>
  <c r="AI38" i="7" s="1"/>
  <c r="AK38" i="7" s="1"/>
  <c r="W38" i="7"/>
  <c r="Z38" i="7" s="1"/>
  <c r="AH38" i="7" s="1"/>
  <c r="AJ38" i="7" s="1"/>
  <c r="X36" i="7"/>
  <c r="AA36" i="7" s="1"/>
  <c r="AI36" i="7" s="1"/>
  <c r="AK36" i="7" s="1"/>
  <c r="W36" i="7"/>
  <c r="Z36" i="7" s="1"/>
  <c r="AH36" i="7" s="1"/>
  <c r="AJ36" i="7" s="1"/>
  <c r="X35" i="7"/>
  <c r="AA35" i="7" s="1"/>
  <c r="AI35" i="7" s="1"/>
  <c r="AK35" i="7" s="1"/>
  <c r="W35" i="7"/>
  <c r="Z35" i="7" s="1"/>
  <c r="AH35" i="7" s="1"/>
  <c r="AJ35" i="7" s="1"/>
  <c r="X34" i="7"/>
  <c r="AA34" i="7" s="1"/>
  <c r="AI34" i="7" s="1"/>
  <c r="AK34" i="7" s="1"/>
  <c r="W34" i="7"/>
  <c r="Z34" i="7" s="1"/>
  <c r="AH34" i="7" s="1"/>
  <c r="AJ34" i="7" s="1"/>
  <c r="X33" i="7"/>
  <c r="AA33" i="7" s="1"/>
  <c r="AI33" i="7" s="1"/>
  <c r="AK33" i="7" s="1"/>
  <c r="W33" i="7"/>
  <c r="Z33" i="7" s="1"/>
  <c r="AH33" i="7" s="1"/>
  <c r="AJ33" i="7" s="1"/>
  <c r="X32" i="7"/>
  <c r="AA32" i="7" s="1"/>
  <c r="AI32" i="7" s="1"/>
  <c r="AK32" i="7" s="1"/>
  <c r="W32" i="7"/>
  <c r="Z32" i="7" s="1"/>
  <c r="AH32" i="7" s="1"/>
  <c r="AJ32" i="7" s="1"/>
  <c r="X31" i="7"/>
  <c r="AA31" i="7" s="1"/>
  <c r="AI31" i="7" s="1"/>
  <c r="AK31" i="7" s="1"/>
  <c r="W31" i="7"/>
  <c r="Z31" i="7" s="1"/>
  <c r="AH31" i="7" s="1"/>
  <c r="AJ31" i="7" s="1"/>
  <c r="X30" i="7"/>
  <c r="W30" i="7"/>
  <c r="X29" i="7"/>
  <c r="AA29" i="7" s="1"/>
  <c r="AI29" i="7" s="1"/>
  <c r="AK29" i="7" s="1"/>
  <c r="W29" i="7"/>
  <c r="Z29" i="7" s="1"/>
  <c r="AH29" i="7" s="1"/>
  <c r="AJ29" i="7" s="1"/>
  <c r="X28" i="7"/>
  <c r="AA28" i="7" s="1"/>
  <c r="AI28" i="7" s="1"/>
  <c r="AK28" i="7" s="1"/>
  <c r="W28" i="7"/>
  <c r="Z28" i="7" s="1"/>
  <c r="AH28" i="7" s="1"/>
  <c r="AJ28" i="7" s="1"/>
  <c r="X27" i="7"/>
  <c r="AA27" i="7" s="1"/>
  <c r="AI27" i="7" s="1"/>
  <c r="AK27" i="7" s="1"/>
  <c r="W27" i="7"/>
  <c r="Z27" i="7" s="1"/>
  <c r="AH27" i="7" s="1"/>
  <c r="AJ27" i="7" s="1"/>
  <c r="X21" i="7"/>
  <c r="AA21" i="7" s="1"/>
  <c r="AI21" i="7" s="1"/>
  <c r="AK21" i="7" s="1"/>
  <c r="W21" i="7"/>
  <c r="Z21" i="7" s="1"/>
  <c r="AH21" i="7" s="1"/>
  <c r="AJ21" i="7" s="1"/>
  <c r="X16" i="7"/>
  <c r="AA16" i="7" s="1"/>
  <c r="AI16" i="7" s="1"/>
  <c r="AK16" i="7" s="1"/>
  <c r="W16" i="7"/>
  <c r="Z16" i="7" s="1"/>
  <c r="AH16" i="7" s="1"/>
  <c r="AJ16" i="7" s="1"/>
  <c r="X25" i="7"/>
  <c r="AA25" i="7" s="1"/>
  <c r="AI25" i="7" s="1"/>
  <c r="AK25" i="7" s="1"/>
  <c r="W25" i="7"/>
  <c r="Z25" i="7" s="1"/>
  <c r="AH25" i="7" s="1"/>
  <c r="AJ25" i="7" s="1"/>
  <c r="X24" i="7"/>
  <c r="W24" i="7"/>
  <c r="Z24" i="7" s="1"/>
  <c r="AH24" i="7" s="1"/>
  <c r="AJ24" i="7" s="1"/>
  <c r="X23" i="7"/>
  <c r="AA23" i="7" s="1"/>
  <c r="AI23" i="7" s="1"/>
  <c r="AK23" i="7" s="1"/>
  <c r="W23" i="7"/>
  <c r="Z23" i="7" s="1"/>
  <c r="AH23" i="7" s="1"/>
  <c r="AJ23" i="7" s="1"/>
  <c r="X22" i="7"/>
  <c r="AA22" i="7" s="1"/>
  <c r="AI22" i="7" s="1"/>
  <c r="AK22" i="7" s="1"/>
  <c r="W22" i="7"/>
  <c r="Z22" i="7" s="1"/>
  <c r="AH22" i="7" s="1"/>
  <c r="AJ22" i="7" s="1"/>
  <c r="X20" i="7"/>
  <c r="AA20" i="7" s="1"/>
  <c r="AI20" i="7" s="1"/>
  <c r="AK20" i="7" s="1"/>
  <c r="W20" i="7"/>
  <c r="Z20" i="7" s="1"/>
  <c r="AH20" i="7" s="1"/>
  <c r="AJ20" i="7" s="1"/>
  <c r="X19" i="7"/>
  <c r="AA19" i="7" s="1"/>
  <c r="W19" i="7"/>
  <c r="X18" i="7"/>
  <c r="W18" i="7"/>
  <c r="X17" i="7"/>
  <c r="AA17" i="7" s="1"/>
  <c r="AI17" i="7" s="1"/>
  <c r="AK17" i="7" s="1"/>
  <c r="W17" i="7"/>
  <c r="Z17" i="7" s="1"/>
  <c r="AH17" i="7" s="1"/>
  <c r="AJ17" i="7" s="1"/>
  <c r="W11" i="7"/>
  <c r="Z11" i="7" s="1"/>
  <c r="AH11" i="7" s="1"/>
  <c r="AJ11" i="7" s="1"/>
  <c r="X11" i="7"/>
  <c r="AA11" i="7" s="1"/>
  <c r="AI11" i="7" s="1"/>
  <c r="AK11" i="7" s="1"/>
  <c r="W12" i="7"/>
  <c r="Z12" i="7" s="1"/>
  <c r="AH12" i="7" s="1"/>
  <c r="AJ12" i="7" s="1"/>
  <c r="X12" i="7"/>
  <c r="AA12" i="7" s="1"/>
  <c r="AI12" i="7" s="1"/>
  <c r="AK12" i="7" s="1"/>
  <c r="W13" i="7"/>
  <c r="Z13" i="7" s="1"/>
  <c r="AH13" i="7" s="1"/>
  <c r="AJ13" i="7" s="1"/>
  <c r="X13" i="7"/>
  <c r="AA13" i="7" s="1"/>
  <c r="AK13" i="7" s="1"/>
  <c r="W14" i="7"/>
  <c r="Z14" i="7" s="1"/>
  <c r="AH14" i="7" s="1"/>
  <c r="AJ14" i="7" s="1"/>
  <c r="X14" i="7"/>
  <c r="AA14" i="7" s="1"/>
  <c r="AI14" i="7" s="1"/>
  <c r="AK14" i="7" s="1"/>
  <c r="X10" i="7"/>
  <c r="AA10" i="7" s="1"/>
  <c r="AI10" i="7" s="1"/>
  <c r="AK10" i="7" s="1"/>
  <c r="W10" i="7"/>
  <c r="Z10" i="7" s="1"/>
  <c r="AH10" i="7" s="1"/>
  <c r="AJ10" i="7" s="1"/>
  <c r="W6" i="7"/>
  <c r="Z6" i="7" s="1"/>
  <c r="AH6" i="7" s="1"/>
  <c r="AJ6" i="7" s="1"/>
  <c r="X6" i="7"/>
  <c r="AA6" i="7" s="1"/>
  <c r="AI6" i="7" s="1"/>
  <c r="AK6" i="7" s="1"/>
  <c r="W7" i="7"/>
  <c r="Z7" i="7" s="1"/>
  <c r="AH7" i="7" s="1"/>
  <c r="AJ7" i="7" s="1"/>
  <c r="X7" i="7"/>
  <c r="AA7" i="7" s="1"/>
  <c r="AI7" i="7" s="1"/>
  <c r="AK7" i="7" s="1"/>
  <c r="W8" i="7"/>
  <c r="Z8" i="7" s="1"/>
  <c r="AH8" i="7" s="1"/>
  <c r="AJ8" i="7" s="1"/>
  <c r="X8" i="7"/>
  <c r="AA8" i="7" s="1"/>
  <c r="AI8" i="7" s="1"/>
  <c r="AK8" i="7" s="1"/>
  <c r="W9" i="7"/>
  <c r="Z9" i="7" s="1"/>
  <c r="AH9" i="7" s="1"/>
  <c r="AJ9" i="7" s="1"/>
  <c r="X9" i="7"/>
  <c r="AA9" i="7" s="1"/>
  <c r="AI9" i="7" s="1"/>
  <c r="AK9" i="7" s="1"/>
  <c r="X5" i="7"/>
  <c r="AA5" i="7" s="1"/>
  <c r="AI5" i="7" s="1"/>
  <c r="AK5" i="7" s="1"/>
  <c r="W5" i="7"/>
  <c r="Z5" i="7" s="1"/>
  <c r="M8" i="7"/>
  <c r="L8" i="7"/>
  <c r="M4" i="7"/>
  <c r="Q68" i="10"/>
  <c r="R68" i="10"/>
  <c r="S68" i="10"/>
  <c r="T68" i="10"/>
  <c r="U68" i="10"/>
  <c r="V68" i="10"/>
  <c r="W68" i="10"/>
  <c r="X68" i="10"/>
  <c r="Q69" i="10"/>
  <c r="R69" i="10"/>
  <c r="S69" i="10"/>
  <c r="T69" i="10"/>
  <c r="U69" i="10"/>
  <c r="V69" i="10"/>
  <c r="W69" i="10"/>
  <c r="X69" i="10"/>
  <c r="Q70" i="10"/>
  <c r="R70" i="10"/>
  <c r="S70" i="10"/>
  <c r="T70" i="10"/>
  <c r="U70" i="10"/>
  <c r="V70" i="10"/>
  <c r="W70" i="10"/>
  <c r="X70" i="10"/>
  <c r="Q71" i="10"/>
  <c r="R71" i="10"/>
  <c r="S71" i="10"/>
  <c r="T71" i="10"/>
  <c r="U71" i="10"/>
  <c r="V71" i="10"/>
  <c r="W71" i="10"/>
  <c r="X71" i="10"/>
  <c r="Q72" i="10"/>
  <c r="R72" i="10"/>
  <c r="S72" i="10"/>
  <c r="T72" i="10"/>
  <c r="U72" i="10"/>
  <c r="V72" i="10"/>
  <c r="W72" i="10"/>
  <c r="X72" i="10"/>
  <c r="Q73" i="10"/>
  <c r="R73" i="10"/>
  <c r="S73" i="10"/>
  <c r="T73" i="10"/>
  <c r="U73" i="10"/>
  <c r="V73" i="10"/>
  <c r="W73" i="10"/>
  <c r="X73" i="10"/>
  <c r="Q74" i="10"/>
  <c r="R74" i="10"/>
  <c r="S74" i="10"/>
  <c r="T74" i="10"/>
  <c r="U74" i="10"/>
  <c r="V74" i="10"/>
  <c r="W74" i="10"/>
  <c r="X74" i="10"/>
  <c r="Q75" i="10"/>
  <c r="R75" i="10"/>
  <c r="S75" i="10"/>
  <c r="T75" i="10"/>
  <c r="U75" i="10"/>
  <c r="V75" i="10"/>
  <c r="W75" i="10"/>
  <c r="X75" i="10"/>
  <c r="Q76" i="10"/>
  <c r="R76" i="10"/>
  <c r="S76" i="10"/>
  <c r="T76" i="10"/>
  <c r="U76" i="10"/>
  <c r="V76" i="10"/>
  <c r="W76" i="10"/>
  <c r="X76" i="10"/>
  <c r="W67" i="10"/>
  <c r="X67" i="10"/>
  <c r="R67" i="10"/>
  <c r="S67" i="10"/>
  <c r="T67" i="10"/>
  <c r="U67" i="10"/>
  <c r="V67" i="10"/>
  <c r="Q67" i="10"/>
  <c r="Q53" i="10"/>
  <c r="R53" i="10"/>
  <c r="S53" i="10"/>
  <c r="T53" i="10"/>
  <c r="U53" i="10"/>
  <c r="V53" i="10"/>
  <c r="Q54" i="10"/>
  <c r="R54" i="10"/>
  <c r="S54" i="10"/>
  <c r="T54" i="10"/>
  <c r="U54" i="10"/>
  <c r="V54" i="10"/>
  <c r="Q55" i="10"/>
  <c r="R55" i="10"/>
  <c r="S55" i="10"/>
  <c r="T55" i="10"/>
  <c r="U55" i="10"/>
  <c r="V55" i="10"/>
  <c r="Q56" i="10"/>
  <c r="R56" i="10"/>
  <c r="S56" i="10"/>
  <c r="T56" i="10"/>
  <c r="U56" i="10"/>
  <c r="V56" i="10"/>
  <c r="Q57" i="10"/>
  <c r="R57" i="10"/>
  <c r="S57" i="10"/>
  <c r="T57" i="10"/>
  <c r="U57" i="10"/>
  <c r="V57" i="10"/>
  <c r="Q58" i="10"/>
  <c r="R58" i="10"/>
  <c r="S58" i="10"/>
  <c r="T58" i="10"/>
  <c r="U58" i="10"/>
  <c r="V58" i="10"/>
  <c r="Q59" i="10"/>
  <c r="R59" i="10"/>
  <c r="S59" i="10"/>
  <c r="T59" i="10"/>
  <c r="U59" i="10"/>
  <c r="V59" i="10"/>
  <c r="Q60" i="10"/>
  <c r="R60" i="10"/>
  <c r="S60" i="10"/>
  <c r="T60" i="10"/>
  <c r="U60" i="10"/>
  <c r="V60" i="10"/>
  <c r="Q61" i="10"/>
  <c r="R61" i="10"/>
  <c r="S61" i="10"/>
  <c r="T61" i="10"/>
  <c r="U61" i="10"/>
  <c r="V61" i="10"/>
  <c r="R52" i="10"/>
  <c r="S52" i="10"/>
  <c r="T52" i="10"/>
  <c r="U52" i="10"/>
  <c r="V52" i="10"/>
  <c r="Q52" i="10"/>
  <c r="R37" i="10"/>
  <c r="S37" i="10"/>
  <c r="T37" i="10"/>
  <c r="U37" i="10"/>
  <c r="V37" i="10"/>
  <c r="R38" i="10"/>
  <c r="S38" i="10"/>
  <c r="T38" i="10"/>
  <c r="U38" i="10"/>
  <c r="V38" i="10"/>
  <c r="R39" i="10"/>
  <c r="S39" i="10"/>
  <c r="T39" i="10"/>
  <c r="U39" i="10"/>
  <c r="V39" i="10"/>
  <c r="R40" i="10"/>
  <c r="S40" i="10"/>
  <c r="T40" i="10"/>
  <c r="U40" i="10"/>
  <c r="V40" i="10"/>
  <c r="R41" i="10"/>
  <c r="S41" i="10"/>
  <c r="T41" i="10"/>
  <c r="U41" i="10"/>
  <c r="V41" i="10"/>
  <c r="R42" i="10"/>
  <c r="S42" i="10"/>
  <c r="T42" i="10"/>
  <c r="U42" i="10"/>
  <c r="V42" i="10"/>
  <c r="R43" i="10"/>
  <c r="S43" i="10"/>
  <c r="T43" i="10"/>
  <c r="U43" i="10"/>
  <c r="V43" i="10"/>
  <c r="R44" i="10"/>
  <c r="S44" i="10"/>
  <c r="T44" i="10"/>
  <c r="U44" i="10"/>
  <c r="V44" i="10"/>
  <c r="R45" i="10"/>
  <c r="S45" i="10"/>
  <c r="T45" i="10"/>
  <c r="U45" i="10"/>
  <c r="V45" i="10"/>
  <c r="R46" i="10"/>
  <c r="S46" i="10"/>
  <c r="T46" i="10"/>
  <c r="U46" i="10"/>
  <c r="V46" i="10"/>
  <c r="Q38" i="10"/>
  <c r="Q39" i="10"/>
  <c r="Q40" i="10"/>
  <c r="Q41" i="10"/>
  <c r="Q42" i="10"/>
  <c r="Q43" i="10"/>
  <c r="Q44" i="10"/>
  <c r="Q45" i="10"/>
  <c r="Q46" i="10"/>
  <c r="Q37" i="10"/>
  <c r="R21" i="10"/>
  <c r="S21" i="10"/>
  <c r="T21" i="10"/>
  <c r="U21" i="10"/>
  <c r="R22" i="10"/>
  <c r="S22" i="10"/>
  <c r="T22" i="10"/>
  <c r="U22" i="10"/>
  <c r="R23" i="10"/>
  <c r="S23" i="10"/>
  <c r="T23" i="10"/>
  <c r="U23" i="10"/>
  <c r="R24" i="10"/>
  <c r="S24" i="10"/>
  <c r="T24" i="10"/>
  <c r="U24" i="10"/>
  <c r="R25" i="10"/>
  <c r="S25" i="10"/>
  <c r="T25" i="10"/>
  <c r="U25" i="10"/>
  <c r="R26" i="10"/>
  <c r="S26" i="10"/>
  <c r="T26" i="10"/>
  <c r="U26" i="10"/>
  <c r="R27" i="10"/>
  <c r="S27" i="10"/>
  <c r="T27" i="10"/>
  <c r="U27" i="10"/>
  <c r="R28" i="10"/>
  <c r="S28" i="10"/>
  <c r="T28" i="10"/>
  <c r="U28" i="10"/>
  <c r="R29" i="10"/>
  <c r="S29" i="10"/>
  <c r="T29" i="10"/>
  <c r="U29" i="10"/>
  <c r="R30" i="10"/>
  <c r="S30" i="10"/>
  <c r="T30" i="10"/>
  <c r="U30" i="10"/>
  <c r="Q22" i="10"/>
  <c r="Q23" i="10"/>
  <c r="Q24" i="10"/>
  <c r="Q25" i="10"/>
  <c r="Q26" i="10"/>
  <c r="Q27" i="10"/>
  <c r="Q28" i="10"/>
  <c r="Q29" i="10"/>
  <c r="Q30" i="10"/>
  <c r="Q21" i="10"/>
  <c r="R6" i="10"/>
  <c r="S6" i="10"/>
  <c r="R7" i="10"/>
  <c r="S7" i="10"/>
  <c r="R8" i="10"/>
  <c r="S8" i="10"/>
  <c r="R9" i="10"/>
  <c r="S9" i="10"/>
  <c r="R10" i="10"/>
  <c r="S10" i="10"/>
  <c r="R11" i="10"/>
  <c r="S11" i="10"/>
  <c r="R12" i="10"/>
  <c r="S12" i="10"/>
  <c r="R13" i="10"/>
  <c r="S13" i="10"/>
  <c r="R14" i="10"/>
  <c r="S14" i="10"/>
  <c r="R15" i="10"/>
  <c r="S15" i="10"/>
  <c r="Q7" i="10"/>
  <c r="Q8" i="10"/>
  <c r="Q9" i="10"/>
  <c r="Q10" i="10"/>
  <c r="Q11" i="10"/>
  <c r="Q12" i="10"/>
  <c r="Q13" i="10"/>
  <c r="Q14" i="10"/>
  <c r="Q15" i="10"/>
  <c r="Q6" i="10"/>
  <c r="AF46" i="1"/>
  <c r="AG46" i="1"/>
  <c r="AF47" i="1"/>
  <c r="AG47" i="1"/>
  <c r="AF48" i="1"/>
  <c r="AG48" i="1"/>
  <c r="AF49" i="1"/>
  <c r="AG49" i="1"/>
  <c r="AF50" i="1"/>
  <c r="AG50" i="1"/>
  <c r="AF51" i="1"/>
  <c r="AG51" i="1"/>
  <c r="AF52" i="1"/>
  <c r="AG52" i="1"/>
  <c r="AF53" i="1"/>
  <c r="AG53" i="1"/>
  <c r="AF54" i="1"/>
  <c r="AG54" i="1"/>
  <c r="AG45" i="1"/>
  <c r="AF45" i="1"/>
  <c r="AJ5" i="7" l="1"/>
  <c r="U60" i="6"/>
  <c r="U61" i="6"/>
  <c r="U62" i="6"/>
  <c r="U63" i="6"/>
  <c r="U64" i="6"/>
  <c r="U59" i="6"/>
  <c r="V40" i="6"/>
  <c r="V41" i="6"/>
  <c r="V42" i="6"/>
  <c r="V43" i="6"/>
  <c r="V44" i="6"/>
  <c r="V45" i="6"/>
  <c r="U41" i="6"/>
  <c r="U42" i="6"/>
  <c r="U43" i="6"/>
  <c r="U44" i="6"/>
  <c r="U45" i="6"/>
  <c r="U40" i="6"/>
  <c r="R6" i="1"/>
  <c r="R7" i="1"/>
  <c r="R8" i="1"/>
  <c r="R9" i="1"/>
  <c r="R10" i="1"/>
  <c r="R11" i="1"/>
  <c r="R12" i="1"/>
  <c r="R13" i="1"/>
  <c r="R14" i="1"/>
  <c r="R5" i="1"/>
  <c r="U77" i="6"/>
  <c r="T77" i="6"/>
  <c r="U76" i="6"/>
  <c r="T76" i="6"/>
  <c r="U75" i="6"/>
  <c r="T75" i="6"/>
  <c r="U74" i="6"/>
  <c r="T74" i="6"/>
  <c r="U73" i="6"/>
  <c r="T73" i="6"/>
  <c r="U72" i="6"/>
  <c r="T72" i="6"/>
  <c r="T63" i="6"/>
  <c r="S64" i="6"/>
  <c r="T64" i="6"/>
  <c r="S60" i="6"/>
  <c r="T60" i="6"/>
  <c r="S63" i="6"/>
  <c r="T59" i="6"/>
  <c r="S59" i="6"/>
  <c r="T45" i="6"/>
  <c r="T54" i="6" s="1"/>
  <c r="W54" i="6" s="1"/>
  <c r="V50" i="6"/>
  <c r="V52" i="6"/>
  <c r="W52" i="6"/>
  <c r="V53" i="6"/>
  <c r="W53" i="6"/>
  <c r="V54" i="6"/>
  <c r="W49" i="6"/>
  <c r="V49" i="6"/>
  <c r="S54" i="6"/>
  <c r="S50" i="6"/>
  <c r="T50" i="6"/>
  <c r="W50" i="6" s="1"/>
  <c r="S52" i="6"/>
  <c r="S62" i="6" s="1"/>
  <c r="T52" i="6"/>
  <c r="T62" i="6" s="1"/>
  <c r="S53" i="6"/>
  <c r="T53" i="6"/>
  <c r="T49" i="6"/>
  <c r="S49" i="6"/>
  <c r="S41" i="6"/>
  <c r="T41" i="6"/>
  <c r="S42" i="6"/>
  <c r="S51" i="6" s="1"/>
  <c r="T42" i="6"/>
  <c r="T51" i="6" s="1"/>
  <c r="S43" i="6"/>
  <c r="T43" i="6"/>
  <c r="S44" i="6"/>
  <c r="T44" i="6"/>
  <c r="S45" i="6"/>
  <c r="T40" i="6"/>
  <c r="S40" i="6"/>
  <c r="S6" i="1"/>
  <c r="S7" i="1"/>
  <c r="S8" i="1"/>
  <c r="S9" i="1"/>
  <c r="S10" i="1"/>
  <c r="S11" i="1"/>
  <c r="S12" i="1"/>
  <c r="S13" i="1"/>
  <c r="S14" i="1"/>
  <c r="S5" i="1"/>
  <c r="S29" i="6"/>
  <c r="S30" i="6"/>
  <c r="S31" i="6"/>
  <c r="S32" i="6"/>
  <c r="S33" i="6"/>
  <c r="S28" i="6"/>
  <c r="R29" i="6"/>
  <c r="R30" i="6"/>
  <c r="R31" i="6"/>
  <c r="R32" i="6"/>
  <c r="R33" i="6"/>
  <c r="R28" i="6"/>
  <c r="D20" i="8"/>
  <c r="D21" i="8" s="1"/>
  <c r="D22" i="8" s="1"/>
  <c r="D23" i="8" s="1"/>
  <c r="D24" i="8" s="1"/>
  <c r="D25" i="8" s="1"/>
  <c r="D26" i="8" s="1"/>
  <c r="D5" i="8"/>
  <c r="D6" i="8" s="1"/>
  <c r="D7" i="8" s="1"/>
  <c r="D8" i="8" s="1"/>
  <c r="D9" i="8" s="1"/>
  <c r="D10" i="8" s="1"/>
  <c r="D11" i="8" s="1"/>
  <c r="D12" i="8" s="1"/>
  <c r="D13" i="8" s="1"/>
  <c r="D14" i="8" s="1"/>
  <c r="D15" i="8" s="1"/>
  <c r="D16" i="8" s="1"/>
  <c r="D17" i="8" s="1"/>
  <c r="D18" i="8" s="1"/>
  <c r="D19" i="8" s="1"/>
  <c r="D4" i="8"/>
  <c r="T61" i="6" l="1"/>
  <c r="W51" i="6"/>
  <c r="V51" i="6"/>
  <c r="S61" i="6"/>
  <c r="C15" i="6"/>
  <c r="C14" i="6"/>
  <c r="D15" i="6"/>
  <c r="D14" i="6"/>
  <c r="E15" i="6"/>
  <c r="E14" i="6"/>
  <c r="F15" i="6"/>
  <c r="G15" i="6"/>
  <c r="F14" i="6"/>
  <c r="G14" i="6"/>
  <c r="H15" i="6"/>
  <c r="H14" i="6"/>
  <c r="U9" i="2" l="1"/>
  <c r="U10" i="2"/>
  <c r="U11" i="2"/>
  <c r="U12" i="2"/>
  <c r="U13" i="2"/>
  <c r="U14" i="2"/>
  <c r="U15" i="2"/>
  <c r="U8" i="2"/>
  <c r="G5" i="2"/>
  <c r="H5" i="2"/>
  <c r="I5" i="2"/>
  <c r="G6" i="2"/>
  <c r="H6" i="2"/>
  <c r="I6" i="2"/>
  <c r="G7" i="2"/>
  <c r="H7" i="2"/>
  <c r="I7" i="2"/>
  <c r="G8" i="2"/>
  <c r="H8" i="2"/>
  <c r="I8" i="2"/>
  <c r="G9" i="2"/>
  <c r="H9" i="2"/>
  <c r="I9" i="2"/>
  <c r="G10" i="2"/>
  <c r="H10" i="2"/>
  <c r="I10" i="2"/>
  <c r="G11" i="2"/>
  <c r="H11" i="2"/>
  <c r="I11" i="2"/>
  <c r="G12" i="2"/>
  <c r="H12" i="2"/>
  <c r="I12" i="2"/>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 r="G25" i="2"/>
  <c r="H25" i="2"/>
  <c r="I25" i="2"/>
  <c r="G26" i="2"/>
  <c r="H26" i="2"/>
  <c r="I26" i="2"/>
  <c r="G27" i="2"/>
  <c r="H27" i="2"/>
  <c r="I27" i="2"/>
  <c r="G28" i="2"/>
  <c r="H28" i="2"/>
  <c r="I28" i="2"/>
  <c r="G29" i="2"/>
  <c r="H29" i="2"/>
  <c r="I29" i="2"/>
  <c r="G30" i="2"/>
  <c r="H30" i="2"/>
  <c r="I30" i="2"/>
  <c r="G31" i="2"/>
  <c r="H31" i="2"/>
  <c r="I31" i="2"/>
  <c r="G32" i="2"/>
  <c r="H32" i="2"/>
  <c r="I32" i="2"/>
  <c r="G33" i="2"/>
  <c r="H33" i="2"/>
  <c r="I33" i="2"/>
  <c r="G34" i="2"/>
  <c r="H34" i="2"/>
  <c r="I34" i="2"/>
  <c r="G35" i="2"/>
  <c r="H35" i="2"/>
  <c r="I35" i="2"/>
  <c r="H4" i="2"/>
  <c r="I4" i="2"/>
  <c r="G4" i="2"/>
</calcChain>
</file>

<file path=xl/sharedStrings.xml><?xml version="1.0" encoding="utf-8"?>
<sst xmlns="http://schemas.openxmlformats.org/spreadsheetml/2006/main" count="1594" uniqueCount="367">
  <si>
    <t>ship length</t>
  </si>
  <si>
    <t>multiplier</t>
  </si>
  <si>
    <t>wing_span</t>
  </si>
  <si>
    <t>thr_w_ratio</t>
  </si>
  <si>
    <t>aspect_ratio</t>
  </si>
  <si>
    <t>sweep_angle</t>
  </si>
  <si>
    <t>mto_weight</t>
  </si>
  <si>
    <t>Takeoff distance</t>
  </si>
  <si>
    <t>Capacity</t>
  </si>
  <si>
    <t>Fuel_Consumed</t>
  </si>
  <si>
    <t>Range</t>
  </si>
  <si>
    <t>500m</t>
  </si>
  <si>
    <t>Wing span</t>
  </si>
  <si>
    <t>Thr weight ratio</t>
  </si>
  <si>
    <t>aspect ratio</t>
  </si>
  <si>
    <t>sweep angle</t>
  </si>
  <si>
    <t>max take-off weight</t>
  </si>
  <si>
    <t>capacity</t>
  </si>
  <si>
    <t>fuel cost</t>
  </si>
  <si>
    <t>Delta W</t>
  </si>
  <si>
    <t>707-320</t>
  </si>
  <si>
    <t>E-6A</t>
  </si>
  <si>
    <t>727-200</t>
  </si>
  <si>
    <t>737-200</t>
  </si>
  <si>
    <t>747-400</t>
  </si>
  <si>
    <t>757-200</t>
  </si>
  <si>
    <t>767-200</t>
  </si>
  <si>
    <t>777-200</t>
  </si>
  <si>
    <t>A321-200</t>
  </si>
  <si>
    <t>L-1011</t>
  </si>
  <si>
    <t>S-3A</t>
  </si>
  <si>
    <t>DC-9</t>
  </si>
  <si>
    <t>C-5A</t>
  </si>
  <si>
    <t>F-16C</t>
  </si>
  <si>
    <t>F-22A</t>
  </si>
  <si>
    <t>A-3D</t>
  </si>
  <si>
    <t>F-4B</t>
  </si>
  <si>
    <t>A-4E</t>
  </si>
  <si>
    <t>RA-5C</t>
  </si>
  <si>
    <t>F-5E</t>
  </si>
  <si>
    <t>A-6A</t>
  </si>
  <si>
    <t>F-14A</t>
  </si>
  <si>
    <t>F-111A</t>
  </si>
  <si>
    <t>F-117</t>
  </si>
  <si>
    <t>F-18A</t>
  </si>
  <si>
    <t>F-105D</t>
  </si>
  <si>
    <t>F-104G</t>
  </si>
  <si>
    <t>T-45A</t>
  </si>
  <si>
    <t>F-8E</t>
  </si>
  <si>
    <t>F-11F</t>
  </si>
  <si>
    <t>Airplance</t>
  </si>
  <si>
    <t>AR</t>
  </si>
  <si>
    <t>Cgrd</t>
  </si>
  <si>
    <t>TYPE</t>
  </si>
  <si>
    <t>CLASS</t>
  </si>
  <si>
    <t>STAKEHOLDER</t>
  </si>
  <si>
    <t>NEEDS</t>
  </si>
  <si>
    <t>Internal</t>
  </si>
  <si>
    <t>Beneficial</t>
  </si>
  <si>
    <t>External</t>
  </si>
  <si>
    <t>Charitable</t>
  </si>
  <si>
    <t>Problem</t>
  </si>
  <si>
    <t>S-3 Viking</t>
  </si>
  <si>
    <t>Boeing 737-200</t>
  </si>
  <si>
    <t>KC-135</t>
  </si>
  <si>
    <t>KC-46</t>
  </si>
  <si>
    <t>Power plant</t>
  </si>
  <si>
    <t>Thr to weight ratio</t>
  </si>
  <si>
    <t>Wing-span[ft]</t>
  </si>
  <si>
    <t>Unknown</t>
  </si>
  <si>
    <t>kc135a</t>
  </si>
  <si>
    <t>root: NACA 0016.3-1.03 32.7/100 mod
tip:NACA 0012-1.10 40/1.00mod</t>
  </si>
  <si>
    <t>root: NACA 64A318;
tio: NACA 64A412</t>
  </si>
  <si>
    <t>root: BAC 449/450/451;
tip:BAC442</t>
  </si>
  <si>
    <t>Airfoil[-]</t>
  </si>
  <si>
    <t>Aspect ratio[-]</t>
  </si>
  <si>
    <t>A330-300</t>
  </si>
  <si>
    <t>Max takeoff weight[lb]</t>
  </si>
  <si>
    <t>2x GE TF34-GE-2 turbofan engines</t>
  </si>
  <si>
    <t>4x Allison T56-A-15 turboprop engines</t>
  </si>
  <si>
    <t>PW JT8D-7/9/5/17</t>
  </si>
  <si>
    <t>CFM-56 turbofan engines</t>
  </si>
  <si>
    <t>2 × PW4062</t>
  </si>
  <si>
    <t>2x PW4170</t>
  </si>
  <si>
    <t>Thrusters[lb]</t>
  </si>
  <si>
    <t>C-130J Hercules</t>
  </si>
  <si>
    <t>Operation Empty Weight [lb]</t>
  </si>
  <si>
    <t>Sweep angle [deg]</t>
  </si>
  <si>
    <t>Take-off distance[ft]
(From reference)</t>
  </si>
  <si>
    <t>Aircraft type</t>
  </si>
  <si>
    <t>Range(ship)[km]</t>
  </si>
  <si>
    <t>Range(island)[km]</t>
  </si>
  <si>
    <t>Run way limits[ft]</t>
  </si>
  <si>
    <t>Ship runway limits[ft]</t>
  </si>
  <si>
    <t>Optimization using simulated annealing</t>
  </si>
  <si>
    <t>Wing span[ft]</t>
  </si>
  <si>
    <t>thr to weight ratio[-]</t>
  </si>
  <si>
    <t>aspect ratio[-]</t>
  </si>
  <si>
    <t>sweep angle[deg]</t>
  </si>
  <si>
    <t>max takeoff weight[lb]</t>
  </si>
  <si>
    <t>Case #</t>
  </si>
  <si>
    <t>Take-off distance[ft] 1.1 margin
(Simulations)</t>
  </si>
  <si>
    <t>(refuel capacity - fuel cost) @ship (R=500km)</t>
  </si>
  <si>
    <t>(refuel capacity - fuel cost) @ship (R=1000km)</t>
  </si>
  <si>
    <t>Take-off distance[ft]
(Simulations) 120% stall margin</t>
  </si>
  <si>
    <t>Take-off distance[ft]
(Simulations) 110% stall margin</t>
  </si>
  <si>
    <t>（Capacity - fuel consumed）@ships</t>
  </si>
  <si>
    <t>No of refueling strategy1</t>
  </si>
  <si>
    <t>No of refueling strategy2</t>
  </si>
  <si>
    <t>Fuel saved  from island</t>
  </si>
  <si>
    <t>Fuel saved  from ships</t>
  </si>
  <si>
    <t>Fuel saved  from island
[1000km]</t>
  </si>
  <si>
    <t>Fuel saved  from ships
[500km]</t>
  </si>
  <si>
    <t>max</t>
  </si>
  <si>
    <t>Annual fuels saved [lb] fomr island</t>
  </si>
  <si>
    <t>Annual fuels saved [lb] from ships</t>
  </si>
  <si>
    <t>Unit price [$ per mt]</t>
  </si>
  <si>
    <t>CO2</t>
  </si>
  <si>
    <t>C</t>
  </si>
  <si>
    <t>k=</t>
  </si>
  <si>
    <t>Cost</t>
  </si>
  <si>
    <t>Fuel saved  from island
[1000km][lb]</t>
  </si>
  <si>
    <t>Fuel saved  from ships
[500km][lb]</t>
  </si>
  <si>
    <t>Ship availability[-]</t>
  </si>
  <si>
    <t>Fuels saved[mt]</t>
  </si>
  <si>
    <t>Fuelsaved[mt]</t>
  </si>
  <si>
    <t>CO2 reduced [lb]@island</t>
  </si>
  <si>
    <t>CO2 reduced@ship</t>
  </si>
  <si>
    <t>mothership length</t>
  </si>
  <si>
    <t>fminunc</t>
  </si>
  <si>
    <t>iterations</t>
  </si>
  <si>
    <t>Aframax(245m)</t>
  </si>
  <si>
    <t>Suez-Max(285m)</t>
  </si>
  <si>
    <t>VLCC(330m)</t>
  </si>
  <si>
    <t>ULCC(415m)</t>
  </si>
  <si>
    <t>Coastal tanker(205m)</t>
  </si>
  <si>
    <t>single point mooring</t>
  </si>
  <si>
    <t>spread mooring</t>
  </si>
  <si>
    <t>single hull</t>
  </si>
  <si>
    <t>double hull</t>
  </si>
  <si>
    <t>Ship classification</t>
  </si>
  <si>
    <t>Mooring option</t>
  </si>
  <si>
    <t>Number of refueling per tanker</t>
  </si>
  <si>
    <t>Number of refueling per receiver aircraft</t>
  </si>
  <si>
    <t>From ship</t>
  </si>
  <si>
    <t>from ship[ service range:500m]</t>
  </si>
  <si>
    <t>from island [service range:1000m]</t>
  </si>
  <si>
    <t>ship</t>
  </si>
  <si>
    <t>island</t>
  </si>
  <si>
    <t>single</t>
  </si>
  <si>
    <t>double</t>
  </si>
  <si>
    <t>single[ton]</t>
  </si>
  <si>
    <t>double[ton]</t>
  </si>
  <si>
    <t>Fuel saved</t>
  </si>
  <si>
    <t>Emission saved</t>
  </si>
  <si>
    <t xml:space="preserve">Number of refueling per receiver </t>
  </si>
  <si>
    <t xml:space="preserve">Number of refueling per tanker :1 </t>
  </si>
  <si>
    <t>Number of refueling per tanker: 2</t>
  </si>
  <si>
    <t>Number of refueling per tanker : 3</t>
  </si>
  <si>
    <t>Number of refueling per tanker: 4</t>
  </si>
  <si>
    <t>Number of refueling per tanker: 5</t>
  </si>
  <si>
    <t>@ships [lb]</t>
  </si>
  <si>
    <t>（Capacity - fuel consumed）@ island</t>
  </si>
  <si>
    <t>(capacity -fuel consumed) @ship</t>
  </si>
  <si>
    <t>(capacity -fuel consumed) @island</t>
  </si>
  <si>
    <t>Number of refueling per tanker : 1</t>
  </si>
  <si>
    <t>Number of refueling per tanker : 2</t>
  </si>
  <si>
    <t>Number of refueling per tanker : 4</t>
  </si>
  <si>
    <t>Number of refueling per tanker : 5</t>
  </si>
  <si>
    <t>Take-off distance[m]</t>
  </si>
  <si>
    <t>take-off distance</t>
  </si>
  <si>
    <t>+</t>
  </si>
  <si>
    <t>wing-span +1%</t>
  </si>
  <si>
    <t>thr 2 weight ratio +1%</t>
  </si>
  <si>
    <t>aspect ratio +1%</t>
  </si>
  <si>
    <t>sweep ratio + 1%</t>
  </si>
  <si>
    <t>max take-off weight + 1%</t>
  </si>
  <si>
    <t>wing-span -1%</t>
  </si>
  <si>
    <t>thr 2 weight ratio -1%</t>
  </si>
  <si>
    <t>aspect ratio -1%</t>
  </si>
  <si>
    <t>sweep ratio - 1%</t>
  </si>
  <si>
    <t>max take-off weight -1%</t>
  </si>
  <si>
    <t>Number of refueling per tanker： 2</t>
  </si>
  <si>
    <t>Number of refueling per tanker：3</t>
  </si>
  <si>
    <t>Number of refueling per tanker ： 4</t>
  </si>
  <si>
    <t>Number of refueling per tanker :5</t>
  </si>
  <si>
    <t>Number of refueling per receiver</t>
  </si>
  <si>
    <t>Design configuration</t>
  </si>
  <si>
    <t>Fuel saved[lb]</t>
  </si>
  <si>
    <t>service from ship</t>
  </si>
  <si>
    <t>service from island</t>
  </si>
  <si>
    <t>Number of 
refueling 
per tanker ： 1</t>
  </si>
  <si>
    <t>From island</t>
  </si>
  <si>
    <t>p{1.54in}p{1.4in}p{0.55in}p{0.63in}p{0.56in}p{0.62in}</t>
  </si>
  <si>
    <t>Class</t>
  </si>
  <si>
    <t>Length</t>
  </si>
  <si>
    <t>Beam</t>
  </si>
  <si>
    <t>Draft</t>
  </si>
  <si>
    <t>Overview</t>
  </si>
  <si>
    <t>Coastal Tanker</t>
  </si>
  <si>
    <t>Less than 50,000 dwt, mainly used for transportation of refined products (gasoline, gasoil).</t>
  </si>
  <si>
    <t>Aframax</t>
  </si>
  <si>
    <t>Approximately 80,000 dwt, which is the AFRA (Average Freight Rate Assessment) standard. This standard was established to standardize contract terms with well defined ship capacity.</t>
  </si>
  <si>
    <t>Suezmax</t>
  </si>
  <si>
    <t>Between 125,000 and 180,000 dwt, originally the maximum capacity of the Suez Canal.</t>
  </si>
  <si>
    <t>VLCC</t>
  </si>
  <si>
    <t>Very Large Crude Carrier. Up to around 320,000 dwt. Some can be accommodated by the expanded dimensions of the Suez Canal. The most common length is in the range of 300 to 330 meters.</t>
  </si>
  <si>
    <t>ULCC</t>
  </si>
  <si>
    <t>ton</t>
  </si>
  <si>
    <t>Ultra Large Crude Carrier. Capacity exceeding 320,000 dwt. The largest tankers ever built have a deadweight of over 550,000 dwt.</t>
  </si>
  <si>
    <t>density of sea water</t>
  </si>
  <si>
    <t>factors</t>
  </si>
  <si>
    <t>factored ton</t>
  </si>
  <si>
    <t>p1</t>
  </si>
  <si>
    <t>p0</t>
  </si>
  <si>
    <t>ID</t>
  </si>
  <si>
    <t>Image</t>
  </si>
  <si>
    <t>Vessel Type</t>
  </si>
  <si>
    <t>DWT</t>
  </si>
  <si>
    <t>BHP</t>
  </si>
  <si>
    <t>BP</t>
  </si>
  <si>
    <t>Flag</t>
  </si>
  <si>
    <t>Location</t>
  </si>
  <si>
    <t>Price US$</t>
  </si>
  <si>
    <t>176m LPG Carrier 28,000 CBM LNG 16000 DWT - 2011</t>
  </si>
  <si>
    <t>CCS</t>
  </si>
  <si>
    <t>Non US</t>
  </si>
  <si>
    <t>South East Asia</t>
  </si>
  <si>
    <t>227m VLGC Very Large Gas Carrier 2003 - DWT 53677</t>
  </si>
  <si>
    <t>AB</t>
  </si>
  <si>
    <t>227m VLGC LPG Tanker 2003 - 82557 CBM - Japan Built - DWT 53677</t>
  </si>
  <si>
    <t>ABS</t>
  </si>
  <si>
    <t>Asia</t>
  </si>
  <si>
    <t>339m Double Hull Geared VLCC 320054 DWT - 2010</t>
  </si>
  <si>
    <t>KR</t>
  </si>
  <si>
    <t>244m Double Hull Aframax Crude Oil Tanker 2006 - DWT 109647</t>
  </si>
  <si>
    <t>LR</t>
  </si>
  <si>
    <t>244m Aframax Crude Oil Tanker 2005 - DWT 109571</t>
  </si>
  <si>
    <t>244m Aframax Crude Oil Tanker 2005 - DWT 109637</t>
  </si>
  <si>
    <t>179m Product Oil Tanker 48023 DWT - 2009</t>
  </si>
  <si>
    <t>Singapore</t>
  </si>
  <si>
    <t>249m Double Hull Aframax Crude Oil Tanker 114500 DWT - 2004</t>
  </si>
  <si>
    <t>VL</t>
  </si>
  <si>
    <t>246m Aframax Crude Oil Tanker 2001 - DWT 107181</t>
  </si>
  <si>
    <t>NKK</t>
  </si>
  <si>
    <t>Malaysia</t>
  </si>
  <si>
    <t>183m Double Bottom Sides MR Medium Range Tanker 47470 DWT - 2006</t>
  </si>
  <si>
    <t>U.S. Gulf</t>
  </si>
  <si>
    <t>228m Double Hull Product Tanker Ship 74998 DWT - 2007</t>
  </si>
  <si>
    <t>NK</t>
  </si>
  <si>
    <t>Bahamas</t>
  </si>
  <si>
    <t>244m Aframax Class IMO III Crude Oil Tanker 109637 DWT - 2005</t>
  </si>
  <si>
    <t>182m MR Medium Range Product Tanker 2004 - DWT 46683</t>
  </si>
  <si>
    <t>250m Aframax Tanker 2004 - 124258 CBM - DWT 115635</t>
  </si>
  <si>
    <t>DNV</t>
  </si>
  <si>
    <t>184m Handy Size Class Crude Oil Tanker 2007 - DWT 37488</t>
  </si>
  <si>
    <t>Indonesia</t>
  </si>
  <si>
    <t>184m Handy Size Class Crude Oil Tanker 2007 - DWT 37434</t>
  </si>
  <si>
    <t>South Korea</t>
  </si>
  <si>
    <t>109m Asphalt Bitumen Chemical Carrier 6300 DWT - 2017</t>
  </si>
  <si>
    <t>RINA</t>
  </si>
  <si>
    <t>112m Product Chemical Tanker 7500 DWT - 2017</t>
  </si>
  <si>
    <t>BV</t>
  </si>
  <si>
    <t>128m General Purpose Oil Chemical Tanker 2010 - DWT 12999</t>
  </si>
  <si>
    <t>S.E. Asia</t>
  </si>
  <si>
    <t>101m Bitumen Carrier 2012 - 7567 CBM - DWT 6850</t>
  </si>
  <si>
    <t>Korea</t>
  </si>
  <si>
    <t>101m Bitumen Carrier 2010 - 7617 CBM - DWT 6919</t>
  </si>
  <si>
    <t>179m Double Hull MR Medium Range Oil Tanker 45937 DWT - 2004</t>
  </si>
  <si>
    <t>118m LPG Carrier 1999 - Semi Refrigerated - Japan Built - DWT 3852</t>
  </si>
  <si>
    <t>Europe</t>
  </si>
  <si>
    <t>138m Double Bottom Side IMO II / III Product Tanker 16631 DWT - 2000</t>
  </si>
  <si>
    <t>Mediterranean</t>
  </si>
  <si>
    <t>119m LPG Liquefied Petroleum Gas Carrier 2001 - DWT 7124</t>
  </si>
  <si>
    <t>Ghana</t>
  </si>
  <si>
    <t>150m Double Hull Chemical Product Tanker 16830 DWT - 2008</t>
  </si>
  <si>
    <t>Vietnam</t>
  </si>
  <si>
    <t>239m Aframax Size Crude Oil Tanker 1999 - DWT 108468</t>
  </si>
  <si>
    <t>129m Product Chemical Tanker 11299 DWT - 2008</t>
  </si>
  <si>
    <t>Panama</t>
  </si>
  <si>
    <t>100m Bunkering Tanker 2016 - Coiled Coated - DWT 5814</t>
  </si>
  <si>
    <t>Black Sea</t>
  </si>
  <si>
    <t>137m Double Hull Product Oil Tanker 13655 DWT- 2008</t>
  </si>
  <si>
    <t>120m Asphalt Bitumen Tanker 6395 DWT - 2008</t>
  </si>
  <si>
    <t>UAE</t>
  </si>
  <si>
    <t>135m Product Tanker 2006 - 10 Tanks 14016 CBM - DWT 12000</t>
  </si>
  <si>
    <t>W. Africa</t>
  </si>
  <si>
    <t>182m Crude Oil Product Tanker 44128 DWT - 1996</t>
  </si>
  <si>
    <t>84m Double Hull Bottom Oil Tanker 3000 DWT - 2018</t>
  </si>
  <si>
    <t>Thialand</t>
  </si>
  <si>
    <t>92m Product Chemical Tanker 4424 DWT - 2001</t>
  </si>
  <si>
    <t>Northern Europe</t>
  </si>
  <si>
    <t>83m Bunker Tanker 2017 - DB DS - 3528 CBM - DWT 3750</t>
  </si>
  <si>
    <t>90m Product Bunker Tanker Epoxy Coated 3590 DWT - 2012</t>
  </si>
  <si>
    <t>90m Oil Tanker 2012 - 10 Tanks 3522 CBM - DWT 3590</t>
  </si>
  <si>
    <t>93m Product Oil Tanker 2007 - DH - 4969 m3 - Bow Thruster - DWT 4858</t>
  </si>
  <si>
    <t>289' Bulk Oil Tanker 2005 - DWT 3500</t>
  </si>
  <si>
    <t>IRS</t>
  </si>
  <si>
    <t>133m Double Hull Product Oil Tanker 10000 DWT - 2004</t>
  </si>
  <si>
    <t>117m Double Hull Product Chemical Tanker 9025 DWT - 1997</t>
  </si>
  <si>
    <t>IACS</t>
  </si>
  <si>
    <t>59m Product Oil Tanker 2013 - 1026 CBM - Korea Built - DWT 1034</t>
  </si>
  <si>
    <t>85m Ice Class Bunker Tanker Double Hull Bottom - 1997</t>
  </si>
  <si>
    <t>Sweeden</t>
  </si>
  <si>
    <t>99m Double Hull Bottom LPG Product Carrier 3785 DWT - 1992</t>
  </si>
  <si>
    <t>Far East</t>
  </si>
  <si>
    <t>100m Mini Class Oil Tanker 5750 DWT - 2002</t>
  </si>
  <si>
    <t>China</t>
  </si>
  <si>
    <t>54m Bunkering Tanker Double Hull - DWT 944</t>
  </si>
  <si>
    <t>KST</t>
  </si>
  <si>
    <t>73m Chemical Oil Tanker 1992 - IMO II - 2633 CBM - DWT 2400</t>
  </si>
  <si>
    <t>100m Miniature Oil Tanker 5750 DWT - 2002</t>
  </si>
  <si>
    <t>105m Product Chemical Tanker 1994 - DWT 6756</t>
  </si>
  <si>
    <t>BK</t>
  </si>
  <si>
    <t>86m Chemical Oil Tanker 1994 - SH DB - DWT 3399</t>
  </si>
  <si>
    <t>77 M Double Hull Tanker Product Tanker</t>
  </si>
  <si>
    <t>Russian</t>
  </si>
  <si>
    <t>East Europe</t>
  </si>
  <si>
    <t>77m Bunker Tanker 1996 - 2600 CBM - DWT 2366</t>
  </si>
  <si>
    <t>Continent</t>
  </si>
  <si>
    <t>75 M Double Hull Tanker Product Tanker</t>
  </si>
  <si>
    <t>Isthmus Bureau of Shipping</t>
  </si>
  <si>
    <t>Caribbean</t>
  </si>
  <si>
    <t>89m Oil Tanker 1988 - Japan Built - DWT 2998</t>
  </si>
  <si>
    <t>78m Oil Tanker 1990 - 2432 CBM - DH - DWT 2622</t>
  </si>
  <si>
    <t>RMRS</t>
  </si>
  <si>
    <t>44m Oil Tanker 1982 - SH - 900 m3 Cargo Capacity - DWT 830</t>
  </si>
  <si>
    <t>HRB</t>
  </si>
  <si>
    <t>Croatia</t>
  </si>
  <si>
    <t>81m Oil Tanker 1981 - IMO II - DWT 2893</t>
  </si>
  <si>
    <t>80m Bunkering Tanker 1980 - Ice Class - DWT 3040</t>
  </si>
  <si>
    <t>Shipping Register of Ukraine</t>
  </si>
  <si>
    <t>Ukraine</t>
  </si>
  <si>
    <t>81m Oil Tanker 1981 - German Built - DWT 2900</t>
  </si>
  <si>
    <t>Med</t>
  </si>
  <si>
    <t>91m Miniature Oil Tanker 2004 - DWT 3200</t>
  </si>
  <si>
    <t>24m Bunkering Tanker - DWT 200</t>
  </si>
  <si>
    <t>24m Bunkering Tanker 2014 Built - DWT 200</t>
  </si>
  <si>
    <t>62m Oil Tanker 1994 - SH DB - DWT 1150</t>
  </si>
  <si>
    <t>104m Oil Tanker 1979 - Low Draft - DH DB - DWT 3226</t>
  </si>
  <si>
    <t>Uruguay</t>
  </si>
  <si>
    <t>64m Oil Tanker 1989 - Japan Built - DH DB - DWT 1150</t>
  </si>
  <si>
    <t>29m Fuel Bunker Fuel Oil Tanker 290m3 Capacity - 2019</t>
  </si>
  <si>
    <t>23m Bunkering Tanker - DWT 110</t>
  </si>
  <si>
    <t>58m Chemical Oil Tanker 1992 - Japan Built - 659 m3 - DWT 829</t>
  </si>
  <si>
    <t>JG</t>
  </si>
  <si>
    <t>Japan</t>
  </si>
  <si>
    <t>50m Bunker Tanker 1980 - German Built - 730 CBM - DWT 593</t>
  </si>
  <si>
    <t>Source: Horizontal broker</t>
  </si>
  <si>
    <t>volumes</t>
  </si>
  <si>
    <t>price [$]</t>
  </si>
  <si>
    <t>factor for converison</t>
  </si>
  <si>
    <t>scaled price</t>
  </si>
  <si>
    <t>Construction cost</t>
  </si>
  <si>
    <t>empty weight [lb]</t>
  </si>
  <si>
    <t>p/lb</t>
  </si>
  <si>
    <t>cost1</t>
  </si>
  <si>
    <t>cost2 a(military)</t>
  </si>
  <si>
    <t>operation cost</t>
  </si>
  <si>
    <t>jet fuel cost</t>
  </si>
  <si>
    <t>jet fuel</t>
  </si>
  <si>
    <t>USD per gallon</t>
  </si>
  <si>
    <t>lb/gal</t>
  </si>
  <si>
    <t>Fuel consumption [lb]</t>
  </si>
  <si>
    <t>USD/lb</t>
  </si>
  <si>
    <t>carbon tax 2015</t>
  </si>
  <si>
    <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</si>
</sst>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0.000000"/>
    <numFmt numFmtId="168" formatCode="0.00000"/>
    <numFmt numFmtId="169" formatCode="0.0000"/>
    <numFmt numFmtId="170" formatCode="0.000"/>
    <numFmt numFmtId="171" formatCode="0.0%"/>
    <numFmt numFmtId="172" formatCode="0.0000000000"/>
    <numFmt numFmtId="173" formatCode="0.00000000000000"/>
  </numFmts>
  <fonts count="15"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0"/>
      <color theme="1"/>
      <name val="Calibri"/>
      <family val="2"/>
      <scheme val="minor"/>
    </font>
    <font>
      <sz val="11"/>
      <name val="Calibri"/>
      <family val="2"/>
      <scheme val="minor"/>
    </font>
    <font>
      <sz val="11"/>
      <color rgb="FF000000"/>
      <name val="Calibri"/>
      <family val="2"/>
      <scheme val="minor"/>
    </font>
    <font>
      <i/>
      <sz val="11"/>
      <color rgb="FF7F7F7F"/>
      <name val="Calibri"/>
      <family val="2"/>
      <scheme val="minor"/>
    </font>
    <font>
      <sz val="12"/>
      <color rgb="FF333333"/>
      <name val="Tahoma"/>
      <family val="2"/>
    </font>
    <font>
      <b/>
      <sz val="12"/>
      <color rgb="FF333333"/>
      <name val="Tahoma"/>
      <family val="2"/>
    </font>
    <font>
      <sz val="11"/>
      <color rgb="FF222222"/>
      <name val="Arial"/>
      <family val="2"/>
    </font>
  </fonts>
  <fills count="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8">
    <xf numFmtId="0" fontId="0" fillId="0" borderId="0"/>
    <xf numFmtId="43" fontId="1" fillId="0" borderId="0" applyFont="0" applyFill="0" applyBorder="0" applyAlignment="0" applyProtection="0"/>
    <xf numFmtId="0" fontId="2" fillId="2" borderId="1" applyNumberFormat="0" applyAlignment="0" applyProtection="0"/>
    <xf numFmtId="44" fontId="1" fillId="0" borderId="0" applyFont="0" applyFill="0" applyBorder="0" applyAlignment="0" applyProtection="0"/>
    <xf numFmtId="9" fontId="1" fillId="0" borderId="0" applyFont="0" applyFill="0" applyBorder="0" applyAlignment="0" applyProtection="0"/>
    <xf numFmtId="0" fontId="5" fillId="3" borderId="0" applyNumberFormat="0" applyBorder="0" applyAlignment="0" applyProtection="0"/>
    <xf numFmtId="0" fontId="6" fillId="4" borderId="0" applyNumberFormat="0" applyBorder="0" applyAlignment="0" applyProtection="0"/>
    <xf numFmtId="0" fontId="11" fillId="0" borderId="0" applyNumberFormat="0" applyFill="0" applyBorder="0" applyAlignment="0" applyProtection="0"/>
  </cellStyleXfs>
  <cellXfs count="115">
    <xf numFmtId="0" fontId="0" fillId="0" borderId="0" xfId="0"/>
    <xf numFmtId="1" fontId="0" fillId="0" borderId="0" xfId="0" applyNumberFormat="1"/>
    <xf numFmtId="1" fontId="0" fillId="0" borderId="0" xfId="1" applyNumberFormat="1" applyFont="1"/>
    <xf numFmtId="0" fontId="2" fillId="2" borderId="1" xfId="2"/>
    <xf numFmtId="1" fontId="2" fillId="2" borderId="1" xfId="2" applyNumberFormat="1"/>
    <xf numFmtId="16" fontId="0" fillId="0" borderId="0" xfId="0" applyNumberFormat="1"/>
    <xf numFmtId="0" fontId="0" fillId="0" borderId="0" xfId="0" applyAlignment="1">
      <alignment wrapText="1"/>
    </xf>
    <xf numFmtId="2" fontId="0" fillId="0" borderId="0" xfId="0" applyNumberFormat="1"/>
    <xf numFmtId="164" fontId="0" fillId="0" borderId="0" xfId="0" applyNumberFormat="1"/>
    <xf numFmtId="11" fontId="0" fillId="0" borderId="0" xfId="0" applyNumberFormat="1"/>
    <xf numFmtId="0" fontId="0" fillId="0" borderId="2" xfId="0" applyBorder="1" applyAlignment="1">
      <alignment horizontal="left"/>
    </xf>
    <xf numFmtId="0" fontId="0" fillId="0" borderId="2" xfId="0" applyBorder="1" applyAlignment="1">
      <alignment horizontal="left" wrapText="1"/>
    </xf>
    <xf numFmtId="1" fontId="0" fillId="0" borderId="0" xfId="0" applyNumberFormat="1" applyAlignment="1">
      <alignment horizontal="right" vertical="center"/>
    </xf>
    <xf numFmtId="1" fontId="0" fillId="0" borderId="2" xfId="0" applyNumberFormat="1" applyBorder="1" applyAlignment="1">
      <alignment horizontal="right" vertical="center"/>
    </xf>
    <xf numFmtId="0" fontId="0" fillId="0" borderId="2" xfId="0" applyBorder="1" applyAlignment="1">
      <alignment horizontal="right"/>
    </xf>
    <xf numFmtId="0" fontId="0" fillId="0" borderId="2" xfId="0" applyBorder="1" applyAlignment="1">
      <alignment horizontal="right" wrapText="1"/>
    </xf>
    <xf numFmtId="1" fontId="0" fillId="0" borderId="2" xfId="0" applyNumberFormat="1" applyBorder="1" applyAlignment="1">
      <alignment horizontal="right"/>
    </xf>
    <xf numFmtId="0" fontId="0" fillId="0" borderId="2" xfId="0" applyFill="1" applyBorder="1" applyAlignment="1">
      <alignment horizontal="right"/>
    </xf>
    <xf numFmtId="2" fontId="0" fillId="0" borderId="2" xfId="0" applyNumberFormat="1" applyBorder="1" applyAlignment="1">
      <alignment horizontal="right"/>
    </xf>
    <xf numFmtId="3" fontId="0" fillId="0" borderId="2" xfId="0" applyNumberFormat="1" applyBorder="1" applyAlignment="1">
      <alignment horizontal="right"/>
    </xf>
    <xf numFmtId="0" fontId="4" fillId="0" borderId="2" xfId="0" applyFont="1" applyBorder="1" applyAlignment="1">
      <alignment horizontal="left" wrapText="1"/>
    </xf>
    <xf numFmtId="0" fontId="4" fillId="0" borderId="2" xfId="0" applyFont="1" applyBorder="1" applyAlignment="1">
      <alignment horizontal="right"/>
    </xf>
    <xf numFmtId="3" fontId="4" fillId="0" borderId="2" xfId="0" applyNumberFormat="1" applyFont="1" applyBorder="1" applyAlignment="1">
      <alignment horizontal="right"/>
    </xf>
    <xf numFmtId="165" fontId="0" fillId="0" borderId="0" xfId="1" applyNumberFormat="1" applyFont="1"/>
    <xf numFmtId="165" fontId="0" fillId="0" borderId="0" xfId="0" applyNumberFormat="1"/>
    <xf numFmtId="0" fontId="3" fillId="0" borderId="0" xfId="0" applyFont="1"/>
    <xf numFmtId="165" fontId="3" fillId="0" borderId="0" xfId="0" applyNumberFormat="1" applyFont="1"/>
    <xf numFmtId="43" fontId="3" fillId="0" borderId="0" xfId="0" applyNumberFormat="1" applyFont="1"/>
    <xf numFmtId="166" fontId="3" fillId="0" borderId="0" xfId="3" applyNumberFormat="1" applyFont="1"/>
    <xf numFmtId="44" fontId="0" fillId="0" borderId="0" xfId="0" applyNumberFormat="1"/>
    <xf numFmtId="11" fontId="3" fillId="0" borderId="0" xfId="0" applyNumberFormat="1" applyFont="1"/>
    <xf numFmtId="167" fontId="0" fillId="0" borderId="0" xfId="0" applyNumberFormat="1"/>
    <xf numFmtId="168" fontId="0" fillId="0" borderId="0" xfId="0" applyNumberFormat="1"/>
    <xf numFmtId="169" fontId="0" fillId="0" borderId="0" xfId="0" applyNumberFormat="1"/>
    <xf numFmtId="170" fontId="0" fillId="0" borderId="0" xfId="0" applyNumberFormat="1"/>
    <xf numFmtId="9" fontId="0" fillId="0" borderId="0" xfId="4" applyFont="1"/>
    <xf numFmtId="171" fontId="0" fillId="0" borderId="0" xfId="4" applyNumberFormat="1" applyFont="1"/>
    <xf numFmtId="0" fontId="0" fillId="0" borderId="2" xfId="0" applyBorder="1" applyAlignment="1">
      <alignment wrapText="1"/>
    </xf>
    <xf numFmtId="0" fontId="0" fillId="0" borderId="2" xfId="0" applyBorder="1"/>
    <xf numFmtId="1" fontId="7" fillId="0" borderId="2" xfId="0" applyNumberFormat="1" applyFont="1" applyFill="1" applyBorder="1"/>
    <xf numFmtId="1" fontId="0" fillId="0" borderId="2" xfId="0" applyNumberFormat="1" applyBorder="1"/>
    <xf numFmtId="1" fontId="7" fillId="0" borderId="2" xfId="0" applyNumberFormat="1" applyFont="1" applyBorder="1"/>
    <xf numFmtId="1" fontId="0" fillId="0" borderId="3" xfId="0" applyNumberFormat="1" applyFill="1" applyBorder="1"/>
    <xf numFmtId="1" fontId="0" fillId="0" borderId="0" xfId="0" applyNumberFormat="1" applyFill="1" applyBorder="1"/>
    <xf numFmtId="0" fontId="0" fillId="0" borderId="2" xfId="0" applyBorder="1" applyAlignment="1"/>
    <xf numFmtId="0" fontId="0" fillId="0" borderId="4" xfId="0" applyBorder="1" applyAlignment="1"/>
    <xf numFmtId="0" fontId="0" fillId="0" borderId="6" xfId="0" applyBorder="1" applyAlignment="1"/>
    <xf numFmtId="165" fontId="0" fillId="0" borderId="2" xfId="1" applyNumberFormat="1" applyFont="1" applyBorder="1"/>
    <xf numFmtId="0" fontId="8" fillId="0" borderId="9" xfId="0" applyFont="1" applyBorder="1" applyAlignment="1">
      <alignment vertical="center" wrapText="1"/>
    </xf>
    <xf numFmtId="0" fontId="0" fillId="0" borderId="0" xfId="0" applyNumberFormat="1"/>
    <xf numFmtId="0" fontId="0" fillId="0" borderId="0" xfId="0" applyNumberFormat="1" applyAlignment="1">
      <alignment wrapText="1"/>
    </xf>
    <xf numFmtId="0" fontId="0" fillId="0" borderId="0" xfId="4" applyNumberFormat="1" applyFont="1"/>
    <xf numFmtId="2" fontId="0" fillId="0" borderId="0" xfId="4" applyNumberFormat="1" applyFont="1"/>
    <xf numFmtId="1" fontId="0" fillId="0" borderId="0" xfId="4" applyNumberFormat="1" applyFont="1"/>
    <xf numFmtId="0" fontId="7" fillId="0" borderId="0" xfId="0" applyFont="1"/>
    <xf numFmtId="167" fontId="0" fillId="0" borderId="0" xfId="1" applyNumberFormat="1" applyFont="1"/>
    <xf numFmtId="173" fontId="0" fillId="0" borderId="0" xfId="0" applyNumberFormat="1"/>
    <xf numFmtId="167" fontId="5" fillId="3" borderId="0" xfId="5" applyNumberFormat="1"/>
    <xf numFmtId="168" fontId="5" fillId="3" borderId="0" xfId="5" applyNumberFormat="1"/>
    <xf numFmtId="1" fontId="5" fillId="3" borderId="0" xfId="5" applyNumberFormat="1"/>
    <xf numFmtId="0" fontId="6" fillId="4" borderId="0" xfId="6"/>
    <xf numFmtId="172" fontId="6" fillId="4" borderId="0" xfId="6" applyNumberFormat="1"/>
    <xf numFmtId="164" fontId="6" fillId="4" borderId="0" xfId="6" applyNumberFormat="1"/>
    <xf numFmtId="2" fontId="6" fillId="4" borderId="10" xfId="6" applyNumberFormat="1" applyBorder="1" applyAlignment="1">
      <alignment vertical="center" wrapText="1"/>
    </xf>
    <xf numFmtId="0" fontId="6" fillId="4" borderId="10" xfId="6" applyBorder="1" applyAlignment="1">
      <alignment vertical="center" wrapText="1"/>
    </xf>
    <xf numFmtId="1" fontId="6" fillId="4" borderId="0" xfId="6" applyNumberFormat="1"/>
    <xf numFmtId="1" fontId="6" fillId="4" borderId="0" xfId="6" applyNumberFormat="1" applyAlignment="1">
      <alignment horizontal="right"/>
    </xf>
    <xf numFmtId="0" fontId="9" fillId="0" borderId="2" xfId="0" applyFont="1" applyBorder="1"/>
    <xf numFmtId="0" fontId="9" fillId="0" borderId="0" xfId="0" applyFont="1"/>
    <xf numFmtId="1" fontId="9" fillId="0" borderId="2" xfId="0" applyNumberFormat="1" applyFont="1" applyFill="1" applyBorder="1"/>
    <xf numFmtId="1" fontId="9" fillId="0" borderId="2" xfId="0" applyNumberFormat="1" applyFont="1" applyBorder="1"/>
    <xf numFmtId="0" fontId="9" fillId="0" borderId="2" xfId="0" applyFont="1" applyBorder="1" applyAlignment="1"/>
    <xf numFmtId="0" fontId="9" fillId="0" borderId="2" xfId="0" applyFont="1" applyBorder="1" applyAlignment="1">
      <alignment vertical="center"/>
    </xf>
    <xf numFmtId="165" fontId="9" fillId="0" borderId="2" xfId="1" applyNumberFormat="1" applyFont="1" applyFill="1" applyBorder="1"/>
    <xf numFmtId="165" fontId="9" fillId="0" borderId="2" xfId="1" applyNumberFormat="1" applyFont="1" applyBorder="1"/>
    <xf numFmtId="0" fontId="9" fillId="0" borderId="2" xfId="0" applyFont="1" applyBorder="1" applyAlignment="1">
      <alignment wrapText="1"/>
    </xf>
    <xf numFmtId="0" fontId="9" fillId="0" borderId="2" xfId="0" applyFont="1" applyBorder="1" applyAlignment="1">
      <alignment horizontal="center" vertical="center" wrapText="1"/>
    </xf>
    <xf numFmtId="0" fontId="9" fillId="0" borderId="2" xfId="0" applyFont="1" applyBorder="1" applyAlignment="1">
      <alignment vertical="center" wrapText="1"/>
    </xf>
    <xf numFmtId="0" fontId="10" fillId="0" borderId="9" xfId="0" applyFont="1" applyBorder="1" applyAlignment="1">
      <alignment vertical="center" wrapText="1"/>
    </xf>
    <xf numFmtId="0" fontId="10" fillId="0" borderId="11" xfId="0" applyFont="1" applyBorder="1" applyAlignment="1">
      <alignment vertical="center" wrapText="1"/>
    </xf>
    <xf numFmtId="0" fontId="10" fillId="0" borderId="10" xfId="0" applyFont="1" applyBorder="1" applyAlignment="1">
      <alignment vertical="center" wrapText="1"/>
    </xf>
    <xf numFmtId="0" fontId="10" fillId="0" borderId="12" xfId="0" applyFont="1" applyBorder="1" applyAlignment="1">
      <alignment vertical="center" wrapText="1"/>
    </xf>
    <xf numFmtId="0" fontId="13" fillId="5" borderId="2" xfId="0" applyFont="1" applyFill="1" applyBorder="1" applyAlignment="1">
      <alignment vertical="center" wrapText="1"/>
    </xf>
    <xf numFmtId="0" fontId="12" fillId="5" borderId="2" xfId="0" applyFont="1" applyFill="1" applyBorder="1" applyAlignment="1">
      <alignment vertical="center" wrapText="1"/>
    </xf>
    <xf numFmtId="0" fontId="0" fillId="5" borderId="2" xfId="0" applyFill="1" applyBorder="1"/>
    <xf numFmtId="3" fontId="0" fillId="0" borderId="0" xfId="0" applyNumberFormat="1"/>
    <xf numFmtId="0" fontId="13" fillId="5" borderId="3" xfId="0" applyFont="1" applyFill="1" applyBorder="1" applyAlignment="1">
      <alignment vertical="center" wrapText="1"/>
    </xf>
    <xf numFmtId="6" fontId="7" fillId="0" borderId="0" xfId="0" applyNumberFormat="1" applyFont="1"/>
    <xf numFmtId="9" fontId="7" fillId="0" borderId="0" xfId="4" applyFont="1"/>
    <xf numFmtId="6" fontId="0" fillId="0" borderId="0" xfId="0" applyNumberFormat="1"/>
    <xf numFmtId="0" fontId="12" fillId="5" borderId="3" xfId="0" applyFont="1" applyFill="1" applyBorder="1" applyAlignment="1">
      <alignment vertical="center" wrapText="1"/>
    </xf>
    <xf numFmtId="165" fontId="0" fillId="0" borderId="3" xfId="1" applyNumberFormat="1" applyFont="1" applyFill="1" applyBorder="1"/>
    <xf numFmtId="0" fontId="3" fillId="0" borderId="0" xfId="0" applyNumberFormat="1" applyFont="1" applyAlignment="1">
      <alignment wrapText="1"/>
    </xf>
    <xf numFmtId="165" fontId="3" fillId="0" borderId="0" xfId="1" applyNumberFormat="1" applyFont="1"/>
    <xf numFmtId="0" fontId="11" fillId="0" borderId="0" xfId="7" applyNumberFormat="1" applyAlignment="1">
      <alignment wrapText="1"/>
    </xf>
    <xf numFmtId="165" fontId="11" fillId="0" borderId="0" xfId="7" applyNumberFormat="1"/>
    <xf numFmtId="0" fontId="14" fillId="0" borderId="0" xfId="0" applyFont="1"/>
    <xf numFmtId="43" fontId="0" fillId="0" borderId="0" xfId="4" applyNumberFormat="1" applyFont="1"/>
    <xf numFmtId="0" fontId="3" fillId="0" borderId="0" xfId="0" applyFont="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2"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2" xfId="0" applyBorder="1" applyAlignment="1">
      <alignment horizontal="center"/>
    </xf>
    <xf numFmtId="0" fontId="3" fillId="0" borderId="0" xfId="0" applyFont="1" applyAlignment="1">
      <alignment horizontal="center" wrapText="1"/>
    </xf>
    <xf numFmtId="0" fontId="0" fillId="0" borderId="0" xfId="0"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vertical="center" wrapText="1"/>
    </xf>
    <xf numFmtId="0" fontId="9" fillId="0" borderId="2" xfId="0" applyFont="1" applyBorder="1" applyAlignment="1">
      <alignment horizontal="center" wrapText="1"/>
    </xf>
  </cellXfs>
  <cellStyles count="8">
    <cellStyle name="Bad" xfId="6" builtinId="27"/>
    <cellStyle name="Comma" xfId="1" builtinId="3"/>
    <cellStyle name="Currency" xfId="3" builtinId="4"/>
    <cellStyle name="Explanatory Text" xfId="7" builtinId="53"/>
    <cellStyle name="Good" xfId="5" builtinId="26"/>
    <cellStyle name="Input" xfId="2" builtinId="20"/>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Ship!$D$6:$P$6</c:f>
              <c:numCache>
                <c:formatCode>General</c:formatCode>
                <c:ptCount val="13"/>
                <c:pt idx="0">
                  <c:v>0.58493899401871796</c:v>
                </c:pt>
                <c:pt idx="1">
                  <c:v>0.54629329253909098</c:v>
                </c:pt>
                <c:pt idx="2">
                  <c:v>0.46286708462926601</c:v>
                </c:pt>
                <c:pt idx="3">
                  <c:v>0.26369148605036502</c:v>
                </c:pt>
                <c:pt idx="4">
                  <c:v>0.16575862945557701</c:v>
                </c:pt>
                <c:pt idx="5">
                  <c:v>6.5599716489738197E-2</c:v>
                </c:pt>
                <c:pt idx="6">
                  <c:v>5.4230387951339103E-2</c:v>
                </c:pt>
                <c:pt idx="7">
                  <c:v>6.5599716489738197E-2</c:v>
                </c:pt>
                <c:pt idx="8">
                  <c:v>0.16575862945557701</c:v>
                </c:pt>
                <c:pt idx="9">
                  <c:v>0.26369148605036502</c:v>
                </c:pt>
                <c:pt idx="10">
                  <c:v>0.46286708462926601</c:v>
                </c:pt>
                <c:pt idx="11">
                  <c:v>0.54629329253909098</c:v>
                </c:pt>
                <c:pt idx="12">
                  <c:v>0.58493899401871796</c:v>
                </c:pt>
              </c:numCache>
            </c:numRef>
          </c:val>
          <c:smooth val="0"/>
          <c:extLst>
            <c:ext xmlns:c16="http://schemas.microsoft.com/office/drawing/2014/chart" uri="{C3380CC4-5D6E-409C-BE32-E72D297353CC}">
              <c16:uniqueId val="{00000000-19AA-42A7-9ABE-87E0F28DADEF}"/>
            </c:ext>
          </c:extLst>
        </c:ser>
        <c:ser>
          <c:idx val="1"/>
          <c:order val="1"/>
          <c:spPr>
            <a:ln w="28575" cap="rnd">
              <a:solidFill>
                <a:schemeClr val="accent2"/>
              </a:solidFill>
              <a:round/>
            </a:ln>
            <a:effectLst/>
          </c:spPr>
          <c:marker>
            <c:symbol val="none"/>
          </c:marker>
          <c:val>
            <c:numRef>
              <c:f>Ship!$D$8:$P$8</c:f>
              <c:numCache>
                <c:formatCode>General</c:formatCode>
                <c:ptCount val="13"/>
                <c:pt idx="0">
                  <c:v>0.70716354932679104</c:v>
                </c:pt>
                <c:pt idx="1">
                  <c:v>0.67835936011659204</c:v>
                </c:pt>
                <c:pt idx="2">
                  <c:v>0.59768228714841898</c:v>
                </c:pt>
                <c:pt idx="3">
                  <c:v>0.428414779311724</c:v>
                </c:pt>
                <c:pt idx="4">
                  <c:v>0.28783499484267899</c:v>
                </c:pt>
                <c:pt idx="5">
                  <c:v>0.16982767969590801</c:v>
                </c:pt>
                <c:pt idx="6">
                  <c:v>0.14984082428974199</c:v>
                </c:pt>
                <c:pt idx="7">
                  <c:v>0.16982767969590801</c:v>
                </c:pt>
                <c:pt idx="8">
                  <c:v>0.28783499484267899</c:v>
                </c:pt>
                <c:pt idx="9">
                  <c:v>0.428414779311724</c:v>
                </c:pt>
                <c:pt idx="10">
                  <c:v>0.59768228714841898</c:v>
                </c:pt>
                <c:pt idx="11">
                  <c:v>0.67835936011659204</c:v>
                </c:pt>
                <c:pt idx="12">
                  <c:v>0.70716354932679104</c:v>
                </c:pt>
              </c:numCache>
            </c:numRef>
          </c:val>
          <c:smooth val="0"/>
          <c:extLst>
            <c:ext xmlns:c16="http://schemas.microsoft.com/office/drawing/2014/chart" uri="{C3380CC4-5D6E-409C-BE32-E72D297353CC}">
              <c16:uniqueId val="{00000001-19AA-42A7-9ABE-87E0F28DADEF}"/>
            </c:ext>
          </c:extLst>
        </c:ser>
        <c:ser>
          <c:idx val="2"/>
          <c:order val="2"/>
          <c:spPr>
            <a:ln w="28575" cap="rnd">
              <a:solidFill>
                <a:schemeClr val="accent3"/>
              </a:solidFill>
              <a:round/>
            </a:ln>
            <a:effectLst/>
          </c:spPr>
          <c:marker>
            <c:symbol val="none"/>
          </c:marker>
          <c:val>
            <c:numRef>
              <c:f>Ship!$D$10:$P$10</c:f>
              <c:numCache>
                <c:formatCode>General</c:formatCode>
                <c:ptCount val="13"/>
                <c:pt idx="0">
                  <c:v>0.809987235805118</c:v>
                </c:pt>
                <c:pt idx="1">
                  <c:v>0.79041221259829997</c:v>
                </c:pt>
                <c:pt idx="2">
                  <c:v>0.72545301384977501</c:v>
                </c:pt>
                <c:pt idx="3">
                  <c:v>0.58982992822323399</c:v>
                </c:pt>
                <c:pt idx="4">
                  <c:v>0.44808908822692101</c:v>
                </c:pt>
                <c:pt idx="5">
                  <c:v>0.33304772386385501</c:v>
                </c:pt>
                <c:pt idx="6">
                  <c:v>0.30135730313175202</c:v>
                </c:pt>
                <c:pt idx="7">
                  <c:v>0.33304772386385501</c:v>
                </c:pt>
                <c:pt idx="8">
                  <c:v>0.44808908822692101</c:v>
                </c:pt>
                <c:pt idx="9">
                  <c:v>0.58982992822323399</c:v>
                </c:pt>
                <c:pt idx="10">
                  <c:v>0.72545301384977501</c:v>
                </c:pt>
                <c:pt idx="11">
                  <c:v>0.79041221259829997</c:v>
                </c:pt>
                <c:pt idx="12">
                  <c:v>0.809987235805118</c:v>
                </c:pt>
              </c:numCache>
            </c:numRef>
          </c:val>
          <c:smooth val="0"/>
          <c:extLst>
            <c:ext xmlns:c16="http://schemas.microsoft.com/office/drawing/2014/chart" uri="{C3380CC4-5D6E-409C-BE32-E72D297353CC}">
              <c16:uniqueId val="{00000002-19AA-42A7-9ABE-87E0F28DADEF}"/>
            </c:ext>
          </c:extLst>
        </c:ser>
        <c:ser>
          <c:idx val="3"/>
          <c:order val="3"/>
          <c:spPr>
            <a:ln w="28575" cap="rnd">
              <a:solidFill>
                <a:schemeClr val="accent4"/>
              </a:solidFill>
              <a:round/>
            </a:ln>
            <a:effectLst/>
          </c:spPr>
          <c:marker>
            <c:symbol val="none"/>
          </c:marker>
          <c:val>
            <c:numRef>
              <c:f>Ship!$D$12:$P$12</c:f>
              <c:numCache>
                <c:formatCode>General</c:formatCode>
                <c:ptCount val="13"/>
                <c:pt idx="0">
                  <c:v>0.895891528278557</c:v>
                </c:pt>
                <c:pt idx="1">
                  <c:v>0.88312021272233399</c:v>
                </c:pt>
                <c:pt idx="2">
                  <c:v>0.82945638380406495</c:v>
                </c:pt>
                <c:pt idx="3">
                  <c:v>0.72907938208082101</c:v>
                </c:pt>
                <c:pt idx="4">
                  <c:v>0.60742994268579897</c:v>
                </c:pt>
                <c:pt idx="5">
                  <c:v>0.50274615061584604</c:v>
                </c:pt>
                <c:pt idx="6">
                  <c:v>0.47052615021989402</c:v>
                </c:pt>
                <c:pt idx="7">
                  <c:v>0.50274615061584604</c:v>
                </c:pt>
                <c:pt idx="8">
                  <c:v>0.60742994268579897</c:v>
                </c:pt>
                <c:pt idx="9">
                  <c:v>0.72907938208082101</c:v>
                </c:pt>
                <c:pt idx="10">
                  <c:v>0.82945638380406495</c:v>
                </c:pt>
                <c:pt idx="11">
                  <c:v>0.88312021272233399</c:v>
                </c:pt>
                <c:pt idx="12">
                  <c:v>0.895891528278557</c:v>
                </c:pt>
              </c:numCache>
            </c:numRef>
          </c:val>
          <c:smooth val="0"/>
          <c:extLst>
            <c:ext xmlns:c16="http://schemas.microsoft.com/office/drawing/2014/chart" uri="{C3380CC4-5D6E-409C-BE32-E72D297353CC}">
              <c16:uniqueId val="{00000003-19AA-42A7-9ABE-87E0F28DADEF}"/>
            </c:ext>
          </c:extLst>
        </c:ser>
        <c:ser>
          <c:idx val="4"/>
          <c:order val="4"/>
          <c:spPr>
            <a:ln w="28575" cap="rnd">
              <a:solidFill>
                <a:schemeClr val="accent5"/>
              </a:solidFill>
              <a:round/>
            </a:ln>
            <a:effectLst/>
          </c:spPr>
          <c:marker>
            <c:symbol val="none"/>
          </c:marker>
          <c:val>
            <c:numRef>
              <c:f>Ship!$D$14:$P$14</c:f>
              <c:numCache>
                <c:formatCode>General</c:formatCode>
                <c:ptCount val="13"/>
                <c:pt idx="0">
                  <c:v>1</c:v>
                </c:pt>
                <c:pt idx="1">
                  <c:v>1</c:v>
                </c:pt>
                <c:pt idx="2">
                  <c:v>1</c:v>
                </c:pt>
                <c:pt idx="3">
                  <c:v>0.87291671489763101</c:v>
                </c:pt>
                <c:pt idx="4">
                  <c:v>0.76940401036236195</c:v>
                </c:pt>
                <c:pt idx="5">
                  <c:v>0.66905407108598902</c:v>
                </c:pt>
                <c:pt idx="6">
                  <c:v>0.63213979944117704</c:v>
                </c:pt>
                <c:pt idx="7">
                  <c:v>0.66905407108598902</c:v>
                </c:pt>
                <c:pt idx="8">
                  <c:v>0.76940401036236195</c:v>
                </c:pt>
                <c:pt idx="9">
                  <c:v>0.87291671489763101</c:v>
                </c:pt>
                <c:pt idx="10">
                  <c:v>1</c:v>
                </c:pt>
                <c:pt idx="11">
                  <c:v>1</c:v>
                </c:pt>
                <c:pt idx="12">
                  <c:v>1</c:v>
                </c:pt>
              </c:numCache>
            </c:numRef>
          </c:val>
          <c:smooth val="0"/>
          <c:extLst>
            <c:ext xmlns:c16="http://schemas.microsoft.com/office/drawing/2014/chart" uri="{C3380CC4-5D6E-409C-BE32-E72D297353CC}">
              <c16:uniqueId val="{00000004-19AA-42A7-9ABE-87E0F28DADEF}"/>
            </c:ext>
          </c:extLst>
        </c:ser>
        <c:dLbls>
          <c:showLegendKey val="0"/>
          <c:showVal val="0"/>
          <c:showCatName val="0"/>
          <c:showSerName val="0"/>
          <c:showPercent val="0"/>
          <c:showBubbleSize val="0"/>
        </c:dLbls>
        <c:smooth val="0"/>
        <c:axId val="791219544"/>
        <c:axId val="791216920"/>
      </c:lineChart>
      <c:catAx>
        <c:axId val="791219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16920"/>
        <c:crosses val="autoZero"/>
        <c:auto val="1"/>
        <c:lblAlgn val="ctr"/>
        <c:lblOffset val="100"/>
        <c:noMultiLvlLbl val="0"/>
      </c:catAx>
      <c:valAx>
        <c:axId val="791216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1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PSO!$A$7:$A$11</c:f>
              <c:numCache>
                <c:formatCode>General</c:formatCode>
                <c:ptCount val="5"/>
                <c:pt idx="0">
                  <c:v>205</c:v>
                </c:pt>
                <c:pt idx="1">
                  <c:v>245</c:v>
                </c:pt>
                <c:pt idx="2">
                  <c:v>285</c:v>
                </c:pt>
                <c:pt idx="3">
                  <c:v>330</c:v>
                </c:pt>
                <c:pt idx="4">
                  <c:v>415</c:v>
                </c:pt>
              </c:numCache>
            </c:numRef>
          </c:xVal>
          <c:yVal>
            <c:numRef>
              <c:f>PSO!$H$7:$H$12</c:f>
              <c:numCache>
                <c:formatCode>0</c:formatCode>
                <c:ptCount val="6"/>
                <c:pt idx="0">
                  <c:v>38604.133073176803</c:v>
                </c:pt>
                <c:pt idx="1">
                  <c:v>40126.656265641803</c:v>
                </c:pt>
                <c:pt idx="2">
                  <c:v>42112.563285090997</c:v>
                </c:pt>
                <c:pt idx="3">
                  <c:v>44719.721693849002</c:v>
                </c:pt>
                <c:pt idx="4">
                  <c:v>49737.737403379797</c:v>
                </c:pt>
                <c:pt idx="5">
                  <c:v>94888.508979482707</c:v>
                </c:pt>
              </c:numCache>
            </c:numRef>
          </c:yVal>
          <c:smooth val="0"/>
          <c:extLst>
            <c:ext xmlns:c16="http://schemas.microsoft.com/office/drawing/2014/chart" uri="{C3380CC4-5D6E-409C-BE32-E72D297353CC}">
              <c16:uniqueId val="{00000000-89C1-4CF3-9A83-90015C596057}"/>
            </c:ext>
          </c:extLst>
        </c:ser>
        <c:dLbls>
          <c:showLegendKey val="0"/>
          <c:showVal val="0"/>
          <c:showCatName val="0"/>
          <c:showSerName val="0"/>
          <c:showPercent val="0"/>
          <c:showBubbleSize val="0"/>
        </c:dLbls>
        <c:axId val="860508752"/>
        <c:axId val="860509080"/>
      </c:scatterChart>
      <c:valAx>
        <c:axId val="86050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09080"/>
        <c:crosses val="autoZero"/>
        <c:crossBetween val="midCat"/>
      </c:valAx>
      <c:valAx>
        <c:axId val="860509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0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2nd hand oil tanker price versus dwt[ton]  (access: Feb</a:t>
            </a:r>
            <a:r>
              <a:rPr lang="en-US" altLang="zh-CN" baseline="0"/>
              <a:t>,2020)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00337209504442"/>
          <c:y val="0.11893835867361469"/>
          <c:w val="0.83597237431413784"/>
          <c:h val="0.74553215574253773"/>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Ship_Cost!$G$7:$G$75</c:f>
              <c:numCache>
                <c:formatCode>_(* #,##0_);_(* \(#,##0\);_(* "-"??_);_(@_)</c:formatCode>
                <c:ptCount val="69"/>
                <c:pt idx="0">
                  <c:v>320054</c:v>
                </c:pt>
                <c:pt idx="1">
                  <c:v>109647</c:v>
                </c:pt>
                <c:pt idx="2">
                  <c:v>109647</c:v>
                </c:pt>
                <c:pt idx="3">
                  <c:v>109571</c:v>
                </c:pt>
                <c:pt idx="4">
                  <c:v>109637</c:v>
                </c:pt>
                <c:pt idx="5">
                  <c:v>48023</c:v>
                </c:pt>
                <c:pt idx="6">
                  <c:v>114500</c:v>
                </c:pt>
                <c:pt idx="7">
                  <c:v>107181</c:v>
                </c:pt>
                <c:pt idx="8">
                  <c:v>47470</c:v>
                </c:pt>
                <c:pt idx="9">
                  <c:v>74998</c:v>
                </c:pt>
                <c:pt idx="10">
                  <c:v>109637</c:v>
                </c:pt>
                <c:pt idx="11">
                  <c:v>46683</c:v>
                </c:pt>
                <c:pt idx="12">
                  <c:v>115635</c:v>
                </c:pt>
                <c:pt idx="13">
                  <c:v>37488</c:v>
                </c:pt>
                <c:pt idx="14">
                  <c:v>37434</c:v>
                </c:pt>
                <c:pt idx="15">
                  <c:v>6300</c:v>
                </c:pt>
                <c:pt idx="16">
                  <c:v>7500</c:v>
                </c:pt>
                <c:pt idx="17">
                  <c:v>12999</c:v>
                </c:pt>
                <c:pt idx="18">
                  <c:v>6850</c:v>
                </c:pt>
                <c:pt idx="19">
                  <c:v>6919</c:v>
                </c:pt>
                <c:pt idx="20">
                  <c:v>45937</c:v>
                </c:pt>
                <c:pt idx="21">
                  <c:v>3852</c:v>
                </c:pt>
                <c:pt idx="22">
                  <c:v>16631</c:v>
                </c:pt>
                <c:pt idx="23">
                  <c:v>7124</c:v>
                </c:pt>
                <c:pt idx="24">
                  <c:v>16830</c:v>
                </c:pt>
                <c:pt idx="25">
                  <c:v>108468</c:v>
                </c:pt>
                <c:pt idx="26">
                  <c:v>11299</c:v>
                </c:pt>
                <c:pt idx="27">
                  <c:v>5814</c:v>
                </c:pt>
                <c:pt idx="28">
                  <c:v>13655</c:v>
                </c:pt>
                <c:pt idx="29">
                  <c:v>6395</c:v>
                </c:pt>
                <c:pt idx="30">
                  <c:v>12000</c:v>
                </c:pt>
                <c:pt idx="31">
                  <c:v>44128</c:v>
                </c:pt>
                <c:pt idx="32">
                  <c:v>3000</c:v>
                </c:pt>
                <c:pt idx="33">
                  <c:v>4424</c:v>
                </c:pt>
                <c:pt idx="34">
                  <c:v>3750</c:v>
                </c:pt>
                <c:pt idx="35">
                  <c:v>3590</c:v>
                </c:pt>
                <c:pt idx="36">
                  <c:v>3590</c:v>
                </c:pt>
                <c:pt idx="37">
                  <c:v>4858</c:v>
                </c:pt>
                <c:pt idx="38">
                  <c:v>3500</c:v>
                </c:pt>
                <c:pt idx="39">
                  <c:v>10000</c:v>
                </c:pt>
                <c:pt idx="40">
                  <c:v>9025</c:v>
                </c:pt>
                <c:pt idx="41">
                  <c:v>1034</c:v>
                </c:pt>
                <c:pt idx="42">
                  <c:v>2492</c:v>
                </c:pt>
                <c:pt idx="43">
                  <c:v>3785</c:v>
                </c:pt>
                <c:pt idx="44">
                  <c:v>5750</c:v>
                </c:pt>
                <c:pt idx="45">
                  <c:v>944</c:v>
                </c:pt>
                <c:pt idx="46">
                  <c:v>2400</c:v>
                </c:pt>
                <c:pt idx="47">
                  <c:v>5750</c:v>
                </c:pt>
                <c:pt idx="48">
                  <c:v>6756</c:v>
                </c:pt>
                <c:pt idx="49">
                  <c:v>3399</c:v>
                </c:pt>
                <c:pt idx="50">
                  <c:v>2622</c:v>
                </c:pt>
                <c:pt idx="51">
                  <c:v>2366</c:v>
                </c:pt>
                <c:pt idx="52">
                  <c:v>1500</c:v>
                </c:pt>
                <c:pt idx="53">
                  <c:v>2998</c:v>
                </c:pt>
                <c:pt idx="54">
                  <c:v>2622</c:v>
                </c:pt>
                <c:pt idx="55">
                  <c:v>830</c:v>
                </c:pt>
                <c:pt idx="56">
                  <c:v>2893</c:v>
                </c:pt>
                <c:pt idx="57">
                  <c:v>3040</c:v>
                </c:pt>
                <c:pt idx="58">
                  <c:v>2900</c:v>
                </c:pt>
                <c:pt idx="59">
                  <c:v>3200</c:v>
                </c:pt>
                <c:pt idx="60">
                  <c:v>200</c:v>
                </c:pt>
                <c:pt idx="61">
                  <c:v>200</c:v>
                </c:pt>
                <c:pt idx="62">
                  <c:v>1150</c:v>
                </c:pt>
                <c:pt idx="63">
                  <c:v>3226</c:v>
                </c:pt>
                <c:pt idx="64">
                  <c:v>1150</c:v>
                </c:pt>
                <c:pt idx="65">
                  <c:v>239</c:v>
                </c:pt>
                <c:pt idx="66">
                  <c:v>110</c:v>
                </c:pt>
                <c:pt idx="67">
                  <c:v>829</c:v>
                </c:pt>
                <c:pt idx="68">
                  <c:v>593</c:v>
                </c:pt>
              </c:numCache>
            </c:numRef>
          </c:xVal>
          <c:yVal>
            <c:numRef>
              <c:f>Ship_Cost!$M$7:$M$75</c:f>
              <c:numCache>
                <c:formatCode>"$"#,##0_);[Red]\("$"#,##0\)</c:formatCode>
                <c:ptCount val="69"/>
                <c:pt idx="0">
                  <c:v>49000000</c:v>
                </c:pt>
                <c:pt idx="1">
                  <c:v>21000000</c:v>
                </c:pt>
                <c:pt idx="2">
                  <c:v>21000000</c:v>
                </c:pt>
                <c:pt idx="3">
                  <c:v>19000000</c:v>
                </c:pt>
                <c:pt idx="4">
                  <c:v>19000000</c:v>
                </c:pt>
                <c:pt idx="5">
                  <c:v>16000000</c:v>
                </c:pt>
                <c:pt idx="6">
                  <c:v>16000000</c:v>
                </c:pt>
                <c:pt idx="7">
                  <c:v>14000000</c:v>
                </c:pt>
                <c:pt idx="8">
                  <c:v>13500000</c:v>
                </c:pt>
                <c:pt idx="9">
                  <c:v>13000000</c:v>
                </c:pt>
                <c:pt idx="10">
                  <c:v>12000000</c:v>
                </c:pt>
                <c:pt idx="11">
                  <c:v>12000000</c:v>
                </c:pt>
                <c:pt idx="12">
                  <c:v>11900000</c:v>
                </c:pt>
                <c:pt idx="13">
                  <c:v>11500000</c:v>
                </c:pt>
                <c:pt idx="14">
                  <c:v>11500000</c:v>
                </c:pt>
                <c:pt idx="15">
                  <c:v>11000000</c:v>
                </c:pt>
                <c:pt idx="16">
                  <c:v>9500000</c:v>
                </c:pt>
                <c:pt idx="17">
                  <c:v>9000000</c:v>
                </c:pt>
                <c:pt idx="18">
                  <c:v>8700000</c:v>
                </c:pt>
                <c:pt idx="19">
                  <c:v>8500000</c:v>
                </c:pt>
                <c:pt idx="20">
                  <c:v>8500000</c:v>
                </c:pt>
                <c:pt idx="21">
                  <c:v>8500000</c:v>
                </c:pt>
                <c:pt idx="22">
                  <c:v>8000000</c:v>
                </c:pt>
                <c:pt idx="23">
                  <c:v>8000000</c:v>
                </c:pt>
                <c:pt idx="24">
                  <c:v>8000000</c:v>
                </c:pt>
                <c:pt idx="25">
                  <c:v>8000000</c:v>
                </c:pt>
                <c:pt idx="26">
                  <c:v>7500000</c:v>
                </c:pt>
                <c:pt idx="27">
                  <c:v>7500000</c:v>
                </c:pt>
                <c:pt idx="28">
                  <c:v>7000000</c:v>
                </c:pt>
                <c:pt idx="29">
                  <c:v>6000000</c:v>
                </c:pt>
                <c:pt idx="30">
                  <c:v>6000000</c:v>
                </c:pt>
                <c:pt idx="31">
                  <c:v>5900000</c:v>
                </c:pt>
                <c:pt idx="32">
                  <c:v>5200000</c:v>
                </c:pt>
                <c:pt idx="33">
                  <c:v>4500000</c:v>
                </c:pt>
                <c:pt idx="34">
                  <c:v>4500000</c:v>
                </c:pt>
                <c:pt idx="35">
                  <c:v>4000000</c:v>
                </c:pt>
                <c:pt idx="36">
                  <c:v>4000000</c:v>
                </c:pt>
                <c:pt idx="37">
                  <c:v>3800000</c:v>
                </c:pt>
                <c:pt idx="38">
                  <c:v>3650000</c:v>
                </c:pt>
                <c:pt idx="39">
                  <c:v>3500000</c:v>
                </c:pt>
                <c:pt idx="40">
                  <c:v>3000000</c:v>
                </c:pt>
                <c:pt idx="41">
                  <c:v>2800000</c:v>
                </c:pt>
                <c:pt idx="42">
                  <c:v>2000000</c:v>
                </c:pt>
                <c:pt idx="43">
                  <c:v>1900000</c:v>
                </c:pt>
                <c:pt idx="44">
                  <c:v>1837500</c:v>
                </c:pt>
                <c:pt idx="45">
                  <c:v>1800000</c:v>
                </c:pt>
                <c:pt idx="46">
                  <c:v>1700000</c:v>
                </c:pt>
                <c:pt idx="47">
                  <c:v>1200000</c:v>
                </c:pt>
                <c:pt idx="48">
                  <c:v>1100000</c:v>
                </c:pt>
                <c:pt idx="49">
                  <c:v>1050000</c:v>
                </c:pt>
                <c:pt idx="50">
                  <c:v>1000000</c:v>
                </c:pt>
                <c:pt idx="51">
                  <c:v>1000000</c:v>
                </c:pt>
                <c:pt idx="52">
                  <c:v>1000000</c:v>
                </c:pt>
                <c:pt idx="53">
                  <c:v>1000000</c:v>
                </c:pt>
                <c:pt idx="54">
                  <c:v>875000</c:v>
                </c:pt>
                <c:pt idx="55">
                  <c:v>871000</c:v>
                </c:pt>
                <c:pt idx="56">
                  <c:v>860000</c:v>
                </c:pt>
                <c:pt idx="57">
                  <c:v>850000</c:v>
                </c:pt>
                <c:pt idx="58">
                  <c:v>800000</c:v>
                </c:pt>
                <c:pt idx="59">
                  <c:v>750000</c:v>
                </c:pt>
                <c:pt idx="60">
                  <c:v>680000</c:v>
                </c:pt>
                <c:pt idx="61">
                  <c:v>560000</c:v>
                </c:pt>
                <c:pt idx="62">
                  <c:v>560000</c:v>
                </c:pt>
                <c:pt idx="63">
                  <c:v>500000</c:v>
                </c:pt>
                <c:pt idx="64">
                  <c:v>460000</c:v>
                </c:pt>
                <c:pt idx="65">
                  <c:v>450000</c:v>
                </c:pt>
                <c:pt idx="66">
                  <c:v>365000</c:v>
                </c:pt>
                <c:pt idx="67">
                  <c:v>350000</c:v>
                </c:pt>
                <c:pt idx="68">
                  <c:v>350000</c:v>
                </c:pt>
              </c:numCache>
            </c:numRef>
          </c:yVal>
          <c:smooth val="0"/>
          <c:extLst>
            <c:ext xmlns:c16="http://schemas.microsoft.com/office/drawing/2014/chart" uri="{C3380CC4-5D6E-409C-BE32-E72D297353CC}">
              <c16:uniqueId val="{00000000-4FEA-46DC-8CAA-E3CF66E579D8}"/>
            </c:ext>
          </c:extLst>
        </c:ser>
        <c:dLbls>
          <c:showLegendKey val="0"/>
          <c:showVal val="0"/>
          <c:showCatName val="0"/>
          <c:showSerName val="0"/>
          <c:showPercent val="0"/>
          <c:showBubbleSize val="0"/>
        </c:dLbls>
        <c:axId val="1173559320"/>
        <c:axId val="843165288"/>
      </c:scatterChart>
      <c:valAx>
        <c:axId val="1173559320"/>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65288"/>
        <c:crosses val="autoZero"/>
        <c:crossBetween val="midCat"/>
      </c:valAx>
      <c:valAx>
        <c:axId val="8431652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559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Ship_Cost!$N$7:$N$75</c:f>
              <c:numCache>
                <c:formatCode>General</c:formatCode>
                <c:ptCount val="69"/>
                <c:pt idx="0">
                  <c:v>310047.03961584636</c:v>
                </c:pt>
                <c:pt idx="1">
                  <c:v>110860.47731092437</c:v>
                </c:pt>
                <c:pt idx="2">
                  <c:v>110860.47731092437</c:v>
                </c:pt>
                <c:pt idx="3">
                  <c:v>110860.47731092437</c:v>
                </c:pt>
                <c:pt idx="4">
                  <c:v>110860.47731092437</c:v>
                </c:pt>
                <c:pt idx="5">
                  <c:v>53514.510444177671</c:v>
                </c:pt>
                <c:pt idx="6">
                  <c:v>110561.02184873949</c:v>
                </c:pt>
                <c:pt idx="7">
                  <c:v>71125.835294117642</c:v>
                </c:pt>
                <c:pt idx="8">
                  <c:v>51830.872509003602</c:v>
                </c:pt>
                <c:pt idx="9">
                  <c:v>71751.298919567824</c:v>
                </c:pt>
                <c:pt idx="10">
                  <c:v>110860.47731092437</c:v>
                </c:pt>
                <c:pt idx="11">
                  <c:v>48683.885714285716</c:v>
                </c:pt>
                <c:pt idx="12">
                  <c:v>81133.253301320525</c:v>
                </c:pt>
                <c:pt idx="13">
                  <c:v>26871.33349339736</c:v>
                </c:pt>
                <c:pt idx="14">
                  <c:v>26871.33349339736</c:v>
                </c:pt>
                <c:pt idx="15">
                  <c:v>7289.2081632653053</c:v>
                </c:pt>
                <c:pt idx="16">
                  <c:v>8426.057142857142</c:v>
                </c:pt>
                <c:pt idx="17">
                  <c:v>8811.5630252100855</c:v>
                </c:pt>
                <c:pt idx="18">
                  <c:v>6605.2302521008405</c:v>
                </c:pt>
                <c:pt idx="19">
                  <c:v>6605.2302521008405</c:v>
                </c:pt>
                <c:pt idx="20">
                  <c:v>50697.957262905162</c:v>
                </c:pt>
                <c:pt idx="21">
                  <c:v>5802.2569027611044</c:v>
                </c:pt>
                <c:pt idx="22">
                  <c:v>16285.656662665066</c:v>
                </c:pt>
                <c:pt idx="23">
                  <c:v>8426.057142857142</c:v>
                </c:pt>
                <c:pt idx="24">
                  <c:v>18586.89075630252</c:v>
                </c:pt>
                <c:pt idx="25">
                  <c:v>74037.781512605041</c:v>
                </c:pt>
                <c:pt idx="26">
                  <c:v>12051.975990396159</c:v>
                </c:pt>
                <c:pt idx="27">
                  <c:v>4179.591836734694</c:v>
                </c:pt>
                <c:pt idx="28">
                  <c:v>10778.429771908764</c:v>
                </c:pt>
                <c:pt idx="29">
                  <c:v>5664.5762304921973</c:v>
                </c:pt>
                <c:pt idx="30">
                  <c:v>11683.188475390158</c:v>
                </c:pt>
                <c:pt idx="31">
                  <c:v>45641.142857142862</c:v>
                </c:pt>
                <c:pt idx="32">
                  <c:v>3221.7277310924369</c:v>
                </c:pt>
                <c:pt idx="33">
                  <c:v>2940.4657863145258</c:v>
                </c:pt>
                <c:pt idx="34">
                  <c:v>3183.3738295318126</c:v>
                </c:pt>
                <c:pt idx="35">
                  <c:v>3982.9051620648256</c:v>
                </c:pt>
                <c:pt idx="36">
                  <c:v>3319.0876350540216</c:v>
                </c:pt>
                <c:pt idx="37">
                  <c:v>4481.5058823529407</c:v>
                </c:pt>
                <c:pt idx="38">
                  <c:v>3375.1433373349337</c:v>
                </c:pt>
                <c:pt idx="39">
                  <c:v>7455.4084033613444</c:v>
                </c:pt>
                <c:pt idx="40">
                  <c:v>7248.8873949579829</c:v>
                </c:pt>
                <c:pt idx="41">
                  <c:v>1160.4513805522208</c:v>
                </c:pt>
                <c:pt idx="42">
                  <c:v>2507.7551020408159</c:v>
                </c:pt>
                <c:pt idx="43">
                  <c:v>5111.3949579831933</c:v>
                </c:pt>
                <c:pt idx="44">
                  <c:v>4425.4501800720291</c:v>
                </c:pt>
                <c:pt idx="45">
                  <c:v>955.89723889555819</c:v>
                </c:pt>
                <c:pt idx="46">
                  <c:v>2153.7190876350537</c:v>
                </c:pt>
                <c:pt idx="47">
                  <c:v>6638.1752701080432</c:v>
                </c:pt>
                <c:pt idx="48">
                  <c:v>5576.0672268907556</c:v>
                </c:pt>
                <c:pt idx="49">
                  <c:v>4144.1882352941175</c:v>
                </c:pt>
                <c:pt idx="50">
                  <c:v>2650.3529411764703</c:v>
                </c:pt>
                <c:pt idx="51">
                  <c:v>2271.7310924369749</c:v>
                </c:pt>
                <c:pt idx="52">
                  <c:v>1917.6950780312127</c:v>
                </c:pt>
                <c:pt idx="53">
                  <c:v>3413.4972388955584</c:v>
                </c:pt>
                <c:pt idx="54">
                  <c:v>2684.7731092436975</c:v>
                </c:pt>
                <c:pt idx="55">
                  <c:v>454.34621848739499</c:v>
                </c:pt>
                <c:pt idx="56">
                  <c:v>2788.0336134453778</c:v>
                </c:pt>
                <c:pt idx="57">
                  <c:v>3304.3361344537816</c:v>
                </c:pt>
                <c:pt idx="58">
                  <c:v>2588.8883553421369</c:v>
                </c:pt>
                <c:pt idx="59">
                  <c:v>3490.2050420168066</c:v>
                </c:pt>
                <c:pt idx="60">
                  <c:v>247.82521008403361</c:v>
                </c:pt>
                <c:pt idx="61">
                  <c:v>165.21680672268909</c:v>
                </c:pt>
                <c:pt idx="62">
                  <c:v>1524.3217286914767</c:v>
                </c:pt>
                <c:pt idx="63">
                  <c:v>3681.9745498199281</c:v>
                </c:pt>
                <c:pt idx="64">
                  <c:v>1573.4933973589434</c:v>
                </c:pt>
                <c:pt idx="65">
                  <c:v>171.11740696278511</c:v>
                </c:pt>
                <c:pt idx="66">
                  <c:v>135.7138055222089</c:v>
                </c:pt>
                <c:pt idx="67">
                  <c:v>1026.7044417767106</c:v>
                </c:pt>
                <c:pt idx="68">
                  <c:v>663.81752701080427</c:v>
                </c:pt>
              </c:numCache>
            </c:numRef>
          </c:xVal>
          <c:yVal>
            <c:numRef>
              <c:f>Ship_Cost!$O$7:$O$75</c:f>
              <c:numCache>
                <c:formatCode>"$"#,##0_);[Red]\("$"#,##0\)</c:formatCode>
                <c:ptCount val="69"/>
                <c:pt idx="0">
                  <c:v>49000000</c:v>
                </c:pt>
                <c:pt idx="1">
                  <c:v>21000000</c:v>
                </c:pt>
                <c:pt idx="2">
                  <c:v>21000000</c:v>
                </c:pt>
                <c:pt idx="3">
                  <c:v>19000000</c:v>
                </c:pt>
                <c:pt idx="4">
                  <c:v>19000000</c:v>
                </c:pt>
                <c:pt idx="5">
                  <c:v>16000000</c:v>
                </c:pt>
                <c:pt idx="6">
                  <c:v>16000000</c:v>
                </c:pt>
                <c:pt idx="7">
                  <c:v>14000000</c:v>
                </c:pt>
                <c:pt idx="8">
                  <c:v>13500000</c:v>
                </c:pt>
                <c:pt idx="9">
                  <c:v>13000000</c:v>
                </c:pt>
                <c:pt idx="10">
                  <c:v>12000000</c:v>
                </c:pt>
                <c:pt idx="11">
                  <c:v>12000000</c:v>
                </c:pt>
                <c:pt idx="12">
                  <c:v>11900000</c:v>
                </c:pt>
                <c:pt idx="13">
                  <c:v>11500000</c:v>
                </c:pt>
                <c:pt idx="14">
                  <c:v>11500000</c:v>
                </c:pt>
                <c:pt idx="15">
                  <c:v>11000000</c:v>
                </c:pt>
                <c:pt idx="16">
                  <c:v>9500000</c:v>
                </c:pt>
                <c:pt idx="17">
                  <c:v>9000000</c:v>
                </c:pt>
                <c:pt idx="18">
                  <c:v>8700000</c:v>
                </c:pt>
                <c:pt idx="19">
                  <c:v>8500000</c:v>
                </c:pt>
                <c:pt idx="20">
                  <c:v>8500000</c:v>
                </c:pt>
                <c:pt idx="21">
                  <c:v>8500000</c:v>
                </c:pt>
                <c:pt idx="22">
                  <c:v>8000000</c:v>
                </c:pt>
                <c:pt idx="23">
                  <c:v>8000000</c:v>
                </c:pt>
                <c:pt idx="24">
                  <c:v>8000000</c:v>
                </c:pt>
                <c:pt idx="25">
                  <c:v>8000000</c:v>
                </c:pt>
                <c:pt idx="26">
                  <c:v>7500000</c:v>
                </c:pt>
                <c:pt idx="27">
                  <c:v>7500000</c:v>
                </c:pt>
                <c:pt idx="28">
                  <c:v>7000000</c:v>
                </c:pt>
                <c:pt idx="29">
                  <c:v>6000000</c:v>
                </c:pt>
                <c:pt idx="30">
                  <c:v>6000000</c:v>
                </c:pt>
                <c:pt idx="31">
                  <c:v>5900000</c:v>
                </c:pt>
                <c:pt idx="32">
                  <c:v>5200000</c:v>
                </c:pt>
                <c:pt idx="33">
                  <c:v>4500000</c:v>
                </c:pt>
                <c:pt idx="34">
                  <c:v>4500000</c:v>
                </c:pt>
                <c:pt idx="35">
                  <c:v>4000000</c:v>
                </c:pt>
                <c:pt idx="36">
                  <c:v>4000000</c:v>
                </c:pt>
                <c:pt idx="37">
                  <c:v>3800000</c:v>
                </c:pt>
                <c:pt idx="38">
                  <c:v>3650000</c:v>
                </c:pt>
                <c:pt idx="39">
                  <c:v>3500000</c:v>
                </c:pt>
                <c:pt idx="40">
                  <c:v>3000000</c:v>
                </c:pt>
                <c:pt idx="41">
                  <c:v>2800000</c:v>
                </c:pt>
                <c:pt idx="42">
                  <c:v>2000000</c:v>
                </c:pt>
                <c:pt idx="43">
                  <c:v>1900000</c:v>
                </c:pt>
                <c:pt idx="44">
                  <c:v>1837500</c:v>
                </c:pt>
                <c:pt idx="45">
                  <c:v>1800000</c:v>
                </c:pt>
                <c:pt idx="46">
                  <c:v>1700000</c:v>
                </c:pt>
                <c:pt idx="47">
                  <c:v>1200000</c:v>
                </c:pt>
                <c:pt idx="48">
                  <c:v>1100000</c:v>
                </c:pt>
                <c:pt idx="49">
                  <c:v>1050000</c:v>
                </c:pt>
                <c:pt idx="50">
                  <c:v>1000000</c:v>
                </c:pt>
                <c:pt idx="51">
                  <c:v>1000000</c:v>
                </c:pt>
                <c:pt idx="52">
                  <c:v>1000000</c:v>
                </c:pt>
                <c:pt idx="53">
                  <c:v>1000000</c:v>
                </c:pt>
                <c:pt idx="54">
                  <c:v>875000</c:v>
                </c:pt>
                <c:pt idx="55">
                  <c:v>871000</c:v>
                </c:pt>
                <c:pt idx="56">
                  <c:v>860000</c:v>
                </c:pt>
                <c:pt idx="57">
                  <c:v>850000</c:v>
                </c:pt>
                <c:pt idx="58">
                  <c:v>800000</c:v>
                </c:pt>
                <c:pt idx="59">
                  <c:v>750000</c:v>
                </c:pt>
                <c:pt idx="60">
                  <c:v>680000</c:v>
                </c:pt>
                <c:pt idx="61">
                  <c:v>560000</c:v>
                </c:pt>
                <c:pt idx="62">
                  <c:v>560000</c:v>
                </c:pt>
                <c:pt idx="63">
                  <c:v>500000</c:v>
                </c:pt>
                <c:pt idx="64">
                  <c:v>460000</c:v>
                </c:pt>
                <c:pt idx="65">
                  <c:v>450000</c:v>
                </c:pt>
                <c:pt idx="66">
                  <c:v>365000</c:v>
                </c:pt>
                <c:pt idx="67">
                  <c:v>350000</c:v>
                </c:pt>
                <c:pt idx="68">
                  <c:v>350000</c:v>
                </c:pt>
              </c:numCache>
            </c:numRef>
          </c:yVal>
          <c:smooth val="0"/>
          <c:extLst>
            <c:ext xmlns:c16="http://schemas.microsoft.com/office/drawing/2014/chart" uri="{C3380CC4-5D6E-409C-BE32-E72D297353CC}">
              <c16:uniqueId val="{00000000-9E37-4F06-8CA1-7F686CE37F50}"/>
            </c:ext>
          </c:extLst>
        </c:ser>
        <c:dLbls>
          <c:showLegendKey val="0"/>
          <c:showVal val="0"/>
          <c:showCatName val="0"/>
          <c:showSerName val="0"/>
          <c:showPercent val="0"/>
          <c:showBubbleSize val="0"/>
        </c:dLbls>
        <c:axId val="927057728"/>
        <c:axId val="927054776"/>
      </c:scatterChart>
      <c:valAx>
        <c:axId val="927057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54776"/>
        <c:crosses val="autoZero"/>
        <c:crossBetween val="midCat"/>
      </c:valAx>
      <c:valAx>
        <c:axId val="927054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57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Availability versus</a:t>
            </a:r>
            <a:r>
              <a:rPr lang="en-US" baseline="0"/>
              <a:t> wave heading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Ship!$B$5</c:f>
              <c:strCache>
                <c:ptCount val="1"/>
                <c:pt idx="0">
                  <c:v>205</c:v>
                </c:pt>
              </c:strCache>
            </c:strRef>
          </c:tx>
          <c:spPr>
            <a:ln w="28575" cap="rnd">
              <a:solidFill>
                <a:schemeClr val="accent1"/>
              </a:solidFill>
              <a:round/>
            </a:ln>
            <a:effectLst/>
          </c:spPr>
          <c:marker>
            <c:symbol val="none"/>
          </c:marker>
          <c:cat>
            <c:numRef>
              <c:f>Ship!$D$4:$P$4</c:f>
              <c:numCache>
                <c:formatCode>General</c:formatCode>
                <c:ptCount val="13"/>
                <c:pt idx="0">
                  <c:v>0</c:v>
                </c:pt>
                <c:pt idx="1">
                  <c:v>15</c:v>
                </c:pt>
                <c:pt idx="2">
                  <c:v>30</c:v>
                </c:pt>
                <c:pt idx="3">
                  <c:v>45</c:v>
                </c:pt>
                <c:pt idx="4">
                  <c:v>60</c:v>
                </c:pt>
                <c:pt idx="5">
                  <c:v>75</c:v>
                </c:pt>
                <c:pt idx="6">
                  <c:v>90</c:v>
                </c:pt>
                <c:pt idx="7">
                  <c:v>105</c:v>
                </c:pt>
                <c:pt idx="8">
                  <c:v>120</c:v>
                </c:pt>
                <c:pt idx="9">
                  <c:v>135</c:v>
                </c:pt>
                <c:pt idx="10">
                  <c:v>150</c:v>
                </c:pt>
                <c:pt idx="11">
                  <c:v>165</c:v>
                </c:pt>
                <c:pt idx="12">
                  <c:v>180</c:v>
                </c:pt>
              </c:numCache>
            </c:numRef>
          </c:cat>
          <c:val>
            <c:numRef>
              <c:f>Ship!$D$5:$P$5</c:f>
              <c:numCache>
                <c:formatCode>General</c:formatCode>
                <c:ptCount val="13"/>
                <c:pt idx="0">
                  <c:v>0.50757247676690997</c:v>
                </c:pt>
                <c:pt idx="1">
                  <c:v>0.50348324702996095</c:v>
                </c:pt>
                <c:pt idx="2">
                  <c:v>0.44047023834647597</c:v>
                </c:pt>
                <c:pt idx="3">
                  <c:v>0.23290082798647399</c:v>
                </c:pt>
                <c:pt idx="4">
                  <c:v>0</c:v>
                </c:pt>
                <c:pt idx="5">
                  <c:v>0</c:v>
                </c:pt>
                <c:pt idx="6">
                  <c:v>0</c:v>
                </c:pt>
                <c:pt idx="7">
                  <c:v>0</c:v>
                </c:pt>
                <c:pt idx="8">
                  <c:v>0</c:v>
                </c:pt>
                <c:pt idx="9">
                  <c:v>0.23290082798647399</c:v>
                </c:pt>
                <c:pt idx="10">
                  <c:v>0.44047023834647597</c:v>
                </c:pt>
                <c:pt idx="11">
                  <c:v>0.50348324702996095</c:v>
                </c:pt>
                <c:pt idx="12">
                  <c:v>0.50757247676690997</c:v>
                </c:pt>
              </c:numCache>
            </c:numRef>
          </c:val>
          <c:smooth val="0"/>
          <c:extLst>
            <c:ext xmlns:c16="http://schemas.microsoft.com/office/drawing/2014/chart" uri="{C3380CC4-5D6E-409C-BE32-E72D297353CC}">
              <c16:uniqueId val="{00000000-F380-4229-A5BF-60181F5A3D92}"/>
            </c:ext>
          </c:extLst>
        </c:ser>
        <c:ser>
          <c:idx val="1"/>
          <c:order val="1"/>
          <c:tx>
            <c:strRef>
              <c:f>Ship!$B$7</c:f>
              <c:strCache>
                <c:ptCount val="1"/>
                <c:pt idx="0">
                  <c:v>245</c:v>
                </c:pt>
              </c:strCache>
            </c:strRef>
          </c:tx>
          <c:spPr>
            <a:ln w="28575" cap="rnd">
              <a:solidFill>
                <a:schemeClr val="accent2"/>
              </a:solidFill>
              <a:round/>
            </a:ln>
            <a:effectLst/>
          </c:spPr>
          <c:marker>
            <c:symbol val="none"/>
          </c:marker>
          <c:cat>
            <c:numRef>
              <c:f>Ship!$D$4:$P$4</c:f>
              <c:numCache>
                <c:formatCode>General</c:formatCode>
                <c:ptCount val="13"/>
                <c:pt idx="0">
                  <c:v>0</c:v>
                </c:pt>
                <c:pt idx="1">
                  <c:v>15</c:v>
                </c:pt>
                <c:pt idx="2">
                  <c:v>30</c:v>
                </c:pt>
                <c:pt idx="3">
                  <c:v>45</c:v>
                </c:pt>
                <c:pt idx="4">
                  <c:v>60</c:v>
                </c:pt>
                <c:pt idx="5">
                  <c:v>75</c:v>
                </c:pt>
                <c:pt idx="6">
                  <c:v>90</c:v>
                </c:pt>
                <c:pt idx="7">
                  <c:v>105</c:v>
                </c:pt>
                <c:pt idx="8">
                  <c:v>120</c:v>
                </c:pt>
                <c:pt idx="9">
                  <c:v>135</c:v>
                </c:pt>
                <c:pt idx="10">
                  <c:v>150</c:v>
                </c:pt>
                <c:pt idx="11">
                  <c:v>165</c:v>
                </c:pt>
                <c:pt idx="12">
                  <c:v>180</c:v>
                </c:pt>
              </c:numCache>
            </c:numRef>
          </c:cat>
          <c:val>
            <c:numRef>
              <c:f>Ship!$D$7:$P$7</c:f>
              <c:numCache>
                <c:formatCode>General</c:formatCode>
                <c:ptCount val="13"/>
                <c:pt idx="0">
                  <c:v>0.61091126445657895</c:v>
                </c:pt>
                <c:pt idx="1">
                  <c:v>0.61579012650993803</c:v>
                </c:pt>
                <c:pt idx="2">
                  <c:v>0.56312594888406098</c:v>
                </c:pt>
                <c:pt idx="3">
                  <c:v>0.33921565882342503</c:v>
                </c:pt>
                <c:pt idx="4">
                  <c:v>0.117736417456471</c:v>
                </c:pt>
                <c:pt idx="5">
                  <c:v>1.51152279581134E-2</c:v>
                </c:pt>
                <c:pt idx="6">
                  <c:v>1.51152279581134E-2</c:v>
                </c:pt>
                <c:pt idx="7">
                  <c:v>1.51152279581134E-2</c:v>
                </c:pt>
                <c:pt idx="8">
                  <c:v>0.117736417456471</c:v>
                </c:pt>
                <c:pt idx="9">
                  <c:v>0.33921565882342503</c:v>
                </c:pt>
                <c:pt idx="10">
                  <c:v>0.56312594888406098</c:v>
                </c:pt>
                <c:pt idx="11">
                  <c:v>0.61579012650993803</c:v>
                </c:pt>
                <c:pt idx="12">
                  <c:v>0.61091126445657895</c:v>
                </c:pt>
              </c:numCache>
            </c:numRef>
          </c:val>
          <c:smooth val="0"/>
          <c:extLst>
            <c:ext xmlns:c16="http://schemas.microsoft.com/office/drawing/2014/chart" uri="{C3380CC4-5D6E-409C-BE32-E72D297353CC}">
              <c16:uniqueId val="{00000001-F380-4229-A5BF-60181F5A3D92}"/>
            </c:ext>
          </c:extLst>
        </c:ser>
        <c:ser>
          <c:idx val="2"/>
          <c:order val="2"/>
          <c:tx>
            <c:strRef>
              <c:f>Ship!$B$9</c:f>
              <c:strCache>
                <c:ptCount val="1"/>
                <c:pt idx="0">
                  <c:v>285</c:v>
                </c:pt>
              </c:strCache>
            </c:strRef>
          </c:tx>
          <c:spPr>
            <a:ln w="28575" cap="rnd">
              <a:solidFill>
                <a:schemeClr val="accent3"/>
              </a:solidFill>
              <a:round/>
            </a:ln>
            <a:effectLst/>
          </c:spPr>
          <c:marker>
            <c:symbol val="none"/>
          </c:marker>
          <c:cat>
            <c:numRef>
              <c:f>Ship!$D$4:$P$4</c:f>
              <c:numCache>
                <c:formatCode>General</c:formatCode>
                <c:ptCount val="13"/>
                <c:pt idx="0">
                  <c:v>0</c:v>
                </c:pt>
                <c:pt idx="1">
                  <c:v>15</c:v>
                </c:pt>
                <c:pt idx="2">
                  <c:v>30</c:v>
                </c:pt>
                <c:pt idx="3">
                  <c:v>45</c:v>
                </c:pt>
                <c:pt idx="4">
                  <c:v>60</c:v>
                </c:pt>
                <c:pt idx="5">
                  <c:v>75</c:v>
                </c:pt>
                <c:pt idx="6">
                  <c:v>90</c:v>
                </c:pt>
                <c:pt idx="7">
                  <c:v>105</c:v>
                </c:pt>
                <c:pt idx="8">
                  <c:v>120</c:v>
                </c:pt>
                <c:pt idx="9">
                  <c:v>135</c:v>
                </c:pt>
                <c:pt idx="10">
                  <c:v>150</c:v>
                </c:pt>
                <c:pt idx="11">
                  <c:v>165</c:v>
                </c:pt>
                <c:pt idx="12">
                  <c:v>180</c:v>
                </c:pt>
              </c:numCache>
            </c:numRef>
          </c:cat>
          <c:val>
            <c:numRef>
              <c:f>Ship!$D$9:$P$9</c:f>
              <c:numCache>
                <c:formatCode>General</c:formatCode>
                <c:ptCount val="13"/>
                <c:pt idx="0">
                  <c:v>0.72384485625389305</c:v>
                </c:pt>
                <c:pt idx="1">
                  <c:v>0.71717991336111298</c:v>
                </c:pt>
                <c:pt idx="2">
                  <c:v>0.67552127900970405</c:v>
                </c:pt>
                <c:pt idx="3">
                  <c:v>0.452706543877269</c:v>
                </c:pt>
                <c:pt idx="4">
                  <c:v>0.23312753418662399</c:v>
                </c:pt>
                <c:pt idx="5">
                  <c:v>0.10205647974970899</c:v>
                </c:pt>
                <c:pt idx="6">
                  <c:v>7.6274526923511096E-2</c:v>
                </c:pt>
                <c:pt idx="7">
                  <c:v>0.10205647974970899</c:v>
                </c:pt>
                <c:pt idx="8">
                  <c:v>0.23312753418662399</c:v>
                </c:pt>
                <c:pt idx="9">
                  <c:v>0.452706543877269</c:v>
                </c:pt>
                <c:pt idx="10">
                  <c:v>0.67552127900970405</c:v>
                </c:pt>
                <c:pt idx="11">
                  <c:v>0.71717991336111298</c:v>
                </c:pt>
                <c:pt idx="12">
                  <c:v>0.72384485625389305</c:v>
                </c:pt>
              </c:numCache>
            </c:numRef>
          </c:val>
          <c:smooth val="0"/>
          <c:extLst>
            <c:ext xmlns:c16="http://schemas.microsoft.com/office/drawing/2014/chart" uri="{C3380CC4-5D6E-409C-BE32-E72D297353CC}">
              <c16:uniqueId val="{00000002-F380-4229-A5BF-60181F5A3D92}"/>
            </c:ext>
          </c:extLst>
        </c:ser>
        <c:ser>
          <c:idx val="3"/>
          <c:order val="3"/>
          <c:tx>
            <c:strRef>
              <c:f>Ship!$B$11</c:f>
              <c:strCache>
                <c:ptCount val="1"/>
                <c:pt idx="0">
                  <c:v>330</c:v>
                </c:pt>
              </c:strCache>
            </c:strRef>
          </c:tx>
          <c:spPr>
            <a:ln w="28575" cap="rnd">
              <a:solidFill>
                <a:schemeClr val="accent4"/>
              </a:solidFill>
              <a:round/>
            </a:ln>
            <a:effectLst/>
          </c:spPr>
          <c:marker>
            <c:symbol val="none"/>
          </c:marker>
          <c:cat>
            <c:numRef>
              <c:f>Ship!$D$4:$P$4</c:f>
              <c:numCache>
                <c:formatCode>General</c:formatCode>
                <c:ptCount val="13"/>
                <c:pt idx="0">
                  <c:v>0</c:v>
                </c:pt>
                <c:pt idx="1">
                  <c:v>15</c:v>
                </c:pt>
                <c:pt idx="2">
                  <c:v>30</c:v>
                </c:pt>
                <c:pt idx="3">
                  <c:v>45</c:v>
                </c:pt>
                <c:pt idx="4">
                  <c:v>60</c:v>
                </c:pt>
                <c:pt idx="5">
                  <c:v>75</c:v>
                </c:pt>
                <c:pt idx="6">
                  <c:v>90</c:v>
                </c:pt>
                <c:pt idx="7">
                  <c:v>105</c:v>
                </c:pt>
                <c:pt idx="8">
                  <c:v>120</c:v>
                </c:pt>
                <c:pt idx="9">
                  <c:v>135</c:v>
                </c:pt>
                <c:pt idx="10">
                  <c:v>150</c:v>
                </c:pt>
                <c:pt idx="11">
                  <c:v>165</c:v>
                </c:pt>
                <c:pt idx="12">
                  <c:v>180</c:v>
                </c:pt>
              </c:numCache>
            </c:numRef>
          </c:cat>
          <c:val>
            <c:numRef>
              <c:f>Ship!$D$11:$P$11</c:f>
              <c:numCache>
                <c:formatCode>General</c:formatCode>
                <c:ptCount val="13"/>
                <c:pt idx="0">
                  <c:v>0.82162834083629399</c:v>
                </c:pt>
                <c:pt idx="1">
                  <c:v>0.82132251370564202</c:v>
                </c:pt>
                <c:pt idx="2">
                  <c:v>0.771893828952399</c:v>
                </c:pt>
                <c:pt idx="3">
                  <c:v>0.57970281553208103</c:v>
                </c:pt>
                <c:pt idx="4">
                  <c:v>0.37749569843869801</c:v>
                </c:pt>
                <c:pt idx="5">
                  <c:v>0.24101568094489101</c:v>
                </c:pt>
                <c:pt idx="6">
                  <c:v>0.200304185461221</c:v>
                </c:pt>
                <c:pt idx="7">
                  <c:v>0.24101568094489101</c:v>
                </c:pt>
                <c:pt idx="8">
                  <c:v>0.37749569843869801</c:v>
                </c:pt>
                <c:pt idx="9">
                  <c:v>0.57970281553208103</c:v>
                </c:pt>
                <c:pt idx="10">
                  <c:v>0.771893828952399</c:v>
                </c:pt>
                <c:pt idx="11">
                  <c:v>0.82132251370564202</c:v>
                </c:pt>
                <c:pt idx="12">
                  <c:v>0.82162834083629399</c:v>
                </c:pt>
              </c:numCache>
            </c:numRef>
          </c:val>
          <c:smooth val="0"/>
          <c:extLst>
            <c:ext xmlns:c16="http://schemas.microsoft.com/office/drawing/2014/chart" uri="{C3380CC4-5D6E-409C-BE32-E72D297353CC}">
              <c16:uniqueId val="{00000003-F380-4229-A5BF-60181F5A3D92}"/>
            </c:ext>
          </c:extLst>
        </c:ser>
        <c:ser>
          <c:idx val="4"/>
          <c:order val="4"/>
          <c:tx>
            <c:strRef>
              <c:f>Ship!$B$13</c:f>
              <c:strCache>
                <c:ptCount val="1"/>
                <c:pt idx="0">
                  <c:v>415</c:v>
                </c:pt>
              </c:strCache>
            </c:strRef>
          </c:tx>
          <c:spPr>
            <a:ln w="28575" cap="rnd">
              <a:solidFill>
                <a:schemeClr val="accent5"/>
              </a:solidFill>
              <a:round/>
            </a:ln>
            <a:effectLst/>
          </c:spPr>
          <c:marker>
            <c:symbol val="none"/>
          </c:marker>
          <c:cat>
            <c:numRef>
              <c:f>Ship!$D$4:$P$4</c:f>
              <c:numCache>
                <c:formatCode>General</c:formatCode>
                <c:ptCount val="13"/>
                <c:pt idx="0">
                  <c:v>0</c:v>
                </c:pt>
                <c:pt idx="1">
                  <c:v>15</c:v>
                </c:pt>
                <c:pt idx="2">
                  <c:v>30</c:v>
                </c:pt>
                <c:pt idx="3">
                  <c:v>45</c:v>
                </c:pt>
                <c:pt idx="4">
                  <c:v>60</c:v>
                </c:pt>
                <c:pt idx="5">
                  <c:v>75</c:v>
                </c:pt>
                <c:pt idx="6">
                  <c:v>90</c:v>
                </c:pt>
                <c:pt idx="7">
                  <c:v>105</c:v>
                </c:pt>
                <c:pt idx="8">
                  <c:v>120</c:v>
                </c:pt>
                <c:pt idx="9">
                  <c:v>135</c:v>
                </c:pt>
                <c:pt idx="10">
                  <c:v>150</c:v>
                </c:pt>
                <c:pt idx="11">
                  <c:v>165</c:v>
                </c:pt>
                <c:pt idx="12">
                  <c:v>180</c:v>
                </c:pt>
              </c:numCache>
            </c:numRef>
          </c:cat>
          <c:val>
            <c:numRef>
              <c:f>Ship!$D$13:$P$13</c:f>
              <c:numCache>
                <c:formatCode>General</c:formatCode>
                <c:ptCount val="13"/>
                <c:pt idx="0">
                  <c:v>0.89164802096842399</c:v>
                </c:pt>
                <c:pt idx="1">
                  <c:v>1</c:v>
                </c:pt>
                <c:pt idx="2">
                  <c:v>0.89710520243980096</c:v>
                </c:pt>
                <c:pt idx="3">
                  <c:v>0.75874249158949603</c:v>
                </c:pt>
                <c:pt idx="4">
                  <c:v>0.57081028037335702</c:v>
                </c:pt>
                <c:pt idx="5">
                  <c:v>0.41766009338965698</c:v>
                </c:pt>
                <c:pt idx="6">
                  <c:v>0.36579198645021799</c:v>
                </c:pt>
                <c:pt idx="7">
                  <c:v>0.41766009338965698</c:v>
                </c:pt>
                <c:pt idx="8">
                  <c:v>0.57081028037335702</c:v>
                </c:pt>
                <c:pt idx="9">
                  <c:v>0.75874249158949603</c:v>
                </c:pt>
                <c:pt idx="10">
                  <c:v>0.89710520243980096</c:v>
                </c:pt>
                <c:pt idx="11">
                  <c:v>1</c:v>
                </c:pt>
                <c:pt idx="12">
                  <c:v>0.89164802096842399</c:v>
                </c:pt>
              </c:numCache>
            </c:numRef>
          </c:val>
          <c:smooth val="0"/>
          <c:extLst>
            <c:ext xmlns:c16="http://schemas.microsoft.com/office/drawing/2014/chart" uri="{C3380CC4-5D6E-409C-BE32-E72D297353CC}">
              <c16:uniqueId val="{00000004-F380-4229-A5BF-60181F5A3D92}"/>
            </c:ext>
          </c:extLst>
        </c:ser>
        <c:dLbls>
          <c:showLegendKey val="0"/>
          <c:showVal val="0"/>
          <c:showCatName val="0"/>
          <c:showSerName val="0"/>
          <c:showPercent val="0"/>
          <c:showBubbleSize val="0"/>
        </c:dLbls>
        <c:smooth val="0"/>
        <c:axId val="820360000"/>
        <c:axId val="820358360"/>
      </c:lineChart>
      <c:catAx>
        <c:axId val="82036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Wave heading [deg]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58360"/>
        <c:crosses val="autoZero"/>
        <c:auto val="1"/>
        <c:lblAlgn val="ctr"/>
        <c:lblOffset val="100"/>
        <c:noMultiLvlLbl val="0"/>
      </c:catAx>
      <c:valAx>
        <c:axId val="82035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Availability[-]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6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Availability</a:t>
            </a:r>
            <a:r>
              <a:rPr lang="en-US" baseline="0"/>
              <a:t> versus Wave heading (single hull)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Ship!$E$45</c:f>
              <c:strCache>
                <c:ptCount val="1"/>
                <c:pt idx="0">
                  <c:v>Coastal tanker(205m)</c:v>
                </c:pt>
              </c:strCache>
            </c:strRef>
          </c:tx>
          <c:spPr>
            <a:ln w="28575" cap="rnd">
              <a:solidFill>
                <a:schemeClr val="accent1"/>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Ship!$G$45:$AD$45</c:f>
              <c:numCache>
                <c:formatCode>0.00</c:formatCode>
                <c:ptCount val="24"/>
                <c:pt idx="0">
                  <c:v>0.50757247676690997</c:v>
                </c:pt>
                <c:pt idx="1">
                  <c:v>0.50348324702996095</c:v>
                </c:pt>
                <c:pt idx="2">
                  <c:v>0.44047023834647597</c:v>
                </c:pt>
                <c:pt idx="3">
                  <c:v>0.23290082798647399</c:v>
                </c:pt>
                <c:pt idx="4">
                  <c:v>0</c:v>
                </c:pt>
                <c:pt idx="5">
                  <c:v>0</c:v>
                </c:pt>
                <c:pt idx="6">
                  <c:v>0</c:v>
                </c:pt>
                <c:pt idx="7">
                  <c:v>0</c:v>
                </c:pt>
                <c:pt idx="8">
                  <c:v>0</c:v>
                </c:pt>
                <c:pt idx="9">
                  <c:v>0.23290082798647399</c:v>
                </c:pt>
                <c:pt idx="10">
                  <c:v>0.44047023834647597</c:v>
                </c:pt>
                <c:pt idx="11">
                  <c:v>0.50348324702996095</c:v>
                </c:pt>
                <c:pt idx="12">
                  <c:v>0.50757247676690997</c:v>
                </c:pt>
                <c:pt idx="13">
                  <c:v>0.50348324702996095</c:v>
                </c:pt>
                <c:pt idx="14">
                  <c:v>0.44047023834647597</c:v>
                </c:pt>
                <c:pt idx="15">
                  <c:v>0.23290082798647399</c:v>
                </c:pt>
                <c:pt idx="16">
                  <c:v>0</c:v>
                </c:pt>
                <c:pt idx="17">
                  <c:v>0</c:v>
                </c:pt>
                <c:pt idx="18">
                  <c:v>0</c:v>
                </c:pt>
                <c:pt idx="19">
                  <c:v>0</c:v>
                </c:pt>
                <c:pt idx="20">
                  <c:v>0</c:v>
                </c:pt>
                <c:pt idx="21">
                  <c:v>0.23290082798647399</c:v>
                </c:pt>
                <c:pt idx="22">
                  <c:v>0.44047023834647597</c:v>
                </c:pt>
                <c:pt idx="23">
                  <c:v>0.50348324702996095</c:v>
                </c:pt>
              </c:numCache>
            </c:numRef>
          </c:val>
          <c:extLst>
            <c:ext xmlns:c16="http://schemas.microsoft.com/office/drawing/2014/chart" uri="{C3380CC4-5D6E-409C-BE32-E72D297353CC}">
              <c16:uniqueId val="{00000000-A374-4E0C-B303-412BD794633F}"/>
            </c:ext>
          </c:extLst>
        </c:ser>
        <c:ser>
          <c:idx val="1"/>
          <c:order val="1"/>
          <c:tx>
            <c:strRef>
              <c:f>Ship!$E$47</c:f>
              <c:strCache>
                <c:ptCount val="1"/>
                <c:pt idx="0">
                  <c:v>Aframax(245m)</c:v>
                </c:pt>
              </c:strCache>
            </c:strRef>
          </c:tx>
          <c:spPr>
            <a:ln w="28575" cap="rnd">
              <a:solidFill>
                <a:schemeClr val="accent2"/>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Ship!$G$47:$AD$47</c:f>
              <c:numCache>
                <c:formatCode>0.00</c:formatCode>
                <c:ptCount val="24"/>
                <c:pt idx="0">
                  <c:v>0.61091126445657895</c:v>
                </c:pt>
                <c:pt idx="1">
                  <c:v>0.61579012650993803</c:v>
                </c:pt>
                <c:pt idx="2">
                  <c:v>0.56312594888406098</c:v>
                </c:pt>
                <c:pt idx="3">
                  <c:v>0.33921565882342503</c:v>
                </c:pt>
                <c:pt idx="4">
                  <c:v>0.117736417456471</c:v>
                </c:pt>
                <c:pt idx="5">
                  <c:v>1.51152279581134E-2</c:v>
                </c:pt>
                <c:pt idx="6">
                  <c:v>1.51152279581134E-2</c:v>
                </c:pt>
                <c:pt idx="7">
                  <c:v>1.51152279581134E-2</c:v>
                </c:pt>
                <c:pt idx="8">
                  <c:v>0.117736417456471</c:v>
                </c:pt>
                <c:pt idx="9">
                  <c:v>0.33921565882342503</c:v>
                </c:pt>
                <c:pt idx="10">
                  <c:v>0.56312594888406098</c:v>
                </c:pt>
                <c:pt idx="11">
                  <c:v>0.61579012650993803</c:v>
                </c:pt>
                <c:pt idx="12">
                  <c:v>0.61091126445657895</c:v>
                </c:pt>
                <c:pt idx="13">
                  <c:v>0.61579012650993803</c:v>
                </c:pt>
                <c:pt idx="14">
                  <c:v>0.56312594888406098</c:v>
                </c:pt>
                <c:pt idx="15">
                  <c:v>0.33921565882342503</c:v>
                </c:pt>
                <c:pt idx="16">
                  <c:v>0.117736417456471</c:v>
                </c:pt>
                <c:pt idx="17">
                  <c:v>1.51152279581134E-2</c:v>
                </c:pt>
                <c:pt idx="18">
                  <c:v>1.51152279581134E-2</c:v>
                </c:pt>
                <c:pt idx="19">
                  <c:v>1.51152279581134E-2</c:v>
                </c:pt>
                <c:pt idx="20">
                  <c:v>0.117736417456471</c:v>
                </c:pt>
                <c:pt idx="21">
                  <c:v>0.33921565882342503</c:v>
                </c:pt>
                <c:pt idx="22">
                  <c:v>0.56312594888406098</c:v>
                </c:pt>
                <c:pt idx="23">
                  <c:v>0.61579012650993803</c:v>
                </c:pt>
              </c:numCache>
            </c:numRef>
          </c:val>
          <c:extLst>
            <c:ext xmlns:c16="http://schemas.microsoft.com/office/drawing/2014/chart" uri="{C3380CC4-5D6E-409C-BE32-E72D297353CC}">
              <c16:uniqueId val="{00000001-A374-4E0C-B303-412BD794633F}"/>
            </c:ext>
          </c:extLst>
        </c:ser>
        <c:ser>
          <c:idx val="2"/>
          <c:order val="2"/>
          <c:tx>
            <c:strRef>
              <c:f>Ship!$E$49</c:f>
              <c:strCache>
                <c:ptCount val="1"/>
                <c:pt idx="0">
                  <c:v>Suez-Max(285m)</c:v>
                </c:pt>
              </c:strCache>
            </c:strRef>
          </c:tx>
          <c:spPr>
            <a:ln w="28575" cap="rnd">
              <a:solidFill>
                <a:schemeClr val="accent3"/>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Ship!$G$49:$AD$49</c:f>
              <c:numCache>
                <c:formatCode>0.00</c:formatCode>
                <c:ptCount val="24"/>
                <c:pt idx="0">
                  <c:v>0.72384485625389305</c:v>
                </c:pt>
                <c:pt idx="1">
                  <c:v>0.71717991336111298</c:v>
                </c:pt>
                <c:pt idx="2">
                  <c:v>0.67552127900970405</c:v>
                </c:pt>
                <c:pt idx="3">
                  <c:v>0.452706543877269</c:v>
                </c:pt>
                <c:pt idx="4">
                  <c:v>0.23312753418662399</c:v>
                </c:pt>
                <c:pt idx="5">
                  <c:v>0.10205647974970899</c:v>
                </c:pt>
                <c:pt idx="6">
                  <c:v>7.6274526923511096E-2</c:v>
                </c:pt>
                <c:pt idx="7">
                  <c:v>0.10205647974970899</c:v>
                </c:pt>
                <c:pt idx="8">
                  <c:v>0.23312753418662399</c:v>
                </c:pt>
                <c:pt idx="9">
                  <c:v>0.452706543877269</c:v>
                </c:pt>
                <c:pt idx="10">
                  <c:v>0.67552127900970405</c:v>
                </c:pt>
                <c:pt idx="11">
                  <c:v>0.71717991336111298</c:v>
                </c:pt>
                <c:pt idx="12">
                  <c:v>0.72384485625389305</c:v>
                </c:pt>
                <c:pt idx="13">
                  <c:v>0.71717991336111298</c:v>
                </c:pt>
                <c:pt idx="14">
                  <c:v>0.67552127900970405</c:v>
                </c:pt>
                <c:pt idx="15">
                  <c:v>0.452706543877269</c:v>
                </c:pt>
                <c:pt idx="16">
                  <c:v>0.23312753418662399</c:v>
                </c:pt>
                <c:pt idx="17">
                  <c:v>0.10205647974970899</c:v>
                </c:pt>
                <c:pt idx="18">
                  <c:v>7.6274526923511096E-2</c:v>
                </c:pt>
                <c:pt idx="19">
                  <c:v>0.10205647974970899</c:v>
                </c:pt>
                <c:pt idx="20">
                  <c:v>0.23312753418662399</c:v>
                </c:pt>
                <c:pt idx="21">
                  <c:v>0.452706543877269</c:v>
                </c:pt>
                <c:pt idx="22">
                  <c:v>0.67552127900970405</c:v>
                </c:pt>
                <c:pt idx="23">
                  <c:v>0.71717991336111298</c:v>
                </c:pt>
              </c:numCache>
            </c:numRef>
          </c:val>
          <c:extLst>
            <c:ext xmlns:c16="http://schemas.microsoft.com/office/drawing/2014/chart" uri="{C3380CC4-5D6E-409C-BE32-E72D297353CC}">
              <c16:uniqueId val="{00000002-A374-4E0C-B303-412BD794633F}"/>
            </c:ext>
          </c:extLst>
        </c:ser>
        <c:ser>
          <c:idx val="3"/>
          <c:order val="3"/>
          <c:tx>
            <c:strRef>
              <c:f>Ship!$E$51</c:f>
              <c:strCache>
                <c:ptCount val="1"/>
                <c:pt idx="0">
                  <c:v>VLCC(330m)</c:v>
                </c:pt>
              </c:strCache>
            </c:strRef>
          </c:tx>
          <c:spPr>
            <a:ln w="28575" cap="rnd">
              <a:solidFill>
                <a:schemeClr val="accent4"/>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Ship!$G$51:$AD$51</c:f>
              <c:numCache>
                <c:formatCode>0.00</c:formatCode>
                <c:ptCount val="24"/>
                <c:pt idx="0">
                  <c:v>0.82162834083629399</c:v>
                </c:pt>
                <c:pt idx="1">
                  <c:v>0.82132251370564202</c:v>
                </c:pt>
                <c:pt idx="2">
                  <c:v>0.771893828952399</c:v>
                </c:pt>
                <c:pt idx="3">
                  <c:v>0.57970281553208103</c:v>
                </c:pt>
                <c:pt idx="4">
                  <c:v>0.37749569843869801</c:v>
                </c:pt>
                <c:pt idx="5">
                  <c:v>0.24101568094489101</c:v>
                </c:pt>
                <c:pt idx="6">
                  <c:v>0.200304185461221</c:v>
                </c:pt>
                <c:pt idx="7">
                  <c:v>0.24101568094489101</c:v>
                </c:pt>
                <c:pt idx="8">
                  <c:v>0.37749569843869801</c:v>
                </c:pt>
                <c:pt idx="9">
                  <c:v>0.57970281553208103</c:v>
                </c:pt>
                <c:pt idx="10">
                  <c:v>0.771893828952399</c:v>
                </c:pt>
                <c:pt idx="11">
                  <c:v>0.82132251370564202</c:v>
                </c:pt>
                <c:pt idx="12">
                  <c:v>0.82162834083629399</c:v>
                </c:pt>
                <c:pt idx="13">
                  <c:v>0.82132251370564202</c:v>
                </c:pt>
                <c:pt idx="14">
                  <c:v>0.771893828952399</c:v>
                </c:pt>
                <c:pt idx="15">
                  <c:v>0.57970281553208103</c:v>
                </c:pt>
                <c:pt idx="16">
                  <c:v>0.37749569843869801</c:v>
                </c:pt>
                <c:pt idx="17">
                  <c:v>0.24101568094489101</c:v>
                </c:pt>
                <c:pt idx="18">
                  <c:v>0.200304185461221</c:v>
                </c:pt>
                <c:pt idx="19">
                  <c:v>0.24101568094489101</c:v>
                </c:pt>
                <c:pt idx="20">
                  <c:v>0.37749569843869801</c:v>
                </c:pt>
                <c:pt idx="21">
                  <c:v>0.57970281553208103</c:v>
                </c:pt>
                <c:pt idx="22">
                  <c:v>0.771893828952399</c:v>
                </c:pt>
                <c:pt idx="23">
                  <c:v>0.82132251370564202</c:v>
                </c:pt>
              </c:numCache>
            </c:numRef>
          </c:val>
          <c:extLst>
            <c:ext xmlns:c16="http://schemas.microsoft.com/office/drawing/2014/chart" uri="{C3380CC4-5D6E-409C-BE32-E72D297353CC}">
              <c16:uniqueId val="{00000003-A374-4E0C-B303-412BD794633F}"/>
            </c:ext>
          </c:extLst>
        </c:ser>
        <c:ser>
          <c:idx val="4"/>
          <c:order val="4"/>
          <c:tx>
            <c:strRef>
              <c:f>Ship!$E$53</c:f>
              <c:strCache>
                <c:ptCount val="1"/>
                <c:pt idx="0">
                  <c:v>ULCC(415m)</c:v>
                </c:pt>
              </c:strCache>
            </c:strRef>
          </c:tx>
          <c:spPr>
            <a:ln w="28575" cap="rnd">
              <a:solidFill>
                <a:schemeClr val="accent5"/>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Ship!$G$53:$AD$53</c:f>
              <c:numCache>
                <c:formatCode>0.00</c:formatCode>
                <c:ptCount val="24"/>
                <c:pt idx="0">
                  <c:v>0.89164802096842399</c:v>
                </c:pt>
                <c:pt idx="1">
                  <c:v>1</c:v>
                </c:pt>
                <c:pt idx="2">
                  <c:v>0.89710520243980096</c:v>
                </c:pt>
                <c:pt idx="3">
                  <c:v>0.75874249158949603</c:v>
                </c:pt>
                <c:pt idx="4">
                  <c:v>0.57081028037335702</c:v>
                </c:pt>
                <c:pt idx="5">
                  <c:v>0.41766009338965698</c:v>
                </c:pt>
                <c:pt idx="6">
                  <c:v>0.36579198645021799</c:v>
                </c:pt>
                <c:pt idx="7">
                  <c:v>0.41766009338965698</c:v>
                </c:pt>
                <c:pt idx="8">
                  <c:v>0.57081028037335702</c:v>
                </c:pt>
                <c:pt idx="9">
                  <c:v>0.75874249158949603</c:v>
                </c:pt>
                <c:pt idx="10">
                  <c:v>0.89710520243980096</c:v>
                </c:pt>
                <c:pt idx="11">
                  <c:v>1</c:v>
                </c:pt>
                <c:pt idx="12">
                  <c:v>0.89164802096842399</c:v>
                </c:pt>
                <c:pt idx="13">
                  <c:v>1</c:v>
                </c:pt>
                <c:pt idx="14">
                  <c:v>0.89710520243980096</c:v>
                </c:pt>
                <c:pt idx="15">
                  <c:v>0.75874249158949603</c:v>
                </c:pt>
                <c:pt idx="16">
                  <c:v>0.57081028037335702</c:v>
                </c:pt>
                <c:pt idx="17">
                  <c:v>0.41766009338965698</c:v>
                </c:pt>
                <c:pt idx="18">
                  <c:v>0.36579198645021799</c:v>
                </c:pt>
                <c:pt idx="19">
                  <c:v>0.41766009338965698</c:v>
                </c:pt>
                <c:pt idx="20">
                  <c:v>0.57081028037335702</c:v>
                </c:pt>
                <c:pt idx="21">
                  <c:v>0.75874249158949603</c:v>
                </c:pt>
                <c:pt idx="22">
                  <c:v>0.89710520243980096</c:v>
                </c:pt>
                <c:pt idx="23">
                  <c:v>1</c:v>
                </c:pt>
              </c:numCache>
            </c:numRef>
          </c:val>
          <c:extLst>
            <c:ext xmlns:c16="http://schemas.microsoft.com/office/drawing/2014/chart" uri="{C3380CC4-5D6E-409C-BE32-E72D297353CC}">
              <c16:uniqueId val="{00000004-A374-4E0C-B303-412BD794633F}"/>
            </c:ext>
          </c:extLst>
        </c:ser>
        <c:dLbls>
          <c:showLegendKey val="0"/>
          <c:showVal val="0"/>
          <c:showCatName val="0"/>
          <c:showSerName val="0"/>
          <c:showPercent val="0"/>
          <c:showBubbleSize val="0"/>
        </c:dLbls>
        <c:axId val="703430904"/>
        <c:axId val="703423032"/>
      </c:radarChart>
      <c:catAx>
        <c:axId val="703430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23032"/>
        <c:crosses val="autoZero"/>
        <c:auto val="1"/>
        <c:lblAlgn val="ctr"/>
        <c:lblOffset val="100"/>
        <c:noMultiLvlLbl val="0"/>
      </c:catAx>
      <c:valAx>
        <c:axId val="703423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3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Availability</a:t>
            </a:r>
            <a:r>
              <a:rPr lang="en-US" baseline="0"/>
              <a:t> versus Wave heading (double hull)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Ship!$E$45</c:f>
              <c:strCache>
                <c:ptCount val="1"/>
                <c:pt idx="0">
                  <c:v>Coastal tanker(205m)</c:v>
                </c:pt>
              </c:strCache>
            </c:strRef>
          </c:tx>
          <c:spPr>
            <a:ln w="28575" cap="rnd">
              <a:solidFill>
                <a:schemeClr val="accent1"/>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Ship!$G$46:$AD$46</c:f>
              <c:numCache>
                <c:formatCode>0.00</c:formatCode>
                <c:ptCount val="24"/>
                <c:pt idx="0">
                  <c:v>0.58493899401871796</c:v>
                </c:pt>
                <c:pt idx="1">
                  <c:v>0.54629329253909098</c:v>
                </c:pt>
                <c:pt idx="2">
                  <c:v>0.46286708462926601</c:v>
                </c:pt>
                <c:pt idx="3">
                  <c:v>0.26369148605036502</c:v>
                </c:pt>
                <c:pt idx="4">
                  <c:v>0.16575862945557701</c:v>
                </c:pt>
                <c:pt idx="5">
                  <c:v>6.5599716489738197E-2</c:v>
                </c:pt>
                <c:pt idx="6">
                  <c:v>5.4230387951339103E-2</c:v>
                </c:pt>
                <c:pt idx="7">
                  <c:v>6.5599716489738197E-2</c:v>
                </c:pt>
                <c:pt idx="8">
                  <c:v>0.16575862945557701</c:v>
                </c:pt>
                <c:pt idx="9">
                  <c:v>0.26369148605036502</c:v>
                </c:pt>
                <c:pt idx="10">
                  <c:v>0.46286708462926601</c:v>
                </c:pt>
                <c:pt idx="11">
                  <c:v>0.54629329253909098</c:v>
                </c:pt>
                <c:pt idx="12">
                  <c:v>0.58493899401871796</c:v>
                </c:pt>
                <c:pt idx="13">
                  <c:v>0.54629329253909098</c:v>
                </c:pt>
                <c:pt idx="14">
                  <c:v>0.46286708462926601</c:v>
                </c:pt>
                <c:pt idx="15">
                  <c:v>0.26369148605036502</c:v>
                </c:pt>
                <c:pt idx="16">
                  <c:v>0.16575862945557701</c:v>
                </c:pt>
                <c:pt idx="17">
                  <c:v>6.5599716489738197E-2</c:v>
                </c:pt>
                <c:pt idx="18">
                  <c:v>5.4230387951339103E-2</c:v>
                </c:pt>
                <c:pt idx="19">
                  <c:v>6.5599716489738197E-2</c:v>
                </c:pt>
                <c:pt idx="20">
                  <c:v>0.16575862945557701</c:v>
                </c:pt>
                <c:pt idx="21">
                  <c:v>0.26369148605036502</c:v>
                </c:pt>
                <c:pt idx="22">
                  <c:v>0.46286708462926601</c:v>
                </c:pt>
                <c:pt idx="23">
                  <c:v>0.54629329253909098</c:v>
                </c:pt>
              </c:numCache>
            </c:numRef>
          </c:val>
          <c:extLst>
            <c:ext xmlns:c16="http://schemas.microsoft.com/office/drawing/2014/chart" uri="{C3380CC4-5D6E-409C-BE32-E72D297353CC}">
              <c16:uniqueId val="{00000000-FE97-4F12-B8C5-049B2F66D713}"/>
            </c:ext>
          </c:extLst>
        </c:ser>
        <c:ser>
          <c:idx val="1"/>
          <c:order val="1"/>
          <c:tx>
            <c:strRef>
              <c:f>Ship!$E$47</c:f>
              <c:strCache>
                <c:ptCount val="1"/>
                <c:pt idx="0">
                  <c:v>Aframax(245m)</c:v>
                </c:pt>
              </c:strCache>
            </c:strRef>
          </c:tx>
          <c:spPr>
            <a:ln w="28575" cap="rnd">
              <a:solidFill>
                <a:schemeClr val="accent2"/>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Ship!$G$48:$AD$48</c:f>
              <c:numCache>
                <c:formatCode>0.00</c:formatCode>
                <c:ptCount val="24"/>
                <c:pt idx="0">
                  <c:v>0.70716354932679104</c:v>
                </c:pt>
                <c:pt idx="1">
                  <c:v>0.67835936011659204</c:v>
                </c:pt>
                <c:pt idx="2">
                  <c:v>0.59768228714841898</c:v>
                </c:pt>
                <c:pt idx="3">
                  <c:v>0.428414779311724</c:v>
                </c:pt>
                <c:pt idx="4">
                  <c:v>0.28783499484267899</c:v>
                </c:pt>
                <c:pt idx="5">
                  <c:v>0.16982767969590801</c:v>
                </c:pt>
                <c:pt idx="6">
                  <c:v>0.14984082428974199</c:v>
                </c:pt>
                <c:pt idx="7">
                  <c:v>0.16982767969590801</c:v>
                </c:pt>
                <c:pt idx="8">
                  <c:v>0.28783499484267899</c:v>
                </c:pt>
                <c:pt idx="9">
                  <c:v>0.428414779311724</c:v>
                </c:pt>
                <c:pt idx="10">
                  <c:v>0.59768228714841898</c:v>
                </c:pt>
                <c:pt idx="11">
                  <c:v>0.67835936011659204</c:v>
                </c:pt>
                <c:pt idx="12">
                  <c:v>0.70716354932679104</c:v>
                </c:pt>
                <c:pt idx="13">
                  <c:v>0.67835936011659204</c:v>
                </c:pt>
                <c:pt idx="14">
                  <c:v>0.59768228714841898</c:v>
                </c:pt>
                <c:pt idx="15">
                  <c:v>0.428414779311724</c:v>
                </c:pt>
                <c:pt idx="16">
                  <c:v>0.28783499484267899</c:v>
                </c:pt>
                <c:pt idx="17">
                  <c:v>0.16982767969590801</c:v>
                </c:pt>
                <c:pt idx="18">
                  <c:v>0.14984082428974199</c:v>
                </c:pt>
                <c:pt idx="19">
                  <c:v>0.16982767969590801</c:v>
                </c:pt>
                <c:pt idx="20">
                  <c:v>0.28783499484267899</c:v>
                </c:pt>
                <c:pt idx="21">
                  <c:v>0.428414779311724</c:v>
                </c:pt>
                <c:pt idx="22">
                  <c:v>0.59768228714841898</c:v>
                </c:pt>
                <c:pt idx="23">
                  <c:v>0.67835936011659204</c:v>
                </c:pt>
              </c:numCache>
            </c:numRef>
          </c:val>
          <c:extLst>
            <c:ext xmlns:c16="http://schemas.microsoft.com/office/drawing/2014/chart" uri="{C3380CC4-5D6E-409C-BE32-E72D297353CC}">
              <c16:uniqueId val="{00000001-FE97-4F12-B8C5-049B2F66D713}"/>
            </c:ext>
          </c:extLst>
        </c:ser>
        <c:ser>
          <c:idx val="2"/>
          <c:order val="2"/>
          <c:tx>
            <c:strRef>
              <c:f>Ship!$E$49</c:f>
              <c:strCache>
                <c:ptCount val="1"/>
                <c:pt idx="0">
                  <c:v>Suez-Max(285m)</c:v>
                </c:pt>
              </c:strCache>
            </c:strRef>
          </c:tx>
          <c:spPr>
            <a:ln w="28575" cap="rnd">
              <a:solidFill>
                <a:schemeClr val="accent3"/>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Ship!$G$50:$AD$50</c:f>
              <c:numCache>
                <c:formatCode>0.00</c:formatCode>
                <c:ptCount val="24"/>
                <c:pt idx="0">
                  <c:v>0.809987235805118</c:v>
                </c:pt>
                <c:pt idx="1">
                  <c:v>0.79041221259829997</c:v>
                </c:pt>
                <c:pt idx="2">
                  <c:v>0.72545301384977501</c:v>
                </c:pt>
                <c:pt idx="3">
                  <c:v>0.58982992822323399</c:v>
                </c:pt>
                <c:pt idx="4">
                  <c:v>0.44808908822692101</c:v>
                </c:pt>
                <c:pt idx="5">
                  <c:v>0.33304772386385501</c:v>
                </c:pt>
                <c:pt idx="6">
                  <c:v>0.30135730313175202</c:v>
                </c:pt>
                <c:pt idx="7">
                  <c:v>0.33304772386385501</c:v>
                </c:pt>
                <c:pt idx="8">
                  <c:v>0.44808908822692101</c:v>
                </c:pt>
                <c:pt idx="9">
                  <c:v>0.58982992822323399</c:v>
                </c:pt>
                <c:pt idx="10">
                  <c:v>0.72545301384977501</c:v>
                </c:pt>
                <c:pt idx="11">
                  <c:v>0.79041221259829997</c:v>
                </c:pt>
                <c:pt idx="12">
                  <c:v>0.809987235805118</c:v>
                </c:pt>
                <c:pt idx="13">
                  <c:v>0.79041221259829997</c:v>
                </c:pt>
                <c:pt idx="14">
                  <c:v>0.72545301384977501</c:v>
                </c:pt>
                <c:pt idx="15">
                  <c:v>0.58982992822323399</c:v>
                </c:pt>
                <c:pt idx="16">
                  <c:v>0.44808908822692101</c:v>
                </c:pt>
                <c:pt idx="17">
                  <c:v>0.33304772386385501</c:v>
                </c:pt>
                <c:pt idx="18">
                  <c:v>0.30135730313175202</c:v>
                </c:pt>
                <c:pt idx="19">
                  <c:v>0.33304772386385501</c:v>
                </c:pt>
                <c:pt idx="20">
                  <c:v>0.44808908822692101</c:v>
                </c:pt>
                <c:pt idx="21">
                  <c:v>0.58982992822323399</c:v>
                </c:pt>
                <c:pt idx="22">
                  <c:v>0.72545301384977501</c:v>
                </c:pt>
                <c:pt idx="23">
                  <c:v>0.79041221259829997</c:v>
                </c:pt>
              </c:numCache>
            </c:numRef>
          </c:val>
          <c:extLst>
            <c:ext xmlns:c16="http://schemas.microsoft.com/office/drawing/2014/chart" uri="{C3380CC4-5D6E-409C-BE32-E72D297353CC}">
              <c16:uniqueId val="{00000002-FE97-4F12-B8C5-049B2F66D713}"/>
            </c:ext>
          </c:extLst>
        </c:ser>
        <c:ser>
          <c:idx val="3"/>
          <c:order val="3"/>
          <c:tx>
            <c:strRef>
              <c:f>Ship!$E$51</c:f>
              <c:strCache>
                <c:ptCount val="1"/>
                <c:pt idx="0">
                  <c:v>VLCC(330m)</c:v>
                </c:pt>
              </c:strCache>
            </c:strRef>
          </c:tx>
          <c:spPr>
            <a:ln w="28575" cap="rnd">
              <a:solidFill>
                <a:schemeClr val="accent4"/>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Ship!$G$52:$AD$52</c:f>
              <c:numCache>
                <c:formatCode>0.00</c:formatCode>
                <c:ptCount val="24"/>
                <c:pt idx="0">
                  <c:v>0.895891528278557</c:v>
                </c:pt>
                <c:pt idx="1">
                  <c:v>0.88312021272233399</c:v>
                </c:pt>
                <c:pt idx="2">
                  <c:v>0.82945638380406495</c:v>
                </c:pt>
                <c:pt idx="3">
                  <c:v>0.72907938208082101</c:v>
                </c:pt>
                <c:pt idx="4">
                  <c:v>0.60742994268579897</c:v>
                </c:pt>
                <c:pt idx="5">
                  <c:v>0.50274615061584604</c:v>
                </c:pt>
                <c:pt idx="6">
                  <c:v>0.47052615021989402</c:v>
                </c:pt>
                <c:pt idx="7">
                  <c:v>0.50274615061584604</c:v>
                </c:pt>
                <c:pt idx="8">
                  <c:v>0.60742994268579897</c:v>
                </c:pt>
                <c:pt idx="9">
                  <c:v>0.72907938208082101</c:v>
                </c:pt>
                <c:pt idx="10">
                  <c:v>0.82945638380406495</c:v>
                </c:pt>
                <c:pt idx="11">
                  <c:v>0.88312021272233399</c:v>
                </c:pt>
                <c:pt idx="12">
                  <c:v>0.895891528278557</c:v>
                </c:pt>
                <c:pt idx="13">
                  <c:v>0.88312021272233399</c:v>
                </c:pt>
                <c:pt idx="14">
                  <c:v>0.82945638380406495</c:v>
                </c:pt>
                <c:pt idx="15">
                  <c:v>0.72907938208082101</c:v>
                </c:pt>
                <c:pt idx="16">
                  <c:v>0.60742994268579897</c:v>
                </c:pt>
                <c:pt idx="17">
                  <c:v>0.50274615061584604</c:v>
                </c:pt>
                <c:pt idx="18">
                  <c:v>0.47052615021989402</c:v>
                </c:pt>
                <c:pt idx="19">
                  <c:v>0.50274615061584604</c:v>
                </c:pt>
                <c:pt idx="20">
                  <c:v>0.60742994268579897</c:v>
                </c:pt>
                <c:pt idx="21">
                  <c:v>0.72907938208082101</c:v>
                </c:pt>
                <c:pt idx="22">
                  <c:v>0.82945638380406495</c:v>
                </c:pt>
                <c:pt idx="23">
                  <c:v>0.88312021272233399</c:v>
                </c:pt>
              </c:numCache>
            </c:numRef>
          </c:val>
          <c:extLst>
            <c:ext xmlns:c16="http://schemas.microsoft.com/office/drawing/2014/chart" uri="{C3380CC4-5D6E-409C-BE32-E72D297353CC}">
              <c16:uniqueId val="{00000003-FE97-4F12-B8C5-049B2F66D713}"/>
            </c:ext>
          </c:extLst>
        </c:ser>
        <c:ser>
          <c:idx val="4"/>
          <c:order val="4"/>
          <c:tx>
            <c:strRef>
              <c:f>Ship!$E$53</c:f>
              <c:strCache>
                <c:ptCount val="1"/>
                <c:pt idx="0">
                  <c:v>ULCC(415m)</c:v>
                </c:pt>
              </c:strCache>
            </c:strRef>
          </c:tx>
          <c:spPr>
            <a:ln w="28575" cap="rnd">
              <a:solidFill>
                <a:schemeClr val="accent5"/>
              </a:solidFill>
              <a:round/>
            </a:ln>
            <a:effectLst/>
          </c:spPr>
          <c:marker>
            <c:symbol val="none"/>
          </c:marker>
          <c:cat>
            <c:numRef>
              <c:f>Ship!$G$44:$AD$44</c:f>
              <c:numCache>
                <c:formatCode>General</c:formatCode>
                <c:ptCount val="24"/>
                <c:pt idx="0">
                  <c:v>0</c:v>
                </c:pt>
                <c:pt idx="1">
                  <c:v>15</c:v>
                </c:pt>
                <c:pt idx="2">
                  <c:v>30</c:v>
                </c:pt>
                <c:pt idx="3">
                  <c:v>45</c:v>
                </c:pt>
                <c:pt idx="4">
                  <c:v>60</c:v>
                </c:pt>
                <c:pt idx="5">
                  <c:v>75</c:v>
                </c:pt>
                <c:pt idx="6">
                  <c:v>90</c:v>
                </c:pt>
                <c:pt idx="7">
                  <c:v>105</c:v>
                </c:pt>
                <c:pt idx="8">
                  <c:v>120</c:v>
                </c:pt>
                <c:pt idx="9">
                  <c:v>135</c:v>
                </c:pt>
                <c:pt idx="10">
                  <c:v>150</c:v>
                </c:pt>
                <c:pt idx="11">
                  <c:v>165</c:v>
                </c:pt>
                <c:pt idx="12">
                  <c:v>180</c:v>
                </c:pt>
                <c:pt idx="13">
                  <c:v>195</c:v>
                </c:pt>
                <c:pt idx="14">
                  <c:v>210</c:v>
                </c:pt>
                <c:pt idx="15">
                  <c:v>225</c:v>
                </c:pt>
                <c:pt idx="16">
                  <c:v>240</c:v>
                </c:pt>
                <c:pt idx="17">
                  <c:v>255</c:v>
                </c:pt>
                <c:pt idx="18">
                  <c:v>270</c:v>
                </c:pt>
                <c:pt idx="19">
                  <c:v>285</c:v>
                </c:pt>
                <c:pt idx="20">
                  <c:v>300</c:v>
                </c:pt>
                <c:pt idx="21">
                  <c:v>315</c:v>
                </c:pt>
                <c:pt idx="22">
                  <c:v>330</c:v>
                </c:pt>
                <c:pt idx="23">
                  <c:v>345</c:v>
                </c:pt>
              </c:numCache>
            </c:numRef>
          </c:cat>
          <c:val>
            <c:numRef>
              <c:f>Ship!$G$54:$AD$54</c:f>
              <c:numCache>
                <c:formatCode>0.00</c:formatCode>
                <c:ptCount val="24"/>
                <c:pt idx="0">
                  <c:v>1</c:v>
                </c:pt>
                <c:pt idx="1">
                  <c:v>1</c:v>
                </c:pt>
                <c:pt idx="2">
                  <c:v>1</c:v>
                </c:pt>
                <c:pt idx="3">
                  <c:v>0.87291671489763101</c:v>
                </c:pt>
                <c:pt idx="4">
                  <c:v>0.76940401036236195</c:v>
                </c:pt>
                <c:pt idx="5">
                  <c:v>0.66905407108598902</c:v>
                </c:pt>
                <c:pt idx="6">
                  <c:v>0.63213979944117704</c:v>
                </c:pt>
                <c:pt idx="7">
                  <c:v>0.66905407108598902</c:v>
                </c:pt>
                <c:pt idx="8">
                  <c:v>0.76940401036236195</c:v>
                </c:pt>
                <c:pt idx="9">
                  <c:v>0.87291671489763101</c:v>
                </c:pt>
                <c:pt idx="10">
                  <c:v>1</c:v>
                </c:pt>
                <c:pt idx="11">
                  <c:v>1</c:v>
                </c:pt>
                <c:pt idx="12">
                  <c:v>1</c:v>
                </c:pt>
                <c:pt idx="13">
                  <c:v>1</c:v>
                </c:pt>
                <c:pt idx="14">
                  <c:v>1</c:v>
                </c:pt>
                <c:pt idx="15">
                  <c:v>0.87291671489763101</c:v>
                </c:pt>
                <c:pt idx="16">
                  <c:v>0.76940401036236195</c:v>
                </c:pt>
                <c:pt idx="17">
                  <c:v>0.66905407108598902</c:v>
                </c:pt>
                <c:pt idx="18">
                  <c:v>0.63213979944117704</c:v>
                </c:pt>
                <c:pt idx="19">
                  <c:v>0.66905407108598902</c:v>
                </c:pt>
                <c:pt idx="20">
                  <c:v>0.76940401036236195</c:v>
                </c:pt>
                <c:pt idx="21">
                  <c:v>0.87291671489763101</c:v>
                </c:pt>
                <c:pt idx="22">
                  <c:v>1</c:v>
                </c:pt>
                <c:pt idx="23">
                  <c:v>1</c:v>
                </c:pt>
              </c:numCache>
            </c:numRef>
          </c:val>
          <c:extLst>
            <c:ext xmlns:c16="http://schemas.microsoft.com/office/drawing/2014/chart" uri="{C3380CC4-5D6E-409C-BE32-E72D297353CC}">
              <c16:uniqueId val="{00000004-FE97-4F12-B8C5-049B2F66D713}"/>
            </c:ext>
          </c:extLst>
        </c:ser>
        <c:dLbls>
          <c:showLegendKey val="0"/>
          <c:showVal val="0"/>
          <c:showCatName val="0"/>
          <c:showSerName val="0"/>
          <c:showPercent val="0"/>
          <c:showBubbleSize val="0"/>
        </c:dLbls>
        <c:axId val="703430904"/>
        <c:axId val="703423032"/>
      </c:radarChart>
      <c:catAx>
        <c:axId val="703430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23032"/>
        <c:crosses val="autoZero"/>
        <c:auto val="1"/>
        <c:lblAlgn val="ctr"/>
        <c:lblOffset val="100"/>
        <c:noMultiLvlLbl val="0"/>
      </c:catAx>
      <c:valAx>
        <c:axId val="703423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3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Aircraft_main_affect!$U$8:$U$15</c:f>
              <c:numCache>
                <c:formatCode>0</c:formatCode>
                <c:ptCount val="8"/>
                <c:pt idx="0">
                  <c:v>14634.824405920859</c:v>
                </c:pt>
                <c:pt idx="1">
                  <c:v>20445.194503503928</c:v>
                </c:pt>
                <c:pt idx="2">
                  <c:v>26263.458695425721</c:v>
                </c:pt>
                <c:pt idx="3">
                  <c:v>31972.668817634072</c:v>
                </c:pt>
                <c:pt idx="4">
                  <c:v>37917.566427992781</c:v>
                </c:pt>
                <c:pt idx="5">
                  <c:v>43694.685748810334</c:v>
                </c:pt>
                <c:pt idx="6">
                  <c:v>49490.478708024733</c:v>
                </c:pt>
                <c:pt idx="7">
                  <c:v>32750.8898766979</c:v>
                </c:pt>
              </c:numCache>
            </c:numRef>
          </c:val>
          <c:extLst>
            <c:ext xmlns:c16="http://schemas.microsoft.com/office/drawing/2014/chart" uri="{C3380CC4-5D6E-409C-BE32-E72D297353CC}">
              <c16:uniqueId val="{00000000-601E-4EB3-8DC1-7995E2D8263C}"/>
            </c:ext>
          </c:extLst>
        </c:ser>
        <c:dLbls>
          <c:showLegendKey val="0"/>
          <c:showVal val="0"/>
          <c:showCatName val="0"/>
          <c:showSerName val="0"/>
          <c:showPercent val="0"/>
          <c:showBubbleSize val="0"/>
        </c:dLbls>
        <c:gapWidth val="219"/>
        <c:overlap val="-27"/>
        <c:axId val="443073032"/>
        <c:axId val="443073688"/>
      </c:barChart>
      <c:catAx>
        <c:axId val="443073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73688"/>
        <c:crosses val="autoZero"/>
        <c:auto val="1"/>
        <c:lblAlgn val="ctr"/>
        <c:lblOffset val="100"/>
        <c:noMultiLvlLbl val="0"/>
      </c:catAx>
      <c:valAx>
        <c:axId val="443073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73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Historial data</a:t>
            </a:r>
            <a:r>
              <a:rPr lang="en-US" baseline="0"/>
              <a:t> of Cgrd versus Aspect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852478997825982"/>
                  <c:y val="-8.25157876147152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maxCl_aspect_ratio!$D$5:$D$34</c:f>
              <c:numCache>
                <c:formatCode>General</c:formatCode>
                <c:ptCount val="30"/>
                <c:pt idx="0">
                  <c:v>1.65</c:v>
                </c:pt>
                <c:pt idx="1">
                  <c:v>2.4500000000000002</c:v>
                </c:pt>
                <c:pt idx="2">
                  <c:v>3.5</c:v>
                </c:pt>
                <c:pt idx="3">
                  <c:v>3.18</c:v>
                </c:pt>
                <c:pt idx="4">
                  <c:v>2.78</c:v>
                </c:pt>
                <c:pt idx="5">
                  <c:v>3.7</c:v>
                </c:pt>
                <c:pt idx="6">
                  <c:v>2.9</c:v>
                </c:pt>
                <c:pt idx="7">
                  <c:v>2.36</c:v>
                </c:pt>
                <c:pt idx="8">
                  <c:v>3.5</c:v>
                </c:pt>
                <c:pt idx="9">
                  <c:v>3.2</c:v>
                </c:pt>
                <c:pt idx="10">
                  <c:v>3.95</c:v>
                </c:pt>
                <c:pt idx="11">
                  <c:v>6.75</c:v>
                </c:pt>
                <c:pt idx="12">
                  <c:v>4</c:v>
                </c:pt>
                <c:pt idx="13">
                  <c:v>7</c:v>
                </c:pt>
                <c:pt idx="14">
                  <c:v>5</c:v>
                </c:pt>
                <c:pt idx="15">
                  <c:v>5.3</c:v>
                </c:pt>
                <c:pt idx="16">
                  <c:v>7</c:v>
                </c:pt>
                <c:pt idx="17">
                  <c:v>7.25</c:v>
                </c:pt>
                <c:pt idx="18">
                  <c:v>7.8</c:v>
                </c:pt>
                <c:pt idx="19">
                  <c:v>6</c:v>
                </c:pt>
                <c:pt idx="20">
                  <c:v>7.7</c:v>
                </c:pt>
                <c:pt idx="21">
                  <c:v>7.1</c:v>
                </c:pt>
                <c:pt idx="22">
                  <c:v>8</c:v>
                </c:pt>
                <c:pt idx="23">
                  <c:v>6.95</c:v>
                </c:pt>
                <c:pt idx="24">
                  <c:v>7.9</c:v>
                </c:pt>
                <c:pt idx="25">
                  <c:v>7.77</c:v>
                </c:pt>
                <c:pt idx="26">
                  <c:v>8.6999999999999993</c:v>
                </c:pt>
                <c:pt idx="27">
                  <c:v>8.5</c:v>
                </c:pt>
                <c:pt idx="28">
                  <c:v>8.83</c:v>
                </c:pt>
                <c:pt idx="29">
                  <c:v>9.5</c:v>
                </c:pt>
              </c:numCache>
            </c:numRef>
          </c:xVal>
          <c:yVal>
            <c:numRef>
              <c:f>maxCl_aspect_ratio!$E$5:$E$34</c:f>
              <c:numCache>
                <c:formatCode>General</c:formatCode>
                <c:ptCount val="30"/>
                <c:pt idx="0">
                  <c:v>0.95</c:v>
                </c:pt>
                <c:pt idx="1">
                  <c:v>1.1200000000000001</c:v>
                </c:pt>
                <c:pt idx="2">
                  <c:v>1.2</c:v>
                </c:pt>
                <c:pt idx="3">
                  <c:v>1.38</c:v>
                </c:pt>
                <c:pt idx="4">
                  <c:v>1.4</c:v>
                </c:pt>
                <c:pt idx="5">
                  <c:v>1.4</c:v>
                </c:pt>
                <c:pt idx="6">
                  <c:v>1.42</c:v>
                </c:pt>
                <c:pt idx="7">
                  <c:v>1.48</c:v>
                </c:pt>
                <c:pt idx="8">
                  <c:v>1.62</c:v>
                </c:pt>
                <c:pt idx="9">
                  <c:v>1.7</c:v>
                </c:pt>
                <c:pt idx="10">
                  <c:v>1.75</c:v>
                </c:pt>
                <c:pt idx="11">
                  <c:v>1.9</c:v>
                </c:pt>
                <c:pt idx="12">
                  <c:v>1.9</c:v>
                </c:pt>
                <c:pt idx="13">
                  <c:v>2</c:v>
                </c:pt>
                <c:pt idx="14">
                  <c:v>2</c:v>
                </c:pt>
                <c:pt idx="15">
                  <c:v>2.0499999999999998</c:v>
                </c:pt>
                <c:pt idx="16">
                  <c:v>2.16</c:v>
                </c:pt>
                <c:pt idx="17">
                  <c:v>2.35</c:v>
                </c:pt>
                <c:pt idx="18">
                  <c:v>2.36</c:v>
                </c:pt>
                <c:pt idx="19">
                  <c:v>2.4500000000000002</c:v>
                </c:pt>
                <c:pt idx="20">
                  <c:v>2.5</c:v>
                </c:pt>
                <c:pt idx="21">
                  <c:v>2.62</c:v>
                </c:pt>
                <c:pt idx="22">
                  <c:v>2.64</c:v>
                </c:pt>
                <c:pt idx="23">
                  <c:v>2.65</c:v>
                </c:pt>
                <c:pt idx="24">
                  <c:v>2.75</c:v>
                </c:pt>
                <c:pt idx="25">
                  <c:v>2.8</c:v>
                </c:pt>
                <c:pt idx="26">
                  <c:v>2.8</c:v>
                </c:pt>
                <c:pt idx="27">
                  <c:v>2.96</c:v>
                </c:pt>
                <c:pt idx="28">
                  <c:v>3.05</c:v>
                </c:pt>
                <c:pt idx="29">
                  <c:v>3.2</c:v>
                </c:pt>
              </c:numCache>
            </c:numRef>
          </c:yVal>
          <c:smooth val="0"/>
          <c:extLst>
            <c:ext xmlns:c16="http://schemas.microsoft.com/office/drawing/2014/chart" uri="{C3380CC4-5D6E-409C-BE32-E72D297353CC}">
              <c16:uniqueId val="{00000000-4D31-4496-8C97-A4DEC0790DA7}"/>
            </c:ext>
          </c:extLst>
        </c:ser>
        <c:dLbls>
          <c:showLegendKey val="0"/>
          <c:showVal val="0"/>
          <c:showCatName val="0"/>
          <c:showSerName val="0"/>
          <c:showPercent val="0"/>
          <c:showBubbleSize val="0"/>
        </c:dLbls>
        <c:axId val="804020792"/>
        <c:axId val="804019152"/>
      </c:scatterChart>
      <c:valAx>
        <c:axId val="804020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Aspect Ratio[-]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19152"/>
        <c:crosses val="autoZero"/>
        <c:crossBetween val="midCat"/>
      </c:valAx>
      <c:valAx>
        <c:axId val="80401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Cgrd[-]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20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'Branchmark Airplane'!$F$28:$F$32</c:f>
              <c:numCache>
                <c:formatCode>General</c:formatCode>
                <c:ptCount val="5"/>
                <c:pt idx="0">
                  <c:v>205</c:v>
                </c:pt>
                <c:pt idx="1">
                  <c:v>245</c:v>
                </c:pt>
                <c:pt idx="2">
                  <c:v>285</c:v>
                </c:pt>
                <c:pt idx="3">
                  <c:v>330</c:v>
                </c:pt>
                <c:pt idx="4">
                  <c:v>415</c:v>
                </c:pt>
              </c:numCache>
            </c:numRef>
          </c:xVal>
          <c:yVal>
            <c:numRef>
              <c:f>'Branchmark Airplane'!$L$28:$L$32</c:f>
              <c:numCache>
                <c:formatCode>0.0</c:formatCode>
                <c:ptCount val="5"/>
                <c:pt idx="0">
                  <c:v>31573</c:v>
                </c:pt>
                <c:pt idx="1">
                  <c:v>34533</c:v>
                </c:pt>
                <c:pt idx="2">
                  <c:v>35675</c:v>
                </c:pt>
                <c:pt idx="3">
                  <c:v>38052</c:v>
                </c:pt>
                <c:pt idx="4">
                  <c:v>42176</c:v>
                </c:pt>
              </c:numCache>
            </c:numRef>
          </c:yVal>
          <c:smooth val="0"/>
          <c:extLst>
            <c:ext xmlns:c16="http://schemas.microsoft.com/office/drawing/2014/chart" uri="{C3380CC4-5D6E-409C-BE32-E72D297353CC}">
              <c16:uniqueId val="{00000000-8262-4E3D-BEA6-D22D2CF53D76}"/>
            </c:ext>
          </c:extLst>
        </c:ser>
        <c:dLbls>
          <c:showLegendKey val="0"/>
          <c:showVal val="0"/>
          <c:showCatName val="0"/>
          <c:showSerName val="0"/>
          <c:showPercent val="0"/>
          <c:showBubbleSize val="0"/>
        </c:dLbls>
        <c:axId val="1288462440"/>
        <c:axId val="1288465064"/>
      </c:scatterChart>
      <c:valAx>
        <c:axId val="1288462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65064"/>
        <c:crosses val="autoZero"/>
        <c:crossBetween val="midCat"/>
      </c:valAx>
      <c:valAx>
        <c:axId val="1288465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62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demonstation of exponential</a:t>
            </a:r>
            <a:r>
              <a:rPr lang="en-US" baseline="0"/>
              <a:t>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'Exponential growth'!$B$3:$B$26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'Exponential growth'!$D$3:$D$26</c:f>
              <c:numCache>
                <c:formatCode>0.0</c:formatCode>
                <c:ptCount val="24"/>
                <c:pt idx="0">
                  <c:v>1</c:v>
                </c:pt>
                <c:pt idx="1">
                  <c:v>1.1000000000000001</c:v>
                </c:pt>
                <c:pt idx="2">
                  <c:v>1.2100000000000002</c:v>
                </c:pt>
                <c:pt idx="3">
                  <c:v>1.3310000000000004</c:v>
                </c:pt>
                <c:pt idx="4">
                  <c:v>1.4641000000000006</c:v>
                </c:pt>
                <c:pt idx="5">
                  <c:v>1.6105100000000008</c:v>
                </c:pt>
                <c:pt idx="6">
                  <c:v>1.7715610000000011</c:v>
                </c:pt>
                <c:pt idx="7">
                  <c:v>1.9487171000000014</c:v>
                </c:pt>
                <c:pt idx="8">
                  <c:v>2.1435888100000016</c:v>
                </c:pt>
                <c:pt idx="9">
                  <c:v>2.3579476910000019</c:v>
                </c:pt>
                <c:pt idx="10">
                  <c:v>2.5937424601000023</c:v>
                </c:pt>
                <c:pt idx="11">
                  <c:v>2.8531167061100029</c:v>
                </c:pt>
                <c:pt idx="12">
                  <c:v>3.1384283767210035</c:v>
                </c:pt>
                <c:pt idx="13">
                  <c:v>3.4522712143931042</c:v>
                </c:pt>
                <c:pt idx="14">
                  <c:v>3.7974983358324148</c:v>
                </c:pt>
                <c:pt idx="15">
                  <c:v>4.1772481694156562</c:v>
                </c:pt>
                <c:pt idx="16">
                  <c:v>4.594972986357222</c:v>
                </c:pt>
                <c:pt idx="17">
                  <c:v>5.0544702849929442</c:v>
                </c:pt>
                <c:pt idx="18">
                  <c:v>5.5599173134922388</c:v>
                </c:pt>
                <c:pt idx="19">
                  <c:v>6.1159090448414632</c:v>
                </c:pt>
                <c:pt idx="20">
                  <c:v>6.72749994932561</c:v>
                </c:pt>
                <c:pt idx="21">
                  <c:v>7.4002499442581717</c:v>
                </c:pt>
                <c:pt idx="22">
                  <c:v>8.140274938683989</c:v>
                </c:pt>
                <c:pt idx="23">
                  <c:v>8.9543024325523888</c:v>
                </c:pt>
              </c:numCache>
            </c:numRef>
          </c:yVal>
          <c:smooth val="1"/>
          <c:extLst>
            <c:ext xmlns:c16="http://schemas.microsoft.com/office/drawing/2014/chart" uri="{C3380CC4-5D6E-409C-BE32-E72D297353CC}">
              <c16:uniqueId val="{00000000-416A-45AE-B441-A03B64413D02}"/>
            </c:ext>
          </c:extLst>
        </c:ser>
        <c:dLbls>
          <c:showLegendKey val="0"/>
          <c:showVal val="0"/>
          <c:showCatName val="0"/>
          <c:showSerName val="0"/>
          <c:showPercent val="0"/>
          <c:showBubbleSize val="0"/>
        </c:dLbls>
        <c:axId val="935666624"/>
        <c:axId val="935668592"/>
      </c:scatterChart>
      <c:valAx>
        <c:axId val="93566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668592"/>
        <c:crosses val="autoZero"/>
        <c:crossBetween val="midCat"/>
      </c:valAx>
      <c:valAx>
        <c:axId val="935668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666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'Simulated Annealling_OLD'!$F$10:$F$14</c:f>
              <c:numCache>
                <c:formatCode>General</c:formatCode>
                <c:ptCount val="5"/>
                <c:pt idx="0">
                  <c:v>205</c:v>
                </c:pt>
                <c:pt idx="1">
                  <c:v>245</c:v>
                </c:pt>
                <c:pt idx="2">
                  <c:v>285</c:v>
                </c:pt>
                <c:pt idx="3">
                  <c:v>330</c:v>
                </c:pt>
                <c:pt idx="4">
                  <c:v>415</c:v>
                </c:pt>
              </c:numCache>
            </c:numRef>
          </c:xVal>
          <c:yVal>
            <c:numRef>
              <c:f>'Simulated Annealling_OLD'!$L$10:$L$14</c:f>
              <c:numCache>
                <c:formatCode>0.0</c:formatCode>
                <c:ptCount val="5"/>
                <c:pt idx="0">
                  <c:v>32764</c:v>
                </c:pt>
                <c:pt idx="1">
                  <c:v>34282</c:v>
                </c:pt>
                <c:pt idx="2">
                  <c:v>35739.847086685397</c:v>
                </c:pt>
                <c:pt idx="3">
                  <c:v>38830.419770181397</c:v>
                </c:pt>
                <c:pt idx="4">
                  <c:v>43402</c:v>
                </c:pt>
              </c:numCache>
            </c:numRef>
          </c:yVal>
          <c:smooth val="1"/>
          <c:extLst>
            <c:ext xmlns:c16="http://schemas.microsoft.com/office/drawing/2014/chart" uri="{C3380CC4-5D6E-409C-BE32-E72D297353CC}">
              <c16:uniqueId val="{00000000-2214-4D4B-9866-224AD3963000}"/>
            </c:ext>
          </c:extLst>
        </c:ser>
        <c:dLbls>
          <c:showLegendKey val="0"/>
          <c:showVal val="0"/>
          <c:showCatName val="0"/>
          <c:showSerName val="0"/>
          <c:showPercent val="0"/>
          <c:showBubbleSize val="0"/>
        </c:dLbls>
        <c:axId val="657357440"/>
        <c:axId val="657361048"/>
      </c:scatterChart>
      <c:valAx>
        <c:axId val="65735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361048"/>
        <c:crosses val="autoZero"/>
        <c:crossBetween val="midCat"/>
      </c:valAx>
      <c:valAx>
        <c:axId val="657361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357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25</xdr:col>
      <xdr:colOff>209550</xdr:colOff>
      <xdr:row>13</xdr:row>
      <xdr:rowOff>123825</xdr:rowOff>
    </xdr:from>
    <xdr:to>
      <xdr:col>32</xdr:col>
      <xdr:colOff>514350</xdr:colOff>
      <xdr:row>28</xdr:row>
      <xdr:rowOff>9525</xdr:rowOff>
    </xdr:to>
    <xdr:graphicFrame macro="">
      <xdr:nvGraphicFramePr>
        <xdr:cNvPr id="7" name="Chart 6">
          <a:extLst>
            <a:ext uri="{FF2B5EF4-FFF2-40B4-BE49-F238E27FC236}">
              <a16:creationId xmlns:a16="http://schemas.microsoft.com/office/drawing/2014/main" id="{7A32EACF-24F5-4ED0-AE15-5874D392D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447674</xdr:colOff>
      <xdr:row>15</xdr:row>
      <xdr:rowOff>161925</xdr:rowOff>
    </xdr:from>
    <xdr:to>
      <xdr:col>33</xdr:col>
      <xdr:colOff>209550</xdr:colOff>
      <xdr:row>31</xdr:row>
      <xdr:rowOff>114300</xdr:rowOff>
    </xdr:to>
    <xdr:graphicFrame macro="">
      <xdr:nvGraphicFramePr>
        <xdr:cNvPr id="8" name="Chart 7">
          <a:extLst>
            <a:ext uri="{FF2B5EF4-FFF2-40B4-BE49-F238E27FC236}">
              <a16:creationId xmlns:a16="http://schemas.microsoft.com/office/drawing/2014/main" id="{DD2C5042-7A22-460F-B78C-741C4FE89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548986</xdr:colOff>
      <xdr:row>14</xdr:row>
      <xdr:rowOff>85724</xdr:rowOff>
    </xdr:from>
    <xdr:to>
      <xdr:col>21</xdr:col>
      <xdr:colOff>371475</xdr:colOff>
      <xdr:row>36</xdr:row>
      <xdr:rowOff>190499</xdr:rowOff>
    </xdr:to>
    <xdr:graphicFrame macro="">
      <xdr:nvGraphicFramePr>
        <xdr:cNvPr id="2" name="Chart 1">
          <a:extLst>
            <a:ext uri="{FF2B5EF4-FFF2-40B4-BE49-F238E27FC236}">
              <a16:creationId xmlns:a16="http://schemas.microsoft.com/office/drawing/2014/main" id="{A870F034-F77F-4711-9A41-764250AAF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104775</xdr:colOff>
      <xdr:row>11</xdr:row>
      <xdr:rowOff>66675</xdr:rowOff>
    </xdr:from>
    <xdr:to>
      <xdr:col>31</xdr:col>
      <xdr:colOff>536864</xdr:colOff>
      <xdr:row>33</xdr:row>
      <xdr:rowOff>171450</xdr:rowOff>
    </xdr:to>
    <xdr:graphicFrame macro="">
      <xdr:nvGraphicFramePr>
        <xdr:cNvPr id="5" name="Chart 4">
          <a:extLst>
            <a:ext uri="{FF2B5EF4-FFF2-40B4-BE49-F238E27FC236}">
              <a16:creationId xmlns:a16="http://schemas.microsoft.com/office/drawing/2014/main" id="{1AE4F793-1788-44CE-92D3-7322F3E60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586155</xdr:colOff>
      <xdr:row>8</xdr:row>
      <xdr:rowOff>16851</xdr:rowOff>
    </xdr:from>
    <xdr:to>
      <xdr:col>19</xdr:col>
      <xdr:colOff>87924</xdr:colOff>
      <xdr:row>22</xdr:row>
      <xdr:rowOff>93051</xdr:rowOff>
    </xdr:to>
    <xdr:graphicFrame macro="">
      <xdr:nvGraphicFramePr>
        <xdr:cNvPr id="6" name="Chart 5">
          <a:extLst>
            <a:ext uri="{FF2B5EF4-FFF2-40B4-BE49-F238E27FC236}">
              <a16:creationId xmlns:a16="http://schemas.microsoft.com/office/drawing/2014/main" id="{11F9A3B4-3F0C-4595-B0BB-E28246A7A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227135</xdr:colOff>
      <xdr:row>5</xdr:row>
      <xdr:rowOff>158993</xdr:rowOff>
    </xdr:from>
    <xdr:to>
      <xdr:col>16</xdr:col>
      <xdr:colOff>243253</xdr:colOff>
      <xdr:row>27</xdr:row>
      <xdr:rowOff>73268</xdr:rowOff>
    </xdr:to>
    <xdr:graphicFrame macro="">
      <xdr:nvGraphicFramePr>
        <xdr:cNvPr id="2" name="Chart 1">
          <a:extLst>
            <a:ext uri="{FF2B5EF4-FFF2-40B4-BE49-F238E27FC236}">
              <a16:creationId xmlns:a16="http://schemas.microsoft.com/office/drawing/2014/main" id="{D8FAB38E-D22C-49C0-8E9A-C74B11751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453122</xdr:colOff>
      <xdr:row>46</xdr:row>
      <xdr:rowOff>100617</xdr:rowOff>
    </xdr:from>
    <xdr:to>
      <xdr:col>10</xdr:col>
      <xdr:colOff>1117482</xdr:colOff>
      <xdr:row>63</xdr:row>
      <xdr:rowOff>108310</xdr:rowOff>
    </xdr:to>
    <xdr:graphicFrame macro="">
      <xdr:nvGraphicFramePr>
        <xdr:cNvPr id="2" name="Chart 1">
          <a:extLst>
            <a:ext uri="{FF2B5EF4-FFF2-40B4-BE49-F238E27FC236}">
              <a16:creationId xmlns:a16="http://schemas.microsoft.com/office/drawing/2014/main" id="{E99EB5D7-CD20-41D8-AD54-8A8D3E1F0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152400</xdr:colOff>
      <xdr:row>8</xdr:row>
      <xdr:rowOff>47625</xdr:rowOff>
    </xdr:from>
    <xdr:to>
      <xdr:col>17</xdr:col>
      <xdr:colOff>190500</xdr:colOff>
      <xdr:row>23</xdr:row>
      <xdr:rowOff>76200</xdr:rowOff>
    </xdr:to>
    <xdr:graphicFrame macro="">
      <xdr:nvGraphicFramePr>
        <xdr:cNvPr id="2" name="Chart 1">
          <a:extLst>
            <a:ext uri="{FF2B5EF4-FFF2-40B4-BE49-F238E27FC236}">
              <a16:creationId xmlns:a16="http://schemas.microsoft.com/office/drawing/2014/main" id="{0110344C-36E3-46EF-94C1-E00F26C85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1047750</xdr:colOff>
      <xdr:row>18</xdr:row>
      <xdr:rowOff>76200</xdr:rowOff>
    </xdr:from>
    <xdr:to>
      <xdr:col>6</xdr:col>
      <xdr:colOff>1247775</xdr:colOff>
      <xdr:row>32</xdr:row>
      <xdr:rowOff>152400</xdr:rowOff>
    </xdr:to>
    <xdr:graphicFrame macro="">
      <xdr:nvGraphicFramePr>
        <xdr:cNvPr id="2" name="Chart 1">
          <a:extLst>
            <a:ext uri="{FF2B5EF4-FFF2-40B4-BE49-F238E27FC236}">
              <a16:creationId xmlns:a16="http://schemas.microsoft.com/office/drawing/2014/main" id="{5C97F74A-E8D4-4E5C-8D7C-0AEC11825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8</xdr:row>
      <xdr:rowOff>0</xdr:rowOff>
    </xdr:from>
    <xdr:to>
      <xdr:col>12</xdr:col>
      <xdr:colOff>1181100</xdr:colOff>
      <xdr:row>8</xdr:row>
      <xdr:rowOff>180975</xdr:rowOff>
    </xdr:to>
    <xdr:pic>
      <xdr:nvPicPr>
        <xdr:cNvPr id="3" name="Picture 2">
          <a:extLst>
            <a:ext uri="{FF2B5EF4-FFF2-40B4-BE49-F238E27FC236}">
              <a16:creationId xmlns:a16="http://schemas.microsoft.com/office/drawing/2014/main" id="{0EC0EE24-F5B4-4E88-BB36-92346A4C101B}"/>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640175" y="1533525"/>
          <a:ext cx="11811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468965</xdr:colOff>
      <xdr:row>31</xdr:row>
      <xdr:rowOff>106456</xdr:rowOff>
    </xdr:from>
    <xdr:to>
      <xdr:col>4</xdr:col>
      <xdr:colOff>2386852</xdr:colOff>
      <xdr:row>45</xdr:row>
      <xdr:rowOff>182656</xdr:rowOff>
    </xdr:to>
    <xdr:graphicFrame macro="">
      <xdr:nvGraphicFramePr>
        <xdr:cNvPr id="2" name="Chart 1">
          <a:extLst>
            <a:ext uri="{FF2B5EF4-FFF2-40B4-BE49-F238E27FC236}">
              <a16:creationId xmlns:a16="http://schemas.microsoft.com/office/drawing/2014/main" id="{5BC2BA31-9335-4970-883D-742CA0F8D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400050</xdr:colOff>
      <xdr:row>19</xdr:row>
      <xdr:rowOff>142876</xdr:rowOff>
    </xdr:from>
    <xdr:to>
      <xdr:col>31</xdr:col>
      <xdr:colOff>495300</xdr:colOff>
      <xdr:row>41</xdr:row>
      <xdr:rowOff>19050</xdr:rowOff>
    </xdr:to>
    <xdr:graphicFrame macro="">
      <xdr:nvGraphicFramePr>
        <xdr:cNvPr id="2" name="Chart 1">
          <a:extLst>
            <a:ext uri="{FF2B5EF4-FFF2-40B4-BE49-F238E27FC236}">
              <a16:creationId xmlns:a16="http://schemas.microsoft.com/office/drawing/2014/main" id="{5478EB87-0F16-460D-9C2A-83A005EA1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85725</xdr:colOff>
      <xdr:row>4</xdr:row>
      <xdr:rowOff>0</xdr:rowOff>
    </xdr:from>
    <xdr:to>
      <xdr:col>23</xdr:col>
      <xdr:colOff>390525</xdr:colOff>
      <xdr:row>18</xdr:row>
      <xdr:rowOff>76200</xdr:rowOff>
    </xdr:to>
    <xdr:graphicFrame macro="">
      <xdr:nvGraphicFramePr>
        <xdr:cNvPr id="3" name="Chart 2">
          <a:extLst>
            <a:ext uri="{FF2B5EF4-FFF2-40B4-BE49-F238E27FC236}">
              <a16:creationId xmlns:a16="http://schemas.microsoft.com/office/drawing/2014/main" id="{3E6D607B-4151-4EED-AC79-22BBEC1C1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G70"/>
  <sheetViews>
    <sheetView tabSelected="1" topLeftCell="A50" zoomScale="130" zoomScaleNormal="130" workbookViewId="0">
      <selection activeCell="K66" sqref="K66"/>
    </sheetView>
  </sheetViews>
  <sheetFormatPr defaultRowHeight="15" x14ac:dyDescent="0.25"/>
  <cols>
    <col min="3" max="3" width="9.85546875" bestFit="1" customWidth="1"/>
    <col min="9" max="9" width="20" bestFit="1" customWidth="1"/>
    <col min="10" max="10" width="12" bestFit="1" customWidth="1"/>
    <col min="11" max="11" width="19.5703125" bestFit="1" customWidth="1"/>
    <col min="12" max="12" width="15" bestFit="1" customWidth="1"/>
    <col min="32" max="32" width="14.7109375" customWidth="1"/>
    <col min="33" max="33" width="15" bestFit="1" customWidth="1"/>
  </cols>
  <sheetData>
    <row r="2" spans="2:33" x14ac:dyDescent="0.25">
      <c r="P2" t="s">
        <v>119</v>
      </c>
      <c r="Q2">
        <v>0.7</v>
      </c>
    </row>
    <row r="4" spans="2:33" x14ac:dyDescent="0.25">
      <c r="B4" t="s">
        <v>0</v>
      </c>
      <c r="C4" t="s">
        <v>1</v>
      </c>
      <c r="D4">
        <v>0</v>
      </c>
      <c r="E4">
        <v>15</v>
      </c>
      <c r="F4">
        <v>30</v>
      </c>
      <c r="G4">
        <v>45</v>
      </c>
      <c r="H4">
        <v>60</v>
      </c>
      <c r="I4">
        <v>75</v>
      </c>
      <c r="J4">
        <v>90</v>
      </c>
      <c r="K4">
        <v>105</v>
      </c>
      <c r="L4">
        <v>120</v>
      </c>
      <c r="M4">
        <v>135</v>
      </c>
      <c r="N4">
        <v>150</v>
      </c>
      <c r="O4">
        <v>165</v>
      </c>
      <c r="P4">
        <v>180</v>
      </c>
      <c r="R4" t="s">
        <v>113</v>
      </c>
      <c r="U4">
        <v>0.50790812010273101</v>
      </c>
      <c r="V4">
        <v>0.484752044394964</v>
      </c>
      <c r="W4">
        <v>0.440092927433959</v>
      </c>
      <c r="X4">
        <v>0.218118856266456</v>
      </c>
      <c r="Y4">
        <v>3.9702390281486699E-2</v>
      </c>
      <c r="Z4">
        <v>0.49001151755439498</v>
      </c>
      <c r="AA4">
        <v>0.46555492635971302</v>
      </c>
      <c r="AB4">
        <v>0.49001151755439498</v>
      </c>
      <c r="AC4">
        <v>3.9702390281486699E-2</v>
      </c>
      <c r="AD4">
        <v>0.218118856266456</v>
      </c>
      <c r="AE4">
        <v>0.440092927433959</v>
      </c>
      <c r="AF4">
        <v>0.484752044394964</v>
      </c>
      <c r="AG4">
        <v>0.50790812010273101</v>
      </c>
    </row>
    <row r="5" spans="2:33" x14ac:dyDescent="0.25">
      <c r="B5" s="100">
        <v>205</v>
      </c>
      <c r="C5">
        <v>1</v>
      </c>
      <c r="D5">
        <v>0.50757247676690997</v>
      </c>
      <c r="E5">
        <v>0.50348324702996095</v>
      </c>
      <c r="F5">
        <v>0.44047023834647597</v>
      </c>
      <c r="G5">
        <v>0.23290082798647399</v>
      </c>
      <c r="H5">
        <v>0</v>
      </c>
      <c r="I5">
        <v>0</v>
      </c>
      <c r="J5">
        <v>0</v>
      </c>
      <c r="K5">
        <v>0</v>
      </c>
      <c r="L5">
        <v>0</v>
      </c>
      <c r="M5">
        <v>0.23290082798647399</v>
      </c>
      <c r="N5">
        <v>0.44047023834647597</v>
      </c>
      <c r="O5">
        <v>0.50348324702996095</v>
      </c>
      <c r="P5">
        <v>0.50757247676690997</v>
      </c>
      <c r="R5" s="25">
        <f>PERCENTILE(D5:P5,$Q$2)</f>
        <v>0.46567544181986986</v>
      </c>
      <c r="S5">
        <f>AVERAGE(D5:P5)</f>
        <v>0.25914258309689553</v>
      </c>
      <c r="U5">
        <v>0.58493899401871796</v>
      </c>
      <c r="V5">
        <v>0.54629329253909098</v>
      </c>
      <c r="W5">
        <v>0.46286708462926601</v>
      </c>
      <c r="X5">
        <v>0.26369148605036502</v>
      </c>
      <c r="Y5">
        <v>0.16575862945557701</v>
      </c>
      <c r="Z5">
        <v>6.5599716489738197E-2</v>
      </c>
      <c r="AA5">
        <v>5.4230387951339103E-2</v>
      </c>
      <c r="AB5">
        <v>6.5599716489738197E-2</v>
      </c>
      <c r="AC5">
        <v>0.16575862945557701</v>
      </c>
      <c r="AD5">
        <v>0.26369148605036502</v>
      </c>
      <c r="AE5">
        <v>0.46286708462926601</v>
      </c>
      <c r="AF5">
        <v>0.54629329253909098</v>
      </c>
      <c r="AG5">
        <v>0.58493899401871796</v>
      </c>
    </row>
    <row r="6" spans="2:33" x14ac:dyDescent="0.25">
      <c r="B6" s="100"/>
      <c r="C6">
        <v>2</v>
      </c>
      <c r="D6">
        <v>0.58493899401871796</v>
      </c>
      <c r="E6">
        <v>0.54629329253909098</v>
      </c>
      <c r="F6">
        <v>0.46286708462926601</v>
      </c>
      <c r="G6">
        <v>0.26369148605036502</v>
      </c>
      <c r="H6">
        <v>0.16575862945557701</v>
      </c>
      <c r="I6">
        <v>6.5599716489738197E-2</v>
      </c>
      <c r="J6">
        <v>5.4230387951339103E-2</v>
      </c>
      <c r="K6">
        <v>6.5599716489738197E-2</v>
      </c>
      <c r="L6">
        <v>0.16575862945557701</v>
      </c>
      <c r="M6">
        <v>0.26369148605036502</v>
      </c>
      <c r="N6">
        <v>0.46286708462926601</v>
      </c>
      <c r="O6">
        <v>0.54629329253909098</v>
      </c>
      <c r="P6">
        <v>0.58493899401871796</v>
      </c>
      <c r="R6">
        <f t="shared" ref="R6:R14" si="0">PERCENTILE(D6:P6,$Q$2)</f>
        <v>0.49623756779319589</v>
      </c>
      <c r="S6">
        <f t="shared" ref="S6:S14" si="1">AVERAGE(D6:P6)</f>
        <v>0.32557913802437299</v>
      </c>
      <c r="U6">
        <v>0.61092103239787399</v>
      </c>
      <c r="V6">
        <v>0.59454757209145803</v>
      </c>
      <c r="W6">
        <v>0.56054844474582999</v>
      </c>
      <c r="X6">
        <v>0.305311841541275</v>
      </c>
      <c r="Y6">
        <v>0.114777929603657</v>
      </c>
      <c r="Z6">
        <v>1</v>
      </c>
      <c r="AA6">
        <v>0.73942091294759305</v>
      </c>
      <c r="AB6">
        <v>1</v>
      </c>
      <c r="AC6">
        <v>0.114777929603657</v>
      </c>
      <c r="AD6">
        <v>0.305311841541275</v>
      </c>
      <c r="AE6">
        <v>0.56054844474582999</v>
      </c>
      <c r="AF6">
        <v>0.59454757209145803</v>
      </c>
      <c r="AG6">
        <v>0.61092103239787399</v>
      </c>
    </row>
    <row r="7" spans="2:33" x14ac:dyDescent="0.25">
      <c r="B7" s="100">
        <v>245</v>
      </c>
      <c r="C7">
        <v>1</v>
      </c>
      <c r="D7">
        <v>0.61091126445657895</v>
      </c>
      <c r="E7">
        <v>0.61579012650993803</v>
      </c>
      <c r="F7">
        <v>0.56312594888406098</v>
      </c>
      <c r="G7">
        <v>0.33921565882342503</v>
      </c>
      <c r="H7">
        <v>0.117736417456471</v>
      </c>
      <c r="I7">
        <v>1.51152279581134E-2</v>
      </c>
      <c r="J7">
        <v>1.51152279581134E-2</v>
      </c>
      <c r="K7">
        <v>1.51152279581134E-2</v>
      </c>
      <c r="L7">
        <v>0.117736417456471</v>
      </c>
      <c r="M7">
        <v>0.33921565882342503</v>
      </c>
      <c r="N7">
        <v>0.56312594888406098</v>
      </c>
      <c r="O7">
        <v>0.61579012650993803</v>
      </c>
      <c r="P7">
        <v>0.61091126445657895</v>
      </c>
      <c r="R7" s="25">
        <f t="shared" si="0"/>
        <v>0.58224007511306808</v>
      </c>
      <c r="S7">
        <f t="shared" si="1"/>
        <v>0.34914650124117608</v>
      </c>
      <c r="U7">
        <v>0.70716354932679104</v>
      </c>
      <c r="V7">
        <v>0.67835936011659204</v>
      </c>
      <c r="W7">
        <v>0.59768228714841898</v>
      </c>
      <c r="X7">
        <v>0.428414779311724</v>
      </c>
      <c r="Y7">
        <v>0.28783499484267899</v>
      </c>
      <c r="Z7">
        <v>0.16982767969590801</v>
      </c>
      <c r="AA7">
        <v>0.14984082428974199</v>
      </c>
      <c r="AB7">
        <v>0.16982767969590801</v>
      </c>
      <c r="AC7">
        <v>0.28783499484267899</v>
      </c>
      <c r="AD7">
        <v>0.428414779311724</v>
      </c>
      <c r="AE7">
        <v>0.59768228714841898</v>
      </c>
      <c r="AF7">
        <v>0.67835936011659204</v>
      </c>
      <c r="AG7">
        <v>0.70716354932679104</v>
      </c>
    </row>
    <row r="8" spans="2:33" x14ac:dyDescent="0.25">
      <c r="B8" s="100"/>
      <c r="C8">
        <v>2</v>
      </c>
      <c r="D8">
        <v>0.70716354932679104</v>
      </c>
      <c r="E8">
        <v>0.67835936011659204</v>
      </c>
      <c r="F8">
        <v>0.59768228714841898</v>
      </c>
      <c r="G8">
        <v>0.428414779311724</v>
      </c>
      <c r="H8">
        <v>0.28783499484267899</v>
      </c>
      <c r="I8">
        <v>0.16982767969590801</v>
      </c>
      <c r="J8">
        <v>0.14984082428974199</v>
      </c>
      <c r="K8">
        <v>0.16982767969590801</v>
      </c>
      <c r="L8">
        <v>0.28783499484267899</v>
      </c>
      <c r="M8">
        <v>0.428414779311724</v>
      </c>
      <c r="N8">
        <v>0.59768228714841898</v>
      </c>
      <c r="O8">
        <v>0.67835936011659204</v>
      </c>
      <c r="P8">
        <v>0.70716354932679104</v>
      </c>
      <c r="R8">
        <f t="shared" si="0"/>
        <v>0.62995311633568807</v>
      </c>
      <c r="S8">
        <f t="shared" si="1"/>
        <v>0.4529543173210745</v>
      </c>
      <c r="U8">
        <v>0.72384485625389305</v>
      </c>
      <c r="V8">
        <v>0.71717991336111298</v>
      </c>
      <c r="W8">
        <v>0.67552127900970405</v>
      </c>
      <c r="X8">
        <v>0.452706543877269</v>
      </c>
      <c r="Y8">
        <v>0.23312753418662399</v>
      </c>
      <c r="Z8">
        <v>0.10205647974970899</v>
      </c>
      <c r="AA8">
        <v>7.6274526923511096E-2</v>
      </c>
      <c r="AB8">
        <v>0.10205647974970899</v>
      </c>
      <c r="AC8">
        <v>0.23312753418662399</v>
      </c>
      <c r="AD8">
        <v>0.452706543877269</v>
      </c>
      <c r="AE8">
        <v>0.67552127900970405</v>
      </c>
      <c r="AF8">
        <v>0.71717991336111298</v>
      </c>
      <c r="AG8">
        <v>0.72384485625389305</v>
      </c>
    </row>
    <row r="9" spans="2:33" x14ac:dyDescent="0.25">
      <c r="B9" s="100">
        <v>285</v>
      </c>
      <c r="C9">
        <v>1</v>
      </c>
      <c r="D9">
        <v>0.72384485625389305</v>
      </c>
      <c r="E9">
        <v>0.71717991336111298</v>
      </c>
      <c r="F9">
        <v>0.67552127900970405</v>
      </c>
      <c r="G9">
        <v>0.452706543877269</v>
      </c>
      <c r="H9">
        <v>0.23312753418662399</v>
      </c>
      <c r="I9">
        <v>0.10205647974970899</v>
      </c>
      <c r="J9">
        <v>7.6274526923511096E-2</v>
      </c>
      <c r="K9">
        <v>0.10205647974970899</v>
      </c>
      <c r="L9">
        <v>0.23312753418662399</v>
      </c>
      <c r="M9">
        <v>0.452706543877269</v>
      </c>
      <c r="N9">
        <v>0.67552127900970405</v>
      </c>
      <c r="O9">
        <v>0.71717991336111298</v>
      </c>
      <c r="P9">
        <v>0.72384485625389305</v>
      </c>
      <c r="R9" s="25">
        <f t="shared" si="0"/>
        <v>0.6921847327502676</v>
      </c>
      <c r="S9">
        <f t="shared" si="1"/>
        <v>0.45270367229231806</v>
      </c>
      <c r="U9">
        <v>0.809987235805118</v>
      </c>
      <c r="V9">
        <v>0.79041221259829997</v>
      </c>
      <c r="W9">
        <v>0.72545301384977501</v>
      </c>
      <c r="X9">
        <v>0.58982992822323399</v>
      </c>
      <c r="Y9">
        <v>0.44808908822692101</v>
      </c>
      <c r="Z9">
        <v>0.33304772386385501</v>
      </c>
      <c r="AA9">
        <v>0.30135730313175202</v>
      </c>
      <c r="AB9">
        <v>0.33304772386385501</v>
      </c>
      <c r="AC9">
        <v>0.44808908822692101</v>
      </c>
      <c r="AD9">
        <v>0.58982992822323399</v>
      </c>
      <c r="AE9">
        <v>0.72545301384977501</v>
      </c>
      <c r="AF9">
        <v>0.79041221259829997</v>
      </c>
      <c r="AG9">
        <v>0.809987235805118</v>
      </c>
    </row>
    <row r="10" spans="2:33" x14ac:dyDescent="0.25">
      <c r="B10" s="100"/>
      <c r="C10">
        <v>2</v>
      </c>
      <c r="D10">
        <v>0.809987235805118</v>
      </c>
      <c r="E10">
        <v>0.79041221259829997</v>
      </c>
      <c r="F10">
        <v>0.72545301384977501</v>
      </c>
      <c r="G10">
        <v>0.58982992822323399</v>
      </c>
      <c r="H10">
        <v>0.44808908822692101</v>
      </c>
      <c r="I10">
        <v>0.33304772386385501</v>
      </c>
      <c r="J10">
        <v>0.30135730313175202</v>
      </c>
      <c r="K10">
        <v>0.33304772386385501</v>
      </c>
      <c r="L10">
        <v>0.44808908822692101</v>
      </c>
      <c r="M10">
        <v>0.58982992822323399</v>
      </c>
      <c r="N10">
        <v>0.72545301384977501</v>
      </c>
      <c r="O10">
        <v>0.79041221259829997</v>
      </c>
      <c r="P10">
        <v>0.809987235805118</v>
      </c>
      <c r="R10">
        <f t="shared" si="0"/>
        <v>0.75143669334918495</v>
      </c>
      <c r="S10">
        <f t="shared" si="1"/>
        <v>0.59192274678970447</v>
      </c>
      <c r="U10">
        <v>0.82162834083629399</v>
      </c>
      <c r="V10">
        <v>0.82132251370564202</v>
      </c>
      <c r="W10">
        <v>0.771893828952399</v>
      </c>
      <c r="X10">
        <v>0.57970281553208103</v>
      </c>
      <c r="Y10">
        <v>0.37749569843869801</v>
      </c>
      <c r="Z10">
        <v>0.24101568094489101</v>
      </c>
      <c r="AA10">
        <v>0.200304185461221</v>
      </c>
      <c r="AB10">
        <v>0.24101568094489101</v>
      </c>
      <c r="AC10">
        <v>0.37749569843869801</v>
      </c>
      <c r="AD10">
        <v>0.57970281553208103</v>
      </c>
      <c r="AE10">
        <v>0.771893828952399</v>
      </c>
      <c r="AF10">
        <v>0.82132251370564202</v>
      </c>
      <c r="AG10">
        <v>0.82162834083629399</v>
      </c>
    </row>
    <row r="11" spans="2:33" x14ac:dyDescent="0.25">
      <c r="B11" s="100">
        <v>330</v>
      </c>
      <c r="C11">
        <v>1</v>
      </c>
      <c r="D11">
        <v>0.82162834083629399</v>
      </c>
      <c r="E11">
        <v>0.82132251370564202</v>
      </c>
      <c r="F11">
        <v>0.771893828952399</v>
      </c>
      <c r="G11">
        <v>0.57970281553208103</v>
      </c>
      <c r="H11">
        <v>0.37749569843869801</v>
      </c>
      <c r="I11">
        <v>0.24101568094489101</v>
      </c>
      <c r="J11">
        <v>0.200304185461221</v>
      </c>
      <c r="K11">
        <v>0.24101568094489101</v>
      </c>
      <c r="L11">
        <v>0.37749569843869801</v>
      </c>
      <c r="M11">
        <v>0.57970281553208103</v>
      </c>
      <c r="N11">
        <v>0.771893828952399</v>
      </c>
      <c r="O11">
        <v>0.82132251370564202</v>
      </c>
      <c r="P11">
        <v>0.82162834083629399</v>
      </c>
      <c r="R11" s="25">
        <f t="shared" si="0"/>
        <v>0.79166530285369618</v>
      </c>
      <c r="S11">
        <f t="shared" si="1"/>
        <v>0.57126322632932536</v>
      </c>
      <c r="U11">
        <v>0.895891528278557</v>
      </c>
      <c r="V11">
        <v>0.88312021272233399</v>
      </c>
      <c r="W11">
        <v>0.82945638380406495</v>
      </c>
      <c r="X11">
        <v>0.72907938208082101</v>
      </c>
      <c r="Y11">
        <v>0.60742994268579897</v>
      </c>
      <c r="Z11">
        <v>0.50274615061584604</v>
      </c>
      <c r="AA11">
        <v>0.47052615021989402</v>
      </c>
      <c r="AB11">
        <v>0.50274615061584604</v>
      </c>
      <c r="AC11">
        <v>0.60742994268579897</v>
      </c>
      <c r="AD11">
        <v>0.72907938208082101</v>
      </c>
      <c r="AE11">
        <v>0.82945638380406495</v>
      </c>
      <c r="AF11">
        <v>0.88312021272233399</v>
      </c>
      <c r="AG11">
        <v>0.895891528278557</v>
      </c>
    </row>
    <row r="12" spans="2:33" x14ac:dyDescent="0.25">
      <c r="B12" s="100"/>
      <c r="C12">
        <v>2</v>
      </c>
      <c r="D12">
        <v>0.895891528278557</v>
      </c>
      <c r="E12">
        <v>0.88312021272233399</v>
      </c>
      <c r="F12">
        <v>0.82945638380406495</v>
      </c>
      <c r="G12">
        <v>0.72907938208082101</v>
      </c>
      <c r="H12">
        <v>0.60742994268579897</v>
      </c>
      <c r="I12">
        <v>0.50274615061584604</v>
      </c>
      <c r="J12">
        <v>0.47052615021989402</v>
      </c>
      <c r="K12">
        <v>0.50274615061584604</v>
      </c>
      <c r="L12">
        <v>0.60742994268579897</v>
      </c>
      <c r="M12">
        <v>0.72907938208082101</v>
      </c>
      <c r="N12">
        <v>0.82945638380406495</v>
      </c>
      <c r="O12">
        <v>0.88312021272233399</v>
      </c>
      <c r="P12">
        <v>0.895891528278557</v>
      </c>
      <c r="R12">
        <f t="shared" si="0"/>
        <v>0.85092191537137252</v>
      </c>
      <c r="S12">
        <f t="shared" si="1"/>
        <v>0.72045948850728747</v>
      </c>
      <c r="U12">
        <v>0.89164802096842399</v>
      </c>
      <c r="V12">
        <v>1</v>
      </c>
      <c r="W12">
        <v>0.89710520243980096</v>
      </c>
      <c r="X12">
        <v>0.75874249158949603</v>
      </c>
      <c r="Y12">
        <v>0.57081028037335702</v>
      </c>
      <c r="Z12">
        <v>0.41766009338965698</v>
      </c>
      <c r="AA12">
        <v>0.36579198645021799</v>
      </c>
      <c r="AB12">
        <v>0.41766009338965698</v>
      </c>
      <c r="AC12">
        <v>0.57081028037335702</v>
      </c>
      <c r="AD12">
        <v>0.75874249158949603</v>
      </c>
      <c r="AE12">
        <v>0.89710520243980096</v>
      </c>
      <c r="AF12">
        <v>1</v>
      </c>
      <c r="AG12">
        <v>0.89164802096842399</v>
      </c>
    </row>
    <row r="13" spans="2:33" x14ac:dyDescent="0.25">
      <c r="B13" s="100">
        <v>415</v>
      </c>
      <c r="C13">
        <v>1</v>
      </c>
      <c r="D13">
        <v>0.89164802096842399</v>
      </c>
      <c r="E13">
        <v>1</v>
      </c>
      <c r="F13">
        <v>0.89710520243980096</v>
      </c>
      <c r="G13">
        <v>0.75874249158949603</v>
      </c>
      <c r="H13">
        <v>0.57081028037335702</v>
      </c>
      <c r="I13">
        <v>0.41766009338965698</v>
      </c>
      <c r="J13">
        <v>0.36579198645021799</v>
      </c>
      <c r="K13">
        <v>0.41766009338965698</v>
      </c>
      <c r="L13">
        <v>0.57081028037335702</v>
      </c>
      <c r="M13">
        <v>0.75874249158949603</v>
      </c>
      <c r="N13">
        <v>0.89710520243980096</v>
      </c>
      <c r="O13">
        <v>1</v>
      </c>
      <c r="P13">
        <v>0.89164802096842399</v>
      </c>
      <c r="R13" s="25">
        <f t="shared" si="0"/>
        <v>0.89383089355697476</v>
      </c>
      <c r="S13">
        <f t="shared" si="1"/>
        <v>0.72597878184397591</v>
      </c>
      <c r="U13">
        <v>1</v>
      </c>
      <c r="V13">
        <v>1</v>
      </c>
      <c r="W13">
        <v>1</v>
      </c>
      <c r="X13">
        <v>0.87291671489763101</v>
      </c>
      <c r="Y13">
        <v>0.76940401036236195</v>
      </c>
      <c r="Z13">
        <v>0.66905407108598902</v>
      </c>
      <c r="AA13">
        <v>0.63213979944117704</v>
      </c>
      <c r="AB13">
        <v>0.66905407108598902</v>
      </c>
      <c r="AC13">
        <v>0.76940401036236195</v>
      </c>
      <c r="AD13">
        <v>0.87291671489763101</v>
      </c>
      <c r="AE13">
        <v>1</v>
      </c>
      <c r="AF13">
        <v>1</v>
      </c>
      <c r="AG13">
        <v>1</v>
      </c>
    </row>
    <row r="14" spans="2:33" x14ac:dyDescent="0.25">
      <c r="B14" s="100"/>
      <c r="C14">
        <v>2</v>
      </c>
      <c r="D14">
        <v>1</v>
      </c>
      <c r="E14">
        <v>1</v>
      </c>
      <c r="F14">
        <v>1</v>
      </c>
      <c r="G14">
        <v>0.87291671489763101</v>
      </c>
      <c r="H14">
        <v>0.76940401036236195</v>
      </c>
      <c r="I14">
        <v>0.66905407108598902</v>
      </c>
      <c r="J14">
        <v>0.63213979944117704</v>
      </c>
      <c r="K14">
        <v>0.66905407108598902</v>
      </c>
      <c r="L14">
        <v>0.76940401036236195</v>
      </c>
      <c r="M14">
        <v>0.87291671489763101</v>
      </c>
      <c r="N14">
        <v>1</v>
      </c>
      <c r="O14">
        <v>1</v>
      </c>
      <c r="P14">
        <v>1</v>
      </c>
      <c r="R14">
        <f t="shared" si="0"/>
        <v>1</v>
      </c>
      <c r="S14">
        <f t="shared" si="1"/>
        <v>0.86576072247178004</v>
      </c>
    </row>
    <row r="24" spans="4:16" x14ac:dyDescent="0.25">
      <c r="D24">
        <v>0.50757247676690997</v>
      </c>
      <c r="E24">
        <v>0.50348324702996095</v>
      </c>
      <c r="F24">
        <v>0.44047023834647597</v>
      </c>
      <c r="G24">
        <v>0.23290082798647399</v>
      </c>
      <c r="H24">
        <v>3.3798360765972001E-2</v>
      </c>
      <c r="I24">
        <v>0.49096074886086299</v>
      </c>
      <c r="J24">
        <v>0.46637692991399698</v>
      </c>
      <c r="K24">
        <v>0.49096074886086299</v>
      </c>
      <c r="L24">
        <v>3.3798360765972001E-2</v>
      </c>
      <c r="M24">
        <v>0.23290082798647399</v>
      </c>
      <c r="N24">
        <v>0.44047023834647597</v>
      </c>
      <c r="O24">
        <v>0.50348324702996095</v>
      </c>
      <c r="P24">
        <v>0.50757247676690997</v>
      </c>
    </row>
    <row r="44" spans="5:33" x14ac:dyDescent="0.25">
      <c r="E44" t="s">
        <v>0</v>
      </c>
      <c r="F44" t="s">
        <v>1</v>
      </c>
      <c r="G44">
        <v>0</v>
      </c>
      <c r="H44">
        <v>15</v>
      </c>
      <c r="I44">
        <v>30</v>
      </c>
      <c r="J44">
        <v>45</v>
      </c>
      <c r="K44">
        <v>60</v>
      </c>
      <c r="L44">
        <v>75</v>
      </c>
      <c r="M44">
        <v>90</v>
      </c>
      <c r="N44">
        <v>105</v>
      </c>
      <c r="O44">
        <v>120</v>
      </c>
      <c r="P44">
        <v>135</v>
      </c>
      <c r="Q44">
        <v>150</v>
      </c>
      <c r="R44">
        <v>165</v>
      </c>
      <c r="S44">
        <v>180</v>
      </c>
      <c r="T44">
        <v>195</v>
      </c>
      <c r="U44">
        <v>210</v>
      </c>
      <c r="V44">
        <v>225</v>
      </c>
      <c r="W44">
        <v>240</v>
      </c>
      <c r="X44">
        <v>255</v>
      </c>
      <c r="Y44">
        <v>270</v>
      </c>
      <c r="Z44">
        <v>285</v>
      </c>
      <c r="AA44">
        <v>300</v>
      </c>
      <c r="AB44">
        <v>315</v>
      </c>
      <c r="AC44">
        <v>330</v>
      </c>
      <c r="AD44">
        <v>345</v>
      </c>
      <c r="AF44" t="s">
        <v>136</v>
      </c>
      <c r="AG44" t="s">
        <v>137</v>
      </c>
    </row>
    <row r="45" spans="5:33" x14ac:dyDescent="0.25">
      <c r="E45" s="100" t="s">
        <v>135</v>
      </c>
      <c r="F45">
        <v>1</v>
      </c>
      <c r="G45" s="7">
        <v>0.50757247676690997</v>
      </c>
      <c r="H45" s="7">
        <v>0.50348324702996095</v>
      </c>
      <c r="I45" s="7">
        <v>0.44047023834647597</v>
      </c>
      <c r="J45" s="7">
        <v>0.23290082798647399</v>
      </c>
      <c r="K45" s="7">
        <v>0</v>
      </c>
      <c r="L45" s="7">
        <v>0</v>
      </c>
      <c r="M45" s="7">
        <v>0</v>
      </c>
      <c r="N45" s="7">
        <v>0</v>
      </c>
      <c r="O45" s="7">
        <v>0</v>
      </c>
      <c r="P45" s="7">
        <v>0.23290082798647399</v>
      </c>
      <c r="Q45" s="7">
        <v>0.44047023834647597</v>
      </c>
      <c r="R45" s="7">
        <v>0.50348324702996095</v>
      </c>
      <c r="S45" s="7">
        <v>0.50757247676690997</v>
      </c>
      <c r="T45" s="7">
        <v>0.50348324702996095</v>
      </c>
      <c r="U45" s="7">
        <v>0.44047023834647597</v>
      </c>
      <c r="V45" s="7">
        <v>0.23290082798647399</v>
      </c>
      <c r="W45" s="7">
        <v>0</v>
      </c>
      <c r="X45" s="7">
        <v>0</v>
      </c>
      <c r="Y45" s="7">
        <v>0</v>
      </c>
      <c r="Z45" s="7">
        <v>0</v>
      </c>
      <c r="AA45" s="7">
        <v>0</v>
      </c>
      <c r="AB45" s="7">
        <v>0.23290082798647399</v>
      </c>
      <c r="AC45" s="7">
        <v>0.44047023834647597</v>
      </c>
      <c r="AD45" s="7">
        <v>0.50348324702996095</v>
      </c>
      <c r="AF45" s="34">
        <f>_xlfn.PERCENTILE.INC(G45:AD45,0.8)</f>
        <v>0.50348324702996095</v>
      </c>
      <c r="AG45" s="34">
        <f>_xlfn.PERCENTILE.INC(G45:AD45,0.5)</f>
        <v>0.23290082798647399</v>
      </c>
    </row>
    <row r="46" spans="5:33" x14ac:dyDescent="0.25">
      <c r="E46" s="100"/>
      <c r="F46">
        <v>2</v>
      </c>
      <c r="G46" s="7">
        <v>0.58493899401871796</v>
      </c>
      <c r="H46" s="7">
        <v>0.54629329253909098</v>
      </c>
      <c r="I46" s="7">
        <v>0.46286708462926601</v>
      </c>
      <c r="J46" s="7">
        <v>0.26369148605036502</v>
      </c>
      <c r="K46" s="7">
        <v>0.16575862945557701</v>
      </c>
      <c r="L46" s="7">
        <v>6.5599716489738197E-2</v>
      </c>
      <c r="M46" s="7">
        <v>5.4230387951339103E-2</v>
      </c>
      <c r="N46" s="7">
        <v>6.5599716489738197E-2</v>
      </c>
      <c r="O46" s="7">
        <v>0.16575862945557701</v>
      </c>
      <c r="P46" s="7">
        <v>0.26369148605036502</v>
      </c>
      <c r="Q46" s="7">
        <v>0.46286708462926601</v>
      </c>
      <c r="R46" s="7">
        <v>0.54629329253909098</v>
      </c>
      <c r="S46" s="7">
        <v>0.58493899401871796</v>
      </c>
      <c r="T46" s="7">
        <v>0.54629329253909098</v>
      </c>
      <c r="U46" s="7">
        <v>0.46286708462926601</v>
      </c>
      <c r="V46" s="7">
        <v>0.26369148605036502</v>
      </c>
      <c r="W46" s="7">
        <v>0.16575862945557701</v>
      </c>
      <c r="X46" s="7">
        <v>6.5599716489738197E-2</v>
      </c>
      <c r="Y46" s="7">
        <v>5.4230387951339103E-2</v>
      </c>
      <c r="Z46" s="7">
        <v>6.5599716489738197E-2</v>
      </c>
      <c r="AA46" s="7">
        <v>0.16575862945557701</v>
      </c>
      <c r="AB46" s="7">
        <v>0.26369148605036502</v>
      </c>
      <c r="AC46" s="7">
        <v>0.46286708462926601</v>
      </c>
      <c r="AD46" s="7">
        <v>0.54629329253909098</v>
      </c>
      <c r="AF46" s="34">
        <f t="shared" ref="AF46:AF54" si="2">_xlfn.PERCENTILE.INC(G46:AD46,0.8)</f>
        <v>0.54629329253909098</v>
      </c>
      <c r="AG46" s="34">
        <f t="shared" ref="AG46:AG54" si="3">_xlfn.PERCENTILE.INC(G46:AD46,0.5)</f>
        <v>0.26369148605036502</v>
      </c>
    </row>
    <row r="47" spans="5:33" x14ac:dyDescent="0.25">
      <c r="E47" s="100" t="s">
        <v>131</v>
      </c>
      <c r="F47">
        <v>1</v>
      </c>
      <c r="G47" s="7">
        <v>0.61091126445657895</v>
      </c>
      <c r="H47" s="7">
        <v>0.61579012650993803</v>
      </c>
      <c r="I47" s="7">
        <v>0.56312594888406098</v>
      </c>
      <c r="J47" s="7">
        <v>0.33921565882342503</v>
      </c>
      <c r="K47" s="7">
        <v>0.117736417456471</v>
      </c>
      <c r="L47" s="7">
        <v>1.51152279581134E-2</v>
      </c>
      <c r="M47" s="7">
        <v>1.51152279581134E-2</v>
      </c>
      <c r="N47" s="7">
        <v>1.51152279581134E-2</v>
      </c>
      <c r="O47" s="7">
        <v>0.117736417456471</v>
      </c>
      <c r="P47" s="7">
        <v>0.33921565882342503</v>
      </c>
      <c r="Q47" s="7">
        <v>0.56312594888406098</v>
      </c>
      <c r="R47" s="7">
        <v>0.61579012650993803</v>
      </c>
      <c r="S47" s="7">
        <v>0.61091126445657895</v>
      </c>
      <c r="T47" s="7">
        <v>0.61579012650993803</v>
      </c>
      <c r="U47" s="7">
        <v>0.56312594888406098</v>
      </c>
      <c r="V47" s="7">
        <v>0.33921565882342503</v>
      </c>
      <c r="W47" s="7">
        <v>0.117736417456471</v>
      </c>
      <c r="X47" s="7">
        <v>1.51152279581134E-2</v>
      </c>
      <c r="Y47" s="7">
        <v>1.51152279581134E-2</v>
      </c>
      <c r="Z47" s="7">
        <v>1.51152279581134E-2</v>
      </c>
      <c r="AA47" s="7">
        <v>0.117736417456471</v>
      </c>
      <c r="AB47" s="7">
        <v>0.33921565882342503</v>
      </c>
      <c r="AC47" s="7">
        <v>0.56312594888406098</v>
      </c>
      <c r="AD47" s="7">
        <v>0.61579012650993803</v>
      </c>
      <c r="AF47" s="34">
        <f t="shared" si="2"/>
        <v>0.61091126445657895</v>
      </c>
      <c r="AG47" s="34">
        <f t="shared" si="3"/>
        <v>0.33921565882342503</v>
      </c>
    </row>
    <row r="48" spans="5:33" x14ac:dyDescent="0.25">
      <c r="E48" s="100"/>
      <c r="F48">
        <v>2</v>
      </c>
      <c r="G48" s="7">
        <v>0.70716354932679104</v>
      </c>
      <c r="H48" s="7">
        <v>0.67835936011659204</v>
      </c>
      <c r="I48" s="7">
        <v>0.59768228714841898</v>
      </c>
      <c r="J48" s="7">
        <v>0.428414779311724</v>
      </c>
      <c r="K48" s="7">
        <v>0.28783499484267899</v>
      </c>
      <c r="L48" s="7">
        <v>0.16982767969590801</v>
      </c>
      <c r="M48" s="7">
        <v>0.14984082428974199</v>
      </c>
      <c r="N48" s="7">
        <v>0.16982767969590801</v>
      </c>
      <c r="O48" s="7">
        <v>0.28783499484267899</v>
      </c>
      <c r="P48" s="7">
        <v>0.428414779311724</v>
      </c>
      <c r="Q48" s="7">
        <v>0.59768228714841898</v>
      </c>
      <c r="R48" s="7">
        <v>0.67835936011659204</v>
      </c>
      <c r="S48" s="7">
        <v>0.70716354932679104</v>
      </c>
      <c r="T48" s="7">
        <v>0.67835936011659204</v>
      </c>
      <c r="U48" s="7">
        <v>0.59768228714841898</v>
      </c>
      <c r="V48" s="7">
        <v>0.428414779311724</v>
      </c>
      <c r="W48" s="7">
        <v>0.28783499484267899</v>
      </c>
      <c r="X48" s="7">
        <v>0.16982767969590801</v>
      </c>
      <c r="Y48" s="7">
        <v>0.14984082428974199</v>
      </c>
      <c r="Z48" s="7">
        <v>0.16982767969590801</v>
      </c>
      <c r="AA48" s="7">
        <v>0.28783499484267899</v>
      </c>
      <c r="AB48" s="7">
        <v>0.428414779311724</v>
      </c>
      <c r="AC48" s="7">
        <v>0.59768228714841898</v>
      </c>
      <c r="AD48" s="7">
        <v>0.67835936011659204</v>
      </c>
      <c r="AF48" s="34">
        <f t="shared" si="2"/>
        <v>0.67835936011659204</v>
      </c>
      <c r="AG48" s="34">
        <f t="shared" si="3"/>
        <v>0.428414779311724</v>
      </c>
    </row>
    <row r="49" spans="5:33" x14ac:dyDescent="0.25">
      <c r="E49" s="100" t="s">
        <v>132</v>
      </c>
      <c r="F49">
        <v>1</v>
      </c>
      <c r="G49" s="7">
        <v>0.72384485625389305</v>
      </c>
      <c r="H49" s="7">
        <v>0.71717991336111298</v>
      </c>
      <c r="I49" s="7">
        <v>0.67552127900970405</v>
      </c>
      <c r="J49" s="7">
        <v>0.452706543877269</v>
      </c>
      <c r="K49" s="7">
        <v>0.23312753418662399</v>
      </c>
      <c r="L49" s="7">
        <v>0.10205647974970899</v>
      </c>
      <c r="M49" s="7">
        <v>7.6274526923511096E-2</v>
      </c>
      <c r="N49" s="7">
        <v>0.10205647974970899</v>
      </c>
      <c r="O49" s="7">
        <v>0.23312753418662399</v>
      </c>
      <c r="P49" s="7">
        <v>0.452706543877269</v>
      </c>
      <c r="Q49" s="7">
        <v>0.67552127900970405</v>
      </c>
      <c r="R49" s="7">
        <v>0.71717991336111298</v>
      </c>
      <c r="S49" s="7">
        <v>0.72384485625389305</v>
      </c>
      <c r="T49" s="7">
        <v>0.71717991336111298</v>
      </c>
      <c r="U49" s="7">
        <v>0.67552127900970405</v>
      </c>
      <c r="V49" s="7">
        <v>0.452706543877269</v>
      </c>
      <c r="W49" s="7">
        <v>0.23312753418662399</v>
      </c>
      <c r="X49" s="7">
        <v>0.10205647974970899</v>
      </c>
      <c r="Y49" s="7">
        <v>7.6274526923511096E-2</v>
      </c>
      <c r="Z49" s="7">
        <v>0.10205647974970899</v>
      </c>
      <c r="AA49" s="7">
        <v>0.23312753418662399</v>
      </c>
      <c r="AB49" s="7">
        <v>0.452706543877269</v>
      </c>
      <c r="AC49" s="7">
        <v>0.67552127900970405</v>
      </c>
      <c r="AD49" s="7">
        <v>0.71717991336111298</v>
      </c>
      <c r="AF49" s="34">
        <f t="shared" si="2"/>
        <v>0.71717991336111298</v>
      </c>
      <c r="AG49" s="34">
        <f t="shared" si="3"/>
        <v>0.452706543877269</v>
      </c>
    </row>
    <row r="50" spans="5:33" x14ac:dyDescent="0.25">
      <c r="E50" s="100"/>
      <c r="F50">
        <v>2</v>
      </c>
      <c r="G50" s="7">
        <v>0.809987235805118</v>
      </c>
      <c r="H50" s="7">
        <v>0.79041221259829997</v>
      </c>
      <c r="I50" s="7">
        <v>0.72545301384977501</v>
      </c>
      <c r="J50" s="7">
        <v>0.58982992822323399</v>
      </c>
      <c r="K50" s="7">
        <v>0.44808908822692101</v>
      </c>
      <c r="L50" s="7">
        <v>0.33304772386385501</v>
      </c>
      <c r="M50" s="7">
        <v>0.30135730313175202</v>
      </c>
      <c r="N50" s="7">
        <v>0.33304772386385501</v>
      </c>
      <c r="O50" s="7">
        <v>0.44808908822692101</v>
      </c>
      <c r="P50" s="7">
        <v>0.58982992822323399</v>
      </c>
      <c r="Q50" s="7">
        <v>0.72545301384977501</v>
      </c>
      <c r="R50" s="7">
        <v>0.79041221259829997</v>
      </c>
      <c r="S50" s="7">
        <v>0.809987235805118</v>
      </c>
      <c r="T50" s="7">
        <v>0.79041221259829997</v>
      </c>
      <c r="U50" s="7">
        <v>0.72545301384977501</v>
      </c>
      <c r="V50" s="7">
        <v>0.58982992822323399</v>
      </c>
      <c r="W50" s="7">
        <v>0.44808908822692101</v>
      </c>
      <c r="X50" s="7">
        <v>0.33304772386385501</v>
      </c>
      <c r="Y50" s="7">
        <v>0.30135730313175202</v>
      </c>
      <c r="Z50" s="7">
        <v>0.33304772386385501</v>
      </c>
      <c r="AA50" s="7">
        <v>0.44808908822692101</v>
      </c>
      <c r="AB50" s="7">
        <v>0.58982992822323399</v>
      </c>
      <c r="AC50" s="7">
        <v>0.72545301384977501</v>
      </c>
      <c r="AD50" s="7">
        <v>0.79041221259829997</v>
      </c>
      <c r="AF50" s="34">
        <f t="shared" si="2"/>
        <v>0.79041221259829997</v>
      </c>
      <c r="AG50" s="34">
        <f t="shared" si="3"/>
        <v>0.58982992822323399</v>
      </c>
    </row>
    <row r="51" spans="5:33" x14ac:dyDescent="0.25">
      <c r="E51" s="100" t="s">
        <v>133</v>
      </c>
      <c r="F51">
        <v>1</v>
      </c>
      <c r="G51" s="7">
        <v>0.82162834083629399</v>
      </c>
      <c r="H51" s="7">
        <v>0.82132251370564202</v>
      </c>
      <c r="I51" s="7">
        <v>0.771893828952399</v>
      </c>
      <c r="J51" s="7">
        <v>0.57970281553208103</v>
      </c>
      <c r="K51" s="7">
        <v>0.37749569843869801</v>
      </c>
      <c r="L51" s="7">
        <v>0.24101568094489101</v>
      </c>
      <c r="M51" s="7">
        <v>0.200304185461221</v>
      </c>
      <c r="N51" s="7">
        <v>0.24101568094489101</v>
      </c>
      <c r="O51" s="7">
        <v>0.37749569843869801</v>
      </c>
      <c r="P51" s="7">
        <v>0.57970281553208103</v>
      </c>
      <c r="Q51" s="7">
        <v>0.771893828952399</v>
      </c>
      <c r="R51" s="7">
        <v>0.82132251370564202</v>
      </c>
      <c r="S51" s="7">
        <v>0.82162834083629399</v>
      </c>
      <c r="T51" s="7">
        <v>0.82132251370564202</v>
      </c>
      <c r="U51" s="7">
        <v>0.771893828952399</v>
      </c>
      <c r="V51" s="7">
        <v>0.57970281553208103</v>
      </c>
      <c r="W51" s="7">
        <v>0.37749569843869801</v>
      </c>
      <c r="X51" s="7">
        <v>0.24101568094489101</v>
      </c>
      <c r="Y51" s="7">
        <v>0.200304185461221</v>
      </c>
      <c r="Z51" s="7">
        <v>0.24101568094489101</v>
      </c>
      <c r="AA51" s="7">
        <v>0.37749569843869801</v>
      </c>
      <c r="AB51" s="7">
        <v>0.57970281553208103</v>
      </c>
      <c r="AC51" s="7">
        <v>0.771893828952399</v>
      </c>
      <c r="AD51" s="7">
        <v>0.82132251370564202</v>
      </c>
      <c r="AF51" s="34">
        <f t="shared" si="2"/>
        <v>0.82132251370564202</v>
      </c>
      <c r="AG51" s="34">
        <f t="shared" si="3"/>
        <v>0.57970281553208103</v>
      </c>
    </row>
    <row r="52" spans="5:33" x14ac:dyDescent="0.25">
      <c r="E52" s="100"/>
      <c r="F52">
        <v>2</v>
      </c>
      <c r="G52" s="7">
        <v>0.895891528278557</v>
      </c>
      <c r="H52" s="7">
        <v>0.88312021272233399</v>
      </c>
      <c r="I52" s="7">
        <v>0.82945638380406495</v>
      </c>
      <c r="J52" s="7">
        <v>0.72907938208082101</v>
      </c>
      <c r="K52" s="7">
        <v>0.60742994268579897</v>
      </c>
      <c r="L52" s="7">
        <v>0.50274615061584604</v>
      </c>
      <c r="M52" s="7">
        <v>0.47052615021989402</v>
      </c>
      <c r="N52" s="7">
        <v>0.50274615061584604</v>
      </c>
      <c r="O52" s="7">
        <v>0.60742994268579897</v>
      </c>
      <c r="P52" s="7">
        <v>0.72907938208082101</v>
      </c>
      <c r="Q52" s="7">
        <v>0.82945638380406495</v>
      </c>
      <c r="R52" s="7">
        <v>0.88312021272233399</v>
      </c>
      <c r="S52" s="7">
        <v>0.895891528278557</v>
      </c>
      <c r="T52" s="7">
        <v>0.88312021272233399</v>
      </c>
      <c r="U52" s="7">
        <v>0.82945638380406495</v>
      </c>
      <c r="V52" s="7">
        <v>0.72907938208082101</v>
      </c>
      <c r="W52" s="7">
        <v>0.60742994268579897</v>
      </c>
      <c r="X52" s="7">
        <v>0.50274615061584604</v>
      </c>
      <c r="Y52" s="7">
        <v>0.47052615021989402</v>
      </c>
      <c r="Z52" s="7">
        <v>0.50274615061584604</v>
      </c>
      <c r="AA52" s="7">
        <v>0.60742994268579897</v>
      </c>
      <c r="AB52" s="7">
        <v>0.72907938208082101</v>
      </c>
      <c r="AC52" s="7">
        <v>0.82945638380406495</v>
      </c>
      <c r="AD52" s="7">
        <v>0.88312021272233399</v>
      </c>
      <c r="AF52" s="34">
        <f t="shared" si="2"/>
        <v>0.88312021272233399</v>
      </c>
      <c r="AG52" s="34">
        <f t="shared" si="3"/>
        <v>0.72907938208082101</v>
      </c>
    </row>
    <row r="53" spans="5:33" x14ac:dyDescent="0.25">
      <c r="E53" s="100" t="s">
        <v>134</v>
      </c>
      <c r="F53">
        <v>1</v>
      </c>
      <c r="G53" s="7">
        <v>0.89164802096842399</v>
      </c>
      <c r="H53" s="7">
        <v>1</v>
      </c>
      <c r="I53" s="7">
        <v>0.89710520243980096</v>
      </c>
      <c r="J53" s="7">
        <v>0.75874249158949603</v>
      </c>
      <c r="K53" s="7">
        <v>0.57081028037335702</v>
      </c>
      <c r="L53" s="7">
        <v>0.41766009338965698</v>
      </c>
      <c r="M53" s="7">
        <v>0.36579198645021799</v>
      </c>
      <c r="N53" s="7">
        <v>0.41766009338965698</v>
      </c>
      <c r="O53" s="7">
        <v>0.57081028037335702</v>
      </c>
      <c r="P53" s="7">
        <v>0.75874249158949603</v>
      </c>
      <c r="Q53" s="7">
        <v>0.89710520243980096</v>
      </c>
      <c r="R53" s="7">
        <v>1</v>
      </c>
      <c r="S53" s="7">
        <v>0.89164802096842399</v>
      </c>
      <c r="T53" s="7">
        <v>1</v>
      </c>
      <c r="U53" s="7">
        <v>0.89710520243980096</v>
      </c>
      <c r="V53" s="7">
        <v>0.75874249158949603</v>
      </c>
      <c r="W53" s="7">
        <v>0.57081028037335702</v>
      </c>
      <c r="X53" s="7">
        <v>0.41766009338965698</v>
      </c>
      <c r="Y53" s="7">
        <v>0.36579198645021799</v>
      </c>
      <c r="Z53" s="7">
        <v>0.41766009338965698</v>
      </c>
      <c r="AA53" s="7">
        <v>0.57081028037335702</v>
      </c>
      <c r="AB53" s="7">
        <v>0.75874249158949603</v>
      </c>
      <c r="AC53" s="7">
        <v>0.89710520243980096</v>
      </c>
      <c r="AD53" s="7">
        <v>1</v>
      </c>
      <c r="AF53" s="34">
        <f t="shared" si="2"/>
        <v>0.89710520243980096</v>
      </c>
      <c r="AG53" s="34">
        <f t="shared" si="3"/>
        <v>0.75874249158949603</v>
      </c>
    </row>
    <row r="54" spans="5:33" x14ac:dyDescent="0.25">
      <c r="E54" s="100"/>
      <c r="F54">
        <v>2</v>
      </c>
      <c r="G54" s="7">
        <v>1</v>
      </c>
      <c r="H54" s="7">
        <v>1</v>
      </c>
      <c r="I54" s="7">
        <v>1</v>
      </c>
      <c r="J54" s="7">
        <v>0.87291671489763101</v>
      </c>
      <c r="K54" s="7">
        <v>0.76940401036236195</v>
      </c>
      <c r="L54" s="7">
        <v>0.66905407108598902</v>
      </c>
      <c r="M54" s="7">
        <v>0.63213979944117704</v>
      </c>
      <c r="N54" s="7">
        <v>0.66905407108598902</v>
      </c>
      <c r="O54" s="7">
        <v>0.76940401036236195</v>
      </c>
      <c r="P54" s="7">
        <v>0.87291671489763101</v>
      </c>
      <c r="Q54" s="7">
        <v>1</v>
      </c>
      <c r="R54" s="7">
        <v>1</v>
      </c>
      <c r="S54" s="7">
        <v>1</v>
      </c>
      <c r="T54" s="7">
        <v>1</v>
      </c>
      <c r="U54" s="7">
        <v>1</v>
      </c>
      <c r="V54" s="7">
        <v>0.87291671489763101</v>
      </c>
      <c r="W54" s="7">
        <v>0.76940401036236195</v>
      </c>
      <c r="X54" s="7">
        <v>0.66905407108598902</v>
      </c>
      <c r="Y54" s="7">
        <v>0.63213979944117704</v>
      </c>
      <c r="Z54" s="7">
        <v>0.66905407108598902</v>
      </c>
      <c r="AA54" s="7">
        <v>0.76940401036236195</v>
      </c>
      <c r="AB54" s="7">
        <v>0.87291671489763101</v>
      </c>
      <c r="AC54" s="7">
        <v>1</v>
      </c>
      <c r="AD54" s="7">
        <v>1</v>
      </c>
      <c r="AF54" s="34">
        <f t="shared" si="2"/>
        <v>1</v>
      </c>
      <c r="AG54" s="34">
        <f t="shared" si="3"/>
        <v>0.87291671489763101</v>
      </c>
    </row>
    <row r="59" spans="5:33" x14ac:dyDescent="0.25">
      <c r="I59" s="99" t="s">
        <v>140</v>
      </c>
      <c r="J59" s="99"/>
      <c r="K59" s="98" t="s">
        <v>141</v>
      </c>
      <c r="L59" s="98"/>
    </row>
    <row r="60" spans="5:33" x14ac:dyDescent="0.25">
      <c r="I60" s="99"/>
      <c r="J60" s="99"/>
      <c r="K60" s="25" t="s">
        <v>136</v>
      </c>
      <c r="L60" s="25" t="s">
        <v>137</v>
      </c>
    </row>
    <row r="61" spans="5:33" x14ac:dyDescent="0.25">
      <c r="I61" s="99" t="s">
        <v>135</v>
      </c>
      <c r="J61" s="25" t="s">
        <v>138</v>
      </c>
      <c r="K61" s="36">
        <v>0.50348324702996095</v>
      </c>
      <c r="L61" s="36">
        <v>0.23290082798647399</v>
      </c>
    </row>
    <row r="62" spans="5:33" x14ac:dyDescent="0.25">
      <c r="I62" s="99"/>
      <c r="J62" s="25" t="s">
        <v>139</v>
      </c>
      <c r="K62" s="36">
        <v>0.54629329253909098</v>
      </c>
      <c r="L62" s="36">
        <v>0.26369148605036502</v>
      </c>
    </row>
    <row r="63" spans="5:33" x14ac:dyDescent="0.25">
      <c r="I63" s="99" t="s">
        <v>131</v>
      </c>
      <c r="J63" s="25" t="s">
        <v>138</v>
      </c>
      <c r="K63" s="36">
        <v>0.61091126445657895</v>
      </c>
      <c r="L63" s="36">
        <v>0.33921565882342503</v>
      </c>
    </row>
    <row r="64" spans="5:33" x14ac:dyDescent="0.25">
      <c r="I64" s="99"/>
      <c r="J64" s="25" t="s">
        <v>139</v>
      </c>
      <c r="K64" s="36">
        <v>0.67835936011659204</v>
      </c>
      <c r="L64" s="36">
        <v>0.428414779311724</v>
      </c>
    </row>
    <row r="65" spans="9:12" x14ac:dyDescent="0.25">
      <c r="I65" s="99" t="s">
        <v>132</v>
      </c>
      <c r="J65" s="25" t="s">
        <v>138</v>
      </c>
      <c r="K65" s="36">
        <v>0.71717991336111298</v>
      </c>
      <c r="L65" s="36">
        <v>0.452706543877269</v>
      </c>
    </row>
    <row r="66" spans="9:12" x14ac:dyDescent="0.25">
      <c r="I66" s="99"/>
      <c r="J66" s="25" t="s">
        <v>139</v>
      </c>
      <c r="K66" s="36">
        <v>0.79041221259829997</v>
      </c>
      <c r="L66" s="36">
        <v>0.58982992822323399</v>
      </c>
    </row>
    <row r="67" spans="9:12" x14ac:dyDescent="0.25">
      <c r="I67" s="99" t="s">
        <v>133</v>
      </c>
      <c r="J67" s="25" t="s">
        <v>138</v>
      </c>
      <c r="K67" s="36">
        <v>0.82132251370564202</v>
      </c>
      <c r="L67" s="36">
        <v>0.57970281553208103</v>
      </c>
    </row>
    <row r="68" spans="9:12" x14ac:dyDescent="0.25">
      <c r="I68" s="99"/>
      <c r="J68" s="25" t="s">
        <v>139</v>
      </c>
      <c r="K68" s="36">
        <v>0.88312021272233399</v>
      </c>
      <c r="L68" s="36">
        <v>0.72907938208082101</v>
      </c>
    </row>
    <row r="69" spans="9:12" x14ac:dyDescent="0.25">
      <c r="I69" s="99" t="s">
        <v>134</v>
      </c>
      <c r="J69" s="25" t="s">
        <v>138</v>
      </c>
      <c r="K69" s="36">
        <v>0.89710520243980096</v>
      </c>
      <c r="L69" s="36">
        <v>0.75874249158949603</v>
      </c>
    </row>
    <row r="70" spans="9:12" x14ac:dyDescent="0.25">
      <c r="I70" s="99"/>
      <c r="J70" s="25" t="s">
        <v>139</v>
      </c>
      <c r="K70" s="36">
        <v>1</v>
      </c>
      <c r="L70" s="36">
        <v>0.87291671489763101</v>
      </c>
    </row>
  </sheetData>
  <mergeCells count="17">
    <mergeCell ref="B13:B14"/>
    <mergeCell ref="B11:B12"/>
    <mergeCell ref="B9:B10"/>
    <mergeCell ref="B7:B8"/>
    <mergeCell ref="B5:B6"/>
    <mergeCell ref="I67:I68"/>
    <mergeCell ref="I69:I70"/>
    <mergeCell ref="E45:E46"/>
    <mergeCell ref="E47:E48"/>
    <mergeCell ref="E49:E50"/>
    <mergeCell ref="E51:E52"/>
    <mergeCell ref="E53:E54"/>
    <mergeCell ref="K59:L59"/>
    <mergeCell ref="I59:J60"/>
    <mergeCell ref="I61:I62"/>
    <mergeCell ref="I63:I64"/>
    <mergeCell ref="I65:I6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1B450-16D2-4789-ABB9-2C8246930002}">
  <dimension ref="B2:AY80"/>
  <sheetViews>
    <sheetView topLeftCell="J1" zoomScale="145" zoomScaleNormal="145" workbookViewId="0">
      <selection activeCell="U5" sqref="U5:U9"/>
    </sheetView>
  </sheetViews>
  <sheetFormatPr defaultRowHeight="15" x14ac:dyDescent="0.25"/>
  <cols>
    <col min="3" max="3" width="14.140625" customWidth="1"/>
    <col min="5" max="5" width="11.140625" bestFit="1" customWidth="1"/>
    <col min="6" max="6" width="19.5703125" bestFit="1" customWidth="1"/>
    <col min="7" max="7" width="15" bestFit="1" customWidth="1"/>
    <col min="15" max="15" width="9.140625" customWidth="1"/>
    <col min="16" max="16" width="31.5703125" bestFit="1" customWidth="1"/>
    <col min="17" max="17" width="20" bestFit="1" customWidth="1"/>
    <col min="18" max="18" width="2" bestFit="1" customWidth="1"/>
    <col min="19" max="19" width="7.85546875" customWidth="1"/>
    <col min="23" max="24" width="15.28515625" style="23" bestFit="1" customWidth="1"/>
    <col min="26" max="27" width="11.5703125" bestFit="1" customWidth="1"/>
    <col min="31" max="31" width="31.5703125" style="6" bestFit="1" customWidth="1"/>
    <col min="32" max="32" width="20" bestFit="1" customWidth="1"/>
    <col min="33" max="33" width="19.85546875" customWidth="1"/>
    <col min="34" max="34" width="10.7109375" bestFit="1" customWidth="1"/>
    <col min="35" max="35" width="11.7109375" bestFit="1" customWidth="1"/>
    <col min="36" max="36" width="10.7109375" bestFit="1" customWidth="1"/>
    <col min="37" max="37" width="11.7109375" bestFit="1" customWidth="1"/>
    <col min="40" max="41" width="31.85546875" bestFit="1" customWidth="1"/>
    <col min="42" max="42" width="31" bestFit="1" customWidth="1"/>
    <col min="43" max="43" width="10.7109375" bestFit="1" customWidth="1"/>
    <col min="44" max="44" width="11.7109375" bestFit="1" customWidth="1"/>
    <col min="45" max="45" width="10.7109375" bestFit="1" customWidth="1"/>
    <col min="46" max="46" width="11.7109375" bestFit="1" customWidth="1"/>
    <col min="47" max="51" width="21.140625" customWidth="1"/>
  </cols>
  <sheetData>
    <row r="2" spans="2:51" x14ac:dyDescent="0.25">
      <c r="P2">
        <v>365</v>
      </c>
      <c r="AP2" s="98" t="s">
        <v>144</v>
      </c>
      <c r="AQ2" s="98"/>
      <c r="AR2" s="98"/>
      <c r="AS2" s="98"/>
      <c r="AT2" s="98"/>
      <c r="AU2" s="98" t="s">
        <v>192</v>
      </c>
      <c r="AV2" s="98"/>
      <c r="AW2" s="98"/>
      <c r="AX2" s="98"/>
      <c r="AY2" s="98"/>
    </row>
    <row r="3" spans="2:51" ht="15" customHeight="1" x14ac:dyDescent="0.25">
      <c r="B3" s="107" t="s">
        <v>142</v>
      </c>
      <c r="C3" s="107"/>
      <c r="D3" s="107"/>
      <c r="E3" s="107"/>
      <c r="F3" s="38">
        <v>1</v>
      </c>
      <c r="G3" s="38"/>
      <c r="H3" s="38"/>
      <c r="I3" s="38"/>
      <c r="J3" s="38"/>
      <c r="AE3" s="105"/>
      <c r="AF3" s="106"/>
      <c r="AG3" s="103" t="s">
        <v>155</v>
      </c>
      <c r="AH3" s="107" t="s">
        <v>153</v>
      </c>
      <c r="AI3" s="107"/>
      <c r="AJ3" s="107" t="s">
        <v>154</v>
      </c>
      <c r="AK3" s="107"/>
      <c r="AO3" s="109" t="s">
        <v>156</v>
      </c>
      <c r="AP3" s="108" t="s">
        <v>155</v>
      </c>
      <c r="AQ3" s="98" t="s">
        <v>153</v>
      </c>
      <c r="AR3" s="98"/>
      <c r="AS3" s="98" t="s">
        <v>154</v>
      </c>
      <c r="AT3" s="98"/>
      <c r="AU3" s="108" t="s">
        <v>155</v>
      </c>
      <c r="AV3" s="98" t="s">
        <v>153</v>
      </c>
      <c r="AW3" s="98"/>
      <c r="AX3" s="98" t="s">
        <v>154</v>
      </c>
      <c r="AY3" s="98"/>
    </row>
    <row r="4" spans="2:51" ht="15" customHeight="1" x14ac:dyDescent="0.25">
      <c r="B4" s="107" t="s">
        <v>143</v>
      </c>
      <c r="C4" s="107"/>
      <c r="D4" s="38">
        <v>1</v>
      </c>
      <c r="E4" s="38">
        <v>2</v>
      </c>
      <c r="F4" s="38">
        <v>3</v>
      </c>
      <c r="G4" s="38"/>
      <c r="H4" s="38"/>
      <c r="I4" s="38"/>
      <c r="J4" s="38"/>
      <c r="L4">
        <f>1000/800</f>
        <v>1.25</v>
      </c>
      <c r="M4">
        <f>24/2.5</f>
        <v>9.6</v>
      </c>
      <c r="P4" s="45" t="s">
        <v>142</v>
      </c>
      <c r="Q4" s="38">
        <v>1</v>
      </c>
      <c r="R4" s="46"/>
      <c r="T4" t="s">
        <v>149</v>
      </c>
      <c r="U4" t="s">
        <v>150</v>
      </c>
      <c r="W4" s="23" t="s">
        <v>149</v>
      </c>
      <c r="X4" s="23" t="s">
        <v>150</v>
      </c>
      <c r="Z4" t="s">
        <v>149</v>
      </c>
      <c r="AA4" t="s">
        <v>150</v>
      </c>
      <c r="AE4" s="105" t="s">
        <v>156</v>
      </c>
      <c r="AF4" s="106"/>
      <c r="AG4" s="104"/>
      <c r="AH4" s="38" t="s">
        <v>151</v>
      </c>
      <c r="AI4" s="38" t="s">
        <v>152</v>
      </c>
      <c r="AJ4" s="38" t="s">
        <v>151</v>
      </c>
      <c r="AK4" s="38" t="s">
        <v>152</v>
      </c>
      <c r="AO4" s="109"/>
      <c r="AP4" s="108"/>
      <c r="AQ4" s="25" t="s">
        <v>151</v>
      </c>
      <c r="AR4" s="25" t="s">
        <v>152</v>
      </c>
      <c r="AS4" s="25" t="s">
        <v>151</v>
      </c>
      <c r="AT4" s="25" t="s">
        <v>152</v>
      </c>
      <c r="AU4" s="108"/>
      <c r="AV4" s="25" t="s">
        <v>151</v>
      </c>
      <c r="AW4" s="25" t="s">
        <v>152</v>
      </c>
      <c r="AX4" s="25" t="s">
        <v>151</v>
      </c>
      <c r="AY4" s="25" t="s">
        <v>152</v>
      </c>
    </row>
    <row r="5" spans="2:51" ht="15" customHeight="1" x14ac:dyDescent="0.25">
      <c r="B5" s="102" t="s">
        <v>145</v>
      </c>
      <c r="C5" s="38" t="s">
        <v>135</v>
      </c>
      <c r="D5" s="39">
        <v>7175.0641639943397</v>
      </c>
      <c r="E5" s="70">
        <v>4055.7232985238602</v>
      </c>
      <c r="F5" s="70">
        <v>-7850.5454363078406</v>
      </c>
      <c r="G5" s="38"/>
      <c r="H5" s="38"/>
      <c r="I5" s="38"/>
      <c r="J5" s="38"/>
      <c r="P5" s="102" t="s">
        <v>145</v>
      </c>
      <c r="Q5" s="38" t="s">
        <v>135</v>
      </c>
      <c r="R5" s="41">
        <v>1</v>
      </c>
      <c r="S5" s="39">
        <v>7175.0637418979204</v>
      </c>
      <c r="T5">
        <v>0.50348324702996095</v>
      </c>
      <c r="U5">
        <v>0.54629329253909098</v>
      </c>
      <c r="W5" s="23">
        <f>$T5*$S5*$P$2*$N$11</f>
        <v>11867142.622522164</v>
      </c>
      <c r="X5" s="23">
        <f>$U5*$S5*$P$2*$N$11</f>
        <v>12876179.008003486</v>
      </c>
      <c r="Z5" s="23">
        <f>W5/2240</f>
        <v>5297.8315279116805</v>
      </c>
      <c r="AA5" s="23">
        <f>X5/2240</f>
        <v>5748.2942000015564</v>
      </c>
      <c r="AE5" s="102" t="s">
        <v>145</v>
      </c>
      <c r="AF5" s="38" t="s">
        <v>135</v>
      </c>
      <c r="AG5" s="41">
        <f>R5</f>
        <v>1</v>
      </c>
      <c r="AH5" s="47">
        <f>Z5</f>
        <v>5297.8315279116805</v>
      </c>
      <c r="AI5" s="47">
        <f>AA5</f>
        <v>5748.2942000015564</v>
      </c>
      <c r="AJ5" s="47">
        <f>AH5*3.16</f>
        <v>16741.14762820091</v>
      </c>
      <c r="AK5" s="47">
        <f>AI5*3.16</f>
        <v>18164.609672004921</v>
      </c>
      <c r="AL5" s="1"/>
      <c r="AN5" t="s">
        <v>145</v>
      </c>
      <c r="AO5" t="s">
        <v>135</v>
      </c>
      <c r="AP5">
        <v>1</v>
      </c>
      <c r="AQ5" s="23">
        <v>5297.8315279116805</v>
      </c>
      <c r="AR5" s="23">
        <v>5748.2942000015564</v>
      </c>
      <c r="AS5" s="23">
        <v>16741.14762820091</v>
      </c>
      <c r="AT5" s="23">
        <v>18164.609672004921</v>
      </c>
      <c r="AU5">
        <v>1</v>
      </c>
      <c r="AV5" s="23">
        <v>458.3278130763461</v>
      </c>
      <c r="AW5" s="23">
        <v>497.29839382881909</v>
      </c>
      <c r="AX5" s="23">
        <v>1448.3158893212537</v>
      </c>
      <c r="AY5" s="23">
        <v>1571.4629244990683</v>
      </c>
    </row>
    <row r="6" spans="2:51" x14ac:dyDescent="0.25">
      <c r="B6" s="102"/>
      <c r="C6" s="38" t="s">
        <v>131</v>
      </c>
      <c r="D6" s="39">
        <v>7219.6611176943798</v>
      </c>
      <c r="E6" s="70">
        <v>3520.95681886482</v>
      </c>
      <c r="F6" s="70">
        <v>-9449.5235486190595</v>
      </c>
      <c r="G6" s="38"/>
      <c r="H6" s="38"/>
      <c r="I6" s="38"/>
      <c r="J6" s="38"/>
      <c r="P6" s="102"/>
      <c r="Q6" s="38" t="s">
        <v>131</v>
      </c>
      <c r="R6" s="41">
        <v>1</v>
      </c>
      <c r="S6" s="39">
        <v>7219.6608025509904</v>
      </c>
      <c r="T6">
        <v>0.61091126445657895</v>
      </c>
      <c r="U6">
        <v>0.67835936011659204</v>
      </c>
      <c r="W6" s="23">
        <f t="shared" ref="W6:W9" si="0">$T6*$S6*$P$2*$N$11</f>
        <v>14488729.380804773</v>
      </c>
      <c r="X6" s="23">
        <f t="shared" ref="X6:X9" si="1">$U6*$S6*$P$2*$N$11</f>
        <v>16088367.924281033</v>
      </c>
      <c r="Z6" s="23">
        <f t="shared" ref="Z6:Z58" si="2">W6/2240</f>
        <v>6468.1827592878453</v>
      </c>
      <c r="AA6" s="23">
        <f t="shared" ref="AA6:AA58" si="3">X6/2240</f>
        <v>7182.3071090540325</v>
      </c>
      <c r="AE6" s="102"/>
      <c r="AF6" s="38" t="s">
        <v>131</v>
      </c>
      <c r="AG6" s="41">
        <f t="shared" ref="AG6:AG58" si="4">R6</f>
        <v>1</v>
      </c>
      <c r="AH6" s="47">
        <f t="shared" ref="AH6:AH14" si="5">Z6</f>
        <v>6468.1827592878453</v>
      </c>
      <c r="AI6" s="47">
        <f t="shared" ref="AI6:AI14" si="6">AA6</f>
        <v>7182.3071090540325</v>
      </c>
      <c r="AJ6" s="47">
        <f t="shared" ref="AJ6:AJ58" si="7">AH6*3.16</f>
        <v>20439.457519349591</v>
      </c>
      <c r="AK6" s="47">
        <f t="shared" ref="AK6:AK58" si="8">AI6*3.16</f>
        <v>22696.090464610745</v>
      </c>
      <c r="AL6" s="1"/>
      <c r="AO6" t="s">
        <v>131</v>
      </c>
      <c r="AP6">
        <v>1</v>
      </c>
      <c r="AQ6" s="23">
        <v>6468.1827592878453</v>
      </c>
      <c r="AR6" s="23">
        <v>7182.3071090540325</v>
      </c>
      <c r="AS6" s="23">
        <v>20439.457519349591</v>
      </c>
      <c r="AT6" s="23">
        <v>22696.090464610745</v>
      </c>
      <c r="AU6">
        <v>1</v>
      </c>
      <c r="AV6" s="23">
        <v>554.32652424555488</v>
      </c>
      <c r="AW6" s="23">
        <v>615.52734113907638</v>
      </c>
      <c r="AX6" s="23">
        <v>1751.6718166159535</v>
      </c>
      <c r="AY6" s="23">
        <v>1945.0663979994815</v>
      </c>
    </row>
    <row r="7" spans="2:51" x14ac:dyDescent="0.25">
      <c r="B7" s="102"/>
      <c r="C7" s="38" t="s">
        <v>132</v>
      </c>
      <c r="D7" s="39">
        <v>6991.3083025312399</v>
      </c>
      <c r="E7" s="70">
        <v>2124.6290341988401</v>
      </c>
      <c r="F7" s="70">
        <v>-12736.383529760522</v>
      </c>
      <c r="G7" s="38"/>
      <c r="H7" s="38"/>
      <c r="I7" s="38"/>
      <c r="J7" s="38"/>
      <c r="P7" s="102"/>
      <c r="Q7" s="38" t="s">
        <v>132</v>
      </c>
      <c r="R7" s="41">
        <v>1</v>
      </c>
      <c r="S7" s="39">
        <v>6991.3088581871698</v>
      </c>
      <c r="T7">
        <v>0.71717991336111298</v>
      </c>
      <c r="U7">
        <v>0.79041221259829997</v>
      </c>
      <c r="W7" s="23">
        <f t="shared" si="0"/>
        <v>16471076.333727073</v>
      </c>
      <c r="X7" s="23">
        <f t="shared" si="1"/>
        <v>18152962.243187424</v>
      </c>
      <c r="Z7" s="23">
        <f t="shared" si="2"/>
        <v>7353.1590775567292</v>
      </c>
      <c r="AA7" s="23">
        <f t="shared" si="3"/>
        <v>8104.0010014229574</v>
      </c>
      <c r="AE7" s="102"/>
      <c r="AF7" s="38" t="s">
        <v>132</v>
      </c>
      <c r="AG7" s="41">
        <f t="shared" si="4"/>
        <v>1</v>
      </c>
      <c r="AH7" s="47">
        <f t="shared" si="5"/>
        <v>7353.1590775567292</v>
      </c>
      <c r="AI7" s="47">
        <f t="shared" si="6"/>
        <v>8104.0010014229574</v>
      </c>
      <c r="AJ7" s="47">
        <f t="shared" si="7"/>
        <v>23235.982685079267</v>
      </c>
      <c r="AK7" s="47">
        <f t="shared" si="8"/>
        <v>25608.643164496545</v>
      </c>
      <c r="AL7" s="1"/>
      <c r="AO7" t="s">
        <v>132</v>
      </c>
      <c r="AP7">
        <v>1</v>
      </c>
      <c r="AQ7" s="23">
        <v>7353.1590775567292</v>
      </c>
      <c r="AR7" s="23">
        <v>8104.0010014229574</v>
      </c>
      <c r="AS7" s="23">
        <v>23235.982685079267</v>
      </c>
      <c r="AT7" s="23">
        <v>25608.643164496545</v>
      </c>
      <c r="AU7">
        <v>1</v>
      </c>
      <c r="AV7" s="23">
        <v>315.39576371845124</v>
      </c>
      <c r="AW7" s="23">
        <v>347.60129055553773</v>
      </c>
      <c r="AX7" s="23">
        <v>996.650613350306</v>
      </c>
      <c r="AY7" s="23">
        <v>1098.4200781554994</v>
      </c>
    </row>
    <row r="8" spans="2:51" x14ac:dyDescent="0.25">
      <c r="B8" s="102"/>
      <c r="C8" s="38" t="s">
        <v>133</v>
      </c>
      <c r="D8" s="39">
        <v>6498.1471802154301</v>
      </c>
      <c r="E8" s="70">
        <v>-184.77497264521659</v>
      </c>
      <c r="F8" s="70">
        <v>-17864.65483360743</v>
      </c>
      <c r="G8" s="38"/>
      <c r="H8" s="38"/>
      <c r="I8" s="38"/>
      <c r="J8" s="38"/>
      <c r="L8">
        <f>2000/800</f>
        <v>2.5</v>
      </c>
      <c r="M8">
        <f>24/(2.5+1.25)</f>
        <v>6.4</v>
      </c>
      <c r="P8" s="102"/>
      <c r="Q8" s="38" t="s">
        <v>133</v>
      </c>
      <c r="R8" s="41">
        <v>1</v>
      </c>
      <c r="S8" s="39">
        <v>6498.1477689011499</v>
      </c>
      <c r="T8">
        <v>0.82132251370564202</v>
      </c>
      <c r="U8">
        <v>0.88312021272233399</v>
      </c>
      <c r="W8" s="23">
        <f t="shared" si="0"/>
        <v>17532291.572049417</v>
      </c>
      <c r="X8" s="23">
        <f t="shared" si="1"/>
        <v>18851450.927311774</v>
      </c>
      <c r="Z8" s="23">
        <f>W8/2240</f>
        <v>7826.9158803792043</v>
      </c>
      <c r="AA8" s="23">
        <f t="shared" si="3"/>
        <v>8415.8263068356137</v>
      </c>
      <c r="AE8" s="102"/>
      <c r="AF8" s="38" t="s">
        <v>133</v>
      </c>
      <c r="AG8" s="41">
        <f t="shared" si="4"/>
        <v>1</v>
      </c>
      <c r="AH8" s="47">
        <f t="shared" si="5"/>
        <v>7826.9158803792043</v>
      </c>
      <c r="AI8" s="47">
        <f t="shared" si="6"/>
        <v>8415.8263068356137</v>
      </c>
      <c r="AJ8" s="47">
        <f t="shared" si="7"/>
        <v>24733.054181998286</v>
      </c>
      <c r="AK8" s="47">
        <f t="shared" si="8"/>
        <v>26594.011129600542</v>
      </c>
      <c r="AL8" s="1"/>
      <c r="AO8" t="s">
        <v>133</v>
      </c>
      <c r="AP8">
        <v>1</v>
      </c>
      <c r="AQ8" s="23">
        <v>7826.9158803792043</v>
      </c>
      <c r="AR8" s="23">
        <v>8415.8263068356137</v>
      </c>
      <c r="AS8" s="23">
        <v>24733.054181998286</v>
      </c>
      <c r="AT8" s="23">
        <v>26594.011129600542</v>
      </c>
      <c r="AU8">
        <v>1</v>
      </c>
      <c r="AV8" s="23">
        <v>-360.54890251133577</v>
      </c>
      <c r="AW8" s="23">
        <v>-387.67721348100144</v>
      </c>
      <c r="AX8" s="23">
        <v>-1139.3345319358211</v>
      </c>
      <c r="AY8" s="23">
        <v>-1225.0599945999645</v>
      </c>
    </row>
    <row r="9" spans="2:51" x14ac:dyDescent="0.25">
      <c r="B9" s="102"/>
      <c r="C9" s="38" t="s">
        <v>134</v>
      </c>
      <c r="D9" s="39">
        <v>5528.5598283187701</v>
      </c>
      <c r="E9" s="70">
        <v>-4694.22064644494</v>
      </c>
      <c r="F9" s="70">
        <v>-27815.187937663046</v>
      </c>
      <c r="G9" s="38"/>
      <c r="H9" s="38"/>
      <c r="I9" s="38"/>
      <c r="J9" s="38"/>
      <c r="K9">
        <f>D9/D5</f>
        <v>0.77052409594634697</v>
      </c>
      <c r="P9" s="102"/>
      <c r="Q9" s="38" t="s">
        <v>134</v>
      </c>
      <c r="R9" s="41">
        <v>1</v>
      </c>
      <c r="S9" s="39">
        <v>5528.5598283187701</v>
      </c>
      <c r="T9">
        <v>0.89710520243980096</v>
      </c>
      <c r="U9">
        <v>1</v>
      </c>
      <c r="W9" s="23">
        <f t="shared" si="0"/>
        <v>16292613.790388955</v>
      </c>
      <c r="X9" s="23">
        <f t="shared" si="1"/>
        <v>18161319.03602716</v>
      </c>
      <c r="Z9" s="23">
        <f t="shared" si="2"/>
        <v>7273.4882992807834</v>
      </c>
      <c r="AA9" s="23">
        <f t="shared" si="3"/>
        <v>8107.7317125121244</v>
      </c>
      <c r="AE9" s="102"/>
      <c r="AF9" s="38" t="s">
        <v>134</v>
      </c>
      <c r="AG9" s="41">
        <f t="shared" si="4"/>
        <v>1</v>
      </c>
      <c r="AH9" s="47">
        <f t="shared" si="5"/>
        <v>7273.4882992807834</v>
      </c>
      <c r="AI9" s="47">
        <f t="shared" si="6"/>
        <v>8107.7317125121244</v>
      </c>
      <c r="AJ9" s="47">
        <f t="shared" si="7"/>
        <v>22984.223025727275</v>
      </c>
      <c r="AK9" s="47">
        <f t="shared" si="8"/>
        <v>25620.432211538315</v>
      </c>
      <c r="AL9" s="1"/>
      <c r="AO9" t="s">
        <v>134</v>
      </c>
      <c r="AP9">
        <v>1</v>
      </c>
      <c r="AQ9" s="23">
        <v>7273.4882992807834</v>
      </c>
      <c r="AR9" s="23">
        <v>8107.7317125121244</v>
      </c>
      <c r="AS9" s="23">
        <v>22984.223025727275</v>
      </c>
      <c r="AT9" s="23">
        <v>25620.432211538315</v>
      </c>
      <c r="AU9">
        <v>1</v>
      </c>
      <c r="AV9" s="23">
        <v>-1772.7803366672899</v>
      </c>
      <c r="AW9" s="23">
        <v>-1976.1119786686893</v>
      </c>
      <c r="AX9" s="23">
        <v>-5601.9858638686364</v>
      </c>
      <c r="AY9" s="23">
        <v>-6244.5138525930588</v>
      </c>
    </row>
    <row r="10" spans="2:51" ht="15" customHeight="1" x14ac:dyDescent="0.25">
      <c r="B10" s="102" t="s">
        <v>146</v>
      </c>
      <c r="C10" s="38" t="s">
        <v>135</v>
      </c>
      <c r="D10" s="41">
        <v>931.09806651878205</v>
      </c>
      <c r="E10" s="70">
        <v>-6684.7309222931599</v>
      </c>
      <c r="F10" s="70">
        <v>-21707.069500979098</v>
      </c>
      <c r="G10" s="38"/>
      <c r="H10" s="38"/>
      <c r="I10" s="38"/>
      <c r="J10" s="38"/>
      <c r="P10" s="102" t="s">
        <v>146</v>
      </c>
      <c r="Q10" s="38" t="s">
        <v>135</v>
      </c>
      <c r="R10" s="40">
        <v>1</v>
      </c>
      <c r="S10" s="41">
        <v>931.09735261921696</v>
      </c>
      <c r="T10">
        <v>0.50348324702996095</v>
      </c>
      <c r="U10">
        <v>0.54629329253909098</v>
      </c>
      <c r="W10" s="23">
        <f>$S10*$T10*$P$2*$N$12</f>
        <v>1026654.3012910152</v>
      </c>
      <c r="X10" s="23">
        <f>$S10*$U10*$P$2*$N$12</f>
        <v>1113948.4021765548</v>
      </c>
      <c r="Z10" s="23">
        <f t="shared" si="2"/>
        <v>458.3278130763461</v>
      </c>
      <c r="AA10" s="23">
        <f t="shared" si="3"/>
        <v>497.29839382881909</v>
      </c>
      <c r="AE10" s="102" t="s">
        <v>146</v>
      </c>
      <c r="AF10" s="38" t="s">
        <v>135</v>
      </c>
      <c r="AG10" s="41">
        <f t="shared" si="4"/>
        <v>1</v>
      </c>
      <c r="AH10" s="47">
        <f t="shared" si="5"/>
        <v>458.3278130763461</v>
      </c>
      <c r="AI10" s="47">
        <f t="shared" si="6"/>
        <v>497.29839382881909</v>
      </c>
      <c r="AJ10" s="47">
        <f t="shared" si="7"/>
        <v>1448.3158893212537</v>
      </c>
      <c r="AK10" s="47">
        <f t="shared" si="8"/>
        <v>1571.4629244990683</v>
      </c>
      <c r="AL10" s="1"/>
      <c r="AO10" t="s">
        <v>157</v>
      </c>
      <c r="AQ10" s="23"/>
      <c r="AR10" s="23"/>
      <c r="AS10" s="23"/>
      <c r="AT10" s="23"/>
    </row>
    <row r="11" spans="2:51" ht="15" customHeight="1" x14ac:dyDescent="0.25">
      <c r="B11" s="102"/>
      <c r="C11" s="38" t="s">
        <v>131</v>
      </c>
      <c r="D11" s="41">
        <v>928.09339223310997</v>
      </c>
      <c r="E11" s="70">
        <v>-7246.9814515380804</v>
      </c>
      <c r="F11" s="70">
        <v>-23271.68591514045</v>
      </c>
      <c r="G11" s="38"/>
      <c r="H11" s="38"/>
      <c r="I11" s="38"/>
      <c r="J11" s="38"/>
      <c r="M11" t="s">
        <v>147</v>
      </c>
      <c r="N11">
        <v>9</v>
      </c>
      <c r="P11" s="102"/>
      <c r="Q11" s="38" t="s">
        <v>131</v>
      </c>
      <c r="R11" s="40">
        <v>1</v>
      </c>
      <c r="S11" s="41">
        <v>928.09285726272401</v>
      </c>
      <c r="T11">
        <v>0.61091126445657895</v>
      </c>
      <c r="U11">
        <v>0.67835936011659204</v>
      </c>
      <c r="W11" s="23">
        <f t="shared" ref="W11:W14" si="9">$S11*$T11*$P$2*$N$12</f>
        <v>1241691.414310043</v>
      </c>
      <c r="X11" s="23">
        <f t="shared" ref="X11:X14" si="10">$S11*$U11*$P$2*$N$12</f>
        <v>1378781.244151531</v>
      </c>
      <c r="Z11" s="23">
        <f t="shared" si="2"/>
        <v>554.32652424555488</v>
      </c>
      <c r="AA11" s="23">
        <f t="shared" si="3"/>
        <v>615.52734113907638</v>
      </c>
      <c r="AE11" s="102"/>
      <c r="AF11" s="38" t="s">
        <v>131</v>
      </c>
      <c r="AG11" s="41">
        <f t="shared" si="4"/>
        <v>1</v>
      </c>
      <c r="AH11" s="47">
        <f t="shared" si="5"/>
        <v>554.32652424555488</v>
      </c>
      <c r="AI11" s="47">
        <f t="shared" si="6"/>
        <v>615.52734113907638</v>
      </c>
      <c r="AJ11" s="47">
        <f t="shared" si="7"/>
        <v>1751.6718166159535</v>
      </c>
      <c r="AK11" s="47">
        <f t="shared" si="8"/>
        <v>1945.0663979994815</v>
      </c>
      <c r="AL11" s="1"/>
      <c r="AO11" t="s">
        <v>135</v>
      </c>
      <c r="AP11">
        <v>3</v>
      </c>
      <c r="AQ11" s="23">
        <v>15033.268964541154</v>
      </c>
      <c r="AR11" s="23">
        <v>16311.513935589222</v>
      </c>
      <c r="AS11" s="23">
        <v>47505.129927950045</v>
      </c>
      <c r="AT11" s="23">
        <v>51544.384036461946</v>
      </c>
      <c r="AU11">
        <v>2</v>
      </c>
      <c r="AV11" s="23">
        <v>2893.3059217542541</v>
      </c>
      <c r="AW11" s="23">
        <v>3139.3172019960457</v>
      </c>
      <c r="AX11" s="23">
        <v>9142.8467127434433</v>
      </c>
      <c r="AY11" s="23">
        <v>9920.2423583075051</v>
      </c>
    </row>
    <row r="12" spans="2:51" x14ac:dyDescent="0.25">
      <c r="B12" s="102"/>
      <c r="C12" s="38" t="s">
        <v>132</v>
      </c>
      <c r="D12" s="41">
        <v>449.81167787457503</v>
      </c>
      <c r="E12" s="70">
        <v>-8991.3183373130396</v>
      </c>
      <c r="F12" s="70">
        <v>-26903.661461429248</v>
      </c>
      <c r="G12" s="38"/>
      <c r="H12" s="38"/>
      <c r="I12" s="38"/>
      <c r="J12" s="38"/>
      <c r="M12" t="s">
        <v>148</v>
      </c>
      <c r="N12">
        <v>6</v>
      </c>
      <c r="P12" s="102"/>
      <c r="Q12" s="38" t="s">
        <v>132</v>
      </c>
      <c r="R12" s="40">
        <v>1</v>
      </c>
      <c r="S12" s="41">
        <v>449.81262613704899</v>
      </c>
      <c r="T12">
        <v>0.71717991336111298</v>
      </c>
      <c r="U12">
        <v>0.79041221259829997</v>
      </c>
      <c r="W12" s="23">
        <f t="shared" si="9"/>
        <v>706486.51072933071</v>
      </c>
      <c r="X12" s="23">
        <f t="shared" si="10"/>
        <v>778626.89084440446</v>
      </c>
      <c r="Z12" s="23">
        <f t="shared" si="2"/>
        <v>315.39576371845124</v>
      </c>
      <c r="AA12" s="23">
        <f t="shared" si="3"/>
        <v>347.60129055553773</v>
      </c>
      <c r="AE12" s="102"/>
      <c r="AF12" s="38" t="s">
        <v>132</v>
      </c>
      <c r="AG12" s="41">
        <f t="shared" si="4"/>
        <v>1</v>
      </c>
      <c r="AH12" s="47">
        <f t="shared" si="5"/>
        <v>315.39576371845124</v>
      </c>
      <c r="AI12" s="47">
        <f t="shared" si="6"/>
        <v>347.60129055553773</v>
      </c>
      <c r="AJ12" s="47">
        <f t="shared" si="7"/>
        <v>996.650613350306</v>
      </c>
      <c r="AK12" s="47">
        <f t="shared" si="8"/>
        <v>1098.4200781554994</v>
      </c>
      <c r="AL12" s="1"/>
      <c r="AO12" t="s">
        <v>131</v>
      </c>
      <c r="AP12">
        <v>3</v>
      </c>
      <c r="AQ12" s="23">
        <v>18285.373118864645</v>
      </c>
      <c r="AR12" s="23">
        <v>20304.182833230087</v>
      </c>
      <c r="AS12" s="23">
        <v>57781.779055612278</v>
      </c>
      <c r="AT12" s="23">
        <v>64161.217753007077</v>
      </c>
      <c r="AU12">
        <v>2</v>
      </c>
      <c r="AV12" s="23">
        <v>3669.5304128095395</v>
      </c>
      <c r="AW12" s="23">
        <v>4074.6675459915</v>
      </c>
      <c r="AX12" s="23">
        <v>11595.716104478146</v>
      </c>
      <c r="AY12" s="23">
        <v>12875.949445333141</v>
      </c>
    </row>
    <row r="13" spans="2:51" x14ac:dyDescent="0.25">
      <c r="B13" s="102"/>
      <c r="C13" s="38" t="s">
        <v>133</v>
      </c>
      <c r="D13" s="41">
        <v>-449.00928030771303</v>
      </c>
      <c r="E13" s="70">
        <v>-11877.325100825519</v>
      </c>
      <c r="F13" s="70">
        <v>-32624.5531771182</v>
      </c>
      <c r="G13" s="38"/>
      <c r="H13" s="38"/>
      <c r="I13" s="38"/>
      <c r="J13" s="38"/>
      <c r="P13" s="102"/>
      <c r="Q13" s="38" t="s">
        <v>133</v>
      </c>
      <c r="R13" s="40">
        <v>1</v>
      </c>
      <c r="S13" s="41">
        <v>-449.00828415194701</v>
      </c>
      <c r="T13">
        <v>0.82132251370564202</v>
      </c>
      <c r="U13">
        <v>0.88312021272233399</v>
      </c>
      <c r="W13" s="23">
        <f t="shared" si="9"/>
        <v>-807629.54162539216</v>
      </c>
      <c r="X13" s="23">
        <f t="shared" si="10"/>
        <v>-868396.95819744328</v>
      </c>
      <c r="Z13" s="23">
        <f t="shared" si="2"/>
        <v>-360.54890251133577</v>
      </c>
      <c r="AA13" s="23">
        <f t="shared" si="3"/>
        <v>-387.67721348100144</v>
      </c>
      <c r="AE13" s="102"/>
      <c r="AF13" s="38" t="s">
        <v>133</v>
      </c>
      <c r="AG13" s="41">
        <f t="shared" si="4"/>
        <v>1</v>
      </c>
      <c r="AH13" s="47">
        <f t="shared" si="5"/>
        <v>-360.54890251133577</v>
      </c>
      <c r="AI13" s="47">
        <f>AA13</f>
        <v>-387.67721348100144</v>
      </c>
      <c r="AJ13" s="47">
        <f t="shared" si="7"/>
        <v>-1139.3345319358211</v>
      </c>
      <c r="AK13" s="47">
        <f t="shared" si="8"/>
        <v>-1225.0599945999645</v>
      </c>
      <c r="AL13" s="1"/>
      <c r="AO13" t="s">
        <v>132</v>
      </c>
      <c r="AP13">
        <v>2</v>
      </c>
      <c r="AQ13" s="23">
        <v>20637.38609369499</v>
      </c>
      <c r="AR13" s="23">
        <v>22744.700040629046</v>
      </c>
      <c r="AS13" s="23">
        <v>65214.140056076169</v>
      </c>
      <c r="AT13" s="23">
        <v>71873.252128387787</v>
      </c>
      <c r="AU13">
        <v>1</v>
      </c>
      <c r="AV13" s="23">
        <v>3956.1786901867731</v>
      </c>
      <c r="AW13" s="23">
        <v>4360.1499340518549</v>
      </c>
      <c r="AX13" s="23">
        <v>12501.524660990204</v>
      </c>
      <c r="AY13" s="23">
        <v>13778.073791603862</v>
      </c>
    </row>
    <row r="14" spans="2:51" x14ac:dyDescent="0.25">
      <c r="B14" s="102"/>
      <c r="C14" s="38" t="s">
        <v>134</v>
      </c>
      <c r="D14" s="41">
        <v>-2021.2286905104399</v>
      </c>
      <c r="E14" s="70">
        <v>-17177.434630479602</v>
      </c>
      <c r="F14" s="70">
        <v>-43295.952405572098</v>
      </c>
      <c r="G14" s="38"/>
      <c r="H14" s="38"/>
      <c r="I14" s="38"/>
      <c r="J14" s="38"/>
      <c r="P14" s="102"/>
      <c r="Q14" s="38" t="s">
        <v>134</v>
      </c>
      <c r="R14" s="40">
        <v>1</v>
      </c>
      <c r="S14" s="41">
        <v>-2021.2286905104399</v>
      </c>
      <c r="T14">
        <v>0.89710520243980096</v>
      </c>
      <c r="U14">
        <v>1</v>
      </c>
      <c r="W14" s="23">
        <f t="shared" si="9"/>
        <v>-3971027.9541347297</v>
      </c>
      <c r="X14" s="23">
        <f t="shared" si="10"/>
        <v>-4426490.8322178638</v>
      </c>
      <c r="Z14" s="23">
        <f t="shared" si="2"/>
        <v>-1772.7803366672899</v>
      </c>
      <c r="AA14" s="23">
        <f t="shared" si="3"/>
        <v>-1976.1119786686893</v>
      </c>
      <c r="AE14" s="102"/>
      <c r="AF14" s="38" t="s">
        <v>134</v>
      </c>
      <c r="AG14" s="41">
        <f t="shared" si="4"/>
        <v>1</v>
      </c>
      <c r="AH14" s="47">
        <f t="shared" si="5"/>
        <v>-1772.7803366672899</v>
      </c>
      <c r="AI14" s="47">
        <f t="shared" si="6"/>
        <v>-1976.1119786686893</v>
      </c>
      <c r="AJ14" s="47">
        <f t="shared" si="7"/>
        <v>-5601.9858638686364</v>
      </c>
      <c r="AK14" s="47">
        <f t="shared" si="8"/>
        <v>-6244.5138525930588</v>
      </c>
      <c r="AL14" s="1"/>
      <c r="AO14" t="s">
        <v>133</v>
      </c>
      <c r="AP14">
        <v>2</v>
      </c>
      <c r="AQ14" s="23">
        <v>23210.195766133776</v>
      </c>
      <c r="AR14" s="23">
        <v>24956.570263531386</v>
      </c>
      <c r="AS14" s="23">
        <v>73344.218620982734</v>
      </c>
      <c r="AT14" s="23">
        <v>78862.762032759187</v>
      </c>
      <c r="AU14">
        <v>1</v>
      </c>
      <c r="AV14" s="23">
        <v>4291.3995054397446</v>
      </c>
      <c r="AW14" s="23">
        <v>4614.2916830826334</v>
      </c>
      <c r="AX14" s="23">
        <v>13560.822437189594</v>
      </c>
      <c r="AY14" s="23">
        <v>14581.161718541121</v>
      </c>
    </row>
    <row r="15" spans="2:51" ht="15" customHeight="1" x14ac:dyDescent="0.25">
      <c r="B15" s="107" t="s">
        <v>142</v>
      </c>
      <c r="C15" s="107"/>
      <c r="D15" s="107"/>
      <c r="E15" s="107"/>
      <c r="F15" s="38">
        <v>2</v>
      </c>
      <c r="G15" s="38"/>
      <c r="H15" s="38"/>
      <c r="I15" s="38"/>
      <c r="J15" s="38"/>
      <c r="P15" s="45" t="s">
        <v>142</v>
      </c>
      <c r="Q15" s="38">
        <v>2</v>
      </c>
      <c r="R15" s="46"/>
      <c r="S15" s="38"/>
      <c r="Z15" s="23"/>
      <c r="AA15" s="23"/>
      <c r="AE15" s="105" t="s">
        <v>157</v>
      </c>
      <c r="AF15" s="106"/>
      <c r="AG15" s="41"/>
      <c r="AH15" s="47"/>
      <c r="AI15" s="47"/>
      <c r="AJ15" s="47"/>
      <c r="AK15" s="47"/>
      <c r="AL15" s="1"/>
      <c r="AO15" t="s">
        <v>134</v>
      </c>
      <c r="AP15">
        <v>2</v>
      </c>
      <c r="AQ15" s="23">
        <v>24425.219323438752</v>
      </c>
      <c r="AR15" s="23">
        <v>27226.705694060194</v>
      </c>
      <c r="AS15" s="23">
        <v>77183.693062066464</v>
      </c>
      <c r="AT15" s="23">
        <v>86036.389993230216</v>
      </c>
      <c r="AU15">
        <v>1</v>
      </c>
      <c r="AV15" s="23">
        <v>4365.1019844347738</v>
      </c>
      <c r="AW15" s="23">
        <v>4865.763761667281</v>
      </c>
      <c r="AX15" s="23">
        <v>13793.722270813885</v>
      </c>
      <c r="AY15" s="23">
        <v>15375.813486868608</v>
      </c>
    </row>
    <row r="16" spans="2:51" ht="15" customHeight="1" x14ac:dyDescent="0.25">
      <c r="B16" s="107" t="s">
        <v>143</v>
      </c>
      <c r="C16" s="107"/>
      <c r="D16" s="38">
        <v>1</v>
      </c>
      <c r="E16" s="38">
        <v>2</v>
      </c>
      <c r="F16" s="38">
        <v>3</v>
      </c>
      <c r="G16" s="38">
        <v>4</v>
      </c>
      <c r="H16" s="38">
        <v>5</v>
      </c>
      <c r="I16" s="38"/>
      <c r="J16" s="38"/>
      <c r="P16" s="102" t="s">
        <v>145</v>
      </c>
      <c r="Q16" s="38" t="s">
        <v>135</v>
      </c>
      <c r="R16" s="40">
        <v>3</v>
      </c>
      <c r="S16" s="41">
        <v>20360.15348947818</v>
      </c>
      <c r="T16">
        <v>0.50348324702996095</v>
      </c>
      <c r="U16">
        <v>0.54629329253909098</v>
      </c>
      <c r="W16" s="23">
        <f>$T16*$S16*$P$2*$N$11</f>
        <v>33674522.480572186</v>
      </c>
      <c r="X16" s="23">
        <f>$U16*$S16*$P$2*$N$11</f>
        <v>36537791.215719856</v>
      </c>
      <c r="Z16" s="23">
        <f t="shared" si="2"/>
        <v>15033.268964541154</v>
      </c>
      <c r="AA16" s="23">
        <f t="shared" si="3"/>
        <v>16311.513935589222</v>
      </c>
      <c r="AE16" s="102" t="s">
        <v>145</v>
      </c>
      <c r="AF16" s="38" t="s">
        <v>135</v>
      </c>
      <c r="AG16" s="41">
        <f t="shared" si="4"/>
        <v>3</v>
      </c>
      <c r="AH16" s="47">
        <f t="shared" ref="AH16:AH25" si="11">Z16</f>
        <v>15033.268964541154</v>
      </c>
      <c r="AI16" s="47">
        <f t="shared" ref="AI16:AI25" si="12">AA16</f>
        <v>16311.513935589222</v>
      </c>
      <c r="AJ16" s="47">
        <f t="shared" si="7"/>
        <v>47505.129927950045</v>
      </c>
      <c r="AK16" s="47">
        <f t="shared" si="8"/>
        <v>51544.384036461946</v>
      </c>
      <c r="AL16" s="1"/>
      <c r="AO16" t="s">
        <v>158</v>
      </c>
    </row>
    <row r="17" spans="2:51" ht="15" customHeight="1" x14ac:dyDescent="0.25">
      <c r="B17" s="102" t="s">
        <v>145</v>
      </c>
      <c r="C17" s="38" t="s">
        <v>135</v>
      </c>
      <c r="D17" s="70">
        <v>12602.3262695384</v>
      </c>
      <c r="E17" s="69">
        <v>19232.022322823301</v>
      </c>
      <c r="F17" s="41">
        <v>20360.15475328689</v>
      </c>
      <c r="G17" s="70">
        <v>16420.6367182012</v>
      </c>
      <c r="H17" s="70">
        <v>7813.15826283555</v>
      </c>
      <c r="I17" s="38"/>
      <c r="J17" s="38"/>
      <c r="P17" s="102"/>
      <c r="Q17" s="38" t="s">
        <v>131</v>
      </c>
      <c r="R17" s="40">
        <v>3</v>
      </c>
      <c r="S17" s="41">
        <v>20409.780687894719</v>
      </c>
      <c r="T17">
        <v>0.61091126445657895</v>
      </c>
      <c r="U17">
        <v>0.67835936011659204</v>
      </c>
      <c r="W17" s="23">
        <f t="shared" ref="W17:W20" si="13">$T17*$S17*$P$2*$N$11</f>
        <v>40959235.786256805</v>
      </c>
      <c r="X17" s="23">
        <f t="shared" ref="X17:X20" si="14">$U17*$S17*$P$2*$N$11</f>
        <v>45481369.546435393</v>
      </c>
      <c r="Z17" s="23">
        <f t="shared" si="2"/>
        <v>18285.373118864645</v>
      </c>
      <c r="AA17" s="23">
        <f t="shared" si="3"/>
        <v>20304.182833230087</v>
      </c>
      <c r="AE17" s="102"/>
      <c r="AF17" s="38" t="s">
        <v>131</v>
      </c>
      <c r="AG17" s="41">
        <f t="shared" si="4"/>
        <v>3</v>
      </c>
      <c r="AH17" s="47">
        <f t="shared" si="11"/>
        <v>18285.373118864645</v>
      </c>
      <c r="AI17" s="47">
        <f t="shared" si="12"/>
        <v>20304.182833230087</v>
      </c>
      <c r="AJ17" s="47">
        <f t="shared" si="7"/>
        <v>57781.779055612278</v>
      </c>
      <c r="AK17" s="47">
        <f t="shared" si="8"/>
        <v>64161.217753007077</v>
      </c>
      <c r="AL17" s="1"/>
      <c r="AO17" t="s">
        <v>135</v>
      </c>
      <c r="AP17">
        <v>4</v>
      </c>
      <c r="AQ17" s="23">
        <v>24980.856412097692</v>
      </c>
      <c r="AR17" s="23">
        <v>27104.922319290239</v>
      </c>
      <c r="AS17" s="23">
        <v>78939.506262228708</v>
      </c>
      <c r="AT17" s="23">
        <v>85651.55452895716</v>
      </c>
      <c r="AU17">
        <v>3</v>
      </c>
      <c r="AV17" s="23">
        <v>5268.1175752524205</v>
      </c>
      <c r="AW17" s="23">
        <v>5716.0537369308704</v>
      </c>
      <c r="AX17" s="23">
        <v>16647.251537797649</v>
      </c>
      <c r="AY17" s="23">
        <v>18062.729808701552</v>
      </c>
    </row>
    <row r="18" spans="2:51" x14ac:dyDescent="0.25">
      <c r="B18" s="102"/>
      <c r="C18" s="38" t="s">
        <v>131</v>
      </c>
      <c r="D18" s="70">
        <v>12995.490577873799</v>
      </c>
      <c r="E18" s="69">
        <v>19626.005216654699</v>
      </c>
      <c r="F18" s="41">
        <v>20409.781630763879</v>
      </c>
      <c r="G18" s="70">
        <v>15822.862508088479</v>
      </c>
      <c r="H18" s="70">
        <v>6302.5310381437503</v>
      </c>
      <c r="I18" s="38"/>
      <c r="J18" s="38"/>
      <c r="P18" s="102"/>
      <c r="Q18" s="38" t="s">
        <v>132</v>
      </c>
      <c r="R18" s="40">
        <v>2</v>
      </c>
      <c r="S18" s="39">
        <v>19621.816784442519</v>
      </c>
      <c r="T18">
        <v>0.71717991336111298</v>
      </c>
      <c r="U18">
        <v>0.79041221259829997</v>
      </c>
      <c r="W18" s="23">
        <f t="shared" si="13"/>
        <v>46227744.849876776</v>
      </c>
      <c r="X18" s="23">
        <f t="shared" si="14"/>
        <v>50948128.091009066</v>
      </c>
      <c r="Z18" s="23">
        <f t="shared" si="2"/>
        <v>20637.38609369499</v>
      </c>
      <c r="AA18" s="23">
        <f t="shared" si="3"/>
        <v>22744.700040629046</v>
      </c>
      <c r="AE18" s="102"/>
      <c r="AF18" s="38" t="s">
        <v>132</v>
      </c>
      <c r="AG18" s="41">
        <f t="shared" si="4"/>
        <v>2</v>
      </c>
      <c r="AH18" s="47">
        <f t="shared" si="11"/>
        <v>20637.38609369499</v>
      </c>
      <c r="AI18" s="47">
        <f t="shared" si="12"/>
        <v>22744.700040629046</v>
      </c>
      <c r="AJ18" s="47">
        <f t="shared" si="7"/>
        <v>65214.140056076169</v>
      </c>
      <c r="AK18" s="47">
        <f t="shared" si="8"/>
        <v>71873.252128387787</v>
      </c>
      <c r="AL18" s="1"/>
      <c r="AO18" t="s">
        <v>131</v>
      </c>
      <c r="AP18">
        <v>4</v>
      </c>
      <c r="AQ18" s="23">
        <v>30760.552886577683</v>
      </c>
      <c r="AR18" s="23">
        <v>34156.693757370624</v>
      </c>
      <c r="AS18" s="23">
        <v>97203.347121585481</v>
      </c>
      <c r="AT18" s="23">
        <v>107935.15227329117</v>
      </c>
      <c r="AU18">
        <v>3</v>
      </c>
      <c r="AV18" s="23">
        <v>6717.1944296319143</v>
      </c>
      <c r="AW18" s="23">
        <v>7458.8110911936074</v>
      </c>
      <c r="AX18" s="23">
        <v>21226.334397636849</v>
      </c>
      <c r="AY18" s="23">
        <v>23569.843048171799</v>
      </c>
    </row>
    <row r="19" spans="2:51" x14ac:dyDescent="0.25">
      <c r="B19" s="102"/>
      <c r="C19" s="38" t="s">
        <v>132</v>
      </c>
      <c r="D19" s="70">
        <v>13291.126211496899</v>
      </c>
      <c r="E19" s="39">
        <v>19621.815574436179</v>
      </c>
      <c r="F19" s="70">
        <v>19584.704884047689</v>
      </c>
      <c r="G19" s="70">
        <v>13721.97169303028</v>
      </c>
      <c r="H19" s="70">
        <v>2529.630594161355</v>
      </c>
      <c r="I19" s="38"/>
      <c r="J19" s="38"/>
      <c r="P19" s="102"/>
      <c r="Q19" s="38" t="s">
        <v>133</v>
      </c>
      <c r="R19" s="40">
        <v>2</v>
      </c>
      <c r="S19" s="39">
        <v>19269.822767809521</v>
      </c>
      <c r="T19">
        <v>0.82132251370564202</v>
      </c>
      <c r="U19">
        <v>0.88312021272233399</v>
      </c>
      <c r="W19" s="23">
        <f t="shared" si="13"/>
        <v>51990838.516139656</v>
      </c>
      <c r="X19" s="23">
        <f t="shared" si="14"/>
        <v>55902717.390310302</v>
      </c>
      <c r="Z19" s="23">
        <f t="shared" si="2"/>
        <v>23210.195766133776</v>
      </c>
      <c r="AA19" s="23">
        <f t="shared" si="3"/>
        <v>24956.570263531386</v>
      </c>
      <c r="AE19" s="102"/>
      <c r="AF19" s="38" t="s">
        <v>133</v>
      </c>
      <c r="AG19" s="41">
        <f t="shared" si="4"/>
        <v>2</v>
      </c>
      <c r="AH19" s="47">
        <f t="shared" si="11"/>
        <v>23210.195766133776</v>
      </c>
      <c r="AI19" s="47">
        <f t="shared" si="12"/>
        <v>24956.570263531386</v>
      </c>
      <c r="AJ19" s="47">
        <f t="shared" si="7"/>
        <v>73344.218620982734</v>
      </c>
      <c r="AK19" s="47">
        <f t="shared" si="8"/>
        <v>78862.762032759187</v>
      </c>
      <c r="AL19" s="1"/>
      <c r="AO19" t="s">
        <v>132</v>
      </c>
      <c r="AP19">
        <v>4</v>
      </c>
      <c r="AQ19" s="23">
        <v>35632.604481613795</v>
      </c>
      <c r="AR19" s="23">
        <v>39271.10230535856</v>
      </c>
      <c r="AS19" s="23">
        <v>112599.0301618996</v>
      </c>
      <c r="AT19" s="23">
        <v>124096.68328493305</v>
      </c>
      <c r="AU19">
        <v>2</v>
      </c>
      <c r="AV19" s="23">
        <v>7650.4296561596984</v>
      </c>
      <c r="AW19" s="23">
        <v>8431.6263174650139</v>
      </c>
      <c r="AX19" s="23">
        <v>24175.357713464648</v>
      </c>
      <c r="AY19" s="23">
        <v>26643.939163189447</v>
      </c>
    </row>
    <row r="20" spans="2:51" x14ac:dyDescent="0.25">
      <c r="B20" s="102"/>
      <c r="C20" s="38" t="s">
        <v>133</v>
      </c>
      <c r="D20" s="70">
        <v>13539.363746654401</v>
      </c>
      <c r="E20" s="39">
        <v>19269.82148136996</v>
      </c>
      <c r="F20" s="70">
        <v>17895.610724091628</v>
      </c>
      <c r="G20" s="70">
        <v>10057.4581158082</v>
      </c>
      <c r="H20" s="70">
        <v>-3661.6929233312849</v>
      </c>
      <c r="I20" s="38"/>
      <c r="J20" s="38"/>
      <c r="P20" s="102"/>
      <c r="Q20" s="38" t="s">
        <v>134</v>
      </c>
      <c r="R20" s="40">
        <v>2</v>
      </c>
      <c r="S20" s="39">
        <v>18565.546652875139</v>
      </c>
      <c r="T20">
        <v>0.89710520243980096</v>
      </c>
      <c r="U20">
        <v>1</v>
      </c>
      <c r="W20" s="23">
        <f t="shared" si="13"/>
        <v>54712491.284502804</v>
      </c>
      <c r="X20" s="23">
        <f t="shared" si="14"/>
        <v>60987820.754694834</v>
      </c>
      <c r="Z20" s="23">
        <f t="shared" si="2"/>
        <v>24425.219323438752</v>
      </c>
      <c r="AA20" s="23">
        <f t="shared" si="3"/>
        <v>27226.705694060194</v>
      </c>
      <c r="AE20" s="102"/>
      <c r="AF20" s="38" t="s">
        <v>134</v>
      </c>
      <c r="AG20" s="41">
        <f t="shared" si="4"/>
        <v>2</v>
      </c>
      <c r="AH20" s="47">
        <f t="shared" si="11"/>
        <v>24425.219323438752</v>
      </c>
      <c r="AI20" s="47">
        <f t="shared" si="12"/>
        <v>27226.705694060194</v>
      </c>
      <c r="AJ20" s="47">
        <f t="shared" si="7"/>
        <v>77183.693062066464</v>
      </c>
      <c r="AK20" s="47">
        <f t="shared" si="8"/>
        <v>86036.389993230216</v>
      </c>
      <c r="AL20" s="1"/>
      <c r="AO20" t="s">
        <v>133</v>
      </c>
      <c r="AP20">
        <v>4</v>
      </c>
      <c r="AQ20" s="23">
        <v>39185.867686989914</v>
      </c>
      <c r="AR20" s="23">
        <v>42134.278836835016</v>
      </c>
      <c r="AS20" s="23">
        <v>123827.34189088813</v>
      </c>
      <c r="AT20" s="23">
        <v>133144.32112439864</v>
      </c>
      <c r="AU20">
        <v>2</v>
      </c>
      <c r="AV20" s="23">
        <v>8251.2932936369107</v>
      </c>
      <c r="AW20" s="23">
        <v>8872.1345964742159</v>
      </c>
      <c r="AX20" s="23">
        <v>26074.08680789264</v>
      </c>
      <c r="AY20" s="23">
        <v>28035.945324858523</v>
      </c>
    </row>
    <row r="21" spans="2:51" ht="15" customHeight="1" x14ac:dyDescent="0.25">
      <c r="B21" s="102"/>
      <c r="C21" s="38" t="s">
        <v>134</v>
      </c>
      <c r="D21" s="70">
        <v>14028.011894302401</v>
      </c>
      <c r="E21" s="39">
        <v>18565.546652875139</v>
      </c>
      <c r="F21" s="70">
        <v>14556.156486922981</v>
      </c>
      <c r="G21" s="70">
        <v>2849.5847545731799</v>
      </c>
      <c r="H21" s="70">
        <v>-15788.907474245299</v>
      </c>
      <c r="I21" s="38"/>
      <c r="J21" s="38"/>
      <c r="K21">
        <f>E21/E17</f>
        <v>0.96534552327566547</v>
      </c>
      <c r="P21" s="102" t="s">
        <v>146</v>
      </c>
      <c r="Q21" s="38" t="s">
        <v>135</v>
      </c>
      <c r="R21" s="42">
        <v>2</v>
      </c>
      <c r="S21" s="41">
        <v>5877.7787583537802</v>
      </c>
      <c r="T21">
        <v>0.50348324702996095</v>
      </c>
      <c r="U21">
        <v>0.54629329253909098</v>
      </c>
      <c r="W21" s="23">
        <f>$S21*$T21*$P$2*$N$12</f>
        <v>6481005.2647295287</v>
      </c>
      <c r="X21" s="23">
        <f>$S21*$U21*$P$2*$N$12</f>
        <v>7032070.5324711427</v>
      </c>
      <c r="Z21" s="23">
        <f t="shared" si="2"/>
        <v>2893.3059217542541</v>
      </c>
      <c r="AA21" s="23">
        <f t="shared" si="3"/>
        <v>3139.3172019960457</v>
      </c>
      <c r="AE21" s="102" t="s">
        <v>146</v>
      </c>
      <c r="AF21" s="38" t="s">
        <v>135</v>
      </c>
      <c r="AG21" s="41">
        <f t="shared" si="4"/>
        <v>2</v>
      </c>
      <c r="AH21" s="47">
        <f t="shared" si="11"/>
        <v>2893.3059217542541</v>
      </c>
      <c r="AI21" s="47">
        <f t="shared" si="12"/>
        <v>3139.3172019960457</v>
      </c>
      <c r="AJ21" s="47">
        <f t="shared" si="7"/>
        <v>9142.8467127434433</v>
      </c>
      <c r="AK21" s="47">
        <f t="shared" si="8"/>
        <v>9920.2423583075051</v>
      </c>
      <c r="AL21" s="1"/>
      <c r="AO21" t="s">
        <v>134</v>
      </c>
      <c r="AP21">
        <v>3</v>
      </c>
      <c r="AQ21" s="23">
        <v>41589.878731664183</v>
      </c>
      <c r="AR21" s="23">
        <v>46360.090899656796</v>
      </c>
      <c r="AS21" s="23">
        <v>131424.01679205883</v>
      </c>
      <c r="AT21" s="23">
        <v>146497.88724291549</v>
      </c>
      <c r="AU21">
        <v>2</v>
      </c>
      <c r="AV21" s="23">
        <v>8302.7221479479886</v>
      </c>
      <c r="AW21" s="23">
        <v>9255.0150476974104</v>
      </c>
      <c r="AX21" s="23">
        <v>26236.601987515645</v>
      </c>
      <c r="AY21" s="23">
        <v>29245.847550723818</v>
      </c>
    </row>
    <row r="22" spans="2:51" ht="15" customHeight="1" x14ac:dyDescent="0.25">
      <c r="B22" s="102" t="s">
        <v>146</v>
      </c>
      <c r="C22" s="38" t="s">
        <v>135</v>
      </c>
      <c r="D22" s="70">
        <v>5382.94828341826</v>
      </c>
      <c r="E22" s="41">
        <v>5877.7802902655603</v>
      </c>
      <c r="F22" s="70">
        <v>1833.271671671718</v>
      </c>
      <c r="G22" s="70">
        <v>-6426.6876743410403</v>
      </c>
      <c r="H22" s="70">
        <v>-18601.317960821048</v>
      </c>
      <c r="I22" s="38"/>
      <c r="J22" s="38"/>
      <c r="P22" s="102"/>
      <c r="Q22" s="38" t="s">
        <v>131</v>
      </c>
      <c r="R22" s="42">
        <v>2</v>
      </c>
      <c r="S22" s="41">
        <v>6143.7885734802603</v>
      </c>
      <c r="T22">
        <v>0.61091126445657895</v>
      </c>
      <c r="U22">
        <v>0.67835936011659204</v>
      </c>
      <c r="W22" s="23">
        <f t="shared" ref="W22:W25" si="15">$S22*$T22*$P$2*$N$12</f>
        <v>8219748.1246933686</v>
      </c>
      <c r="X22" s="23">
        <f t="shared" ref="X22:X25" si="16">$S22*$U22*$P$2*$N$12</f>
        <v>9127255.3030209597</v>
      </c>
      <c r="Z22" s="23">
        <f t="shared" si="2"/>
        <v>3669.5304128095395</v>
      </c>
      <c r="AA22" s="23">
        <f t="shared" si="3"/>
        <v>4074.6675459915</v>
      </c>
      <c r="AE22" s="102"/>
      <c r="AF22" s="38" t="s">
        <v>131</v>
      </c>
      <c r="AG22" s="41">
        <f t="shared" si="4"/>
        <v>2</v>
      </c>
      <c r="AH22" s="47">
        <f t="shared" si="11"/>
        <v>3669.5304128095395</v>
      </c>
      <c r="AI22" s="47">
        <f t="shared" si="12"/>
        <v>4074.6675459915</v>
      </c>
      <c r="AJ22" s="47">
        <f t="shared" si="7"/>
        <v>11595.716104478146</v>
      </c>
      <c r="AK22" s="47">
        <f t="shared" si="8"/>
        <v>12875.949445333141</v>
      </c>
      <c r="AL22" s="1"/>
      <c r="AO22" t="s">
        <v>159</v>
      </c>
    </row>
    <row r="23" spans="2:51" x14ac:dyDescent="0.25">
      <c r="B23" s="102"/>
      <c r="C23" s="38" t="s">
        <v>131</v>
      </c>
      <c r="D23" s="70">
        <v>5687.1509964568904</v>
      </c>
      <c r="E23" s="41">
        <v>6143.7897237037196</v>
      </c>
      <c r="F23" s="70">
        <v>1755.972090252189</v>
      </c>
      <c r="G23" s="70">
        <v>-7118.7401766105204</v>
      </c>
      <c r="H23" s="70">
        <v>-20149.176419987951</v>
      </c>
      <c r="I23" s="38"/>
      <c r="J23" s="38"/>
      <c r="P23" s="102"/>
      <c r="Q23" s="38" t="s">
        <v>132</v>
      </c>
      <c r="R23" s="42">
        <v>1</v>
      </c>
      <c r="S23" s="41">
        <v>5642.2416874594101</v>
      </c>
      <c r="T23">
        <v>0.71717991336111298</v>
      </c>
      <c r="U23">
        <v>0.79041221259829997</v>
      </c>
      <c r="W23" s="23">
        <f t="shared" si="15"/>
        <v>8861840.266018372</v>
      </c>
      <c r="X23" s="23">
        <f t="shared" si="16"/>
        <v>9766735.8522761557</v>
      </c>
      <c r="Z23" s="23">
        <f t="shared" si="2"/>
        <v>3956.1786901867731</v>
      </c>
      <c r="AA23" s="23">
        <f t="shared" si="3"/>
        <v>4360.1499340518549</v>
      </c>
      <c r="AE23" s="102"/>
      <c r="AF23" s="38" t="s">
        <v>132</v>
      </c>
      <c r="AG23" s="41">
        <f t="shared" si="4"/>
        <v>1</v>
      </c>
      <c r="AH23" s="47">
        <f t="shared" si="11"/>
        <v>3956.1786901867731</v>
      </c>
      <c r="AI23" s="47">
        <f t="shared" si="12"/>
        <v>4360.1499340518549</v>
      </c>
      <c r="AJ23" s="47">
        <f t="shared" si="7"/>
        <v>12501.524660990204</v>
      </c>
      <c r="AK23" s="47">
        <f t="shared" si="8"/>
        <v>13778.073791603862</v>
      </c>
      <c r="AL23" s="1"/>
      <c r="AO23" t="s">
        <v>135</v>
      </c>
      <c r="AP23">
        <v>6</v>
      </c>
      <c r="AQ23" s="23">
        <v>34674.538928474452</v>
      </c>
      <c r="AR23" s="23">
        <v>37622.836807882857</v>
      </c>
      <c r="AS23" s="23">
        <v>109571.54301397927</v>
      </c>
      <c r="AT23" s="23">
        <v>118888.16431290984</v>
      </c>
      <c r="AU23">
        <v>4</v>
      </c>
      <c r="AV23" s="23">
        <v>7535.8588689697044</v>
      </c>
      <c r="AW23" s="23">
        <v>8176.6159607578566</v>
      </c>
      <c r="AX23" s="23">
        <v>23813.314025944266</v>
      </c>
      <c r="AY23" s="23">
        <v>25838.106435994829</v>
      </c>
    </row>
    <row r="24" spans="2:51" x14ac:dyDescent="0.25">
      <c r="B24" s="102"/>
      <c r="C24" s="38" t="s">
        <v>132</v>
      </c>
      <c r="D24" s="41">
        <v>5642.2405798333803</v>
      </c>
      <c r="E24" s="70">
        <v>5565.6173314684802</v>
      </c>
      <c r="F24" s="70">
        <v>211.49587336633709</v>
      </c>
      <c r="G24" s="70">
        <v>-10012.82151708944</v>
      </c>
      <c r="H24" s="70">
        <v>-24731.466991968802</v>
      </c>
      <c r="I24" s="38"/>
      <c r="J24" s="38"/>
      <c r="P24" s="102"/>
      <c r="Q24" s="38" t="s">
        <v>133</v>
      </c>
      <c r="R24" s="42">
        <v>1</v>
      </c>
      <c r="S24" s="41">
        <v>5344.2790010640301</v>
      </c>
      <c r="T24">
        <v>0.82132251370564202</v>
      </c>
      <c r="U24">
        <v>0.88312021272233399</v>
      </c>
      <c r="W24" s="23">
        <f t="shared" si="15"/>
        <v>9612734.8921850286</v>
      </c>
      <c r="X24" s="23">
        <f t="shared" si="16"/>
        <v>10336013.370105099</v>
      </c>
      <c r="Z24" s="23">
        <f t="shared" si="2"/>
        <v>4291.3995054397446</v>
      </c>
      <c r="AA24" s="23">
        <f t="shared" si="3"/>
        <v>4614.2916830826334</v>
      </c>
      <c r="AE24" s="102"/>
      <c r="AF24" s="38" t="s">
        <v>133</v>
      </c>
      <c r="AG24" s="41">
        <f t="shared" si="4"/>
        <v>1</v>
      </c>
      <c r="AH24" s="47">
        <f t="shared" si="11"/>
        <v>4291.3995054397446</v>
      </c>
      <c r="AI24" s="47">
        <f t="shared" si="12"/>
        <v>4614.2916830826334</v>
      </c>
      <c r="AJ24" s="47">
        <f t="shared" si="7"/>
        <v>13560.822437189594</v>
      </c>
      <c r="AK24" s="47">
        <f t="shared" si="8"/>
        <v>14581.161718541121</v>
      </c>
      <c r="AL24" s="1"/>
      <c r="AO24" t="s">
        <v>131</v>
      </c>
      <c r="AP24">
        <v>6</v>
      </c>
      <c r="AQ24" s="23">
        <v>42552.914771020609</v>
      </c>
      <c r="AR24" s="23">
        <v>47250.999800834594</v>
      </c>
      <c r="AS24" s="23">
        <v>134467.21067642514</v>
      </c>
      <c r="AT24" s="23">
        <v>149313.15937063732</v>
      </c>
      <c r="AU24">
        <v>4</v>
      </c>
      <c r="AV24" s="23">
        <v>9634.7999649123394</v>
      </c>
      <c r="AW24" s="23">
        <v>10698.536955056981</v>
      </c>
      <c r="AX24" s="23">
        <v>30445.967889122992</v>
      </c>
      <c r="AY24" s="23">
        <v>33807.376777980062</v>
      </c>
    </row>
    <row r="25" spans="2:51" x14ac:dyDescent="0.25">
      <c r="B25" s="102"/>
      <c r="C25" s="38" t="s">
        <v>133</v>
      </c>
      <c r="D25" s="41">
        <v>5344.2778278956303</v>
      </c>
      <c r="E25" s="70">
        <v>4287.8311842738804</v>
      </c>
      <c r="F25" s="70">
        <v>-2646.7301120134352</v>
      </c>
      <c r="G25" s="70">
        <v>-14979.466571695761</v>
      </c>
      <c r="H25" s="70">
        <v>-32269.625064900603</v>
      </c>
      <c r="I25" s="38"/>
      <c r="J25" s="38"/>
      <c r="P25" s="102"/>
      <c r="Q25" s="38" t="s">
        <v>134</v>
      </c>
      <c r="R25" s="42">
        <v>1</v>
      </c>
      <c r="S25" s="41">
        <v>4976.8542585089999</v>
      </c>
      <c r="T25">
        <v>0.89710520243980096</v>
      </c>
      <c r="U25">
        <v>1</v>
      </c>
      <c r="W25" s="23">
        <f t="shared" si="15"/>
        <v>9777828.4451338928</v>
      </c>
      <c r="X25" s="23">
        <f t="shared" si="16"/>
        <v>10899310.82613471</v>
      </c>
      <c r="Z25" s="23">
        <f t="shared" si="2"/>
        <v>4365.1019844347738</v>
      </c>
      <c r="AA25" s="23">
        <f t="shared" si="3"/>
        <v>4865.763761667281</v>
      </c>
      <c r="AE25" s="102"/>
      <c r="AF25" s="38" t="s">
        <v>134</v>
      </c>
      <c r="AG25" s="41">
        <f t="shared" si="4"/>
        <v>1</v>
      </c>
      <c r="AH25" s="47">
        <f t="shared" si="11"/>
        <v>4365.1019844347738</v>
      </c>
      <c r="AI25" s="47">
        <f t="shared" si="12"/>
        <v>4865.763761667281</v>
      </c>
      <c r="AJ25" s="47">
        <f t="shared" si="7"/>
        <v>13793.722270813885</v>
      </c>
      <c r="AK25" s="47">
        <f t="shared" si="8"/>
        <v>15375.813486868608</v>
      </c>
      <c r="AL25" s="1"/>
      <c r="AO25" t="s">
        <v>132</v>
      </c>
      <c r="AP25">
        <v>5</v>
      </c>
      <c r="AQ25" s="23">
        <v>49526.525759542899</v>
      </c>
      <c r="AR25" s="23">
        <v>54583.752387103043</v>
      </c>
      <c r="AS25" s="23">
        <v>156503.82140015558</v>
      </c>
      <c r="AT25" s="23">
        <v>172484.65754324562</v>
      </c>
      <c r="AU25">
        <v>3</v>
      </c>
      <c r="AV25" s="23">
        <v>11136.708537503477</v>
      </c>
      <c r="AW25" s="23">
        <v>12273.894279800106</v>
      </c>
      <c r="AX25" s="23">
        <v>35191.998978510986</v>
      </c>
      <c r="AY25" s="23">
        <v>38785.505924168334</v>
      </c>
    </row>
    <row r="26" spans="2:51" ht="15" customHeight="1" x14ac:dyDescent="0.25">
      <c r="B26" s="102"/>
      <c r="C26" s="38" t="s">
        <v>134</v>
      </c>
      <c r="D26" s="41">
        <v>4976.8542585089999</v>
      </c>
      <c r="E26" s="70">
        <v>2177.6557439480598</v>
      </c>
      <c r="F26" s="70">
        <v>-7697.7975953647492</v>
      </c>
      <c r="G26" s="70">
        <v>-24012.685414627678</v>
      </c>
      <c r="H26" s="70">
        <v>-46187.49736728015</v>
      </c>
      <c r="I26" s="38"/>
      <c r="J26" s="38"/>
      <c r="K26">
        <f>D26/D22</f>
        <v>0.92455918141361304</v>
      </c>
      <c r="P26" s="45" t="s">
        <v>142</v>
      </c>
      <c r="Q26" s="38">
        <v>3</v>
      </c>
      <c r="R26" s="46"/>
      <c r="Z26" s="23"/>
      <c r="AA26" s="23"/>
      <c r="AE26" s="105" t="s">
        <v>158</v>
      </c>
      <c r="AF26" s="106"/>
      <c r="AG26" s="41"/>
      <c r="AH26" s="47"/>
      <c r="AI26" s="47"/>
      <c r="AJ26" s="47"/>
      <c r="AK26" s="47"/>
      <c r="AL26" s="1"/>
      <c r="AO26" t="s">
        <v>133</v>
      </c>
      <c r="AP26">
        <v>5</v>
      </c>
      <c r="AQ26" s="23">
        <v>55393.113200270345</v>
      </c>
      <c r="AR26" s="23">
        <v>59560.984992440273</v>
      </c>
      <c r="AS26" s="23">
        <v>175042.23771285429</v>
      </c>
      <c r="AT26" s="23">
        <v>188212.71257611128</v>
      </c>
      <c r="AU26">
        <v>3</v>
      </c>
      <c r="AV26" s="23">
        <v>11952.999064072752</v>
      </c>
      <c r="AW26" s="23">
        <v>12852.36298772273</v>
      </c>
      <c r="AX26" s="23">
        <v>37771.477042469895</v>
      </c>
      <c r="AY26" s="23">
        <v>40613.467041203832</v>
      </c>
    </row>
    <row r="27" spans="2:51" ht="15" customHeight="1" x14ac:dyDescent="0.25">
      <c r="B27" s="107" t="s">
        <v>142</v>
      </c>
      <c r="C27" s="107"/>
      <c r="D27" s="107"/>
      <c r="E27" s="107"/>
      <c r="F27" s="38">
        <v>3</v>
      </c>
      <c r="G27" s="38"/>
      <c r="H27" s="38"/>
      <c r="I27" s="38"/>
      <c r="J27" s="38"/>
      <c r="P27" s="102" t="s">
        <v>145</v>
      </c>
      <c r="Q27" s="38" t="s">
        <v>135</v>
      </c>
      <c r="R27" s="43">
        <v>4</v>
      </c>
      <c r="S27" s="41">
        <v>33832.566426409838</v>
      </c>
      <c r="T27">
        <v>0.50348324702996095</v>
      </c>
      <c r="U27">
        <v>0.54629329253909098</v>
      </c>
      <c r="W27" s="23">
        <f>$T27*$S27*$P$2*$N$11</f>
        <v>55957118.36309883</v>
      </c>
      <c r="X27" s="23">
        <f>$U27*$S27*$P$2*$N$11</f>
        <v>60715025.995210133</v>
      </c>
      <c r="Z27" s="23">
        <f t="shared" si="2"/>
        <v>24980.856412097692</v>
      </c>
      <c r="AA27" s="23">
        <f t="shared" si="3"/>
        <v>27104.922319290239</v>
      </c>
      <c r="AE27" s="102" t="s">
        <v>145</v>
      </c>
      <c r="AF27" s="38" t="s">
        <v>135</v>
      </c>
      <c r="AG27" s="41">
        <f t="shared" si="4"/>
        <v>4</v>
      </c>
      <c r="AH27" s="47">
        <f t="shared" ref="AH27:AH36" si="17">Z27</f>
        <v>24980.856412097692</v>
      </c>
      <c r="AI27" s="47">
        <f t="shared" ref="AI27:AI36" si="18">AA27</f>
        <v>27104.922319290239</v>
      </c>
      <c r="AJ27" s="47">
        <f t="shared" si="7"/>
        <v>78939.506262228708</v>
      </c>
      <c r="AK27" s="47">
        <f t="shared" si="8"/>
        <v>85651.55452895716</v>
      </c>
      <c r="AL27" s="1"/>
      <c r="AN27" t="s">
        <v>145</v>
      </c>
      <c r="AO27" t="s">
        <v>134</v>
      </c>
      <c r="AP27">
        <v>4</v>
      </c>
      <c r="AQ27" s="23">
        <v>58456.334917287444</v>
      </c>
      <c r="AR27" s="23">
        <v>65161.070026466674</v>
      </c>
      <c r="AS27" s="23">
        <v>184722.01833862835</v>
      </c>
      <c r="AT27" s="23">
        <v>205908.9812836347</v>
      </c>
      <c r="AU27">
        <v>3</v>
      </c>
      <c r="AV27" s="23">
        <v>11920.496719358467</v>
      </c>
      <c r="AW27" s="23">
        <v>13287.735582113488</v>
      </c>
      <c r="AX27" s="23">
        <v>37668.769633172757</v>
      </c>
      <c r="AY27" s="23">
        <v>41989.244439478622</v>
      </c>
    </row>
    <row r="28" spans="2:51" x14ac:dyDescent="0.25">
      <c r="B28" s="107" t="s">
        <v>143</v>
      </c>
      <c r="C28" s="107"/>
      <c r="D28" s="38">
        <v>1</v>
      </c>
      <c r="E28" s="38">
        <v>2</v>
      </c>
      <c r="F28" s="38">
        <v>3</v>
      </c>
      <c r="G28" s="38">
        <v>4</v>
      </c>
      <c r="H28" s="38">
        <v>5</v>
      </c>
      <c r="I28" s="38">
        <v>6</v>
      </c>
      <c r="J28" s="38"/>
      <c r="P28" s="102"/>
      <c r="Q28" s="38" t="s">
        <v>131</v>
      </c>
      <c r="R28" s="43">
        <v>4</v>
      </c>
      <c r="S28" s="41">
        <v>34334.335655734161</v>
      </c>
      <c r="T28">
        <v>0.61091126445657895</v>
      </c>
      <c r="U28">
        <v>0.67835936011659204</v>
      </c>
      <c r="W28" s="23">
        <f t="shared" ref="W28:W31" si="19">$T28*$S28*$P$2*$N$11</f>
        <v>68903638.465934008</v>
      </c>
      <c r="X28" s="23">
        <f t="shared" ref="X28:X31" si="20">$U28*$S28*$P$2*$N$11</f>
        <v>76510994.016510203</v>
      </c>
      <c r="Z28" s="23">
        <f t="shared" si="2"/>
        <v>30760.552886577683</v>
      </c>
      <c r="AA28" s="23">
        <f t="shared" si="3"/>
        <v>34156.693757370624</v>
      </c>
      <c r="AE28" s="102"/>
      <c r="AF28" s="38" t="s">
        <v>131</v>
      </c>
      <c r="AG28" s="41">
        <f t="shared" si="4"/>
        <v>4</v>
      </c>
      <c r="AH28" s="47">
        <f t="shared" si="17"/>
        <v>30760.552886577683</v>
      </c>
      <c r="AI28" s="47">
        <f t="shared" si="18"/>
        <v>34156.693757370624</v>
      </c>
      <c r="AJ28" s="47">
        <f t="shared" si="7"/>
        <v>97203.347121585481</v>
      </c>
      <c r="AK28" s="47">
        <f t="shared" si="8"/>
        <v>107935.15227329117</v>
      </c>
      <c r="AL28" s="1"/>
      <c r="AO28" t="s">
        <v>160</v>
      </c>
    </row>
    <row r="29" spans="2:51" x14ac:dyDescent="0.25">
      <c r="B29" s="102" t="s">
        <v>145</v>
      </c>
      <c r="C29" s="38" t="s">
        <v>135</v>
      </c>
      <c r="D29" s="70">
        <v>14513.465898939399</v>
      </c>
      <c r="E29" s="70">
        <v>24841.664567381202</v>
      </c>
      <c r="F29" s="69">
        <v>31210.213631723098</v>
      </c>
      <c r="G29" s="41">
        <v>33832.568218206921</v>
      </c>
      <c r="H29" s="70">
        <v>32910.6766038641</v>
      </c>
      <c r="I29" s="70">
        <v>28635.60052290684</v>
      </c>
      <c r="J29" s="38"/>
      <c r="P29" s="102"/>
      <c r="Q29" s="38" t="s">
        <v>132</v>
      </c>
      <c r="R29" s="43">
        <v>4</v>
      </c>
      <c r="S29" s="41">
        <v>33879.117903615683</v>
      </c>
      <c r="T29">
        <v>0.71717991336111298</v>
      </c>
      <c r="U29">
        <v>0.79041221259829997</v>
      </c>
      <c r="W29" s="23">
        <f t="shared" si="19"/>
        <v>79817034.038814902</v>
      </c>
      <c r="X29" s="23">
        <f t="shared" si="20"/>
        <v>87967269.164003178</v>
      </c>
      <c r="Z29" s="23">
        <f t="shared" si="2"/>
        <v>35632.604481613795</v>
      </c>
      <c r="AA29" s="23">
        <f t="shared" si="3"/>
        <v>39271.10230535856</v>
      </c>
      <c r="AE29" s="102"/>
      <c r="AF29" s="38" t="s">
        <v>132</v>
      </c>
      <c r="AG29" s="41">
        <f t="shared" si="4"/>
        <v>4</v>
      </c>
      <c r="AH29" s="47">
        <f t="shared" si="17"/>
        <v>35632.604481613795</v>
      </c>
      <c r="AI29" s="47">
        <f t="shared" si="18"/>
        <v>39271.10230535856</v>
      </c>
      <c r="AJ29" s="47">
        <f t="shared" si="7"/>
        <v>112599.0301618996</v>
      </c>
      <c r="AK29" s="47">
        <f t="shared" si="8"/>
        <v>124096.68328493305</v>
      </c>
      <c r="AL29" s="1"/>
      <c r="AO29" t="s">
        <v>135</v>
      </c>
      <c r="AP29">
        <v>7</v>
      </c>
      <c r="AQ29" s="23">
        <v>44174.974858188965</v>
      </c>
      <c r="AR29" s="23">
        <v>47931.073388178796</v>
      </c>
      <c r="AS29" s="23">
        <v>139592.92055187715</v>
      </c>
      <c r="AT29" s="23">
        <v>151462.19190664499</v>
      </c>
      <c r="AU29">
        <v>4</v>
      </c>
      <c r="AV29" s="23">
        <v>9705.2974973272612</v>
      </c>
      <c r="AW29" s="23">
        <v>10530.517065190064</v>
      </c>
      <c r="AX29" s="23">
        <v>30668.740091554148</v>
      </c>
      <c r="AY29" s="23">
        <v>33276.433926000602</v>
      </c>
    </row>
    <row r="30" spans="2:51" x14ac:dyDescent="0.25">
      <c r="B30" s="102"/>
      <c r="C30" s="38" t="s">
        <v>131</v>
      </c>
      <c r="D30" s="70">
        <v>15040.513161729699</v>
      </c>
      <c r="E30" s="70">
        <v>25612.796950607</v>
      </c>
      <c r="F30" s="69">
        <v>31965.732184409702</v>
      </c>
      <c r="G30" s="41">
        <v>34334.336994761681</v>
      </c>
      <c r="H30" s="70">
        <v>32940.53898012315</v>
      </c>
      <c r="I30" s="70">
        <v>27993.904349780096</v>
      </c>
      <c r="J30" s="38"/>
      <c r="P30" s="102"/>
      <c r="Q30" s="38" t="s">
        <v>133</v>
      </c>
      <c r="R30" s="43">
        <v>4</v>
      </c>
      <c r="S30" s="41">
        <v>32533.319965913881</v>
      </c>
      <c r="T30">
        <v>0.82132251370564202</v>
      </c>
      <c r="U30">
        <v>0.88312021272233399</v>
      </c>
      <c r="W30" s="23">
        <f t="shared" si="19"/>
        <v>87776343.618857399</v>
      </c>
      <c r="X30" s="23">
        <f t="shared" si="20"/>
        <v>94380784.594510436</v>
      </c>
      <c r="Z30" s="23">
        <f t="shared" si="2"/>
        <v>39185.867686989914</v>
      </c>
      <c r="AA30" s="23">
        <f t="shared" si="3"/>
        <v>42134.278836835016</v>
      </c>
      <c r="AE30" s="102"/>
      <c r="AF30" s="38" t="s">
        <v>133</v>
      </c>
      <c r="AG30" s="41">
        <f t="shared" si="4"/>
        <v>4</v>
      </c>
      <c r="AH30" s="47">
        <f t="shared" si="17"/>
        <v>39185.867686989914</v>
      </c>
      <c r="AI30" s="47">
        <f t="shared" si="18"/>
        <v>42134.278836835016</v>
      </c>
      <c r="AJ30" s="47">
        <f t="shared" si="7"/>
        <v>123827.34189088813</v>
      </c>
      <c r="AK30" s="47">
        <f t="shared" si="8"/>
        <v>133144.32112439864</v>
      </c>
      <c r="AL30" s="1"/>
      <c r="AO30" t="s">
        <v>131</v>
      </c>
      <c r="AP30">
        <v>7</v>
      </c>
      <c r="AQ30" s="23">
        <v>54483.327371132604</v>
      </c>
      <c r="AR30" s="23">
        <v>60498.598148096884</v>
      </c>
      <c r="AS30" s="23">
        <v>172167.31449277903</v>
      </c>
      <c r="AT30" s="23">
        <v>191175.57014798617</v>
      </c>
      <c r="AU30">
        <v>4</v>
      </c>
      <c r="AV30" s="23">
        <v>12469.675164205744</v>
      </c>
      <c r="AW30" s="23">
        <v>13846.398580940873</v>
      </c>
      <c r="AX30" s="23">
        <v>39404.173518890151</v>
      </c>
      <c r="AY30" s="23">
        <v>43754.619515773164</v>
      </c>
    </row>
    <row r="31" spans="2:51" x14ac:dyDescent="0.25">
      <c r="B31" s="102"/>
      <c r="C31" s="38" t="s">
        <v>132</v>
      </c>
      <c r="D31" s="70">
        <v>15536.250403178799</v>
      </c>
      <c r="E31" s="70">
        <v>26173.832324359199</v>
      </c>
      <c r="F31" s="69">
        <v>32198.4425205402</v>
      </c>
      <c r="G31" s="41">
        <v>33879.115539948361</v>
      </c>
      <c r="H31" s="70">
        <v>31469.195483857551</v>
      </c>
      <c r="I31" s="70">
        <v>25207.25109399252</v>
      </c>
      <c r="J31" s="38"/>
      <c r="P31" s="102"/>
      <c r="Q31" s="38" t="s">
        <v>134</v>
      </c>
      <c r="R31" s="43">
        <v>3</v>
      </c>
      <c r="S31" s="39">
        <v>31612.3603090506</v>
      </c>
      <c r="T31">
        <v>0.89710520243980096</v>
      </c>
      <c r="U31">
        <v>1</v>
      </c>
      <c r="W31" s="23">
        <f t="shared" si="19"/>
        <v>93161328.358927771</v>
      </c>
      <c r="X31" s="23">
        <f t="shared" si="20"/>
        <v>103846603.61523122</v>
      </c>
      <c r="Z31" s="23">
        <f t="shared" si="2"/>
        <v>41589.878731664183</v>
      </c>
      <c r="AA31" s="23">
        <f t="shared" si="3"/>
        <v>46360.090899656796</v>
      </c>
      <c r="AE31" s="102"/>
      <c r="AF31" s="38" t="s">
        <v>134</v>
      </c>
      <c r="AG31" s="41">
        <f t="shared" si="4"/>
        <v>3</v>
      </c>
      <c r="AH31" s="47">
        <f t="shared" si="17"/>
        <v>41589.878731664183</v>
      </c>
      <c r="AI31" s="47">
        <f t="shared" si="18"/>
        <v>46360.090899656796</v>
      </c>
      <c r="AJ31" s="47">
        <f t="shared" si="7"/>
        <v>131424.01679205883</v>
      </c>
      <c r="AK31" s="47">
        <f t="shared" si="8"/>
        <v>146497.88724291549</v>
      </c>
      <c r="AL31" s="1"/>
      <c r="AO31" t="s">
        <v>132</v>
      </c>
      <c r="AP31">
        <v>7</v>
      </c>
      <c r="AQ31" s="23">
        <v>63247.784497806526</v>
      </c>
      <c r="AR31" s="23">
        <v>69706.109102472779</v>
      </c>
      <c r="AS31" s="23">
        <v>199862.99901306862</v>
      </c>
      <c r="AT31" s="23">
        <v>220271.304763814</v>
      </c>
      <c r="AU31">
        <v>4</v>
      </c>
      <c r="AV31" s="23">
        <v>14426.484188499724</v>
      </c>
      <c r="AW31" s="23">
        <v>15899.593776973097</v>
      </c>
      <c r="AX31" s="23">
        <v>45587.690035659129</v>
      </c>
      <c r="AY31" s="23">
        <v>50242.716335234989</v>
      </c>
    </row>
    <row r="32" spans="2:51" ht="15" customHeight="1" x14ac:dyDescent="0.25">
      <c r="B32" s="102"/>
      <c r="C32" s="38" t="s">
        <v>133</v>
      </c>
      <c r="D32" s="70">
        <v>16069.2523503549</v>
      </c>
      <c r="E32" s="70">
        <v>26623.916378975598</v>
      </c>
      <c r="F32" s="69">
        <v>32005.230473743504</v>
      </c>
      <c r="G32" s="41">
        <v>32533.3174594966</v>
      </c>
      <c r="H32" s="70">
        <v>28508.491212462701</v>
      </c>
      <c r="I32" s="70">
        <v>20212.48242241914</v>
      </c>
      <c r="J32" s="38"/>
      <c r="P32" s="102" t="s">
        <v>146</v>
      </c>
      <c r="Q32" s="38" t="s">
        <v>135</v>
      </c>
      <c r="R32" s="43">
        <v>3</v>
      </c>
      <c r="S32" s="39">
        <v>10702.23143273922</v>
      </c>
      <c r="T32">
        <v>0.50348324702996095</v>
      </c>
      <c r="U32">
        <v>0.54629329253909098</v>
      </c>
      <c r="W32" s="23">
        <f>$S32*$T32*$P$2*$N$12</f>
        <v>11800583.368565422</v>
      </c>
      <c r="X32" s="23">
        <f>$S32*$U32*$P$2*$N$12</f>
        <v>12803960.370725149</v>
      </c>
      <c r="Z32" s="23">
        <f t="shared" si="2"/>
        <v>5268.1175752524205</v>
      </c>
      <c r="AA32" s="23">
        <f t="shared" si="3"/>
        <v>5716.0537369308704</v>
      </c>
      <c r="AE32" s="102" t="s">
        <v>146</v>
      </c>
      <c r="AF32" s="38" t="s">
        <v>135</v>
      </c>
      <c r="AG32" s="41">
        <f t="shared" si="4"/>
        <v>3</v>
      </c>
      <c r="AH32" s="47">
        <f t="shared" si="17"/>
        <v>5268.1175752524205</v>
      </c>
      <c r="AI32" s="47">
        <f t="shared" si="18"/>
        <v>5716.0537369308704</v>
      </c>
      <c r="AJ32" s="47">
        <f t="shared" si="7"/>
        <v>16647.251537797649</v>
      </c>
      <c r="AK32" s="47">
        <f t="shared" si="8"/>
        <v>18062.729808701552</v>
      </c>
      <c r="AL32" s="1"/>
      <c r="AN32" t="s">
        <v>146</v>
      </c>
      <c r="AO32" t="s">
        <v>133</v>
      </c>
      <c r="AP32">
        <v>6</v>
      </c>
      <c r="AQ32" s="23">
        <v>70800.258097147715</v>
      </c>
      <c r="AR32" s="23">
        <v>76127.389604174343</v>
      </c>
      <c r="AS32" s="23">
        <v>223728.81558698678</v>
      </c>
      <c r="AT32" s="23">
        <v>240562.55114919093</v>
      </c>
      <c r="AU32">
        <v>4</v>
      </c>
      <c r="AV32" s="23">
        <v>15412.146804215612</v>
      </c>
      <c r="AW32" s="23">
        <v>16571.782871064424</v>
      </c>
      <c r="AX32" s="23">
        <v>48702.383901321336</v>
      </c>
      <c r="AY32" s="23">
        <v>52366.833872563584</v>
      </c>
    </row>
    <row r="33" spans="2:51" x14ac:dyDescent="0.25">
      <c r="B33" s="102"/>
      <c r="C33" s="38" t="s">
        <v>134</v>
      </c>
      <c r="D33" s="70">
        <v>17128.228107674699</v>
      </c>
      <c r="E33" s="70">
        <v>27511.829284025</v>
      </c>
      <c r="F33" s="39">
        <v>31612.3603090506</v>
      </c>
      <c r="G33" s="70">
        <v>29859.79212956292</v>
      </c>
      <c r="H33" s="70">
        <v>22654.671380589549</v>
      </c>
      <c r="I33" s="70">
        <v>10370.13398682522</v>
      </c>
      <c r="J33" s="38"/>
      <c r="K33">
        <f>F33/F29</f>
        <v>1.0128850985152742</v>
      </c>
      <c r="P33" s="102"/>
      <c r="Q33" s="38" t="s">
        <v>131</v>
      </c>
      <c r="R33" s="43">
        <v>3</v>
      </c>
      <c r="S33" s="41">
        <v>11246.404237053479</v>
      </c>
      <c r="T33">
        <v>0.61091126445657895</v>
      </c>
      <c r="U33">
        <v>0.67835936011659204</v>
      </c>
      <c r="W33" s="23">
        <f t="shared" ref="W33:W36" si="21">$S33*$T33*$P$2*$N$12</f>
        <v>15046515.522375489</v>
      </c>
      <c r="X33" s="23">
        <f t="shared" ref="X33:X36" si="22">$S33*$U33*$P$2*$N$12</f>
        <v>16707736.844273681</v>
      </c>
      <c r="Z33" s="23">
        <f t="shared" si="2"/>
        <v>6717.1944296319143</v>
      </c>
      <c r="AA33" s="23">
        <f t="shared" si="3"/>
        <v>7458.8110911936074</v>
      </c>
      <c r="AE33" s="102"/>
      <c r="AF33" s="38" t="s">
        <v>131</v>
      </c>
      <c r="AG33" s="41">
        <f t="shared" si="4"/>
        <v>3</v>
      </c>
      <c r="AH33" s="47">
        <f t="shared" si="17"/>
        <v>6717.1944296319143</v>
      </c>
      <c r="AI33" s="47">
        <f t="shared" si="18"/>
        <v>7458.8110911936074</v>
      </c>
      <c r="AJ33" s="47">
        <f t="shared" si="7"/>
        <v>21226.334397636849</v>
      </c>
      <c r="AK33" s="47">
        <f t="shared" si="8"/>
        <v>23569.843048171799</v>
      </c>
      <c r="AL33" s="1"/>
      <c r="AO33" t="s">
        <v>134</v>
      </c>
      <c r="AP33">
        <v>6</v>
      </c>
      <c r="AQ33" s="23">
        <v>74976.399110383281</v>
      </c>
      <c r="AR33" s="23">
        <v>83575.927222888306</v>
      </c>
      <c r="AS33" s="23">
        <v>236925.42118881119</v>
      </c>
      <c r="AT33" s="23">
        <v>264099.93002432707</v>
      </c>
      <c r="AU33">
        <v>3</v>
      </c>
      <c r="AV33" s="23">
        <v>15725.039591287143</v>
      </c>
      <c r="AW33" s="23">
        <v>17528.646081329964</v>
      </c>
      <c r="AX33" s="23">
        <v>49691.125108467371</v>
      </c>
      <c r="AY33" s="23">
        <v>55390.521617002691</v>
      </c>
    </row>
    <row r="34" spans="2:51" x14ac:dyDescent="0.25">
      <c r="B34" s="102" t="s">
        <v>146</v>
      </c>
      <c r="C34" s="38" t="s">
        <v>135</v>
      </c>
      <c r="D34" s="70">
        <v>6918.6712324416703</v>
      </c>
      <c r="E34" s="70">
        <v>10430.858674831519</v>
      </c>
      <c r="F34" s="39">
        <v>10702.23379740597</v>
      </c>
      <c r="G34" s="70">
        <v>7890.4107779726</v>
      </c>
      <c r="H34" s="70">
        <v>2145.338361542415</v>
      </c>
      <c r="I34" s="70">
        <v>-6390.3273378037811</v>
      </c>
      <c r="J34" s="38"/>
      <c r="P34" s="102"/>
      <c r="Q34" s="38" t="s">
        <v>132</v>
      </c>
      <c r="R34" s="43">
        <v>2</v>
      </c>
      <c r="S34" s="41">
        <v>10910.92605094694</v>
      </c>
      <c r="T34">
        <v>0.71717991336111298</v>
      </c>
      <c r="U34">
        <v>0.79041221259829997</v>
      </c>
      <c r="W34" s="23">
        <f t="shared" si="21"/>
        <v>17136962.429797724</v>
      </c>
      <c r="X34" s="23">
        <f t="shared" si="22"/>
        <v>18886842.951121632</v>
      </c>
      <c r="Z34" s="23">
        <f t="shared" si="2"/>
        <v>7650.4296561596984</v>
      </c>
      <c r="AA34" s="23">
        <f t="shared" si="3"/>
        <v>8431.6263174650139</v>
      </c>
      <c r="AE34" s="102"/>
      <c r="AF34" s="38" t="s">
        <v>132</v>
      </c>
      <c r="AG34" s="41">
        <f t="shared" si="4"/>
        <v>2</v>
      </c>
      <c r="AH34" s="47">
        <f t="shared" si="17"/>
        <v>7650.4296561596984</v>
      </c>
      <c r="AI34" s="47">
        <f t="shared" si="18"/>
        <v>8431.6263174650139</v>
      </c>
      <c r="AJ34" s="47">
        <f t="shared" si="7"/>
        <v>24175.357713464648</v>
      </c>
      <c r="AK34" s="47">
        <f t="shared" si="8"/>
        <v>26643.939163189447</v>
      </c>
      <c r="AL34" s="1"/>
    </row>
    <row r="35" spans="2:51" x14ac:dyDescent="0.25">
      <c r="B35" s="102"/>
      <c r="C35" s="38" t="s">
        <v>131</v>
      </c>
      <c r="D35" s="70">
        <v>7338.9760849434297</v>
      </c>
      <c r="E35" s="70">
        <v>11026.49128752256</v>
      </c>
      <c r="F35" s="41">
        <v>11246.40601385373</v>
      </c>
      <c r="G35" s="70">
        <v>8173.3228277732396</v>
      </c>
      <c r="H35" s="70">
        <v>1973.052606904565</v>
      </c>
      <c r="I35" s="70">
        <v>-7196.9427734258406</v>
      </c>
      <c r="J35" s="38"/>
      <c r="P35" s="102"/>
      <c r="Q35" s="38" t="s">
        <v>133</v>
      </c>
      <c r="R35" s="43">
        <v>2</v>
      </c>
      <c r="S35" s="41">
        <v>10275.71854470946</v>
      </c>
      <c r="T35">
        <v>0.82132251370564202</v>
      </c>
      <c r="U35">
        <v>0.88312021272233399</v>
      </c>
      <c r="W35" s="23">
        <f t="shared" si="21"/>
        <v>18482896.97774668</v>
      </c>
      <c r="X35" s="23">
        <f t="shared" si="22"/>
        <v>19873581.496102244</v>
      </c>
      <c r="Z35" s="23">
        <f t="shared" si="2"/>
        <v>8251.2932936369107</v>
      </c>
      <c r="AA35" s="23">
        <f t="shared" si="3"/>
        <v>8872.1345964742159</v>
      </c>
      <c r="AE35" s="102"/>
      <c r="AF35" s="38" t="s">
        <v>133</v>
      </c>
      <c r="AG35" s="41">
        <f t="shared" si="4"/>
        <v>2</v>
      </c>
      <c r="AH35" s="47">
        <f t="shared" si="17"/>
        <v>8251.2932936369107</v>
      </c>
      <c r="AI35" s="47">
        <f t="shared" si="18"/>
        <v>8872.1345964742159</v>
      </c>
      <c r="AJ35" s="47">
        <f t="shared" si="7"/>
        <v>26074.08680789264</v>
      </c>
      <c r="AK35" s="47">
        <f t="shared" si="8"/>
        <v>28035.945324858523</v>
      </c>
      <c r="AL35" s="1"/>
    </row>
    <row r="36" spans="2:51" x14ac:dyDescent="0.25">
      <c r="B36" s="102"/>
      <c r="C36" s="38" t="s">
        <v>132</v>
      </c>
      <c r="D36" s="70">
        <v>7456.2243072082501</v>
      </c>
      <c r="E36" s="41">
        <v>10910.92382638066</v>
      </c>
      <c r="F36" s="70">
        <v>10575.022802735641</v>
      </c>
      <c r="G36" s="70">
        <v>6648.3274603424397</v>
      </c>
      <c r="H36" s="70">
        <v>-679.88795622113503</v>
      </c>
      <c r="I36" s="70">
        <v>-11230.326031033499</v>
      </c>
      <c r="J36" s="38"/>
      <c r="P36" s="102"/>
      <c r="Q36" s="38" t="s">
        <v>134</v>
      </c>
      <c r="R36" s="43">
        <v>2</v>
      </c>
      <c r="S36" s="41">
        <v>9466.3167611151603</v>
      </c>
      <c r="T36">
        <v>0.89710520243980096</v>
      </c>
      <c r="U36">
        <v>1</v>
      </c>
      <c r="W36" s="23">
        <f t="shared" si="21"/>
        <v>18598097.611403495</v>
      </c>
      <c r="X36" s="23">
        <f t="shared" si="22"/>
        <v>20731233.706842199</v>
      </c>
      <c r="Z36" s="23">
        <f t="shared" si="2"/>
        <v>8302.7221479479886</v>
      </c>
      <c r="AA36" s="23">
        <f t="shared" si="3"/>
        <v>9255.0150476974104</v>
      </c>
      <c r="AE36" s="102"/>
      <c r="AF36" s="38" t="s">
        <v>134</v>
      </c>
      <c r="AG36" s="41">
        <f t="shared" si="4"/>
        <v>2</v>
      </c>
      <c r="AH36" s="47">
        <f t="shared" si="17"/>
        <v>8302.7221479479886</v>
      </c>
      <c r="AI36" s="47">
        <f t="shared" si="18"/>
        <v>9255.0150476974104</v>
      </c>
      <c r="AJ36" s="47">
        <f t="shared" si="7"/>
        <v>26236.601987515645</v>
      </c>
      <c r="AK36" s="47">
        <f t="shared" si="8"/>
        <v>29245.847550723818</v>
      </c>
      <c r="AL36" s="1"/>
    </row>
    <row r="37" spans="2:51" ht="15" customHeight="1" x14ac:dyDescent="0.25">
      <c r="B37" s="102"/>
      <c r="C37" s="38" t="s">
        <v>133</v>
      </c>
      <c r="D37" s="70">
        <v>7383.8985499468099</v>
      </c>
      <c r="E37" s="41">
        <v>10275.716189308159</v>
      </c>
      <c r="F37" s="70">
        <v>8926.3291924200294</v>
      </c>
      <c r="G37" s="70">
        <v>3572.60275361396</v>
      </c>
      <c r="H37" s="70">
        <v>-5561.8265140656003</v>
      </c>
      <c r="I37" s="70">
        <v>-18265.811781574557</v>
      </c>
      <c r="J37" s="38"/>
      <c r="P37" s="44" t="s">
        <v>142</v>
      </c>
      <c r="Q37" s="38">
        <v>4</v>
      </c>
      <c r="R37" s="44"/>
      <c r="Z37" s="23"/>
      <c r="AA37" s="23"/>
      <c r="AE37" s="105" t="s">
        <v>159</v>
      </c>
      <c r="AF37" s="106"/>
      <c r="AG37" s="41"/>
      <c r="AH37" s="47"/>
      <c r="AI37" s="47"/>
      <c r="AJ37" s="47"/>
      <c r="AK37" s="47"/>
      <c r="AL37" s="1"/>
      <c r="AP37" s="98" t="s">
        <v>192</v>
      </c>
      <c r="AQ37" s="98"/>
      <c r="AR37" s="98"/>
      <c r="AS37" s="98"/>
      <c r="AT37" s="98"/>
    </row>
    <row r="38" spans="2:51" ht="15" customHeight="1" x14ac:dyDescent="0.25">
      <c r="B38" s="102"/>
      <c r="C38" s="38" t="s">
        <v>134</v>
      </c>
      <c r="D38" s="70">
        <v>7477.3674551062304</v>
      </c>
      <c r="E38" s="41">
        <v>9466.3167611151603</v>
      </c>
      <c r="F38" s="70">
        <v>6305.6601055248302</v>
      </c>
      <c r="G38" s="70">
        <v>-1686.705949631576</v>
      </c>
      <c r="H38" s="70">
        <v>-14212.509299977952</v>
      </c>
      <c r="I38" s="70">
        <v>-30991.890837636962</v>
      </c>
      <c r="J38" s="38"/>
      <c r="P38" s="102" t="s">
        <v>145</v>
      </c>
      <c r="Q38" s="38" t="s">
        <v>135</v>
      </c>
      <c r="R38" s="43">
        <v>6</v>
      </c>
      <c r="S38" s="41">
        <v>46961.105826404935</v>
      </c>
      <c r="T38">
        <v>0.50348324702996095</v>
      </c>
      <c r="U38">
        <v>0.54629329253909098</v>
      </c>
      <c r="W38" s="23">
        <f>$T38*$S38*$P$2*$N$11</f>
        <v>77670967.199782774</v>
      </c>
      <c r="X38" s="23">
        <f>$U38*$S38*$P$2*$N$11</f>
        <v>84275154.449657604</v>
      </c>
      <c r="Z38" s="23">
        <f t="shared" si="2"/>
        <v>34674.538928474452</v>
      </c>
      <c r="AA38" s="23">
        <f t="shared" si="3"/>
        <v>37622.836807882857</v>
      </c>
      <c r="AE38" s="102" t="s">
        <v>145</v>
      </c>
      <c r="AF38" s="38" t="s">
        <v>135</v>
      </c>
      <c r="AG38" s="41">
        <f t="shared" si="4"/>
        <v>6</v>
      </c>
      <c r="AH38" s="47">
        <f t="shared" ref="AH38:AH47" si="23">Z38</f>
        <v>34674.538928474452</v>
      </c>
      <c r="AI38" s="47">
        <f t="shared" ref="AI38:AI47" si="24">AA38</f>
        <v>37622.836807882857</v>
      </c>
      <c r="AJ38" s="47">
        <f t="shared" si="7"/>
        <v>109571.54301397927</v>
      </c>
      <c r="AK38" s="47">
        <f t="shared" si="8"/>
        <v>118888.16431290984</v>
      </c>
      <c r="AL38" s="1"/>
      <c r="AN38" t="s">
        <v>145</v>
      </c>
      <c r="AO38" s="109" t="s">
        <v>156</v>
      </c>
      <c r="AP38" s="108" t="s">
        <v>155</v>
      </c>
      <c r="AQ38" s="98" t="s">
        <v>153</v>
      </c>
      <c r="AR38" s="98"/>
      <c r="AS38" s="98" t="s">
        <v>154</v>
      </c>
      <c r="AT38" s="98"/>
    </row>
    <row r="39" spans="2:51" x14ac:dyDescent="0.25">
      <c r="B39" s="107" t="s">
        <v>142</v>
      </c>
      <c r="C39" s="107"/>
      <c r="D39" s="107"/>
      <c r="E39" s="107"/>
      <c r="F39" s="38">
        <v>4</v>
      </c>
      <c r="G39" s="38"/>
      <c r="H39" s="38"/>
      <c r="I39" s="38"/>
      <c r="J39" s="38"/>
      <c r="P39" s="102"/>
      <c r="Q39" s="38" t="s">
        <v>131</v>
      </c>
      <c r="R39" s="43">
        <v>6</v>
      </c>
      <c r="S39" s="41">
        <v>47496.742476159663</v>
      </c>
      <c r="T39">
        <v>0.61091126445657895</v>
      </c>
      <c r="U39">
        <v>0.67835936011659204</v>
      </c>
      <c r="W39" s="23">
        <f t="shared" ref="W39:W42" si="25">$T39*$S39*$P$2*$N$11</f>
        <v>95318529.087086171</v>
      </c>
      <c r="X39" s="23">
        <f t="shared" ref="X39:X42" si="26">$U39*$S39*$P$2*$N$11</f>
        <v>105842239.55386949</v>
      </c>
      <c r="Z39" s="23">
        <f t="shared" si="2"/>
        <v>42552.914771020609</v>
      </c>
      <c r="AA39" s="23">
        <f t="shared" si="3"/>
        <v>47250.999800834594</v>
      </c>
      <c r="AE39" s="102"/>
      <c r="AF39" s="38" t="s">
        <v>131</v>
      </c>
      <c r="AG39" s="41">
        <f t="shared" si="4"/>
        <v>6</v>
      </c>
      <c r="AH39" s="47">
        <f t="shared" si="23"/>
        <v>42552.914771020609</v>
      </c>
      <c r="AI39" s="47">
        <f t="shared" si="24"/>
        <v>47250.999800834594</v>
      </c>
      <c r="AJ39" s="47">
        <f t="shared" si="7"/>
        <v>134467.21067642514</v>
      </c>
      <c r="AK39" s="47">
        <f t="shared" si="8"/>
        <v>149313.15937063732</v>
      </c>
      <c r="AL39" s="1"/>
      <c r="AO39" s="109"/>
      <c r="AP39" s="108"/>
      <c r="AQ39" s="25" t="s">
        <v>151</v>
      </c>
      <c r="AR39" s="25" t="s">
        <v>152</v>
      </c>
      <c r="AS39" s="25" t="s">
        <v>151</v>
      </c>
      <c r="AT39" s="25" t="s">
        <v>152</v>
      </c>
    </row>
    <row r="40" spans="2:51" x14ac:dyDescent="0.25">
      <c r="B40" s="107" t="s">
        <v>143</v>
      </c>
      <c r="C40" s="107"/>
      <c r="D40" s="67">
        <v>1</v>
      </c>
      <c r="E40" s="67">
        <v>2</v>
      </c>
      <c r="F40" s="67">
        <v>3</v>
      </c>
      <c r="G40" s="67">
        <v>4</v>
      </c>
      <c r="H40" s="67">
        <v>5</v>
      </c>
      <c r="I40" s="67">
        <v>6</v>
      </c>
      <c r="J40" s="67">
        <v>7</v>
      </c>
      <c r="P40" s="102"/>
      <c r="Q40" s="38" t="s">
        <v>132</v>
      </c>
      <c r="R40" s="43">
        <v>5</v>
      </c>
      <c r="S40" s="41">
        <v>47089.316932468602</v>
      </c>
      <c r="T40">
        <v>0.71717991336111298</v>
      </c>
      <c r="U40">
        <v>0.79041221259829997</v>
      </c>
      <c r="W40" s="23">
        <f t="shared" si="25"/>
        <v>110939417.7013761</v>
      </c>
      <c r="X40" s="23">
        <f t="shared" si="26"/>
        <v>122267605.34711081</v>
      </c>
      <c r="Z40" s="23">
        <f t="shared" si="2"/>
        <v>49526.525759542899</v>
      </c>
      <c r="AA40" s="23">
        <f t="shared" si="3"/>
        <v>54583.752387103043</v>
      </c>
      <c r="AE40" s="102"/>
      <c r="AF40" s="38" t="s">
        <v>132</v>
      </c>
      <c r="AG40" s="41">
        <f t="shared" si="4"/>
        <v>5</v>
      </c>
      <c r="AH40" s="47">
        <f t="shared" si="23"/>
        <v>49526.525759542899</v>
      </c>
      <c r="AI40" s="47">
        <f t="shared" si="24"/>
        <v>54583.752387103043</v>
      </c>
      <c r="AJ40" s="47">
        <f t="shared" si="7"/>
        <v>156503.82140015558</v>
      </c>
      <c r="AK40" s="47">
        <f t="shared" si="8"/>
        <v>172484.65754324562</v>
      </c>
      <c r="AL40" s="1"/>
      <c r="AO40" t="s">
        <v>135</v>
      </c>
      <c r="AP40">
        <v>1</v>
      </c>
      <c r="AQ40" s="23">
        <v>458.3278130763461</v>
      </c>
      <c r="AR40" s="23">
        <v>497.29839382881909</v>
      </c>
      <c r="AS40" s="23">
        <v>1448.3158893212537</v>
      </c>
      <c r="AT40" s="23">
        <v>1571.4629244990683</v>
      </c>
    </row>
    <row r="41" spans="2:51" x14ac:dyDescent="0.25">
      <c r="B41" s="102" t="s">
        <v>145</v>
      </c>
      <c r="C41" s="38" t="s">
        <v>135</v>
      </c>
      <c r="D41" s="70">
        <v>15436.9433789828</v>
      </c>
      <c r="E41" s="70">
        <v>27659.818571641001</v>
      </c>
      <c r="F41" s="70">
        <v>36800.118233810099</v>
      </c>
      <c r="G41" s="70">
        <v>42983.9554470476</v>
      </c>
      <c r="H41" s="70">
        <v>46332.283805599356</v>
      </c>
      <c r="I41" s="41">
        <v>46961.108499253503</v>
      </c>
      <c r="J41" s="70">
        <v>44981.688760458797</v>
      </c>
      <c r="K41">
        <f>G45/H41</f>
        <v>0.95899676877309115</v>
      </c>
      <c r="P41" s="102"/>
      <c r="Q41" s="38" t="s">
        <v>133</v>
      </c>
      <c r="R41" s="43">
        <v>5</v>
      </c>
      <c r="S41" s="41">
        <v>45989.076726526197</v>
      </c>
      <c r="T41">
        <v>0.82132251370564202</v>
      </c>
      <c r="U41">
        <v>0.88312021272233399</v>
      </c>
      <c r="W41" s="23">
        <f t="shared" si="25"/>
        <v>124080573.56860557</v>
      </c>
      <c r="X41" s="23">
        <f t="shared" si="26"/>
        <v>133416606.38306621</v>
      </c>
      <c r="Z41" s="23">
        <f t="shared" si="2"/>
        <v>55393.113200270345</v>
      </c>
      <c r="AA41" s="23">
        <f t="shared" si="3"/>
        <v>59560.984992440273</v>
      </c>
      <c r="AE41" s="102"/>
      <c r="AF41" s="38" t="s">
        <v>133</v>
      </c>
      <c r="AG41" s="41">
        <f t="shared" si="4"/>
        <v>5</v>
      </c>
      <c r="AH41" s="47">
        <f t="shared" si="23"/>
        <v>55393.113200270345</v>
      </c>
      <c r="AI41" s="47">
        <f t="shared" si="24"/>
        <v>59560.984992440273</v>
      </c>
      <c r="AJ41" s="47">
        <f t="shared" si="7"/>
        <v>175042.23771285429</v>
      </c>
      <c r="AK41" s="47">
        <f t="shared" si="8"/>
        <v>188212.71257611128</v>
      </c>
      <c r="AL41" s="1"/>
      <c r="AO41" t="s">
        <v>131</v>
      </c>
      <c r="AP41">
        <v>1</v>
      </c>
      <c r="AQ41" s="23">
        <v>554.32652424555488</v>
      </c>
      <c r="AR41" s="23">
        <v>615.52734113907638</v>
      </c>
      <c r="AS41" s="23">
        <v>1751.6718166159535</v>
      </c>
      <c r="AT41" s="23">
        <v>1945.0663979994815</v>
      </c>
    </row>
    <row r="42" spans="2:51" x14ac:dyDescent="0.25">
      <c r="B42" s="102"/>
      <c r="C42" s="38" t="s">
        <v>131</v>
      </c>
      <c r="D42" s="70">
        <v>16033.689337998499</v>
      </c>
      <c r="E42" s="70">
        <v>28632.712952319602</v>
      </c>
      <c r="F42" s="70">
        <v>37942.330689885603</v>
      </c>
      <c r="G42" s="70">
        <v>44101.659027397603</v>
      </c>
      <c r="H42" s="70">
        <v>47243.930888472853</v>
      </c>
      <c r="I42" s="41">
        <v>47496.744472523162</v>
      </c>
      <c r="J42" s="70">
        <v>44982.301560093802</v>
      </c>
      <c r="P42" s="102"/>
      <c r="Q42" s="38" t="s">
        <v>134</v>
      </c>
      <c r="R42" s="43">
        <v>4</v>
      </c>
      <c r="S42" s="41">
        <v>44432.5104594476</v>
      </c>
      <c r="T42">
        <v>0.89710520243980096</v>
      </c>
      <c r="U42">
        <v>1</v>
      </c>
      <c r="W42" s="23">
        <f t="shared" si="25"/>
        <v>130942190.21472387</v>
      </c>
      <c r="X42" s="23">
        <f t="shared" si="26"/>
        <v>145960796.85928535</v>
      </c>
      <c r="Z42" s="23">
        <f t="shared" si="2"/>
        <v>58456.334917287444</v>
      </c>
      <c r="AA42" s="23">
        <f t="shared" si="3"/>
        <v>65161.070026466674</v>
      </c>
      <c r="AE42" s="102"/>
      <c r="AF42" s="38" t="s">
        <v>134</v>
      </c>
      <c r="AG42" s="41">
        <f t="shared" si="4"/>
        <v>4</v>
      </c>
      <c r="AH42" s="47">
        <f t="shared" si="23"/>
        <v>58456.334917287444</v>
      </c>
      <c r="AI42" s="47">
        <f t="shared" si="24"/>
        <v>65161.070026466674</v>
      </c>
      <c r="AJ42" s="47">
        <f t="shared" si="7"/>
        <v>184722.01833862835</v>
      </c>
      <c r="AK42" s="47">
        <f t="shared" si="8"/>
        <v>205908.9812836347</v>
      </c>
      <c r="AL42" s="1"/>
      <c r="AO42" t="s">
        <v>132</v>
      </c>
      <c r="AP42">
        <v>1</v>
      </c>
      <c r="AQ42" s="23">
        <v>315.39576371845124</v>
      </c>
      <c r="AR42" s="23">
        <v>347.60129055553773</v>
      </c>
      <c r="AS42" s="23">
        <v>996.650613350306</v>
      </c>
      <c r="AT42" s="23">
        <v>1098.4200781554994</v>
      </c>
    </row>
    <row r="43" spans="2:51" ht="15" customHeight="1" x14ac:dyDescent="0.25">
      <c r="B43" s="102"/>
      <c r="C43" s="38" t="s">
        <v>132</v>
      </c>
      <c r="D43" s="70">
        <v>16632.021574407001</v>
      </c>
      <c r="E43" s="70">
        <v>29493.556289889599</v>
      </c>
      <c r="F43" s="70">
        <v>38751.6805104339</v>
      </c>
      <c r="G43" s="70">
        <v>44566.067176422403</v>
      </c>
      <c r="H43" s="41">
        <v>47089.313862297502</v>
      </c>
      <c r="I43" s="70">
        <v>46467.256297453205</v>
      </c>
      <c r="J43" s="70">
        <v>42839.267994516071</v>
      </c>
      <c r="P43" s="102" t="s">
        <v>146</v>
      </c>
      <c r="Q43" s="38" t="s">
        <v>135</v>
      </c>
      <c r="R43" s="43">
        <v>4</v>
      </c>
      <c r="S43" s="41">
        <v>15309.16964325912</v>
      </c>
      <c r="T43">
        <v>0.50348324702996095</v>
      </c>
      <c r="U43">
        <v>0.54629329253909098</v>
      </c>
      <c r="W43" s="23">
        <f>$S43*$T43*$P$2*$N$12</f>
        <v>16880323.866492137</v>
      </c>
      <c r="X43" s="23">
        <f>$S43*$U43*$P$2*$N$12</f>
        <v>18315619.752097599</v>
      </c>
      <c r="Z43" s="23">
        <f t="shared" si="2"/>
        <v>7535.8588689697044</v>
      </c>
      <c r="AA43" s="23">
        <f t="shared" si="3"/>
        <v>8176.6159607578566</v>
      </c>
      <c r="AE43" s="102" t="s">
        <v>146</v>
      </c>
      <c r="AF43" s="38" t="s">
        <v>135</v>
      </c>
      <c r="AG43" s="41">
        <f t="shared" si="4"/>
        <v>4</v>
      </c>
      <c r="AH43" s="47">
        <f t="shared" si="23"/>
        <v>7535.8588689697044</v>
      </c>
      <c r="AI43" s="47">
        <f t="shared" si="24"/>
        <v>8176.6159607578566</v>
      </c>
      <c r="AJ43" s="47">
        <f t="shared" si="7"/>
        <v>23813.314025944266</v>
      </c>
      <c r="AK43" s="47">
        <f t="shared" si="8"/>
        <v>25838.106435994829</v>
      </c>
      <c r="AL43" s="1"/>
      <c r="AN43" t="s">
        <v>146</v>
      </c>
      <c r="AO43" t="s">
        <v>133</v>
      </c>
      <c r="AP43">
        <v>1</v>
      </c>
      <c r="AQ43" s="23">
        <v>-360.54890251133577</v>
      </c>
      <c r="AR43" s="23">
        <v>-387.67721348100144</v>
      </c>
      <c r="AS43" s="23">
        <v>-1139.3345319358211</v>
      </c>
      <c r="AT43" s="23">
        <v>-1225.0599945999645</v>
      </c>
    </row>
    <row r="44" spans="2:51" x14ac:dyDescent="0.25">
      <c r="B44" s="102"/>
      <c r="C44" s="38" t="s">
        <v>133</v>
      </c>
      <c r="D44" s="70">
        <v>17310.975503774898</v>
      </c>
      <c r="E44" s="70">
        <v>30369.951540388</v>
      </c>
      <c r="F44" s="70">
        <v>39377.010409435505</v>
      </c>
      <c r="G44" s="70">
        <v>44522.819327818397</v>
      </c>
      <c r="H44" s="41">
        <v>45989.073466341652</v>
      </c>
      <c r="I44" s="70">
        <v>43948.918138765017</v>
      </c>
      <c r="J44" s="70">
        <v>38567.351124303685</v>
      </c>
      <c r="P44" s="102"/>
      <c r="Q44" s="38" t="s">
        <v>131</v>
      </c>
      <c r="R44" s="43">
        <v>4</v>
      </c>
      <c r="S44" s="41">
        <v>16131.266748890361</v>
      </c>
      <c r="T44">
        <v>0.61091126445657895</v>
      </c>
      <c r="U44">
        <v>0.67835936011659204</v>
      </c>
      <c r="W44" s="23">
        <f t="shared" ref="W44:W47" si="27">$S44*$T44*$P$2*$N$12</f>
        <v>21581951.921403639</v>
      </c>
      <c r="X44" s="23">
        <f t="shared" ref="X44:X47" si="28">$S44*$U44*$P$2*$N$12</f>
        <v>23964722.779327638</v>
      </c>
      <c r="Z44" s="23">
        <f t="shared" si="2"/>
        <v>9634.7999649123394</v>
      </c>
      <c r="AA44" s="23">
        <f t="shared" si="3"/>
        <v>10698.536955056981</v>
      </c>
      <c r="AE44" s="102"/>
      <c r="AF44" s="38" t="s">
        <v>131</v>
      </c>
      <c r="AG44" s="41">
        <f t="shared" si="4"/>
        <v>4</v>
      </c>
      <c r="AH44" s="47">
        <f t="shared" si="23"/>
        <v>9634.7999649123394</v>
      </c>
      <c r="AI44" s="47">
        <f t="shared" si="24"/>
        <v>10698.536955056981</v>
      </c>
      <c r="AJ44" s="47">
        <f t="shared" si="7"/>
        <v>30445.967889122992</v>
      </c>
      <c r="AK44" s="47">
        <f t="shared" si="8"/>
        <v>33807.376777980062</v>
      </c>
      <c r="AL44" s="1"/>
      <c r="AO44" t="s">
        <v>134</v>
      </c>
      <c r="AP44">
        <v>1</v>
      </c>
      <c r="AQ44" s="23">
        <v>-1772.7803366672899</v>
      </c>
      <c r="AR44" s="23">
        <v>-1976.1119786686893</v>
      </c>
      <c r="AS44" s="23">
        <v>-5601.9858638686364</v>
      </c>
      <c r="AT44" s="23">
        <v>-6244.5138525930588</v>
      </c>
    </row>
    <row r="45" spans="2:51" x14ac:dyDescent="0.25">
      <c r="B45" s="102"/>
      <c r="C45" s="38" t="s">
        <v>134</v>
      </c>
      <c r="D45" s="70">
        <v>18666.039334244098</v>
      </c>
      <c r="E45" s="70">
        <v>32114.520799876402</v>
      </c>
      <c r="F45" s="70">
        <v>40617.413632061398</v>
      </c>
      <c r="G45" s="41">
        <v>44432.5104594476</v>
      </c>
      <c r="H45" s="70">
        <v>43804.166270736394</v>
      </c>
      <c r="I45" s="70">
        <v>38963.998862044857</v>
      </c>
      <c r="J45" s="70">
        <v>30131.552772913132</v>
      </c>
      <c r="P45" s="102"/>
      <c r="Q45" s="38" t="s">
        <v>132</v>
      </c>
      <c r="R45" s="43">
        <v>3</v>
      </c>
      <c r="S45" s="41">
        <v>15883.00380042255</v>
      </c>
      <c r="T45">
        <v>0.71717991336111298</v>
      </c>
      <c r="U45">
        <v>0.79041221259829997</v>
      </c>
      <c r="W45" s="23">
        <f t="shared" si="27"/>
        <v>24946227.124007788</v>
      </c>
      <c r="X45" s="23">
        <f t="shared" si="28"/>
        <v>27493523.186752237</v>
      </c>
      <c r="Z45" s="23">
        <f t="shared" si="2"/>
        <v>11136.708537503477</v>
      </c>
      <c r="AA45" s="23">
        <f t="shared" si="3"/>
        <v>12273.894279800106</v>
      </c>
      <c r="AE45" s="102"/>
      <c r="AF45" s="38" t="s">
        <v>132</v>
      </c>
      <c r="AG45" s="41">
        <f t="shared" si="4"/>
        <v>3</v>
      </c>
      <c r="AH45" s="47">
        <f t="shared" si="23"/>
        <v>11136.708537503477</v>
      </c>
      <c r="AI45" s="47">
        <f t="shared" si="24"/>
        <v>12273.894279800106</v>
      </c>
      <c r="AJ45" s="47">
        <f t="shared" si="7"/>
        <v>35191.998978510986</v>
      </c>
      <c r="AK45" s="47">
        <f t="shared" si="8"/>
        <v>38785.505924168334</v>
      </c>
      <c r="AL45" s="1"/>
      <c r="AO45" t="s">
        <v>157</v>
      </c>
    </row>
    <row r="46" spans="2:51" x14ac:dyDescent="0.25">
      <c r="B46" s="102" t="s">
        <v>146</v>
      </c>
      <c r="C46" s="38" t="s">
        <v>135</v>
      </c>
      <c r="D46" s="70">
        <v>7644.1556342597496</v>
      </c>
      <c r="E46" s="70">
        <v>12680.249351202619</v>
      </c>
      <c r="F46" s="70">
        <v>15204.397156538282</v>
      </c>
      <c r="G46" s="41">
        <v>15309.172852286119</v>
      </c>
      <c r="H46" s="70">
        <v>13083.73857909855</v>
      </c>
      <c r="I46" s="70">
        <v>8613.9705476570998</v>
      </c>
      <c r="J46" s="70">
        <v>1982.580136435374</v>
      </c>
      <c r="P46" s="102"/>
      <c r="Q46" s="38" t="s">
        <v>133</v>
      </c>
      <c r="R46" s="43">
        <v>3</v>
      </c>
      <c r="S46" s="41">
        <v>14885.624565340051</v>
      </c>
      <c r="T46">
        <v>0.82132251370564202</v>
      </c>
      <c r="U46">
        <v>0.88312021272233399</v>
      </c>
      <c r="W46" s="23">
        <f t="shared" si="27"/>
        <v>26774717.903522965</v>
      </c>
      <c r="X46" s="23">
        <f t="shared" si="28"/>
        <v>28789293.092498917</v>
      </c>
      <c r="Z46" s="23">
        <f t="shared" si="2"/>
        <v>11952.999064072752</v>
      </c>
      <c r="AA46" s="23">
        <f t="shared" si="3"/>
        <v>12852.36298772273</v>
      </c>
      <c r="AE46" s="102"/>
      <c r="AF46" s="38" t="s">
        <v>133</v>
      </c>
      <c r="AG46" s="41">
        <f t="shared" si="4"/>
        <v>3</v>
      </c>
      <c r="AH46" s="47">
        <f t="shared" si="23"/>
        <v>11952.999064072752</v>
      </c>
      <c r="AI46" s="47">
        <f t="shared" si="24"/>
        <v>12852.36298772273</v>
      </c>
      <c r="AJ46" s="47">
        <f t="shared" si="7"/>
        <v>37771.477042469895</v>
      </c>
      <c r="AK46" s="47">
        <f t="shared" si="8"/>
        <v>40613.467041203832</v>
      </c>
      <c r="AL46" s="1"/>
      <c r="AO46" t="s">
        <v>135</v>
      </c>
      <c r="AP46">
        <v>2</v>
      </c>
      <c r="AQ46" s="23">
        <v>2893.3059217542541</v>
      </c>
      <c r="AR46" s="23">
        <v>3139.3172019960457</v>
      </c>
      <c r="AS46" s="23">
        <v>9142.8467127434433</v>
      </c>
      <c r="AT46" s="23">
        <v>9920.2423583075051</v>
      </c>
    </row>
    <row r="47" spans="2:51" x14ac:dyDescent="0.25">
      <c r="B47" s="102"/>
      <c r="C47" s="38" t="s">
        <v>131</v>
      </c>
      <c r="D47" s="70">
        <v>8124.3740376901496</v>
      </c>
      <c r="E47" s="70">
        <v>13450.51098548186</v>
      </c>
      <c r="F47" s="70">
        <v>16085.2291358127</v>
      </c>
      <c r="G47" s="41">
        <v>16131.269161092279</v>
      </c>
      <c r="H47" s="70">
        <v>13687.4497704227</v>
      </c>
      <c r="I47" s="70">
        <v>8848.8174243701997</v>
      </c>
      <c r="J47" s="70">
        <v>1706.790334608989</v>
      </c>
      <c r="P47" s="102"/>
      <c r="Q47" s="38" t="s">
        <v>134</v>
      </c>
      <c r="R47" s="43">
        <v>3</v>
      </c>
      <c r="S47" s="41">
        <v>13591.108540609228</v>
      </c>
      <c r="T47">
        <v>0.89710520243980096</v>
      </c>
      <c r="U47">
        <v>1</v>
      </c>
      <c r="W47" s="23">
        <f t="shared" si="27"/>
        <v>26701912.651362967</v>
      </c>
      <c r="X47" s="23">
        <f t="shared" si="28"/>
        <v>29764527.703934211</v>
      </c>
      <c r="Z47" s="23">
        <f t="shared" si="2"/>
        <v>11920.496719358467</v>
      </c>
      <c r="AA47" s="23">
        <f t="shared" si="3"/>
        <v>13287.735582113488</v>
      </c>
      <c r="AE47" s="102"/>
      <c r="AF47" s="38" t="s">
        <v>134</v>
      </c>
      <c r="AG47" s="41">
        <f t="shared" si="4"/>
        <v>3</v>
      </c>
      <c r="AH47" s="47">
        <f t="shared" si="23"/>
        <v>11920.496719358467</v>
      </c>
      <c r="AI47" s="47">
        <f t="shared" si="24"/>
        <v>13287.735582113488</v>
      </c>
      <c r="AJ47" s="47">
        <f t="shared" si="7"/>
        <v>37668.769633172757</v>
      </c>
      <c r="AK47" s="47">
        <f t="shared" si="8"/>
        <v>41989.244439478622</v>
      </c>
      <c r="AL47" s="1"/>
      <c r="AO47" t="s">
        <v>131</v>
      </c>
      <c r="AP47">
        <v>2</v>
      </c>
      <c r="AQ47" s="23">
        <v>3669.5304128095395</v>
      </c>
      <c r="AR47" s="23">
        <v>4074.6675459915</v>
      </c>
      <c r="AS47" s="23">
        <v>11595.716104478146</v>
      </c>
      <c r="AT47" s="23">
        <v>12875.949445333141</v>
      </c>
    </row>
    <row r="48" spans="2:51" ht="15" customHeight="1" x14ac:dyDescent="0.25">
      <c r="B48" s="102"/>
      <c r="C48" s="38" t="s">
        <v>132</v>
      </c>
      <c r="D48" s="70">
        <v>8323.5237615544902</v>
      </c>
      <c r="E48" s="70">
        <v>13576.9379212288</v>
      </c>
      <c r="F48" s="41">
        <v>15883.000446163678</v>
      </c>
      <c r="G48" s="70">
        <v>15359.56084079056</v>
      </c>
      <c r="H48" s="70">
        <v>12119.75641112755</v>
      </c>
      <c r="I48" s="70">
        <v>6272.2006814735396</v>
      </c>
      <c r="J48" s="70">
        <v>-2078.835722718356</v>
      </c>
      <c r="P48" s="44" t="s">
        <v>142</v>
      </c>
      <c r="Q48" s="38">
        <v>5</v>
      </c>
      <c r="R48" s="44"/>
      <c r="Z48" s="23"/>
      <c r="AA48" s="23"/>
      <c r="AE48" s="105" t="s">
        <v>160</v>
      </c>
      <c r="AF48" s="106"/>
      <c r="AG48" s="41"/>
      <c r="AH48" s="47"/>
      <c r="AI48" s="47"/>
      <c r="AJ48" s="47"/>
      <c r="AK48" s="47"/>
      <c r="AL48" s="1"/>
      <c r="AO48" t="s">
        <v>132</v>
      </c>
      <c r="AP48">
        <v>1</v>
      </c>
      <c r="AQ48" s="23">
        <v>3956.1786901867731</v>
      </c>
      <c r="AR48" s="23">
        <v>4360.1499340518549</v>
      </c>
      <c r="AS48" s="23">
        <v>12501.524660990204</v>
      </c>
      <c r="AT48" s="23">
        <v>13778.073791603862</v>
      </c>
    </row>
    <row r="49" spans="2:46" ht="15" customHeight="1" x14ac:dyDescent="0.25">
      <c r="B49" s="102"/>
      <c r="C49" s="38" t="s">
        <v>133</v>
      </c>
      <c r="D49" s="70">
        <v>8364.8294243261007</v>
      </c>
      <c r="E49" s="70">
        <v>13277.92170401086</v>
      </c>
      <c r="F49" s="41">
        <v>14885.621014553431</v>
      </c>
      <c r="G49" s="70">
        <v>13328.066940311001</v>
      </c>
      <c r="H49" s="70">
        <v>8739.4575321289503</v>
      </c>
      <c r="I49" s="70">
        <v>1248.3012120411181</v>
      </c>
      <c r="J49" s="70">
        <v>-9022.3420020931408</v>
      </c>
      <c r="P49" s="102" t="s">
        <v>145</v>
      </c>
      <c r="Q49" s="38" t="s">
        <v>135</v>
      </c>
      <c r="R49" s="43">
        <v>7</v>
      </c>
      <c r="S49" s="41">
        <v>59827.923695637721</v>
      </c>
      <c r="T49">
        <v>0.50348324702996095</v>
      </c>
      <c r="U49">
        <v>0.54629329253909098</v>
      </c>
      <c r="W49" s="23">
        <f>$T49*$S49*$P$2*$N$11</f>
        <v>98951943.682343289</v>
      </c>
      <c r="X49" s="23">
        <f>$U49*$S49*$P$2*$N$11</f>
        <v>107365604.38952051</v>
      </c>
      <c r="Z49" s="23">
        <f t="shared" si="2"/>
        <v>44174.974858188965</v>
      </c>
      <c r="AA49" s="23">
        <f t="shared" si="3"/>
        <v>47931.073388178796</v>
      </c>
      <c r="AE49" s="102" t="s">
        <v>145</v>
      </c>
      <c r="AF49" s="38" t="s">
        <v>135</v>
      </c>
      <c r="AG49" s="41">
        <f t="shared" si="4"/>
        <v>7</v>
      </c>
      <c r="AH49" s="47">
        <f t="shared" ref="AH49:AH58" si="29">Z49</f>
        <v>44174.974858188965</v>
      </c>
      <c r="AI49" s="47">
        <f t="shared" ref="AI49:AI58" si="30">AA49</f>
        <v>47931.073388178796</v>
      </c>
      <c r="AJ49" s="47">
        <f t="shared" si="7"/>
        <v>139592.92055187715</v>
      </c>
      <c r="AK49" s="47">
        <f t="shared" si="8"/>
        <v>151462.19190664499</v>
      </c>
      <c r="AL49" s="1"/>
      <c r="AN49" t="s">
        <v>145</v>
      </c>
      <c r="AO49" t="s">
        <v>133</v>
      </c>
      <c r="AP49">
        <v>1</v>
      </c>
      <c r="AQ49" s="23">
        <v>4291.3995054397446</v>
      </c>
      <c r="AR49" s="23">
        <v>4614.2916830826334</v>
      </c>
      <c r="AS49" s="23">
        <v>13560.822437189594</v>
      </c>
      <c r="AT49" s="23">
        <v>14581.161718541121</v>
      </c>
    </row>
    <row r="50" spans="2:46" x14ac:dyDescent="0.25">
      <c r="B50" s="102"/>
      <c r="C50" s="38" t="s">
        <v>134</v>
      </c>
      <c r="D50" s="70">
        <v>8693.9349939392396</v>
      </c>
      <c r="E50" s="70">
        <v>13158.13352590752</v>
      </c>
      <c r="F50" s="41">
        <v>13591.108540609228</v>
      </c>
      <c r="G50" s="70">
        <v>10182.0562346324</v>
      </c>
      <c r="H50" s="70">
        <v>3111.2933165764098</v>
      </c>
      <c r="I50" s="70">
        <v>-7449.3262546197602</v>
      </c>
      <c r="J50" s="70">
        <v>-21336.014090000121</v>
      </c>
      <c r="P50" s="102"/>
      <c r="Q50" s="38" t="s">
        <v>131</v>
      </c>
      <c r="R50" s="43">
        <v>7</v>
      </c>
      <c r="S50" s="41">
        <v>60813.238841944541</v>
      </c>
      <c r="T50">
        <v>0.61091126445657895</v>
      </c>
      <c r="U50">
        <v>0.67835936011659204</v>
      </c>
      <c r="W50" s="23">
        <f t="shared" ref="W50:W53" si="31">$T50*$S50*$P$2*$N$11</f>
        <v>122042653.31133704</v>
      </c>
      <c r="X50" s="23">
        <f t="shared" ref="X50:X53" si="32">$U50*$S50*$P$2*$N$11</f>
        <v>135516859.85173702</v>
      </c>
      <c r="Z50" s="23">
        <f t="shared" si="2"/>
        <v>54483.327371132604</v>
      </c>
      <c r="AA50" s="23">
        <f t="shared" si="3"/>
        <v>60498.598148096884</v>
      </c>
      <c r="AE50" s="102"/>
      <c r="AF50" s="38" t="s">
        <v>131</v>
      </c>
      <c r="AG50" s="41">
        <f t="shared" si="4"/>
        <v>7</v>
      </c>
      <c r="AH50" s="47">
        <f t="shared" si="29"/>
        <v>54483.327371132604</v>
      </c>
      <c r="AI50" s="47">
        <f t="shared" si="30"/>
        <v>60498.598148096884</v>
      </c>
      <c r="AJ50" s="47">
        <f t="shared" si="7"/>
        <v>172167.31449277903</v>
      </c>
      <c r="AK50" s="47">
        <f t="shared" si="8"/>
        <v>191175.57014798617</v>
      </c>
      <c r="AL50" s="1"/>
      <c r="AO50" t="s">
        <v>134</v>
      </c>
      <c r="AP50">
        <v>1</v>
      </c>
      <c r="AQ50" s="23">
        <v>4365.1019844347738</v>
      </c>
      <c r="AR50" s="23">
        <v>4865.763761667281</v>
      </c>
      <c r="AS50" s="23">
        <v>13793.722270813885</v>
      </c>
      <c r="AT50" s="23">
        <v>15375.813486868608</v>
      </c>
    </row>
    <row r="51" spans="2:46" x14ac:dyDescent="0.25">
      <c r="B51" s="107" t="s">
        <v>142</v>
      </c>
      <c r="C51" s="107"/>
      <c r="D51" s="107"/>
      <c r="E51" s="107"/>
      <c r="F51" s="38">
        <v>5</v>
      </c>
      <c r="G51" s="38"/>
      <c r="H51" s="38"/>
      <c r="I51" s="38"/>
      <c r="J51" s="38"/>
      <c r="P51" s="102"/>
      <c r="Q51" s="38" t="s">
        <v>132</v>
      </c>
      <c r="R51" s="43">
        <v>7</v>
      </c>
      <c r="S51" s="41">
        <v>60135.35017484687</v>
      </c>
      <c r="T51">
        <v>0.71717991336111298</v>
      </c>
      <c r="U51">
        <v>0.79041221259829997</v>
      </c>
      <c r="W51" s="23">
        <f t="shared" si="31"/>
        <v>141675037.27508661</v>
      </c>
      <c r="X51" s="23">
        <f t="shared" si="32"/>
        <v>156141684.38953903</v>
      </c>
      <c r="Z51" s="23">
        <f t="shared" si="2"/>
        <v>63247.784497806526</v>
      </c>
      <c r="AA51" s="23">
        <f t="shared" si="3"/>
        <v>69706.109102472779</v>
      </c>
      <c r="AE51" s="102"/>
      <c r="AF51" s="38" t="s">
        <v>132</v>
      </c>
      <c r="AG51" s="41">
        <f t="shared" si="4"/>
        <v>7</v>
      </c>
      <c r="AH51" s="47">
        <f t="shared" si="29"/>
        <v>63247.784497806526</v>
      </c>
      <c r="AI51" s="47">
        <f t="shared" si="30"/>
        <v>69706.109102472779</v>
      </c>
      <c r="AJ51" s="47">
        <f t="shared" si="7"/>
        <v>199862.99901306862</v>
      </c>
      <c r="AK51" s="47">
        <f t="shared" si="8"/>
        <v>220271.304763814</v>
      </c>
      <c r="AL51" s="1"/>
      <c r="AO51" t="s">
        <v>158</v>
      </c>
    </row>
    <row r="52" spans="2:46" x14ac:dyDescent="0.25">
      <c r="B52" s="107" t="s">
        <v>143</v>
      </c>
      <c r="C52" s="107"/>
      <c r="D52" s="38">
        <v>1</v>
      </c>
      <c r="E52" s="38">
        <v>2</v>
      </c>
      <c r="F52" s="38">
        <v>3</v>
      </c>
      <c r="G52" s="38">
        <v>4</v>
      </c>
      <c r="H52" s="38">
        <v>5</v>
      </c>
      <c r="I52" s="38">
        <v>6</v>
      </c>
      <c r="J52" s="38">
        <v>7</v>
      </c>
      <c r="K52" s="38">
        <v>8</v>
      </c>
      <c r="P52" s="102"/>
      <c r="Q52" s="38" t="s">
        <v>133</v>
      </c>
      <c r="R52" s="43">
        <v>6</v>
      </c>
      <c r="S52" s="41">
        <v>58780.565196174844</v>
      </c>
      <c r="T52">
        <v>0.82132251370564202</v>
      </c>
      <c r="U52">
        <v>0.88312021272233399</v>
      </c>
      <c r="W52" s="23">
        <f t="shared" si="31"/>
        <v>158592578.13761088</v>
      </c>
      <c r="X52" s="23">
        <f t="shared" si="32"/>
        <v>170525352.71335053</v>
      </c>
      <c r="Z52" s="23">
        <f t="shared" si="2"/>
        <v>70800.258097147715</v>
      </c>
      <c r="AA52" s="23">
        <f t="shared" si="3"/>
        <v>76127.389604174343</v>
      </c>
      <c r="AE52" s="102"/>
      <c r="AF52" s="38" t="s">
        <v>133</v>
      </c>
      <c r="AG52" s="41">
        <f t="shared" si="4"/>
        <v>6</v>
      </c>
      <c r="AH52" s="47">
        <f t="shared" si="29"/>
        <v>70800.258097147715</v>
      </c>
      <c r="AI52" s="47">
        <f t="shared" si="30"/>
        <v>76127.389604174343</v>
      </c>
      <c r="AJ52" s="47">
        <f t="shared" si="7"/>
        <v>223728.81558698678</v>
      </c>
      <c r="AK52" s="47">
        <f t="shared" si="8"/>
        <v>240562.55114919093</v>
      </c>
      <c r="AL52" s="1"/>
      <c r="AO52" t="s">
        <v>135</v>
      </c>
      <c r="AP52">
        <v>3</v>
      </c>
      <c r="AQ52" s="23">
        <v>5268.1175752524205</v>
      </c>
      <c r="AR52" s="23">
        <v>5716.0537369308704</v>
      </c>
      <c r="AS52" s="23">
        <v>16647.251537797649</v>
      </c>
      <c r="AT52" s="23">
        <v>18062.729808701552</v>
      </c>
    </row>
    <row r="53" spans="2:46" x14ac:dyDescent="0.25">
      <c r="B53" s="102" t="s">
        <v>145</v>
      </c>
      <c r="C53" s="38" t="s">
        <v>135</v>
      </c>
      <c r="D53" s="70">
        <v>15945.6909935653</v>
      </c>
      <c r="E53" s="70">
        <v>29286.717727678599</v>
      </c>
      <c r="F53" s="70">
        <v>40108.881032087098</v>
      </c>
      <c r="G53" s="70">
        <v>48495.155352153597</v>
      </c>
      <c r="H53" s="70">
        <v>54525.781853419503</v>
      </c>
      <c r="I53" s="70">
        <v>58278.358459192379</v>
      </c>
      <c r="J53" s="41">
        <v>59827.926922174738</v>
      </c>
      <c r="K53" s="70">
        <v>59247.057027860559</v>
      </c>
      <c r="M53">
        <f>H57/I53</f>
        <v>0.97760424317136874</v>
      </c>
      <c r="P53" s="102"/>
      <c r="Q53" s="38" t="s">
        <v>134</v>
      </c>
      <c r="R53" s="43">
        <v>6</v>
      </c>
      <c r="S53" s="41">
        <v>56989.368943461122</v>
      </c>
      <c r="T53">
        <v>0.89710520243980096</v>
      </c>
      <c r="U53">
        <v>1</v>
      </c>
      <c r="W53" s="23">
        <f t="shared" si="31"/>
        <v>167947134.00725853</v>
      </c>
      <c r="X53" s="23">
        <f t="shared" si="32"/>
        <v>187210076.9792698</v>
      </c>
      <c r="Z53" s="23">
        <f t="shared" si="2"/>
        <v>74976.399110383281</v>
      </c>
      <c r="AA53" s="23">
        <f t="shared" si="3"/>
        <v>83575.927222888306</v>
      </c>
      <c r="AE53" s="102"/>
      <c r="AF53" s="38" t="s">
        <v>134</v>
      </c>
      <c r="AG53" s="41">
        <f t="shared" si="4"/>
        <v>6</v>
      </c>
      <c r="AH53" s="47">
        <f t="shared" si="29"/>
        <v>74976.399110383281</v>
      </c>
      <c r="AI53" s="47">
        <f t="shared" si="30"/>
        <v>83575.927222888306</v>
      </c>
      <c r="AJ53" s="47">
        <f t="shared" si="7"/>
        <v>236925.42118881119</v>
      </c>
      <c r="AK53" s="47">
        <f t="shared" si="8"/>
        <v>264099.93002432707</v>
      </c>
      <c r="AL53" s="1"/>
      <c r="AO53" t="s">
        <v>131</v>
      </c>
      <c r="AP53">
        <v>3</v>
      </c>
      <c r="AQ53" s="23">
        <v>6717.1944296319143</v>
      </c>
      <c r="AR53" s="23">
        <v>7458.8110911936074</v>
      </c>
      <c r="AS53" s="23">
        <v>21226.334397636849</v>
      </c>
      <c r="AT53" s="23">
        <v>23569.843048171799</v>
      </c>
    </row>
    <row r="54" spans="2:46" ht="15" customHeight="1" x14ac:dyDescent="0.25">
      <c r="B54" s="102"/>
      <c r="C54" s="38" t="s">
        <v>131</v>
      </c>
      <c r="D54" s="70">
        <v>16584.471468727999</v>
      </c>
      <c r="E54" s="70">
        <v>30383.813843907999</v>
      </c>
      <c r="F54" s="70">
        <v>41492.897771254502</v>
      </c>
      <c r="G54" s="70">
        <v>50003.362290650803</v>
      </c>
      <c r="H54" s="70">
        <v>56003.724915257997</v>
      </c>
      <c r="I54" s="70">
        <v>59579.487960973027</v>
      </c>
      <c r="J54" s="41">
        <v>60813.241253946435</v>
      </c>
      <c r="K54" s="70">
        <v>59784.761339555756</v>
      </c>
      <c r="P54" s="102" t="s">
        <v>146</v>
      </c>
      <c r="Q54" s="38" t="s">
        <v>135</v>
      </c>
      <c r="R54" s="43">
        <v>4</v>
      </c>
      <c r="S54" s="41">
        <v>19716.405045307722</v>
      </c>
      <c r="T54">
        <v>0.50348324702996095</v>
      </c>
      <c r="U54">
        <v>0.54629329253909098</v>
      </c>
      <c r="W54" s="23">
        <f>$S54*$T54*$P$2*$N$12</f>
        <v>21739866.394013066</v>
      </c>
      <c r="X54" s="23">
        <f>$S54*$U54*$P$2*$N$12</f>
        <v>23588358.226025745</v>
      </c>
      <c r="Z54" s="23">
        <f t="shared" si="2"/>
        <v>9705.2974973272612</v>
      </c>
      <c r="AA54" s="23">
        <f t="shared" si="3"/>
        <v>10530.517065190064</v>
      </c>
      <c r="AE54" s="102" t="s">
        <v>146</v>
      </c>
      <c r="AF54" s="38" t="s">
        <v>135</v>
      </c>
      <c r="AG54" s="41">
        <f t="shared" si="4"/>
        <v>4</v>
      </c>
      <c r="AH54" s="47">
        <f t="shared" si="29"/>
        <v>9705.2974973272612</v>
      </c>
      <c r="AI54" s="47">
        <f t="shared" si="30"/>
        <v>10530.517065190064</v>
      </c>
      <c r="AJ54" s="47">
        <f t="shared" si="7"/>
        <v>30668.740091554148</v>
      </c>
      <c r="AK54" s="47">
        <f t="shared" si="8"/>
        <v>33276.433926000602</v>
      </c>
      <c r="AL54" s="1"/>
      <c r="AN54" t="s">
        <v>146</v>
      </c>
      <c r="AO54" t="s">
        <v>132</v>
      </c>
      <c r="AP54">
        <v>2</v>
      </c>
      <c r="AQ54" s="23">
        <v>7650.4296561596984</v>
      </c>
      <c r="AR54" s="23">
        <v>8431.6263174650139</v>
      </c>
      <c r="AS54" s="23">
        <v>24175.357713464648</v>
      </c>
      <c r="AT54" s="23">
        <v>26643.939163189447</v>
      </c>
    </row>
    <row r="55" spans="2:46" x14ac:dyDescent="0.25">
      <c r="B55" s="102"/>
      <c r="C55" s="38" t="s">
        <v>132</v>
      </c>
      <c r="D55" s="70">
        <v>17243.245416544101</v>
      </c>
      <c r="E55" s="70">
        <v>31426.610797999001</v>
      </c>
      <c r="F55" s="70">
        <v>42659.3458968009</v>
      </c>
      <c r="G55" s="70">
        <v>51046.799819522399</v>
      </c>
      <c r="H55" s="70">
        <v>56690.560295269497</v>
      </c>
      <c r="I55" s="70">
        <v>59688.587971651199</v>
      </c>
      <c r="J55" s="41">
        <v>60135.345915857659</v>
      </c>
      <c r="K55" s="70">
        <v>58121.924492034239</v>
      </c>
      <c r="P55" s="102"/>
      <c r="Q55" s="38" t="s">
        <v>131</v>
      </c>
      <c r="R55" s="43">
        <v>4</v>
      </c>
      <c r="S55" s="41">
        <v>20877.616253410841</v>
      </c>
      <c r="T55">
        <v>0.61091126445657895</v>
      </c>
      <c r="U55">
        <v>0.67835936011659204</v>
      </c>
      <c r="W55" s="23">
        <f t="shared" ref="W55:W58" si="33">$S55*$T55*$P$2*$N$12</f>
        <v>27932072.367820866</v>
      </c>
      <c r="X55" s="23">
        <f t="shared" ref="X55:X58" si="34">$S55*$U55*$P$2*$N$12</f>
        <v>31015932.821307555</v>
      </c>
      <c r="Z55" s="23">
        <f t="shared" si="2"/>
        <v>12469.675164205744</v>
      </c>
      <c r="AA55" s="23">
        <f t="shared" si="3"/>
        <v>13846.398580940873</v>
      </c>
      <c r="AE55" s="102"/>
      <c r="AF55" s="38" t="s">
        <v>131</v>
      </c>
      <c r="AG55" s="41">
        <f t="shared" si="4"/>
        <v>4</v>
      </c>
      <c r="AH55" s="47">
        <f t="shared" si="29"/>
        <v>12469.675164205744</v>
      </c>
      <c r="AI55" s="47">
        <f t="shared" si="30"/>
        <v>13846.398580940873</v>
      </c>
      <c r="AJ55" s="47">
        <f t="shared" si="7"/>
        <v>39404.173518890151</v>
      </c>
      <c r="AK55" s="47">
        <f t="shared" si="8"/>
        <v>43754.619515773164</v>
      </c>
      <c r="AL55" s="1"/>
      <c r="AO55" t="s">
        <v>133</v>
      </c>
      <c r="AP55">
        <v>2</v>
      </c>
      <c r="AQ55" s="23">
        <v>8251.2932936369107</v>
      </c>
      <c r="AR55" s="23">
        <v>8872.1345964742159</v>
      </c>
      <c r="AS55" s="23">
        <v>26074.08680789264</v>
      </c>
      <c r="AT55" s="23">
        <v>28035.945324858523</v>
      </c>
    </row>
    <row r="56" spans="2:46" x14ac:dyDescent="0.25">
      <c r="B56" s="102"/>
      <c r="C56" s="38" t="s">
        <v>133</v>
      </c>
      <c r="D56" s="70">
        <v>18007.8856028921</v>
      </c>
      <c r="E56" s="70">
        <v>32561.499153920198</v>
      </c>
      <c r="F56" s="70">
        <v>43791.879079664999</v>
      </c>
      <c r="G56" s="70">
        <v>51825.092840614801</v>
      </c>
      <c r="H56" s="70">
        <v>56782.4255056525</v>
      </c>
      <c r="I56" s="41">
        <v>58780.561172933398</v>
      </c>
      <c r="J56" s="70">
        <v>57931.757508530434</v>
      </c>
      <c r="K56" s="70">
        <v>54344.013663927923</v>
      </c>
      <c r="P56" s="102"/>
      <c r="Q56" s="38" t="s">
        <v>132</v>
      </c>
      <c r="R56" s="43">
        <v>4</v>
      </c>
      <c r="S56" s="41">
        <v>20574.831640879282</v>
      </c>
      <c r="T56">
        <v>0.71717991336111298</v>
      </c>
      <c r="U56">
        <v>0.79041221259829997</v>
      </c>
      <c r="W56" s="23">
        <f t="shared" si="33"/>
        <v>32315324.582239382</v>
      </c>
      <c r="X56" s="23">
        <f t="shared" si="34"/>
        <v>35615090.060419738</v>
      </c>
      <c r="Z56" s="23">
        <f t="shared" si="2"/>
        <v>14426.484188499724</v>
      </c>
      <c r="AA56" s="23">
        <f t="shared" si="3"/>
        <v>15899.593776973097</v>
      </c>
      <c r="AE56" s="102"/>
      <c r="AF56" s="38" t="s">
        <v>132</v>
      </c>
      <c r="AG56" s="41">
        <f t="shared" si="4"/>
        <v>4</v>
      </c>
      <c r="AH56" s="47">
        <f t="shared" si="29"/>
        <v>14426.484188499724</v>
      </c>
      <c r="AI56" s="47">
        <f t="shared" si="30"/>
        <v>15899.593776973097</v>
      </c>
      <c r="AJ56" s="47">
        <f t="shared" si="7"/>
        <v>45587.690035659129</v>
      </c>
      <c r="AK56" s="47">
        <f t="shared" si="8"/>
        <v>50242.716335234989</v>
      </c>
      <c r="AL56" s="1"/>
      <c r="AO56" t="s">
        <v>134</v>
      </c>
      <c r="AP56">
        <v>2</v>
      </c>
      <c r="AQ56" s="23">
        <v>8302.7221479479886</v>
      </c>
      <c r="AR56" s="23">
        <v>9255.0150476974104</v>
      </c>
      <c r="AS56" s="23">
        <v>26236.601987515645</v>
      </c>
      <c r="AT56" s="23">
        <v>29245.847550723818</v>
      </c>
    </row>
    <row r="57" spans="2:46" x14ac:dyDescent="0.25">
      <c r="B57" s="102"/>
      <c r="C57" s="38" t="s">
        <v>134</v>
      </c>
      <c r="D57" s="70">
        <v>19539.138874963301</v>
      </c>
      <c r="E57" s="70">
        <v>34831.096292468799</v>
      </c>
      <c r="F57" s="70">
        <v>46054.527215784896</v>
      </c>
      <c r="G57" s="70">
        <v>53380.571601764401</v>
      </c>
      <c r="H57" s="70">
        <v>56973.170514768499</v>
      </c>
      <c r="I57" s="41">
        <v>56989.368943461122</v>
      </c>
      <c r="J57" s="70">
        <v>53579.60587980882</v>
      </c>
      <c r="K57" s="70">
        <v>46887.992196092877</v>
      </c>
      <c r="P57" s="102"/>
      <c r="Q57" s="38" t="s">
        <v>133</v>
      </c>
      <c r="R57" s="43">
        <v>4</v>
      </c>
      <c r="S57" s="41">
        <v>19193.46181185836</v>
      </c>
      <c r="T57">
        <v>0.82132251370564202</v>
      </c>
      <c r="U57">
        <v>0.88312021272233399</v>
      </c>
      <c r="W57" s="23">
        <f t="shared" si="33"/>
        <v>34523208.841442972</v>
      </c>
      <c r="X57" s="23">
        <f t="shared" si="34"/>
        <v>37120793.63118431</v>
      </c>
      <c r="Z57" s="23">
        <f t="shared" si="2"/>
        <v>15412.146804215612</v>
      </c>
      <c r="AA57" s="23">
        <f t="shared" si="3"/>
        <v>16571.782871064424</v>
      </c>
      <c r="AE57" s="102"/>
      <c r="AF57" s="38" t="s">
        <v>133</v>
      </c>
      <c r="AG57" s="41">
        <f t="shared" si="4"/>
        <v>4</v>
      </c>
      <c r="AH57" s="47">
        <f t="shared" si="29"/>
        <v>15412.146804215612</v>
      </c>
      <c r="AI57" s="47">
        <f t="shared" si="30"/>
        <v>16571.782871064424</v>
      </c>
      <c r="AJ57" s="47">
        <f t="shared" si="7"/>
        <v>48702.383901321336</v>
      </c>
      <c r="AK57" s="47">
        <f t="shared" si="8"/>
        <v>52366.833872563584</v>
      </c>
      <c r="AL57" s="1"/>
      <c r="AO57" t="s">
        <v>159</v>
      </c>
    </row>
    <row r="58" spans="2:46" x14ac:dyDescent="0.25">
      <c r="B58" s="102" t="s">
        <v>146</v>
      </c>
      <c r="C58" s="38" t="s">
        <v>135</v>
      </c>
      <c r="D58" s="70">
        <v>8031.02240033617</v>
      </c>
      <c r="E58" s="70">
        <v>13952.7211322643</v>
      </c>
      <c r="F58" s="70">
        <v>17827.624795104599</v>
      </c>
      <c r="G58" s="41">
        <v>19716.408396055402</v>
      </c>
      <c r="H58" s="70">
        <v>19677.948297910902</v>
      </c>
      <c r="I58" s="70">
        <v>17769.375537911521</v>
      </c>
      <c r="J58" s="70">
        <v>14046.12756601579</v>
      </c>
      <c r="K58" s="70">
        <v>8561.9984494517594</v>
      </c>
      <c r="P58" s="102"/>
      <c r="Q58" s="38" t="s">
        <v>134</v>
      </c>
      <c r="R58" s="43">
        <v>3</v>
      </c>
      <c r="S58" s="41">
        <v>17928.843480447089</v>
      </c>
      <c r="T58">
        <v>0.89710520243980096</v>
      </c>
      <c r="U58">
        <v>1</v>
      </c>
      <c r="W58" s="23">
        <f t="shared" si="33"/>
        <v>35224088.6844832</v>
      </c>
      <c r="X58" s="23">
        <f t="shared" si="34"/>
        <v>39264167.222179122</v>
      </c>
      <c r="Z58" s="23">
        <f t="shared" si="2"/>
        <v>15725.039591287143</v>
      </c>
      <c r="AA58" s="23">
        <f t="shared" si="3"/>
        <v>17528.646081329964</v>
      </c>
      <c r="AE58" s="102"/>
      <c r="AF58" s="38" t="s">
        <v>134</v>
      </c>
      <c r="AG58" s="41">
        <f t="shared" si="4"/>
        <v>3</v>
      </c>
      <c r="AH58" s="47">
        <f t="shared" si="29"/>
        <v>15725.039591287143</v>
      </c>
      <c r="AI58" s="47">
        <f t="shared" si="30"/>
        <v>17528.646081329964</v>
      </c>
      <c r="AJ58" s="47">
        <f t="shared" si="7"/>
        <v>49691.125108467371</v>
      </c>
      <c r="AK58" s="47">
        <f t="shared" si="8"/>
        <v>55390.521617002691</v>
      </c>
      <c r="AL58" s="1"/>
      <c r="AO58" t="s">
        <v>135</v>
      </c>
      <c r="AP58">
        <v>4</v>
      </c>
      <c r="AQ58" s="23">
        <v>7535.8588689697044</v>
      </c>
      <c r="AR58" s="23">
        <v>8176.6159607578566</v>
      </c>
      <c r="AS58" s="23">
        <v>23813.314025944266</v>
      </c>
      <c r="AT58" s="23">
        <v>25838.106435994829</v>
      </c>
    </row>
    <row r="59" spans="2:46" x14ac:dyDescent="0.25">
      <c r="B59" s="102"/>
      <c r="C59" s="38" t="s">
        <v>131</v>
      </c>
      <c r="D59" s="70">
        <v>8547.1112486307793</v>
      </c>
      <c r="E59" s="70">
        <v>14829.738651416739</v>
      </c>
      <c r="F59" s="70">
        <v>18917.43550222776</v>
      </c>
      <c r="G59" s="41">
        <v>20877.618775570081</v>
      </c>
      <c r="H59" s="70">
        <v>20775.63474332845</v>
      </c>
      <c r="I59" s="70">
        <v>18674.8225760934</v>
      </c>
      <c r="J59" s="70">
        <v>14636.575990993319</v>
      </c>
      <c r="K59" s="70">
        <v>8720.4030060094392</v>
      </c>
      <c r="AO59" t="s">
        <v>131</v>
      </c>
      <c r="AP59">
        <v>4</v>
      </c>
      <c r="AQ59" s="23">
        <v>9634.7999649123394</v>
      </c>
      <c r="AR59" s="23">
        <v>10698.536955056981</v>
      </c>
      <c r="AS59" s="23">
        <v>30445.967889122992</v>
      </c>
      <c r="AT59" s="23">
        <v>33807.376777980062</v>
      </c>
    </row>
    <row r="60" spans="2:46" x14ac:dyDescent="0.25">
      <c r="B60" s="102"/>
      <c r="C60" s="38" t="s">
        <v>132</v>
      </c>
      <c r="D60" s="70">
        <v>8793.7252422640304</v>
      </c>
      <c r="E60" s="70">
        <v>15101.18917495562</v>
      </c>
      <c r="F60" s="70">
        <v>19002.409121299228</v>
      </c>
      <c r="G60" s="41">
        <v>20574.827143424442</v>
      </c>
      <c r="H60" s="70">
        <v>19893.392924044398</v>
      </c>
      <c r="I60" s="70">
        <v>17030.643980680201</v>
      </c>
      <c r="J60" s="70">
        <v>12056.783298291761</v>
      </c>
      <c r="K60" s="70">
        <v>5039.7544633919597</v>
      </c>
      <c r="AO60" t="s">
        <v>132</v>
      </c>
      <c r="AP60">
        <v>3</v>
      </c>
      <c r="AQ60" s="23">
        <v>11136.708537503477</v>
      </c>
      <c r="AR60" s="23">
        <v>12273.894279800106</v>
      </c>
      <c r="AS60" s="23">
        <v>35191.998978510986</v>
      </c>
      <c r="AT60" s="23">
        <v>38785.505924168334</v>
      </c>
    </row>
    <row r="61" spans="2:46" x14ac:dyDescent="0.25">
      <c r="B61" s="102"/>
      <c r="C61" s="38" t="s">
        <v>133</v>
      </c>
      <c r="D61" s="70">
        <v>8900.4207102498895</v>
      </c>
      <c r="E61" s="70">
        <v>15003.00003798242</v>
      </c>
      <c r="F61" s="70">
        <v>18403.258903004309</v>
      </c>
      <c r="G61" s="41">
        <v>19193.457051637801</v>
      </c>
      <c r="H61" s="70">
        <v>17462.7043962393</v>
      </c>
      <c r="I61" s="70">
        <v>13297.068553467361</v>
      </c>
      <c r="J61" s="70">
        <v>6779.6787111061258</v>
      </c>
      <c r="K61" s="70">
        <v>-2009.174051227976</v>
      </c>
      <c r="AO61" t="s">
        <v>133</v>
      </c>
      <c r="AP61">
        <v>3</v>
      </c>
      <c r="AQ61" s="23">
        <v>11952.999064072752</v>
      </c>
      <c r="AR61" s="23">
        <v>12852.36298772273</v>
      </c>
      <c r="AS61" s="23">
        <v>37771.477042469895</v>
      </c>
      <c r="AT61" s="23">
        <v>40613.467041203832</v>
      </c>
    </row>
    <row r="62" spans="2:46" x14ac:dyDescent="0.25">
      <c r="B62" s="102"/>
      <c r="C62" s="38" t="s">
        <v>134</v>
      </c>
      <c r="D62" s="70">
        <v>9367.5354524127906</v>
      </c>
      <c r="E62" s="70">
        <v>15300.510485286541</v>
      </c>
      <c r="F62" s="41">
        <v>17928.843480447089</v>
      </c>
      <c r="G62" s="70">
        <v>17377.538424900318</v>
      </c>
      <c r="H62" s="70">
        <v>13766.870806592649</v>
      </c>
      <c r="I62" s="70">
        <v>7212.5664783332395</v>
      </c>
      <c r="J62" s="70">
        <v>-2174.0262441318191</v>
      </c>
      <c r="K62" s="70">
        <v>-14285.770993964319</v>
      </c>
      <c r="AO62" t="s">
        <v>134</v>
      </c>
      <c r="AP62">
        <v>3</v>
      </c>
      <c r="AQ62" s="23">
        <v>11920.496719358467</v>
      </c>
      <c r="AR62" s="23">
        <v>13287.735582113488</v>
      </c>
      <c r="AS62" s="23">
        <v>37668.769633172757</v>
      </c>
      <c r="AT62" s="23">
        <v>41989.244439478622</v>
      </c>
    </row>
    <row r="63" spans="2:46" x14ac:dyDescent="0.25">
      <c r="AO63" t="s">
        <v>160</v>
      </c>
    </row>
    <row r="64" spans="2:46" x14ac:dyDescent="0.25">
      <c r="AO64" t="s">
        <v>135</v>
      </c>
      <c r="AP64">
        <v>4</v>
      </c>
      <c r="AQ64" s="23">
        <v>9705.2974973272612</v>
      </c>
      <c r="AR64" s="23">
        <v>10530.517065190064</v>
      </c>
      <c r="AS64" s="23">
        <v>30668.740091554148</v>
      </c>
      <c r="AT64" s="23">
        <v>33276.433926000602</v>
      </c>
    </row>
    <row r="65" spans="4:48" x14ac:dyDescent="0.25">
      <c r="AO65" t="s">
        <v>131</v>
      </c>
      <c r="AP65">
        <v>4</v>
      </c>
      <c r="AQ65" s="23">
        <v>12469.675164205744</v>
      </c>
      <c r="AR65" s="23">
        <v>13846.398580940873</v>
      </c>
      <c r="AS65" s="23">
        <v>39404.173518890151</v>
      </c>
      <c r="AT65" s="23">
        <v>43754.619515773164</v>
      </c>
    </row>
    <row r="66" spans="4:48" x14ac:dyDescent="0.25">
      <c r="AO66" t="s">
        <v>132</v>
      </c>
      <c r="AP66">
        <v>4</v>
      </c>
      <c r="AQ66" s="23">
        <v>14426.484188499724</v>
      </c>
      <c r="AR66" s="23">
        <v>15899.593776973097</v>
      </c>
      <c r="AS66" s="23">
        <v>45587.690035659129</v>
      </c>
      <c r="AT66" s="23">
        <v>50242.716335234989</v>
      </c>
    </row>
    <row r="67" spans="4:48" x14ac:dyDescent="0.25">
      <c r="AO67" t="s">
        <v>133</v>
      </c>
      <c r="AP67">
        <v>4</v>
      </c>
      <c r="AQ67" s="23">
        <v>15412.146804215612</v>
      </c>
      <c r="AR67" s="23">
        <v>16571.782871064424</v>
      </c>
      <c r="AS67" s="23">
        <v>48702.383901321336</v>
      </c>
      <c r="AT67" s="23">
        <v>52366.833872563584</v>
      </c>
    </row>
    <row r="68" spans="4:48" x14ac:dyDescent="0.25">
      <c r="AO68" t="s">
        <v>134</v>
      </c>
      <c r="AP68">
        <v>3</v>
      </c>
      <c r="AQ68" s="23">
        <v>15725.039591287143</v>
      </c>
      <c r="AR68" s="23">
        <v>17528.646081329964</v>
      </c>
      <c r="AS68" s="23">
        <v>49691.125108467371</v>
      </c>
      <c r="AT68" s="23">
        <v>55390.521617002691</v>
      </c>
    </row>
    <row r="69" spans="4:48" x14ac:dyDescent="0.25">
      <c r="D69" t="s">
        <v>140</v>
      </c>
      <c r="F69" t="s">
        <v>141</v>
      </c>
      <c r="K69">
        <v>0.50348324702996095</v>
      </c>
      <c r="L69">
        <v>0.54629329253909098</v>
      </c>
    </row>
    <row r="70" spans="4:48" x14ac:dyDescent="0.25">
      <c r="F70" t="s">
        <v>136</v>
      </c>
      <c r="G70" t="s">
        <v>137</v>
      </c>
      <c r="K70">
        <v>0.61091126445657895</v>
      </c>
      <c r="L70">
        <v>0.67835936011659204</v>
      </c>
    </row>
    <row r="71" spans="4:48" x14ac:dyDescent="0.25">
      <c r="D71" t="s">
        <v>135</v>
      </c>
      <c r="E71" t="s">
        <v>138</v>
      </c>
      <c r="F71">
        <v>0.50348324702996095</v>
      </c>
      <c r="G71">
        <v>0.23290082798647399</v>
      </c>
      <c r="K71">
        <v>0.71717991336111298</v>
      </c>
      <c r="L71">
        <v>0.79041221259829997</v>
      </c>
    </row>
    <row r="72" spans="4:48" x14ac:dyDescent="0.25">
      <c r="E72" t="s">
        <v>139</v>
      </c>
      <c r="F72">
        <v>0.54629329253909098</v>
      </c>
      <c r="G72">
        <v>0.26369148605036502</v>
      </c>
      <c r="K72">
        <v>0.82132251370564202</v>
      </c>
      <c r="L72">
        <v>0.88312021272233399</v>
      </c>
    </row>
    <row r="73" spans="4:48" x14ac:dyDescent="0.25">
      <c r="D73" t="s">
        <v>131</v>
      </c>
      <c r="E73" t="s">
        <v>138</v>
      </c>
      <c r="F73">
        <v>0.61091126445657895</v>
      </c>
      <c r="G73">
        <v>0.33921565882342503</v>
      </c>
      <c r="K73">
        <v>0.89710520243980096</v>
      </c>
      <c r="L73">
        <v>1</v>
      </c>
    </row>
    <row r="74" spans="4:48" x14ac:dyDescent="0.25">
      <c r="E74" t="s">
        <v>139</v>
      </c>
      <c r="F74">
        <v>0.67835936011659204</v>
      </c>
      <c r="G74">
        <v>0.428414779311724</v>
      </c>
    </row>
    <row r="75" spans="4:48" x14ac:dyDescent="0.25">
      <c r="D75" t="s">
        <v>132</v>
      </c>
      <c r="E75" t="s">
        <v>138</v>
      </c>
      <c r="F75">
        <v>0.71717991336111298</v>
      </c>
      <c r="G75">
        <v>0.452706543877269</v>
      </c>
    </row>
    <row r="76" spans="4:48" x14ac:dyDescent="0.25">
      <c r="E76" t="s">
        <v>139</v>
      </c>
      <c r="F76">
        <v>0.79041221259829997</v>
      </c>
      <c r="G76">
        <v>0.58982992822323399</v>
      </c>
    </row>
    <row r="77" spans="4:48" x14ac:dyDescent="0.25">
      <c r="D77" t="s">
        <v>133</v>
      </c>
      <c r="E77" t="s">
        <v>138</v>
      </c>
      <c r="F77">
        <v>0.82132251370564202</v>
      </c>
      <c r="G77">
        <v>0.57970281553208103</v>
      </c>
      <c r="AP77">
        <v>1.54</v>
      </c>
      <c r="AQ77">
        <v>1.4</v>
      </c>
      <c r="AR77">
        <v>0.55000000000000004</v>
      </c>
      <c r="AS77">
        <v>0.63</v>
      </c>
      <c r="AT77">
        <v>0.56000000000000005</v>
      </c>
      <c r="AU77">
        <v>0.62</v>
      </c>
      <c r="AV77">
        <f>SUM(AP77:AU77)</f>
        <v>5.3</v>
      </c>
    </row>
    <row r="78" spans="4:48" x14ac:dyDescent="0.25">
      <c r="E78" t="s">
        <v>139</v>
      </c>
      <c r="F78">
        <v>0.88312021272233399</v>
      </c>
      <c r="G78">
        <v>0.72907938208082101</v>
      </c>
    </row>
    <row r="79" spans="4:48" x14ac:dyDescent="0.25">
      <c r="D79" t="s">
        <v>134</v>
      </c>
      <c r="E79" t="s">
        <v>138</v>
      </c>
      <c r="F79">
        <v>0.89710520243980096</v>
      </c>
      <c r="G79">
        <v>0.75874249158949603</v>
      </c>
      <c r="AP79" t="s">
        <v>193</v>
      </c>
    </row>
    <row r="80" spans="4:48" x14ac:dyDescent="0.25">
      <c r="E80" t="s">
        <v>139</v>
      </c>
      <c r="F80">
        <v>1</v>
      </c>
      <c r="G80">
        <v>0.87291671489763101</v>
      </c>
    </row>
  </sheetData>
  <mergeCells count="63">
    <mergeCell ref="AU2:AY2"/>
    <mergeCell ref="AV3:AW3"/>
    <mergeCell ref="AX3:AY3"/>
    <mergeCell ref="AU3:AU4"/>
    <mergeCell ref="AO3:AO4"/>
    <mergeCell ref="AP2:AT2"/>
    <mergeCell ref="AS3:AT3"/>
    <mergeCell ref="AP37:AT37"/>
    <mergeCell ref="AO38:AO39"/>
    <mergeCell ref="AP38:AP39"/>
    <mergeCell ref="AQ38:AR38"/>
    <mergeCell ref="AS38:AT38"/>
    <mergeCell ref="B29:B33"/>
    <mergeCell ref="B34:B38"/>
    <mergeCell ref="AP3:AP4"/>
    <mergeCell ref="AQ3:AR3"/>
    <mergeCell ref="B3:E3"/>
    <mergeCell ref="B4:C4"/>
    <mergeCell ref="B5:B9"/>
    <mergeCell ref="B10:B14"/>
    <mergeCell ref="B15:E15"/>
    <mergeCell ref="AE27:AE31"/>
    <mergeCell ref="AE32:AE36"/>
    <mergeCell ref="AE38:AE42"/>
    <mergeCell ref="AJ3:AK3"/>
    <mergeCell ref="AE4:AF4"/>
    <mergeCell ref="AE15:AF15"/>
    <mergeCell ref="AE26:AF26"/>
    <mergeCell ref="B53:B57"/>
    <mergeCell ref="B58:B62"/>
    <mergeCell ref="P5:P9"/>
    <mergeCell ref="P10:P14"/>
    <mergeCell ref="P16:P20"/>
    <mergeCell ref="B39:E39"/>
    <mergeCell ref="B40:C40"/>
    <mergeCell ref="B41:B45"/>
    <mergeCell ref="B46:B50"/>
    <mergeCell ref="B51:E51"/>
    <mergeCell ref="B52:C52"/>
    <mergeCell ref="B16:C16"/>
    <mergeCell ref="B17:B21"/>
    <mergeCell ref="B22:B26"/>
    <mergeCell ref="B27:E27"/>
    <mergeCell ref="B28:C28"/>
    <mergeCell ref="P43:P47"/>
    <mergeCell ref="P49:P53"/>
    <mergeCell ref="P54:P58"/>
    <mergeCell ref="P21:P25"/>
    <mergeCell ref="P27:P31"/>
    <mergeCell ref="P32:P36"/>
    <mergeCell ref="P38:P42"/>
    <mergeCell ref="AE43:AE47"/>
    <mergeCell ref="AE49:AE53"/>
    <mergeCell ref="AE54:AE58"/>
    <mergeCell ref="AE37:AF37"/>
    <mergeCell ref="AE48:AF48"/>
    <mergeCell ref="AE16:AE20"/>
    <mergeCell ref="AE21:AE25"/>
    <mergeCell ref="AG3:AG4"/>
    <mergeCell ref="AE3:AF3"/>
    <mergeCell ref="AH3:AI3"/>
    <mergeCell ref="AE5:AE9"/>
    <mergeCell ref="AE10:AE14"/>
  </mergeCell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7035-2B23-41FD-A36C-C3FE4A949DE5}">
  <dimension ref="C3:AH86"/>
  <sheetViews>
    <sheetView topLeftCell="B1" zoomScale="70" zoomScaleNormal="70" workbookViewId="0">
      <selection activeCell="U28" sqref="U28"/>
    </sheetView>
  </sheetViews>
  <sheetFormatPr defaultRowHeight="15" x14ac:dyDescent="0.25"/>
  <cols>
    <col min="3" max="6" width="15.140625" customWidth="1"/>
    <col min="7" max="7" width="11.85546875" bestFit="1" customWidth="1"/>
    <col min="8" max="8" width="13.140625" bestFit="1" customWidth="1"/>
    <col min="9" max="9" width="16.140625" bestFit="1" customWidth="1"/>
    <col min="10" max="10" width="13.5703125" bestFit="1" customWidth="1"/>
    <col min="11" max="11" width="10.5703125" bestFit="1" customWidth="1"/>
    <col min="12" max="12" width="16.140625" bestFit="1" customWidth="1"/>
    <col min="13" max="13" width="16.85546875" bestFit="1" customWidth="1"/>
    <col min="14" max="14" width="15.85546875" bestFit="1" customWidth="1"/>
    <col min="15" max="15" width="16.140625" style="49" bestFit="1" customWidth="1"/>
    <col min="16" max="16" width="6" bestFit="1" customWidth="1"/>
    <col min="17" max="17" width="7.5703125" bestFit="1" customWidth="1"/>
    <col min="18" max="18" width="16.140625" bestFit="1" customWidth="1"/>
    <col min="19" max="19" width="6" bestFit="1" customWidth="1"/>
    <col min="20" max="20" width="6.28515625" bestFit="1" customWidth="1"/>
    <col min="21" max="21" width="16.140625" bestFit="1" customWidth="1"/>
    <col min="26" max="26" width="10" bestFit="1" customWidth="1"/>
    <col min="27" max="29" width="9.7109375" bestFit="1" customWidth="1"/>
    <col min="30" max="30" width="13.140625" bestFit="1" customWidth="1"/>
  </cols>
  <sheetData>
    <row r="3" spans="3:34" ht="27.75" customHeight="1" x14ac:dyDescent="0.25"/>
    <row r="4" spans="3:34" ht="55.5" customHeight="1" x14ac:dyDescent="0.25">
      <c r="C4" s="6" t="s">
        <v>100</v>
      </c>
      <c r="D4" s="6" t="s">
        <v>90</v>
      </c>
      <c r="E4" s="6" t="s">
        <v>91</v>
      </c>
      <c r="F4" s="6" t="s">
        <v>92</v>
      </c>
      <c r="G4" s="6" t="s">
        <v>93</v>
      </c>
      <c r="H4" s="6" t="s">
        <v>95</v>
      </c>
      <c r="I4" s="6" t="s">
        <v>96</v>
      </c>
      <c r="J4" s="6" t="s">
        <v>97</v>
      </c>
      <c r="K4" s="6" t="s">
        <v>98</v>
      </c>
      <c r="L4" s="6" t="s">
        <v>99</v>
      </c>
      <c r="M4" s="6" t="s">
        <v>106</v>
      </c>
      <c r="N4" s="6" t="s">
        <v>162</v>
      </c>
      <c r="O4" s="50" t="s">
        <v>169</v>
      </c>
    </row>
    <row r="5" spans="3:34" x14ac:dyDescent="0.25">
      <c r="C5">
        <v>1</v>
      </c>
      <c r="D5">
        <v>500</v>
      </c>
      <c r="E5">
        <v>1000</v>
      </c>
      <c r="F5">
        <v>9000</v>
      </c>
      <c r="G5">
        <v>205</v>
      </c>
      <c r="H5" s="33">
        <v>132</v>
      </c>
      <c r="I5" s="33">
        <v>0.35</v>
      </c>
      <c r="J5" s="33">
        <v>7.5978199999999996</v>
      </c>
      <c r="K5" s="33">
        <v>0</v>
      </c>
      <c r="L5" s="33">
        <v>124379.18703299999</v>
      </c>
      <c r="M5" s="1">
        <v>28177.409130829699</v>
      </c>
      <c r="N5">
        <v>38604.132143561103</v>
      </c>
      <c r="O5" s="49">
        <v>204.99999754133199</v>
      </c>
    </row>
    <row r="6" spans="3:34" x14ac:dyDescent="0.25">
      <c r="C6">
        <v>2</v>
      </c>
      <c r="D6">
        <v>500</v>
      </c>
      <c r="E6">
        <v>1000</v>
      </c>
      <c r="F6">
        <v>9000</v>
      </c>
      <c r="G6">
        <v>245</v>
      </c>
      <c r="H6" s="33">
        <v>132</v>
      </c>
      <c r="I6" s="33">
        <v>0.35</v>
      </c>
      <c r="J6" s="33">
        <v>7.5315899999999996</v>
      </c>
      <c r="K6" s="33">
        <v>7.3999999999999999E-4</v>
      </c>
      <c r="L6" s="33">
        <v>128209.15059999999</v>
      </c>
      <c r="M6" s="1">
        <v>29514.020175437399</v>
      </c>
      <c r="N6">
        <v>40126.661772811101</v>
      </c>
      <c r="O6" s="49">
        <v>246.34441797630399</v>
      </c>
    </row>
    <row r="7" spans="3:34" x14ac:dyDescent="0.25">
      <c r="C7">
        <v>3</v>
      </c>
      <c r="D7">
        <v>500</v>
      </c>
      <c r="E7">
        <v>1000</v>
      </c>
      <c r="F7">
        <v>9000</v>
      </c>
      <c r="G7">
        <v>285</v>
      </c>
      <c r="H7" s="33">
        <v>132</v>
      </c>
      <c r="I7" s="33">
        <v>0.35</v>
      </c>
      <c r="J7" s="33">
        <v>7.1832099999999999</v>
      </c>
      <c r="K7" s="33">
        <v>1E-4</v>
      </c>
      <c r="L7" s="33">
        <v>134309.82533299999</v>
      </c>
      <c r="M7" s="1">
        <v>30919.3919422822</v>
      </c>
      <c r="N7">
        <v>42112.560156531203</v>
      </c>
      <c r="O7" s="49">
        <v>284.99998007228999</v>
      </c>
      <c r="AC7">
        <v>135</v>
      </c>
      <c r="AD7">
        <v>0.35</v>
      </c>
      <c r="AE7">
        <v>7.5978199999999996</v>
      </c>
      <c r="AF7">
        <v>0</v>
      </c>
      <c r="AG7">
        <v>124379.18703299999</v>
      </c>
    </row>
    <row r="8" spans="3:34" x14ac:dyDescent="0.25">
      <c r="C8">
        <v>4</v>
      </c>
      <c r="D8">
        <v>500</v>
      </c>
      <c r="E8">
        <v>1000</v>
      </c>
      <c r="F8">
        <v>9000</v>
      </c>
      <c r="G8">
        <v>330</v>
      </c>
      <c r="H8" s="33">
        <v>132</v>
      </c>
      <c r="I8" s="33">
        <v>0.35</v>
      </c>
      <c r="J8" s="33">
        <v>6.6707200000000002</v>
      </c>
      <c r="K8" s="33">
        <v>4.1000000000000003E-3</v>
      </c>
      <c r="L8" s="33">
        <v>142826.39988099999</v>
      </c>
      <c r="M8" s="1">
        <v>32602.001403192899</v>
      </c>
      <c r="N8">
        <v>44719.731388008702</v>
      </c>
      <c r="O8" s="49">
        <v>331.358460987618</v>
      </c>
      <c r="AC8">
        <v>135</v>
      </c>
      <c r="AD8">
        <v>0.35</v>
      </c>
      <c r="AE8">
        <v>7.5315899999999996</v>
      </c>
      <c r="AF8">
        <v>7.3999999999999999E-4</v>
      </c>
      <c r="AG8">
        <v>128209.15059999999</v>
      </c>
    </row>
    <row r="9" spans="3:34" x14ac:dyDescent="0.25">
      <c r="C9">
        <v>5</v>
      </c>
      <c r="D9">
        <v>500</v>
      </c>
      <c r="E9">
        <v>1000</v>
      </c>
      <c r="F9">
        <v>9000</v>
      </c>
      <c r="G9">
        <v>415</v>
      </c>
      <c r="H9" s="33">
        <v>132</v>
      </c>
      <c r="I9" s="33">
        <v>0.35</v>
      </c>
      <c r="J9" s="33">
        <v>6.01241</v>
      </c>
      <c r="K9" s="33">
        <v>6.5199999999999998E-3</v>
      </c>
      <c r="L9" s="33">
        <v>158304.07985899999</v>
      </c>
      <c r="M9" s="1">
        <v>36092.604362655198</v>
      </c>
      <c r="N9">
        <v>49737.731185046003</v>
      </c>
      <c r="O9" s="49">
        <v>414.39601719291198</v>
      </c>
      <c r="AC9">
        <v>135</v>
      </c>
      <c r="AD9">
        <v>0.35</v>
      </c>
      <c r="AE9">
        <v>7.1832099999999999</v>
      </c>
      <c r="AF9">
        <v>1E-4</v>
      </c>
      <c r="AG9">
        <v>134309.82533299999</v>
      </c>
    </row>
    <row r="10" spans="3:34" x14ac:dyDescent="0.25">
      <c r="C10">
        <v>6</v>
      </c>
      <c r="D10">
        <v>500</v>
      </c>
      <c r="E10">
        <v>1000</v>
      </c>
      <c r="F10">
        <v>9000</v>
      </c>
      <c r="G10">
        <v>9000</v>
      </c>
      <c r="H10" s="33">
        <v>111.86962</v>
      </c>
      <c r="I10" s="33">
        <v>0.35</v>
      </c>
      <c r="J10" s="33">
        <v>10.1</v>
      </c>
      <c r="K10" s="33">
        <v>0.46328000000000003</v>
      </c>
      <c r="L10" s="33">
        <v>250000</v>
      </c>
      <c r="M10" s="1">
        <v>81828.759382578195</v>
      </c>
      <c r="N10">
        <v>94887.643921505602</v>
      </c>
      <c r="O10" s="49">
        <v>2552.8161172876198</v>
      </c>
      <c r="AC10">
        <v>135</v>
      </c>
      <c r="AD10">
        <v>0.35</v>
      </c>
      <c r="AE10">
        <v>6.6707200000000002</v>
      </c>
      <c r="AF10">
        <v>4.1000000000000003E-3</v>
      </c>
      <c r="AG10">
        <v>142826.39988099999</v>
      </c>
    </row>
    <row r="11" spans="3:34" x14ac:dyDescent="0.25">
      <c r="AC11">
        <v>135</v>
      </c>
      <c r="AD11">
        <v>0.35</v>
      </c>
      <c r="AE11">
        <v>6.01241</v>
      </c>
      <c r="AF11">
        <v>6.5199999999999998E-3</v>
      </c>
      <c r="AG11">
        <v>158304.07985899999</v>
      </c>
    </row>
    <row r="15" spans="3:34" ht="15" customHeight="1" x14ac:dyDescent="0.25">
      <c r="C15" s="6"/>
      <c r="D15" s="6"/>
      <c r="E15" s="6"/>
      <c r="F15" s="6" t="s">
        <v>171</v>
      </c>
      <c r="G15" s="109" t="s">
        <v>172</v>
      </c>
      <c r="H15" s="109"/>
      <c r="I15" s="109"/>
      <c r="J15" s="109" t="s">
        <v>173</v>
      </c>
      <c r="K15" s="109"/>
      <c r="L15" s="109"/>
      <c r="M15" s="109" t="s">
        <v>174</v>
      </c>
      <c r="N15" s="109"/>
      <c r="O15" s="109"/>
      <c r="P15" s="101" t="s">
        <v>175</v>
      </c>
      <c r="Q15" s="101"/>
      <c r="R15" s="101"/>
      <c r="S15" s="101" t="s">
        <v>176</v>
      </c>
      <c r="T15" s="101"/>
      <c r="U15" s="101"/>
      <c r="V15" s="6"/>
      <c r="W15" s="6"/>
      <c r="X15" s="6"/>
      <c r="Y15" s="6"/>
      <c r="Z15" s="6"/>
      <c r="AA15" s="6"/>
      <c r="AB15" s="6"/>
      <c r="AC15" s="6"/>
      <c r="AD15" s="6"/>
      <c r="AE15" s="6"/>
      <c r="AG15" s="50"/>
    </row>
    <row r="16" spans="3:34" x14ac:dyDescent="0.25">
      <c r="G16" t="s">
        <v>147</v>
      </c>
      <c r="H16" s="33" t="s">
        <v>148</v>
      </c>
      <c r="I16" s="33" t="s">
        <v>170</v>
      </c>
      <c r="J16" t="s">
        <v>147</v>
      </c>
      <c r="K16" s="33" t="s">
        <v>148</v>
      </c>
      <c r="L16" s="33" t="s">
        <v>170</v>
      </c>
      <c r="M16" t="s">
        <v>147</v>
      </c>
      <c r="N16" s="33" t="s">
        <v>148</v>
      </c>
      <c r="O16" s="33" t="s">
        <v>170</v>
      </c>
      <c r="P16" t="s">
        <v>147</v>
      </c>
      <c r="Q16" s="33" t="s">
        <v>148</v>
      </c>
      <c r="R16" s="33" t="s">
        <v>170</v>
      </c>
      <c r="S16" t="s">
        <v>147</v>
      </c>
      <c r="T16" s="33" t="s">
        <v>148</v>
      </c>
      <c r="U16" s="33" t="s">
        <v>170</v>
      </c>
      <c r="Z16" s="33"/>
      <c r="AA16" s="33"/>
      <c r="AB16" s="33"/>
      <c r="AC16" s="33"/>
      <c r="AD16" s="33"/>
      <c r="AE16" s="8"/>
      <c r="AF16" s="36"/>
      <c r="AH16" s="36"/>
    </row>
    <row r="17" spans="3:34" x14ac:dyDescent="0.25">
      <c r="G17" s="1">
        <v>27909.148879015502</v>
      </c>
      <c r="H17" s="1">
        <v>38437.674893913703</v>
      </c>
      <c r="I17" s="1">
        <v>193.05646807511499</v>
      </c>
      <c r="J17" s="1">
        <v>28324.8586434153</v>
      </c>
      <c r="K17" s="1">
        <v>38753.304584989397</v>
      </c>
      <c r="L17" s="1">
        <v>202.883662835216</v>
      </c>
      <c r="M17" s="1">
        <v>28775.176088571599</v>
      </c>
      <c r="N17" s="53">
        <v>38969.0715891449</v>
      </c>
      <c r="O17" s="53">
        <v>223.77704017932001</v>
      </c>
      <c r="P17" s="53">
        <v>28177.409130829699</v>
      </c>
      <c r="Q17" s="53">
        <v>38604.132143561103</v>
      </c>
      <c r="R17" s="53">
        <v>204.99999754133199</v>
      </c>
      <c r="S17" s="1">
        <v>29656.2138653888</v>
      </c>
      <c r="T17" s="1">
        <v>40195.6454942614</v>
      </c>
      <c r="U17" s="1">
        <v>257.83925973436698</v>
      </c>
      <c r="Z17" s="33"/>
      <c r="AA17" s="33"/>
      <c r="AB17" s="33"/>
      <c r="AC17" s="33"/>
      <c r="AD17" s="33"/>
      <c r="AE17" s="8"/>
      <c r="AF17" s="36"/>
      <c r="AH17" s="36"/>
    </row>
    <row r="18" spans="3:34" x14ac:dyDescent="0.25">
      <c r="G18" s="1">
        <v>29248.159602946002</v>
      </c>
      <c r="H18" s="1">
        <v>39962.1044018881</v>
      </c>
      <c r="I18" s="1">
        <v>232.898520667507</v>
      </c>
      <c r="J18" s="1">
        <v>29661.092385301799</v>
      </c>
      <c r="K18" s="1">
        <v>40275.504816124303</v>
      </c>
      <c r="L18" s="1">
        <v>240.30475308617099</v>
      </c>
      <c r="M18" s="1">
        <v>30113.914727286199</v>
      </c>
      <c r="N18" s="53">
        <v>40492.3291877472</v>
      </c>
      <c r="O18" s="53">
        <v>272.66076155046898</v>
      </c>
      <c r="P18" s="53">
        <v>29514.020175437399</v>
      </c>
      <c r="Q18" s="53">
        <v>40126.661772811101</v>
      </c>
      <c r="R18" s="53">
        <v>246.34441797630399</v>
      </c>
      <c r="S18" s="1">
        <v>31031.577672081399</v>
      </c>
      <c r="T18" s="1">
        <v>41763.535481020699</v>
      </c>
      <c r="U18" s="1">
        <v>296.56709776718498</v>
      </c>
      <c r="Z18" s="33"/>
      <c r="AA18" s="33"/>
      <c r="AB18" s="33"/>
      <c r="AC18" s="33"/>
      <c r="AD18" s="33"/>
      <c r="AE18" s="8"/>
      <c r="AF18" s="36"/>
      <c r="AH18" s="36"/>
    </row>
    <row r="19" spans="3:34" x14ac:dyDescent="0.25">
      <c r="G19" s="1">
        <v>30642.344652912499</v>
      </c>
      <c r="H19" s="1">
        <v>41940.715351265098</v>
      </c>
      <c r="I19" s="1">
        <v>272.80728453585903</v>
      </c>
      <c r="J19" s="1">
        <v>31075.786882541899</v>
      </c>
      <c r="K19" s="1">
        <v>42270.904047645898</v>
      </c>
      <c r="L19" s="1">
        <v>279.14546099327998</v>
      </c>
      <c r="M19" s="1">
        <v>31550.095732997899</v>
      </c>
      <c r="N19" s="53">
        <v>42497.573974243198</v>
      </c>
      <c r="O19" s="53">
        <v>304.19212357219499</v>
      </c>
      <c r="P19" s="53">
        <v>30919.3919422822</v>
      </c>
      <c r="Q19" s="53">
        <v>42112.560156531203</v>
      </c>
      <c r="R19" s="53">
        <v>284.99998007228999</v>
      </c>
      <c r="S19" s="1">
        <v>32506.180323423399</v>
      </c>
      <c r="T19" s="1">
        <v>43828.449532362101</v>
      </c>
      <c r="U19" s="1">
        <v>336.36957415159497</v>
      </c>
      <c r="Z19" s="33"/>
      <c r="AA19" s="33"/>
      <c r="AB19" s="33"/>
      <c r="AC19" s="33"/>
      <c r="AD19" s="33"/>
      <c r="AE19" s="8"/>
      <c r="AF19" s="36"/>
      <c r="AH19" s="36"/>
    </row>
    <row r="20" spans="3:34" x14ac:dyDescent="0.25">
      <c r="G20" s="1">
        <v>32304.024690890401</v>
      </c>
      <c r="H20" s="1">
        <v>44534.008831835599</v>
      </c>
      <c r="I20" s="1">
        <v>317.72833662443998</v>
      </c>
      <c r="J20" s="1">
        <v>32774.7549574394</v>
      </c>
      <c r="K20" s="1">
        <v>44894.730914843698</v>
      </c>
      <c r="L20" s="1">
        <v>321.75014133379301</v>
      </c>
      <c r="M20" s="1">
        <v>33285.258091723597</v>
      </c>
      <c r="N20" s="53">
        <v>45137.910850267501</v>
      </c>
      <c r="O20" s="53">
        <v>349.33346797531198</v>
      </c>
      <c r="P20" s="53">
        <v>32602.001403192899</v>
      </c>
      <c r="Q20" s="53">
        <v>44719.731388008702</v>
      </c>
      <c r="R20" s="53">
        <v>331.358460987618</v>
      </c>
      <c r="S20" s="1">
        <v>34285.691346276297</v>
      </c>
      <c r="T20" s="1">
        <v>46546.409194863401</v>
      </c>
      <c r="U20" s="1">
        <v>372.68113851916701</v>
      </c>
      <c r="Z20" s="33"/>
      <c r="AA20" s="33"/>
      <c r="AB20" s="33"/>
      <c r="AC20" s="33"/>
      <c r="AD20" s="33"/>
      <c r="AE20" s="8"/>
      <c r="AF20" s="36"/>
      <c r="AH20" s="36"/>
    </row>
    <row r="21" spans="3:34" x14ac:dyDescent="0.25">
      <c r="G21" s="1">
        <v>35767.269196817098</v>
      </c>
      <c r="H21" s="1">
        <v>49533.855583609598</v>
      </c>
      <c r="I21" s="1">
        <v>401.87494555526501</v>
      </c>
      <c r="J21" s="1">
        <v>36291.245238779098</v>
      </c>
      <c r="K21" s="1">
        <v>49939.168939416399</v>
      </c>
      <c r="L21" s="1">
        <v>401.32479165211299</v>
      </c>
      <c r="M21" s="1">
        <v>36857.2356151188</v>
      </c>
      <c r="N21" s="53">
        <v>50208.258889845099</v>
      </c>
      <c r="O21" s="53">
        <v>438.32347466137202</v>
      </c>
      <c r="P21" s="53">
        <v>36092.604362655198</v>
      </c>
      <c r="Q21" s="53">
        <v>49737.731185046003</v>
      </c>
      <c r="R21" s="53">
        <v>414.39601719291198</v>
      </c>
      <c r="S21" s="1">
        <v>37949.273711439302</v>
      </c>
      <c r="T21" s="1">
        <v>51765.244449531798</v>
      </c>
      <c r="U21" s="1">
        <v>457.12275283110301</v>
      </c>
      <c r="Z21" s="33"/>
      <c r="AA21" s="33"/>
      <c r="AB21" s="33"/>
      <c r="AC21" s="33"/>
      <c r="AD21" s="33"/>
      <c r="AE21" s="8"/>
      <c r="AF21" s="36"/>
      <c r="AH21" s="36"/>
    </row>
    <row r="22" spans="3:34" x14ac:dyDescent="0.25">
      <c r="G22" s="1">
        <v>81825.677760664403</v>
      </c>
      <c r="H22" s="1">
        <v>94878.6929841284</v>
      </c>
      <c r="I22" s="1">
        <v>2499.4197076402502</v>
      </c>
      <c r="J22" s="1">
        <v>81919.6421980335</v>
      </c>
      <c r="K22" s="1">
        <v>94980.471605899394</v>
      </c>
      <c r="L22" s="1">
        <v>2458.8337317161599</v>
      </c>
      <c r="M22" s="1">
        <v>82100.391851048495</v>
      </c>
      <c r="N22" s="1">
        <v>95048.720483127894</v>
      </c>
      <c r="O22" s="1">
        <v>2620.6317717512402</v>
      </c>
      <c r="P22" s="1">
        <v>81828.759382578195</v>
      </c>
      <c r="Q22" s="1">
        <v>94887.643921505602</v>
      </c>
      <c r="R22" s="1">
        <v>2552.8161172876198</v>
      </c>
      <c r="S22" s="1">
        <v>84502.985091972107</v>
      </c>
      <c r="T22" s="1">
        <v>97965.953750354995</v>
      </c>
      <c r="U22" s="1">
        <v>2649.21361903151</v>
      </c>
    </row>
    <row r="23" spans="3:34" x14ac:dyDescent="0.25">
      <c r="G23" s="1"/>
      <c r="H23" s="1"/>
      <c r="I23" s="1"/>
      <c r="J23" s="1"/>
      <c r="K23" s="1"/>
      <c r="L23" s="1"/>
      <c r="M23" s="1"/>
      <c r="N23" s="1"/>
      <c r="O23" s="1"/>
      <c r="P23" s="1"/>
      <c r="Q23" s="1"/>
      <c r="R23" s="1"/>
      <c r="S23" s="1"/>
      <c r="T23" s="1"/>
      <c r="U23" s="1"/>
    </row>
    <row r="25" spans="3:34" x14ac:dyDescent="0.25">
      <c r="C25" s="6"/>
      <c r="D25" s="6"/>
      <c r="E25" s="6"/>
      <c r="F25" s="6"/>
      <c r="G25" s="35">
        <f>(G17-$M$5)/$M$5</f>
        <v>-9.5204016298534137E-3</v>
      </c>
      <c r="H25" s="35">
        <f>(H17-$N$5)/$N$5</f>
        <v>-4.3119023898368662E-3</v>
      </c>
      <c r="I25" s="35">
        <f>(I17-$O$5)/$O$5</f>
        <v>-5.8261120046154892E-2</v>
      </c>
      <c r="J25" s="35">
        <f>(J17-$M$5)/$M$5</f>
        <v>5.2328981667896625E-3</v>
      </c>
      <c r="K25" s="35">
        <f>(K17-$N$5)/$N$5</f>
        <v>3.8641573620552252E-3</v>
      </c>
      <c r="L25" s="35">
        <f>(L17-$O$5)/$O$5</f>
        <v>-1.0323584056089066E-2</v>
      </c>
      <c r="M25" s="35">
        <f>(M17-$M$5)/$M$5</f>
        <v>2.1214404595057905E-2</v>
      </c>
      <c r="N25" s="35">
        <f>(N17-$N$5)/$N$5</f>
        <v>9.453377794549557E-3</v>
      </c>
      <c r="O25" s="35">
        <f>(O17-$O$5)/$O$5</f>
        <v>9.1595331039953792E-2</v>
      </c>
      <c r="P25" s="35">
        <f>(P17-$M$5)/$M$5</f>
        <v>0</v>
      </c>
      <c r="Q25" s="35">
        <f>(Q17-$N$5)/$N$5</f>
        <v>0</v>
      </c>
      <c r="R25" s="35">
        <f>(R17-$O$5)/$O$5</f>
        <v>0</v>
      </c>
      <c r="S25" s="35">
        <f>(S17-$M$5)/$M$5</f>
        <v>5.2481927195396343E-2</v>
      </c>
      <c r="T25" s="35">
        <f>(T17-$N$5)/$N$5</f>
        <v>4.1226502509673711E-2</v>
      </c>
      <c r="U25" s="35">
        <f>(U17-$O$5)/$O$5</f>
        <v>0.25775250159396496</v>
      </c>
    </row>
    <row r="26" spans="3:34" x14ac:dyDescent="0.25">
      <c r="G26" s="35">
        <f>(G18-$M$6)/$M$6</f>
        <v>-9.0079416802952596E-3</v>
      </c>
      <c r="H26" s="35">
        <f>(H18-$N$6)/$N$6</f>
        <v>-4.100948438090642E-3</v>
      </c>
      <c r="I26" s="35">
        <f>(I18-$O$6)/$O$6</f>
        <v>-5.4581700771845196E-2</v>
      </c>
      <c r="J26" s="35">
        <f>(J18-$M$6)/$M$6</f>
        <v>4.983130356019703E-3</v>
      </c>
      <c r="K26" s="35">
        <f>(K18-$N$6)/$N$6</f>
        <v>3.7093303239606698E-3</v>
      </c>
      <c r="L26" s="35">
        <f>(L18-$O$6)/$O$6</f>
        <v>-2.4517157481173189E-2</v>
      </c>
      <c r="M26" s="35">
        <f>(M18-$M$6)/$M$6</f>
        <v>2.0325748518260252E-2</v>
      </c>
      <c r="N26" s="35">
        <f>(N18-$N$6)/$N$6</f>
        <v>9.1128291958706264E-3</v>
      </c>
      <c r="O26" s="35">
        <f>(O18-$O$6)/$O$6</f>
        <v>0.10682744017644587</v>
      </c>
      <c r="P26" s="35">
        <f>(P18-$M$6)/$M$6</f>
        <v>0</v>
      </c>
      <c r="Q26" s="35">
        <f>(Q18-$N$6)/$N$6</f>
        <v>0</v>
      </c>
      <c r="R26" s="35">
        <f>(R18-$O$6)/$O$6</f>
        <v>0</v>
      </c>
      <c r="S26" s="35">
        <f>(S18-$M$6)/$M$6</f>
        <v>5.1418189986431072E-2</v>
      </c>
      <c r="T26" s="35">
        <f>(T18-$N$6)/$N$6</f>
        <v>4.0792670904877155E-2</v>
      </c>
      <c r="U26" s="35">
        <f>(U18-$O$6)/$O$6</f>
        <v>0.20387179950516246</v>
      </c>
      <c r="V26" s="6"/>
      <c r="W26" s="6"/>
      <c r="X26" s="6"/>
      <c r="Y26" s="6"/>
      <c r="Z26" s="6"/>
      <c r="AA26" s="6"/>
      <c r="AB26" s="6"/>
      <c r="AC26" s="6"/>
      <c r="AD26" s="6"/>
      <c r="AE26" s="6"/>
      <c r="AG26" s="50"/>
    </row>
    <row r="27" spans="3:34" x14ac:dyDescent="0.25">
      <c r="G27" s="35">
        <f>(G19-$M$7)/$M$7</f>
        <v>-8.9603084655374161E-3</v>
      </c>
      <c r="H27" s="35">
        <f>(H19-$N$7)/$N$7</f>
        <v>-4.0806069407170195E-3</v>
      </c>
      <c r="I27" s="35">
        <f>(I19-$O$7)/$O$7</f>
        <v>-4.2781390838477582E-2</v>
      </c>
      <c r="J27" s="35">
        <f>(J19-$M$7)/$M$7</f>
        <v>5.0581505791460714E-3</v>
      </c>
      <c r="K27" s="35">
        <f>(K19-$N$7)/$N$7</f>
        <v>3.7600157892594323E-3</v>
      </c>
      <c r="L27" s="35">
        <f>(L19-$O$7)/$O$7</f>
        <v>-2.0542173643398186E-2</v>
      </c>
      <c r="M27" s="35">
        <f>(M19-$M$7)/$M$7</f>
        <v>2.0398324517281761E-2</v>
      </c>
      <c r="N27" s="35">
        <f>(N19-$N$7)/$N$7</f>
        <v>9.1424937425060287E-3</v>
      </c>
      <c r="O27" s="35">
        <f>(O19-$O$7)/$O$7</f>
        <v>6.734085909422495E-2</v>
      </c>
      <c r="P27" s="35">
        <f>(P19-$M$7)/$M$7</f>
        <v>0</v>
      </c>
      <c r="Q27" s="35">
        <f>(Q19-$N$7)/$N$7</f>
        <v>0</v>
      </c>
      <c r="R27" s="35">
        <f>(R19-$O$7)/$O$7</f>
        <v>0</v>
      </c>
      <c r="S27" s="35">
        <f>(S19-$M$7)/$M$7</f>
        <v>5.1320167747906771E-2</v>
      </c>
      <c r="T27" s="35">
        <f>(T19-$N$7)/$N$7</f>
        <v>4.0745311362049376E-2</v>
      </c>
      <c r="U27" s="35">
        <f>(U19-$O$7)/$O$7</f>
        <v>0.18024420235494451</v>
      </c>
      <c r="Z27" s="33"/>
      <c r="AA27" s="33"/>
      <c r="AB27" s="33"/>
      <c r="AC27" s="33"/>
      <c r="AD27" s="33"/>
      <c r="AE27" s="8"/>
      <c r="AF27" s="36"/>
      <c r="AH27" s="36"/>
    </row>
    <row r="28" spans="3:34" x14ac:dyDescent="0.25">
      <c r="G28" s="35">
        <f>(G20-$M$8)/$M$8</f>
        <v>-9.1398288288311973E-3</v>
      </c>
      <c r="H28" s="35">
        <f>(H20-$N$8)/$N$8</f>
        <v>-4.1530338042885294E-3</v>
      </c>
      <c r="I28" s="35">
        <f>(I20-$O$8)/$O$8</f>
        <v>-4.1134076741403472E-2</v>
      </c>
      <c r="J28" s="35">
        <f>(J20-$M$8)/$M$8</f>
        <v>5.2988634688415914E-3</v>
      </c>
      <c r="K28" s="35">
        <f>(K20-$N$8)/$N$8</f>
        <v>3.9132508493090086E-3</v>
      </c>
      <c r="L28" s="35">
        <f>(L20-$O$8)/$O$8</f>
        <v>-2.8996753622005836E-2</v>
      </c>
      <c r="M28" s="35">
        <f>(M20-$M$8)/$M$8</f>
        <v>2.0957507487984573E-2</v>
      </c>
      <c r="N28" s="35">
        <f>(N20-$N$8)/$N$8</f>
        <v>9.3511174883964231E-3</v>
      </c>
      <c r="O28" s="35">
        <f>(O20-$O$8)/$O$8</f>
        <v>5.4246410168973025E-2</v>
      </c>
      <c r="P28" s="35">
        <f>(P20-$M$8)/$M$8</f>
        <v>0</v>
      </c>
      <c r="Q28" s="35">
        <f>(Q20-$N$8)/$N$8</f>
        <v>0</v>
      </c>
      <c r="R28" s="35">
        <f>(R20-$O$8)/$O$8</f>
        <v>0</v>
      </c>
      <c r="S28" s="35">
        <f>(S20-$M$8)/$M$8</f>
        <v>5.1643760217693416E-2</v>
      </c>
      <c r="T28" s="35">
        <f>(T20-$N$8)/$N$8</f>
        <v>4.0847244608998495E-2</v>
      </c>
      <c r="U28" s="35">
        <f>(U20-$O$8)/$O$8</f>
        <v>0.12470687305942409</v>
      </c>
      <c r="Z28" s="33"/>
      <c r="AA28" s="33"/>
      <c r="AB28" s="33"/>
      <c r="AC28" s="33"/>
      <c r="AD28" s="33"/>
      <c r="AE28" s="8"/>
      <c r="AF28" s="36"/>
      <c r="AH28" s="36"/>
    </row>
    <row r="29" spans="3:34" x14ac:dyDescent="0.25">
      <c r="G29" s="35">
        <f>(G21-$M$9)/$M$9</f>
        <v>-9.0139010909038794E-3</v>
      </c>
      <c r="H29" s="35">
        <f>(H21-$N$9)/$N$9</f>
        <v>-4.0990128938109063E-3</v>
      </c>
      <c r="I29" s="35">
        <f>(I21-$O$9)/$O$9</f>
        <v>-3.0215231609762524E-2</v>
      </c>
      <c r="J29" s="35">
        <f>(J21-$M$9)/$M$9</f>
        <v>5.5036448500079002E-3</v>
      </c>
      <c r="K29" s="35">
        <f>(K21-$N$9)/$N$9</f>
        <v>4.0499988554154138E-3</v>
      </c>
      <c r="L29" s="35">
        <f>(L21-$O$9)/$O$9</f>
        <v>-3.1542835834529749E-2</v>
      </c>
      <c r="M29" s="35">
        <f>(M21-$M$9)/$M$9</f>
        <v>2.1185261245784768E-2</v>
      </c>
      <c r="N29" s="35">
        <f>(N21-$N$9)/$N$9</f>
        <v>9.4601762804284104E-3</v>
      </c>
      <c r="O29" s="35">
        <f>(O21-$O$9)/$O$9</f>
        <v>5.7740558489299348E-2</v>
      </c>
      <c r="P29" s="35">
        <f>(P21-$M$9)/$M$9</f>
        <v>0</v>
      </c>
      <c r="Q29" s="35">
        <f>(Q21-$N$9)/$N$9</f>
        <v>0</v>
      </c>
      <c r="R29" s="35">
        <f>(R21-$O$9)/$O$9</f>
        <v>0</v>
      </c>
      <c r="S29" s="35">
        <f>(S21-$M$9)/$M$9</f>
        <v>5.1441822544265846E-2</v>
      </c>
      <c r="T29" s="35">
        <f>(T21-$N$9)/$N$9</f>
        <v>4.076408827219246E-2</v>
      </c>
      <c r="U29" s="35">
        <f>(U21-$O$9)/$O$9</f>
        <v>0.10310604799635571</v>
      </c>
      <c r="Z29" s="33"/>
      <c r="AA29" s="33"/>
      <c r="AB29" s="33"/>
      <c r="AC29" s="33"/>
      <c r="AD29" s="33"/>
      <c r="AE29" s="8"/>
      <c r="AF29" s="36"/>
      <c r="AH29" s="36"/>
    </row>
    <row r="30" spans="3:34" x14ac:dyDescent="0.25">
      <c r="G30" s="35">
        <f>(G22-$M$10)/$M$10</f>
        <v>-3.7659399177551595E-5</v>
      </c>
      <c r="H30" s="35">
        <f>(H22-$N$10)/$N$10</f>
        <v>-9.4331959434108795E-5</v>
      </c>
      <c r="I30" s="35">
        <f>(I22-$O$10)/$O$10</f>
        <v>-2.0916668962472549E-2</v>
      </c>
      <c r="J30" s="35">
        <f>(J22-$M$10)/$M$10</f>
        <v>1.1106463808206565E-3</v>
      </c>
      <c r="K30" s="35">
        <f>(K22-$N$10)/$N$10</f>
        <v>9.7829053981552338E-4</v>
      </c>
      <c r="L30" s="35">
        <f>(L22-$O$10)/$O$10</f>
        <v>-3.6815180276798254E-2</v>
      </c>
      <c r="M30" s="35">
        <f>(M22-$M$10)/$M$10</f>
        <v>3.3195232399934392E-3</v>
      </c>
      <c r="N30" s="35">
        <f>(N22-$N$10)/$N$10</f>
        <v>1.6975504392915551E-3</v>
      </c>
      <c r="O30" s="35">
        <f>(O22-$O$10)/$O$10</f>
        <v>2.6565036942682287E-2</v>
      </c>
      <c r="P30" s="35">
        <f>(P22-$M$10)/$M$10</f>
        <v>0</v>
      </c>
      <c r="Q30" s="35">
        <f>(Q22-$N$10)/$N$10</f>
        <v>0</v>
      </c>
      <c r="R30" s="35">
        <f>(R22-$O$10)/$O$10</f>
        <v>0</v>
      </c>
      <c r="S30" s="35">
        <f>(S22-$M$10)/$M$10</f>
        <v>3.2680755880594096E-2</v>
      </c>
      <c r="T30" s="35">
        <f>(T22-$N$10)/$N$10</f>
        <v>3.2441629928085046E-2</v>
      </c>
      <c r="U30" s="35">
        <f>(U22-$O$10)/$O$10</f>
        <v>3.7761239868037588E-2</v>
      </c>
      <c r="Z30" s="33"/>
      <c r="AA30" s="33"/>
      <c r="AB30" s="33"/>
      <c r="AC30" s="33"/>
      <c r="AD30" s="33"/>
      <c r="AE30" s="8"/>
      <c r="AF30" s="36"/>
      <c r="AH30" s="36"/>
    </row>
    <row r="31" spans="3:34" x14ac:dyDescent="0.25">
      <c r="Z31" s="33"/>
      <c r="AA31" s="33"/>
      <c r="AB31" s="33"/>
      <c r="AC31" s="33"/>
      <c r="AD31" s="33"/>
      <c r="AE31" s="8"/>
      <c r="AF31" s="36"/>
      <c r="AH31" s="36"/>
    </row>
    <row r="32" spans="3:34" x14ac:dyDescent="0.25">
      <c r="Z32" s="33"/>
      <c r="AA32" s="33"/>
      <c r="AB32" s="33"/>
      <c r="AC32" s="33"/>
      <c r="AD32" s="33"/>
      <c r="AE32" s="8"/>
      <c r="AF32" s="36"/>
      <c r="AH32" s="36"/>
    </row>
    <row r="36" spans="3:21" x14ac:dyDescent="0.25">
      <c r="C36" s="6"/>
      <c r="D36" s="6"/>
      <c r="E36" s="6"/>
      <c r="F36" s="6"/>
      <c r="G36" s="109" t="s">
        <v>177</v>
      </c>
      <c r="H36" s="109"/>
      <c r="I36" s="109"/>
      <c r="J36" s="109" t="s">
        <v>178</v>
      </c>
      <c r="K36" s="109"/>
      <c r="L36" s="109"/>
      <c r="M36" s="109" t="s">
        <v>179</v>
      </c>
      <c r="N36" s="109"/>
      <c r="O36" s="109"/>
      <c r="P36" s="101" t="s">
        <v>180</v>
      </c>
      <c r="Q36" s="101"/>
      <c r="R36" s="101"/>
      <c r="S36" s="101" t="s">
        <v>181</v>
      </c>
      <c r="T36" s="101"/>
      <c r="U36" s="101"/>
    </row>
    <row r="37" spans="3:21" x14ac:dyDescent="0.25">
      <c r="G37" t="s">
        <v>147</v>
      </c>
      <c r="H37" s="33" t="s">
        <v>148</v>
      </c>
      <c r="I37" s="33" t="s">
        <v>170</v>
      </c>
      <c r="J37" t="s">
        <v>147</v>
      </c>
      <c r="K37" s="33" t="s">
        <v>148</v>
      </c>
      <c r="L37" s="33" t="s">
        <v>170</v>
      </c>
      <c r="M37" t="s">
        <v>147</v>
      </c>
      <c r="N37" s="33" t="s">
        <v>148</v>
      </c>
      <c r="O37" s="33" t="s">
        <v>170</v>
      </c>
      <c r="P37" t="s">
        <v>147</v>
      </c>
      <c r="Q37" s="33" t="s">
        <v>148</v>
      </c>
      <c r="R37" s="33" t="s">
        <v>170</v>
      </c>
      <c r="S37" t="s">
        <v>147</v>
      </c>
      <c r="T37" s="33" t="s">
        <v>148</v>
      </c>
      <c r="U37" s="33" t="s">
        <v>170</v>
      </c>
    </row>
    <row r="38" spans="3:21" x14ac:dyDescent="0.25">
      <c r="G38" s="1">
        <v>28523.755713894901</v>
      </c>
      <c r="H38" s="1">
        <v>38818.572765875302</v>
      </c>
      <c r="I38" s="1">
        <v>223.741870052102</v>
      </c>
      <c r="J38" s="1">
        <v>28123.251828496799</v>
      </c>
      <c r="K38" s="1">
        <v>38549.341562556503</v>
      </c>
      <c r="L38" s="1">
        <v>209.92935092603901</v>
      </c>
      <c r="M38" s="1">
        <v>27967.245912506201</v>
      </c>
      <c r="N38" s="53">
        <v>38474.905993436703</v>
      </c>
      <c r="O38" s="53">
        <v>199.671158434337</v>
      </c>
      <c r="P38" s="53">
        <v>28177.409130829699</v>
      </c>
      <c r="Q38" s="53">
        <v>38604.132143561103</v>
      </c>
      <c r="R38" s="53">
        <v>204.99999754133199</v>
      </c>
      <c r="S38" s="1">
        <v>27682.0144520334</v>
      </c>
      <c r="T38" s="1">
        <v>38071.867140894399</v>
      </c>
      <c r="U38" s="1">
        <v>194.128047458856</v>
      </c>
    </row>
    <row r="39" spans="3:21" x14ac:dyDescent="0.25">
      <c r="G39" s="1">
        <v>29857.114469391199</v>
      </c>
      <c r="H39" s="1">
        <v>40338.580023867798</v>
      </c>
      <c r="I39" s="1">
        <v>271.25022800343902</v>
      </c>
      <c r="J39" s="1">
        <v>29460.532435718502</v>
      </c>
      <c r="K39" s="1">
        <v>40072.529886572098</v>
      </c>
      <c r="L39" s="1">
        <v>249.881420104678</v>
      </c>
      <c r="M39" s="1">
        <v>29303.647202143002</v>
      </c>
      <c r="N39" s="53">
        <v>39997.7279728051</v>
      </c>
      <c r="O39" s="53">
        <v>239.596345936674</v>
      </c>
      <c r="P39" s="53">
        <v>29514.020175437399</v>
      </c>
      <c r="Q39" s="53">
        <v>40126.661772811101</v>
      </c>
      <c r="R39" s="53">
        <v>246.34441797630399</v>
      </c>
      <c r="S39" s="1">
        <v>29005.683533859301</v>
      </c>
      <c r="T39" s="1">
        <v>39579.293603135899</v>
      </c>
      <c r="U39" s="1">
        <v>234.07741598329699</v>
      </c>
    </row>
    <row r="40" spans="3:21" x14ac:dyDescent="0.25">
      <c r="G40" s="1">
        <v>31276.751076218301</v>
      </c>
      <c r="H40" s="1">
        <v>42333.752727700397</v>
      </c>
      <c r="I40" s="1">
        <v>304.12659915778403</v>
      </c>
      <c r="J40" s="1">
        <v>30864.231269145501</v>
      </c>
      <c r="K40" s="1">
        <v>42056.712967408399</v>
      </c>
      <c r="L40" s="1">
        <v>291.13314252392701</v>
      </c>
      <c r="M40" s="1">
        <v>30699.921769971399</v>
      </c>
      <c r="N40" s="53">
        <v>41978.530267147697</v>
      </c>
      <c r="O40" s="53">
        <v>279.55018101099802</v>
      </c>
      <c r="P40" s="53">
        <v>30919.3919422822</v>
      </c>
      <c r="Q40" s="53">
        <v>42112.560156531203</v>
      </c>
      <c r="R40" s="53">
        <v>284.99998007228999</v>
      </c>
      <c r="S40" s="1">
        <v>30387.7654904308</v>
      </c>
      <c r="T40" s="1">
        <v>41538.700436047802</v>
      </c>
      <c r="U40" s="1">
        <v>274.095394446071</v>
      </c>
    </row>
    <row r="41" spans="3:21" x14ac:dyDescent="0.25">
      <c r="G41" s="1">
        <v>32986.2100881898</v>
      </c>
      <c r="H41" s="1">
        <v>44958.705650711301</v>
      </c>
      <c r="I41" s="1">
        <v>349.245818408025</v>
      </c>
      <c r="J41" s="1">
        <v>32538.532340102502</v>
      </c>
      <c r="K41" s="1">
        <v>44655.436681430598</v>
      </c>
      <c r="L41" s="1">
        <v>335.98776357369599</v>
      </c>
      <c r="M41" s="1">
        <v>32361.796814879799</v>
      </c>
      <c r="N41" s="53">
        <v>44571.661188098798</v>
      </c>
      <c r="O41" s="53">
        <v>324.507574938787</v>
      </c>
      <c r="P41" s="53">
        <v>32602.001403192899</v>
      </c>
      <c r="Q41" s="53">
        <v>44719.731388008702</v>
      </c>
      <c r="R41" s="53">
        <v>331.358460987618</v>
      </c>
      <c r="S41" s="1">
        <v>32037.2181760532</v>
      </c>
      <c r="T41" s="1">
        <v>44108.1634608284</v>
      </c>
      <c r="U41" s="1">
        <v>319.14132076012902</v>
      </c>
    </row>
    <row r="42" spans="3:21" x14ac:dyDescent="0.25">
      <c r="G42" s="1">
        <v>36511.554461325199</v>
      </c>
      <c r="H42" s="1">
        <v>49999.717859466698</v>
      </c>
      <c r="I42" s="1">
        <v>439.57939708408298</v>
      </c>
      <c r="J42" s="1">
        <v>36019.408777216697</v>
      </c>
      <c r="K42" s="1">
        <v>49663.504459043499</v>
      </c>
      <c r="L42" s="1">
        <v>421.49281314242103</v>
      </c>
      <c r="M42" s="1">
        <v>35824.2850810483</v>
      </c>
      <c r="N42" s="53">
        <v>49571.628222878702</v>
      </c>
      <c r="O42" s="53">
        <v>408.77654455177401</v>
      </c>
      <c r="P42" s="53">
        <v>36092.604362655198</v>
      </c>
      <c r="Q42" s="53">
        <v>49737.731185046003</v>
      </c>
      <c r="R42" s="53">
        <v>414.39601719291198</v>
      </c>
      <c r="S42" s="1">
        <v>35470.105626858</v>
      </c>
      <c r="T42" s="1">
        <v>49059.339458759998</v>
      </c>
      <c r="U42" s="1">
        <v>403.52204188887299</v>
      </c>
    </row>
    <row r="43" spans="3:21" x14ac:dyDescent="0.25">
      <c r="G43" s="1">
        <v>81821.478602085495</v>
      </c>
      <c r="H43" s="1">
        <v>94891.849452990995</v>
      </c>
      <c r="I43" s="1">
        <v>2611.9353479983201</v>
      </c>
      <c r="J43" s="1">
        <v>81796.210945157698</v>
      </c>
      <c r="K43" s="1">
        <v>94854.399018661599</v>
      </c>
      <c r="L43" s="1">
        <v>2586.1290001986899</v>
      </c>
      <c r="M43" s="1">
        <v>81731.923297543894</v>
      </c>
      <c r="N43" s="1">
        <v>94830.264702326895</v>
      </c>
      <c r="O43" s="1">
        <v>2529.55187533239</v>
      </c>
      <c r="P43" s="1">
        <v>81828.759382578195</v>
      </c>
      <c r="Q43" s="1">
        <v>94887.643921505602</v>
      </c>
      <c r="R43" s="1">
        <v>2552.8161172876198</v>
      </c>
      <c r="S43" s="1">
        <v>80933.199792753701</v>
      </c>
      <c r="T43" s="1">
        <v>93859.892238110202</v>
      </c>
      <c r="U43" s="1">
        <v>2522.2077052301302</v>
      </c>
    </row>
    <row r="46" spans="3:21" x14ac:dyDescent="0.25">
      <c r="G46" s="35">
        <f>(G38-$M$5)/$M$5</f>
        <v>1.2291640493172757E-2</v>
      </c>
      <c r="H46" s="35">
        <f>(H38-$N$5)/$N$5</f>
        <v>5.5548618867207657E-3</v>
      </c>
      <c r="I46" s="35">
        <f>(I38-$O$5)/$O$5</f>
        <v>9.1423769441710753E-2</v>
      </c>
      <c r="J46" s="36">
        <f>(J38-$M$5)/$M$5</f>
        <v>-1.9220114270067899E-3</v>
      </c>
      <c r="K46" s="36">
        <f>(K38-$N$5)/$N$5</f>
        <v>-1.4192931679138446E-3</v>
      </c>
      <c r="L46" s="35">
        <f>(L38-$O$5)/$O$5</f>
        <v>2.4045626555254763E-2</v>
      </c>
      <c r="M46" s="35">
        <f>(M38-$M$5)/$M$5</f>
        <v>-7.458571416119034E-3</v>
      </c>
      <c r="N46" s="35">
        <f>(N38-$N$5)/$N$5</f>
        <v>-3.347469375657323E-3</v>
      </c>
      <c r="O46" s="35">
        <f>(O38-$O$5)/$O$5</f>
        <v>-2.5994337419055789E-2</v>
      </c>
      <c r="P46" s="35">
        <f>(P38-$M$5)/$M$5</f>
        <v>0</v>
      </c>
      <c r="Q46" s="35">
        <f>(Q38-$N$5)/$N$5</f>
        <v>0</v>
      </c>
      <c r="R46" s="35">
        <f>(R38-$O$5)/$O$5</f>
        <v>0</v>
      </c>
      <c r="S46" s="35">
        <f>(S38-$M$5)/$M$5</f>
        <v>-1.7581271453885172E-2</v>
      </c>
      <c r="T46" s="35">
        <f>(T38-$N$5)/$N$5</f>
        <v>-1.3787772787827881E-2</v>
      </c>
      <c r="U46" s="35">
        <f>(U38-$O$5)/$O$5</f>
        <v>-5.303390347740855E-2</v>
      </c>
    </row>
    <row r="47" spans="3:21" x14ac:dyDescent="0.25">
      <c r="C47" s="6"/>
      <c r="D47" s="6"/>
      <c r="E47" s="6"/>
      <c r="F47" s="6"/>
      <c r="G47" s="35">
        <f>(G39-$M$6)/$M$6</f>
        <v>1.1624790249324795E-2</v>
      </c>
      <c r="H47" s="35">
        <f>(H39-$N$6)/$N$6</f>
        <v>5.2812330180002157E-3</v>
      </c>
      <c r="I47" s="35">
        <f>(I39-$O$6)/$O$6</f>
        <v>0.10110158059084065</v>
      </c>
      <c r="J47" s="36">
        <f>(J39-$M$6)/$M$6</f>
        <v>-1.8122824136107311E-3</v>
      </c>
      <c r="K47" s="36">
        <f>(K39-$N$6)/$N$6</f>
        <v>-1.3490254072339011E-3</v>
      </c>
      <c r="L47" s="35">
        <f>(L39-$O$6)/$O$6</f>
        <v>1.4357955245871409E-2</v>
      </c>
      <c r="M47" s="35">
        <f>(M39-$M$6)/$M$6</f>
        <v>-7.1278996234297246E-3</v>
      </c>
      <c r="N47" s="35">
        <f>(N39-$N$6)/$N$6</f>
        <v>-3.2131703538160784E-3</v>
      </c>
      <c r="O47" s="35">
        <f>(O39-$O$6)/$O$6</f>
        <v>-2.7392835181997467E-2</v>
      </c>
      <c r="P47" s="35">
        <f>(P39-$M$6)/$M$6</f>
        <v>0</v>
      </c>
      <c r="Q47" s="35">
        <f>(Q39-$N$6)/$N$6</f>
        <v>0</v>
      </c>
      <c r="R47" s="35">
        <f>(R39-$O$6)/$O$6</f>
        <v>0</v>
      </c>
      <c r="S47" s="35">
        <f>(S39-$M$6)/$M$6</f>
        <v>-1.722356488734645E-2</v>
      </c>
      <c r="T47" s="35">
        <f>(T39-$N$6)/$N$6</f>
        <v>-1.3641009381101491E-2</v>
      </c>
      <c r="U47" s="35">
        <f>(U39-$O$6)/$O$6</f>
        <v>-4.9796143520438811E-2</v>
      </c>
    </row>
    <row r="48" spans="3:21" x14ac:dyDescent="0.25">
      <c r="G48" s="35">
        <f>(G40-$M$7)/$M$7</f>
        <v>1.1557767196819066E-2</v>
      </c>
      <c r="H48" s="35">
        <f>(H40-$N$7)/$N$7</f>
        <v>5.2524133025165917E-3</v>
      </c>
      <c r="I48" s="35">
        <f>(I40-$O$7)/$O$7</f>
        <v>6.7110948852145857E-2</v>
      </c>
      <c r="J48" s="36">
        <f>(J40-$M$7)/$M$7</f>
        <v>-1.7840154566968404E-3</v>
      </c>
      <c r="K48" s="36">
        <f>(K40-$N$7)/$N$7</f>
        <v>-1.3261409165156726E-3</v>
      </c>
      <c r="L48" s="35">
        <f>(L40-$O$7)/$O$7</f>
        <v>2.1519869756065766E-2</v>
      </c>
      <c r="M48" s="35">
        <f>(M40-$M$7)/$M$7</f>
        <v>-7.0981399867271E-3</v>
      </c>
      <c r="N48" s="35">
        <f>(N40-$N$7)/$N$7</f>
        <v>-3.182658306341879E-3</v>
      </c>
      <c r="O48" s="35">
        <f>(O40-$O$7)/$O$7</f>
        <v>-1.912210330649719E-2</v>
      </c>
      <c r="P48" s="35">
        <f>(P40-$M$7)/$M$7</f>
        <v>0</v>
      </c>
      <c r="Q48" s="35">
        <f>(Q40-$N$7)/$N$7</f>
        <v>0</v>
      </c>
      <c r="R48" s="35">
        <f>(R40-$O$7)/$O$7</f>
        <v>0</v>
      </c>
      <c r="S48" s="35">
        <f>(S40-$M$7)/$M$7</f>
        <v>-1.7193949119174039E-2</v>
      </c>
      <c r="T48" s="35">
        <f>(T40-$N$7)/$N$7</f>
        <v>-1.3626806785205649E-2</v>
      </c>
      <c r="U48" s="35">
        <f>(U40-$O$7)/$O$7</f>
        <v>-3.8261706626972571E-2</v>
      </c>
    </row>
    <row r="49" spans="3:21" x14ac:dyDescent="0.25">
      <c r="G49" s="35">
        <f>(G41-$M$8)/$M$8</f>
        <v>1.1784818982287209E-2</v>
      </c>
      <c r="H49" s="35">
        <f>(H41-$N$8)/$N$8</f>
        <v>5.3438215142472502E-3</v>
      </c>
      <c r="I49" s="35">
        <f>(I41-$O$8)/$O$8</f>
        <v>5.3981894311959044E-2</v>
      </c>
      <c r="J49" s="36">
        <f>(J41-$M$8)/$M$8</f>
        <v>-1.9467842573671283E-3</v>
      </c>
      <c r="K49" s="36">
        <f>(K41-$N$8)/$N$8</f>
        <v>-1.4377256880246986E-3</v>
      </c>
      <c r="L49" s="35">
        <f>(L41-$O$8)/$O$8</f>
        <v>1.3970678679156976E-2</v>
      </c>
      <c r="M49" s="35">
        <f>(M41-$M$8)/$M$8</f>
        <v>-7.3677865767337496E-3</v>
      </c>
      <c r="N49" s="35">
        <f>(N41-$N$8)/$N$8</f>
        <v>-3.3110708699294151E-3</v>
      </c>
      <c r="O49" s="35">
        <f>(O41-$O$8)/$O$8</f>
        <v>-2.0675150495363389E-2</v>
      </c>
      <c r="P49" s="35">
        <f>(P41-$M$8)/$M$8</f>
        <v>0</v>
      </c>
      <c r="Q49" s="35">
        <f>(Q41-$N$8)/$N$8</f>
        <v>0</v>
      </c>
      <c r="R49" s="35">
        <f>(R41-$O$8)/$O$8</f>
        <v>0</v>
      </c>
      <c r="S49" s="35">
        <f>(S41-$M$8)/$M$8</f>
        <v>-1.7323575327629605E-2</v>
      </c>
      <c r="T49" s="35">
        <f>(T41-$N$8)/$N$8</f>
        <v>-1.367557246429011E-2</v>
      </c>
      <c r="U49" s="35">
        <f>(U41-$O$8)/$O$8</f>
        <v>-3.6869860486059856E-2</v>
      </c>
    </row>
    <row r="50" spans="3:21" x14ac:dyDescent="0.25">
      <c r="G50" s="35">
        <f>(G42-$M$9)/$M$9</f>
        <v>1.1607643894589265E-2</v>
      </c>
      <c r="H50" s="35">
        <f>(H42-$N$9)/$N$9</f>
        <v>5.2673627883425399E-3</v>
      </c>
      <c r="I50" s="35">
        <f>(I42-$O$9)/$O$9</f>
        <v>6.0771288444713724E-2</v>
      </c>
      <c r="J50" s="36">
        <f>(J42-$M$9)/$M$9</f>
        <v>-2.0279940096048174E-3</v>
      </c>
      <c r="K50" s="36">
        <f>(K42-$N$9)/$N$9</f>
        <v>-1.4923625230581585E-3</v>
      </c>
      <c r="L50" s="35">
        <f>(L42-$O$9)/$O$9</f>
        <v>1.7125637445992402E-2</v>
      </c>
      <c r="M50" s="35">
        <f>(M42-$M$9)/$M$9</f>
        <v>-7.434190088109212E-3</v>
      </c>
      <c r="N50" s="35">
        <f>(N42-$N$9)/$N$9</f>
        <v>-3.3395765791834225E-3</v>
      </c>
      <c r="O50" s="35">
        <f>(O42-$O$9)/$O$9</f>
        <v>-1.3560633809185395E-2</v>
      </c>
      <c r="P50" s="35">
        <f>(P42-$M$9)/$M$9</f>
        <v>0</v>
      </c>
      <c r="Q50" s="35">
        <f>(Q42-$N$9)/$N$9</f>
        <v>0</v>
      </c>
      <c r="R50" s="35">
        <f>(R42-$O$9)/$O$9</f>
        <v>0</v>
      </c>
      <c r="S50" s="35">
        <f>(S42-$M$9)/$M$9</f>
        <v>-1.7247265659811856E-2</v>
      </c>
      <c r="T50" s="35">
        <f>(T42-$N$9)/$N$9</f>
        <v>-1.3639378196848035E-2</v>
      </c>
      <c r="U50" s="35">
        <f>(U42-$O$9)/$O$9</f>
        <v>-2.6240540094227976E-2</v>
      </c>
    </row>
    <row r="51" spans="3:21" x14ac:dyDescent="0.25">
      <c r="G51" s="35">
        <f>(G43-$M$10)/$M$10</f>
        <v>-8.8975814220273081E-5</v>
      </c>
      <c r="H51" s="35">
        <f>(H43-$N$10)/$N$10</f>
        <v>4.4321170930034447E-5</v>
      </c>
      <c r="I51" s="35">
        <f>(I43-$O$10)/$O$10</f>
        <v>2.315843679861862E-2</v>
      </c>
      <c r="J51" s="36">
        <f>(J43-$M$10)/$M$10</f>
        <v>-3.9776281182905007E-4</v>
      </c>
      <c r="K51" s="36">
        <f>(K43-$N$10)/$N$10</f>
        <v>-3.5036071579039004E-4</v>
      </c>
      <c r="L51" s="35">
        <f>(L43-$O$10)/$O$10</f>
        <v>1.304946434859759E-2</v>
      </c>
      <c r="M51" s="35">
        <f>(M43-$M$10)/$M$10</f>
        <v>-1.1833991589871085E-3</v>
      </c>
      <c r="N51" s="35">
        <f>(N43-$N$10)/$N$10</f>
        <v>-6.0470696507306161E-4</v>
      </c>
      <c r="O51" s="35">
        <f>(O43-$O$10)/$O$10</f>
        <v>-9.1131679237234833E-3</v>
      </c>
      <c r="P51" s="35">
        <f>(P43-$M$10)/$M$10</f>
        <v>0</v>
      </c>
      <c r="Q51" s="35">
        <f>(Q43-$N$10)/$N$10</f>
        <v>0</v>
      </c>
      <c r="R51" s="35">
        <f>(R43-$O$10)/$O$10</f>
        <v>0</v>
      </c>
      <c r="S51" s="35">
        <f>(S43-$M$10)/$M$10</f>
        <v>-1.094431342454354E-2</v>
      </c>
      <c r="T51" s="35">
        <f>(T43-$N$10)/$N$10</f>
        <v>-1.0831248842532037E-2</v>
      </c>
      <c r="U51" s="35">
        <f>(U43-$O$10)/$O$10</f>
        <v>-1.1990057509512771E-2</v>
      </c>
    </row>
    <row r="52" spans="3:21" x14ac:dyDescent="0.25">
      <c r="H52" s="33"/>
      <c r="I52" s="33"/>
      <c r="J52" s="33"/>
      <c r="K52" s="33"/>
      <c r="L52" s="33"/>
      <c r="M52" s="33"/>
      <c r="N52" s="36"/>
      <c r="O52" s="51"/>
      <c r="P52" s="36"/>
      <c r="Q52" s="36"/>
      <c r="R52" s="36"/>
    </row>
    <row r="53" spans="3:21" x14ac:dyDescent="0.25">
      <c r="H53" s="33"/>
      <c r="I53" s="33"/>
      <c r="J53" s="33"/>
      <c r="K53" s="33"/>
      <c r="L53" s="33"/>
      <c r="M53" s="33"/>
      <c r="N53" s="36"/>
      <c r="O53" s="51"/>
      <c r="P53" s="36"/>
      <c r="Q53" s="36"/>
      <c r="R53" s="36"/>
    </row>
    <row r="58" spans="3:21" x14ac:dyDescent="0.25">
      <c r="C58" s="6"/>
      <c r="D58" s="6"/>
      <c r="E58" s="6"/>
      <c r="F58" s="6"/>
      <c r="G58" s="6"/>
      <c r="H58" s="6"/>
      <c r="I58" s="6"/>
      <c r="J58" s="6"/>
      <c r="K58" s="6"/>
      <c r="L58" s="6"/>
      <c r="M58" s="6"/>
      <c r="O58" s="50"/>
    </row>
    <row r="59" spans="3:21" x14ac:dyDescent="0.25">
      <c r="H59" s="33"/>
      <c r="I59" s="33"/>
      <c r="J59" s="33"/>
      <c r="K59" s="33"/>
      <c r="L59" s="33"/>
      <c r="M59" s="8"/>
      <c r="N59" s="36"/>
      <c r="O59" s="51"/>
      <c r="P59" s="36"/>
      <c r="Q59" s="36"/>
      <c r="R59" s="36"/>
    </row>
    <row r="60" spans="3:21" x14ac:dyDescent="0.25">
      <c r="H60" s="33"/>
      <c r="I60" s="33"/>
      <c r="J60" s="33"/>
      <c r="K60" s="33"/>
      <c r="L60" s="33"/>
      <c r="M60" s="8"/>
      <c r="N60" s="36"/>
      <c r="O60" s="51"/>
      <c r="P60" s="36"/>
      <c r="Q60" s="36"/>
      <c r="R60" s="36"/>
    </row>
    <row r="61" spans="3:21" x14ac:dyDescent="0.25">
      <c r="H61" s="33"/>
      <c r="I61" s="33"/>
      <c r="J61" s="33"/>
      <c r="K61" s="33"/>
      <c r="L61" s="33"/>
      <c r="M61" s="8"/>
      <c r="N61" s="36"/>
      <c r="O61" s="51"/>
      <c r="P61" s="36"/>
      <c r="Q61" s="36"/>
      <c r="R61" s="36"/>
    </row>
    <row r="62" spans="3:21" x14ac:dyDescent="0.25">
      <c r="H62" s="33"/>
      <c r="I62" s="33"/>
      <c r="J62" s="33"/>
      <c r="K62" s="33"/>
      <c r="L62" s="33"/>
      <c r="M62" s="8"/>
      <c r="N62" s="36"/>
      <c r="O62" s="51"/>
      <c r="P62" s="36"/>
      <c r="Q62" s="36"/>
      <c r="R62" s="36"/>
    </row>
    <row r="63" spans="3:21" x14ac:dyDescent="0.25">
      <c r="H63" s="33"/>
      <c r="I63" s="33"/>
      <c r="J63" s="33"/>
      <c r="K63" s="33"/>
      <c r="L63" s="33"/>
      <c r="M63" s="8"/>
      <c r="N63" s="36"/>
      <c r="O63" s="51"/>
      <c r="P63" s="36"/>
      <c r="Q63" s="36"/>
      <c r="R63" s="36"/>
    </row>
    <row r="64" spans="3:21" x14ac:dyDescent="0.25">
      <c r="H64" s="33"/>
      <c r="I64" s="33"/>
      <c r="J64" s="33"/>
      <c r="K64" s="33"/>
      <c r="L64" s="33"/>
      <c r="M64" s="8"/>
      <c r="N64" s="36"/>
      <c r="O64" s="51"/>
      <c r="P64" s="36"/>
      <c r="Q64" s="36"/>
      <c r="R64" s="36"/>
    </row>
    <row r="69" spans="3:18" x14ac:dyDescent="0.25">
      <c r="C69" s="6"/>
      <c r="D69" s="6"/>
      <c r="E69" s="6"/>
      <c r="F69" s="6"/>
      <c r="G69" s="6"/>
      <c r="H69" s="6"/>
      <c r="I69" s="6"/>
      <c r="J69" s="6"/>
      <c r="K69" s="6"/>
      <c r="L69" s="6"/>
      <c r="M69" s="6"/>
      <c r="O69" s="50"/>
      <c r="Q69" s="50"/>
    </row>
    <row r="70" spans="3:18" x14ac:dyDescent="0.25">
      <c r="H70" s="33"/>
      <c r="I70" s="33"/>
      <c r="J70" s="33"/>
      <c r="K70" s="33"/>
      <c r="L70" s="33"/>
      <c r="M70" s="8"/>
      <c r="N70" s="36"/>
      <c r="O70" s="51"/>
      <c r="P70" s="36"/>
      <c r="Q70" s="52"/>
      <c r="R70" s="36"/>
    </row>
    <row r="71" spans="3:18" x14ac:dyDescent="0.25">
      <c r="H71" s="33"/>
      <c r="I71" s="33"/>
      <c r="J71" s="33"/>
      <c r="K71" s="33"/>
      <c r="L71" s="33"/>
      <c r="M71" s="8"/>
      <c r="N71" s="36"/>
      <c r="O71" s="51"/>
      <c r="P71" s="36"/>
      <c r="Q71" s="52"/>
      <c r="R71" s="36"/>
    </row>
    <row r="72" spans="3:18" x14ac:dyDescent="0.25">
      <c r="H72" s="33"/>
      <c r="I72" s="33"/>
      <c r="J72" s="33"/>
      <c r="K72" s="33"/>
      <c r="L72" s="33"/>
      <c r="M72" s="8"/>
      <c r="N72" s="36"/>
      <c r="O72" s="51"/>
      <c r="P72" s="36"/>
      <c r="Q72" s="52"/>
      <c r="R72" s="36"/>
    </row>
    <row r="73" spans="3:18" x14ac:dyDescent="0.25">
      <c r="H73" s="33"/>
      <c r="I73" s="33"/>
      <c r="J73" s="33"/>
      <c r="K73" s="33"/>
      <c r="L73" s="33"/>
      <c r="M73" s="8"/>
      <c r="N73" s="36"/>
      <c r="O73" s="51"/>
      <c r="P73" s="36"/>
      <c r="Q73" s="52"/>
      <c r="R73" s="36"/>
    </row>
    <row r="74" spans="3:18" x14ac:dyDescent="0.25">
      <c r="H74" s="33"/>
      <c r="I74" s="33"/>
      <c r="J74" s="33"/>
      <c r="K74" s="33"/>
      <c r="L74" s="33"/>
      <c r="M74" s="8"/>
      <c r="N74" s="36"/>
      <c r="O74" s="51"/>
      <c r="P74" s="36"/>
      <c r="Q74" s="52"/>
      <c r="R74" s="36"/>
    </row>
    <row r="75" spans="3:18" x14ac:dyDescent="0.25">
      <c r="H75" s="33"/>
      <c r="I75" s="33"/>
      <c r="J75" s="33"/>
      <c r="K75" s="33"/>
      <c r="L75" s="33"/>
      <c r="M75" s="8"/>
      <c r="N75" s="36"/>
      <c r="O75" s="51"/>
      <c r="P75" s="36"/>
      <c r="Q75" s="52"/>
      <c r="R75" s="36"/>
    </row>
    <row r="80" spans="3:18" x14ac:dyDescent="0.25">
      <c r="C80" s="6"/>
      <c r="D80" s="6"/>
      <c r="E80" s="6"/>
      <c r="F80" s="6"/>
      <c r="G80" s="6"/>
      <c r="H80" s="6"/>
      <c r="I80" s="6"/>
      <c r="J80" s="6"/>
      <c r="K80" s="6"/>
      <c r="L80" s="6"/>
      <c r="M80" s="6"/>
      <c r="O80" s="50"/>
      <c r="Q80" s="50"/>
    </row>
    <row r="81" spans="3:18" x14ac:dyDescent="0.25">
      <c r="H81" s="33"/>
      <c r="I81" s="33"/>
      <c r="J81" s="33"/>
      <c r="K81" s="33"/>
      <c r="L81" s="33"/>
      <c r="M81" s="8"/>
      <c r="N81" s="36"/>
      <c r="O81" s="51"/>
      <c r="P81" s="36"/>
      <c r="Q81" s="52"/>
      <c r="R81" s="36"/>
    </row>
    <row r="82" spans="3:18" x14ac:dyDescent="0.25">
      <c r="H82" s="33"/>
      <c r="I82" s="33"/>
      <c r="J82" s="33"/>
      <c r="K82" s="33"/>
      <c r="L82" s="33"/>
      <c r="M82" s="8"/>
      <c r="N82" s="36"/>
      <c r="O82" s="51"/>
      <c r="P82" s="36"/>
      <c r="Q82" s="52"/>
      <c r="R82" s="36"/>
    </row>
    <row r="83" spans="3:18" x14ac:dyDescent="0.25">
      <c r="H83" s="33"/>
      <c r="I83" s="33"/>
      <c r="J83" s="33"/>
      <c r="K83" s="33"/>
      <c r="L83" s="33"/>
      <c r="M83" s="8"/>
      <c r="N83" s="36"/>
      <c r="O83" s="51"/>
      <c r="P83" s="36"/>
      <c r="Q83" s="52"/>
      <c r="R83" s="36"/>
    </row>
    <row r="84" spans="3:18" x14ac:dyDescent="0.25">
      <c r="H84" s="33"/>
      <c r="I84" s="33"/>
      <c r="J84" s="33"/>
      <c r="K84" s="33"/>
      <c r="L84" s="33"/>
      <c r="M84" s="8"/>
      <c r="N84" s="36"/>
      <c r="O84" s="51"/>
      <c r="P84" s="36"/>
      <c r="Q84" s="52"/>
      <c r="R84" s="36"/>
    </row>
    <row r="85" spans="3:18" x14ac:dyDescent="0.25">
      <c r="H85" s="33"/>
      <c r="I85" s="33"/>
      <c r="J85" s="33"/>
      <c r="K85" s="33"/>
      <c r="L85" s="33"/>
      <c r="M85" s="8"/>
      <c r="N85" s="36"/>
      <c r="O85" s="51"/>
      <c r="P85" s="36"/>
      <c r="Q85" s="52"/>
      <c r="R85" s="36"/>
    </row>
    <row r="86" spans="3:18" x14ac:dyDescent="0.25">
      <c r="C86">
        <v>6</v>
      </c>
      <c r="D86">
        <v>500</v>
      </c>
      <c r="E86">
        <v>1000</v>
      </c>
      <c r="F86">
        <v>9000</v>
      </c>
      <c r="G86">
        <v>9000</v>
      </c>
      <c r="H86" s="33">
        <v>106.52149830043901</v>
      </c>
      <c r="I86" s="33">
        <v>0.35</v>
      </c>
      <c r="J86" s="33">
        <v>10.1</v>
      </c>
      <c r="K86" s="33">
        <f t="shared" ref="K86" si="0">K10*0.97</f>
        <v>0.44938159999999999</v>
      </c>
      <c r="L86" s="33">
        <v>209078.25688241</v>
      </c>
      <c r="M86" s="8">
        <v>78179.534952360496</v>
      </c>
      <c r="N86" s="36">
        <f>(M86-$M$10)/$M$10</f>
        <v>-4.4595866511384981E-2</v>
      </c>
      <c r="O86" s="51">
        <v>67222.683787316098</v>
      </c>
      <c r="P86" s="36">
        <f>(O86-$N$10)/$N$10</f>
        <v>-0.29155492739470834</v>
      </c>
      <c r="Q86" s="52">
        <v>2426.2034168761802</v>
      </c>
      <c r="R86" s="36"/>
    </row>
  </sheetData>
  <mergeCells count="10">
    <mergeCell ref="G15:I15"/>
    <mergeCell ref="J15:L15"/>
    <mergeCell ref="M15:O15"/>
    <mergeCell ref="P15:R15"/>
    <mergeCell ref="S15:U15"/>
    <mergeCell ref="G36:I36"/>
    <mergeCell ref="J36:L36"/>
    <mergeCell ref="M36:O36"/>
    <mergeCell ref="P36:R36"/>
    <mergeCell ref="S36:U3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30D-FC18-4EAC-ACC7-2296D1A4D9C0}">
  <dimension ref="B2:AY80"/>
  <sheetViews>
    <sheetView topLeftCell="A49" zoomScale="220" zoomScaleNormal="220" workbookViewId="0">
      <selection activeCell="C56" sqref="C56"/>
    </sheetView>
  </sheetViews>
  <sheetFormatPr defaultRowHeight="15" x14ac:dyDescent="0.25"/>
  <cols>
    <col min="3" max="3" width="14.140625" customWidth="1"/>
    <col min="5" max="5" width="11.140625" bestFit="1" customWidth="1"/>
    <col min="6" max="6" width="19.5703125" bestFit="1" customWidth="1"/>
    <col min="7" max="7" width="15" bestFit="1" customWidth="1"/>
    <col min="15" max="15" width="9.140625" customWidth="1"/>
    <col min="16" max="16" width="31.5703125" bestFit="1" customWidth="1"/>
    <col min="17" max="17" width="20" bestFit="1" customWidth="1"/>
    <col min="18" max="18" width="2" bestFit="1" customWidth="1"/>
    <col min="19" max="19" width="7.85546875" customWidth="1"/>
    <col min="23" max="24" width="15.28515625" style="23" bestFit="1" customWidth="1"/>
    <col min="26" max="27" width="11.5703125" bestFit="1" customWidth="1"/>
    <col min="31" max="31" width="31.5703125" style="6" bestFit="1" customWidth="1"/>
    <col min="32" max="32" width="20" bestFit="1" customWidth="1"/>
    <col min="33" max="33" width="19.85546875" customWidth="1"/>
    <col min="34" max="34" width="10.7109375" bestFit="1" customWidth="1"/>
    <col min="35" max="35" width="11.7109375" bestFit="1" customWidth="1"/>
    <col min="36" max="36" width="10.7109375" bestFit="1" customWidth="1"/>
    <col min="37" max="37" width="11.7109375" bestFit="1" customWidth="1"/>
    <col min="40" max="41" width="31.85546875" bestFit="1" customWidth="1"/>
    <col min="42" max="42" width="31" bestFit="1" customWidth="1"/>
    <col min="43" max="43" width="10.7109375" bestFit="1" customWidth="1"/>
    <col min="44" max="44" width="11.7109375" bestFit="1" customWidth="1"/>
    <col min="45" max="45" width="10.7109375" bestFit="1" customWidth="1"/>
    <col min="46" max="46" width="11.7109375" bestFit="1" customWidth="1"/>
    <col min="47" max="51" width="21.140625" customWidth="1"/>
  </cols>
  <sheetData>
    <row r="2" spans="2:51" x14ac:dyDescent="0.25">
      <c r="P2">
        <v>365</v>
      </c>
      <c r="AP2" s="98" t="s">
        <v>144</v>
      </c>
      <c r="AQ2" s="98"/>
      <c r="AR2" s="98"/>
      <c r="AS2" s="98"/>
      <c r="AT2" s="98"/>
      <c r="AU2" s="98" t="s">
        <v>192</v>
      </c>
      <c r="AV2" s="98"/>
      <c r="AW2" s="98"/>
      <c r="AX2" s="98"/>
      <c r="AY2" s="98"/>
    </row>
    <row r="3" spans="2:51" ht="15" customHeight="1" x14ac:dyDescent="0.25">
      <c r="B3" s="107" t="s">
        <v>142</v>
      </c>
      <c r="C3" s="107"/>
      <c r="D3" s="107"/>
      <c r="E3" s="107"/>
      <c r="F3" s="38">
        <v>1</v>
      </c>
      <c r="G3" s="38"/>
      <c r="H3" s="38"/>
      <c r="I3" s="38"/>
      <c r="J3" s="38"/>
      <c r="AE3" s="105"/>
      <c r="AF3" s="106"/>
      <c r="AG3" s="103" t="s">
        <v>155</v>
      </c>
      <c r="AH3" s="107" t="s">
        <v>153</v>
      </c>
      <c r="AI3" s="107"/>
      <c r="AJ3" s="107" t="s">
        <v>154</v>
      </c>
      <c r="AK3" s="107"/>
      <c r="AO3" s="109" t="s">
        <v>156</v>
      </c>
      <c r="AP3" s="108" t="s">
        <v>155</v>
      </c>
      <c r="AQ3" s="98" t="s">
        <v>153</v>
      </c>
      <c r="AR3" s="98"/>
      <c r="AS3" s="98" t="s">
        <v>154</v>
      </c>
      <c r="AT3" s="98"/>
      <c r="AU3" s="108" t="s">
        <v>155</v>
      </c>
      <c r="AV3" s="98" t="s">
        <v>153</v>
      </c>
      <c r="AW3" s="98"/>
      <c r="AX3" s="98" t="s">
        <v>154</v>
      </c>
      <c r="AY3" s="98"/>
    </row>
    <row r="4" spans="2:51" ht="15" customHeight="1" x14ac:dyDescent="0.25">
      <c r="B4" s="107" t="s">
        <v>143</v>
      </c>
      <c r="C4" s="107"/>
      <c r="D4" s="38">
        <v>1</v>
      </c>
      <c r="E4" s="38">
        <v>2</v>
      </c>
      <c r="F4" s="38">
        <v>3</v>
      </c>
      <c r="G4" s="38"/>
      <c r="H4" s="38"/>
      <c r="I4" s="38"/>
      <c r="J4" s="38"/>
      <c r="L4">
        <f>1000/800</f>
        <v>1.25</v>
      </c>
      <c r="M4">
        <f>24/2.5</f>
        <v>9.6</v>
      </c>
      <c r="P4" s="45" t="s">
        <v>142</v>
      </c>
      <c r="Q4" s="38">
        <v>1</v>
      </c>
      <c r="R4" s="46"/>
      <c r="T4" t="s">
        <v>149</v>
      </c>
      <c r="U4" t="s">
        <v>150</v>
      </c>
      <c r="W4" s="23" t="s">
        <v>149</v>
      </c>
      <c r="X4" s="23" t="s">
        <v>150</v>
      </c>
      <c r="Z4" t="s">
        <v>149</v>
      </c>
      <c r="AA4" t="s">
        <v>150</v>
      </c>
      <c r="AE4" s="105" t="s">
        <v>156</v>
      </c>
      <c r="AF4" s="106"/>
      <c r="AG4" s="104"/>
      <c r="AH4" s="38" t="s">
        <v>151</v>
      </c>
      <c r="AI4" s="38" t="s">
        <v>152</v>
      </c>
      <c r="AJ4" s="38" t="s">
        <v>151</v>
      </c>
      <c r="AK4" s="38" t="s">
        <v>152</v>
      </c>
      <c r="AO4" s="109"/>
      <c r="AP4" s="108"/>
      <c r="AQ4" s="25" t="s">
        <v>151</v>
      </c>
      <c r="AR4" s="25" t="s">
        <v>152</v>
      </c>
      <c r="AS4" s="25" t="s">
        <v>151</v>
      </c>
      <c r="AT4" s="25" t="s">
        <v>152</v>
      </c>
      <c r="AU4" s="108"/>
      <c r="AV4" s="25" t="s">
        <v>151</v>
      </c>
      <c r="AW4" s="25" t="s">
        <v>152</v>
      </c>
      <c r="AX4" s="25" t="s">
        <v>151</v>
      </c>
      <c r="AY4" s="25" t="s">
        <v>152</v>
      </c>
    </row>
    <row r="5" spans="2:51" ht="15" customHeight="1" x14ac:dyDescent="0.25">
      <c r="B5" s="102" t="s">
        <v>145</v>
      </c>
      <c r="C5" s="38" t="s">
        <v>135</v>
      </c>
      <c r="D5" s="39">
        <v>7175.0641639943397</v>
      </c>
      <c r="E5" s="70">
        <v>4055.7232985238602</v>
      </c>
      <c r="F5" s="70">
        <v>-7850.5454363078406</v>
      </c>
      <c r="G5" s="38"/>
      <c r="H5" s="38"/>
      <c r="I5" s="38"/>
      <c r="J5" s="38"/>
      <c r="P5" s="102" t="s">
        <v>145</v>
      </c>
      <c r="Q5" s="38" t="s">
        <v>135</v>
      </c>
      <c r="R5" s="41">
        <v>1</v>
      </c>
      <c r="S5" s="39">
        <v>7175.0637418979204</v>
      </c>
      <c r="T5">
        <v>0.50348324702996095</v>
      </c>
      <c r="U5">
        <v>0.54629329253909098</v>
      </c>
      <c r="W5" s="23">
        <f>$T5*$S5*$P$2*$N$11</f>
        <v>11867142.622522164</v>
      </c>
      <c r="X5" s="23">
        <f>$U5*$S5*$P$2*$N$11</f>
        <v>12876179.008003486</v>
      </c>
      <c r="Z5" s="23">
        <f>W5/2240</f>
        <v>5297.8315279116805</v>
      </c>
      <c r="AA5" s="23">
        <f>X5/2240</f>
        <v>5748.2942000015564</v>
      </c>
      <c r="AE5" s="102" t="s">
        <v>145</v>
      </c>
      <c r="AF5" s="38" t="s">
        <v>135</v>
      </c>
      <c r="AG5" s="41">
        <f>R5</f>
        <v>1</v>
      </c>
      <c r="AH5" s="47">
        <f>Z5</f>
        <v>5297.8315279116805</v>
      </c>
      <c r="AI5" s="47">
        <f>AA5</f>
        <v>5748.2942000015564</v>
      </c>
      <c r="AJ5" s="47">
        <f>AH5*3.16</f>
        <v>16741.14762820091</v>
      </c>
      <c r="AK5" s="47">
        <f>AI5*3.16</f>
        <v>18164.609672004921</v>
      </c>
      <c r="AL5" s="1"/>
      <c r="AN5" t="s">
        <v>145</v>
      </c>
      <c r="AO5" t="s">
        <v>135</v>
      </c>
      <c r="AP5">
        <v>1</v>
      </c>
      <c r="AQ5" s="23">
        <v>5297.8315279116805</v>
      </c>
      <c r="AR5" s="23">
        <v>5748.2942000015564</v>
      </c>
      <c r="AS5" s="23">
        <v>16741.14762820091</v>
      </c>
      <c r="AT5" s="23">
        <v>18164.609672004921</v>
      </c>
      <c r="AU5">
        <v>1</v>
      </c>
      <c r="AV5" s="23">
        <v>458.3278130763461</v>
      </c>
      <c r="AW5" s="23">
        <v>497.29839382881909</v>
      </c>
      <c r="AX5" s="23">
        <v>1448.3158893212537</v>
      </c>
      <c r="AY5" s="23">
        <v>1571.4629244990683</v>
      </c>
    </row>
    <row r="6" spans="2:51" x14ac:dyDescent="0.25">
      <c r="B6" s="102"/>
      <c r="C6" s="38" t="s">
        <v>131</v>
      </c>
      <c r="D6" s="39">
        <v>7219.6611176943798</v>
      </c>
      <c r="E6" s="70">
        <v>3520.95681886482</v>
      </c>
      <c r="F6" s="70">
        <v>-9449.5235486190595</v>
      </c>
      <c r="G6" s="38"/>
      <c r="H6" s="38"/>
      <c r="I6" s="38"/>
      <c r="J6" s="38"/>
      <c r="P6" s="102"/>
      <c r="Q6" s="38" t="s">
        <v>131</v>
      </c>
      <c r="R6" s="41">
        <v>1</v>
      </c>
      <c r="S6" s="39">
        <v>7219.6608025509904</v>
      </c>
      <c r="T6">
        <v>0.61091126445657895</v>
      </c>
      <c r="U6">
        <v>0.67835936011659204</v>
      </c>
      <c r="W6" s="23">
        <f t="shared" ref="W6:W9" si="0">$T6*$S6*$P$2*$N$11</f>
        <v>14488729.380804773</v>
      </c>
      <c r="X6" s="23">
        <f t="shared" ref="X6:X9" si="1">$U6*$S6*$P$2*$N$11</f>
        <v>16088367.924281033</v>
      </c>
      <c r="Z6" s="23">
        <f t="shared" ref="Z6:AA58" si="2">W6/2240</f>
        <v>6468.1827592878453</v>
      </c>
      <c r="AA6" s="23">
        <f t="shared" si="2"/>
        <v>7182.3071090540325</v>
      </c>
      <c r="AE6" s="102"/>
      <c r="AF6" s="38" t="s">
        <v>131</v>
      </c>
      <c r="AG6" s="41">
        <f t="shared" ref="AG6:AG58" si="3">R6</f>
        <v>1</v>
      </c>
      <c r="AH6" s="47">
        <f t="shared" ref="AH6:AI14" si="4">Z6</f>
        <v>6468.1827592878453</v>
      </c>
      <c r="AI6" s="47">
        <f t="shared" si="4"/>
        <v>7182.3071090540325</v>
      </c>
      <c r="AJ6" s="47">
        <f t="shared" ref="AJ6:AK58" si="5">AH6*3.16</f>
        <v>20439.457519349591</v>
      </c>
      <c r="AK6" s="47">
        <f t="shared" si="5"/>
        <v>22696.090464610745</v>
      </c>
      <c r="AL6" s="1"/>
      <c r="AO6" t="s">
        <v>131</v>
      </c>
      <c r="AP6">
        <v>1</v>
      </c>
      <c r="AQ6" s="23">
        <v>6468.1827592878453</v>
      </c>
      <c r="AR6" s="23">
        <v>7182.3071090540325</v>
      </c>
      <c r="AS6" s="23">
        <v>20439.457519349591</v>
      </c>
      <c r="AT6" s="23">
        <v>22696.090464610745</v>
      </c>
      <c r="AU6">
        <v>1</v>
      </c>
      <c r="AV6" s="23">
        <v>554.32652424555488</v>
      </c>
      <c r="AW6" s="23">
        <v>615.52734113907638</v>
      </c>
      <c r="AX6" s="23">
        <v>1751.6718166159535</v>
      </c>
      <c r="AY6" s="23">
        <v>1945.0663979994815</v>
      </c>
    </row>
    <row r="7" spans="2:51" x14ac:dyDescent="0.25">
      <c r="B7" s="102"/>
      <c r="C7" s="38" t="s">
        <v>132</v>
      </c>
      <c r="D7" s="39">
        <v>6991.3083025312399</v>
      </c>
      <c r="E7" s="70">
        <v>2124.6290341988401</v>
      </c>
      <c r="F7" s="70">
        <v>-12736.383529760522</v>
      </c>
      <c r="G7" s="38"/>
      <c r="H7" s="38"/>
      <c r="I7" s="38"/>
      <c r="J7" s="38"/>
      <c r="P7" s="102"/>
      <c r="Q7" s="38" t="s">
        <v>132</v>
      </c>
      <c r="R7" s="41">
        <v>1</v>
      </c>
      <c r="S7" s="39">
        <v>6991.3088581871698</v>
      </c>
      <c r="T7">
        <v>0.71717991336111298</v>
      </c>
      <c r="U7">
        <v>0.79041221259829997</v>
      </c>
      <c r="W7" s="23">
        <f t="shared" si="0"/>
        <v>16471076.333727073</v>
      </c>
      <c r="X7" s="23">
        <f t="shared" si="1"/>
        <v>18152962.243187424</v>
      </c>
      <c r="Z7" s="23">
        <f t="shared" si="2"/>
        <v>7353.1590775567292</v>
      </c>
      <c r="AA7" s="23">
        <f t="shared" si="2"/>
        <v>8104.0010014229574</v>
      </c>
      <c r="AE7" s="102"/>
      <c r="AF7" s="38" t="s">
        <v>132</v>
      </c>
      <c r="AG7" s="41">
        <f t="shared" si="3"/>
        <v>1</v>
      </c>
      <c r="AH7" s="47">
        <f t="shared" si="4"/>
        <v>7353.1590775567292</v>
      </c>
      <c r="AI7" s="47">
        <f t="shared" si="4"/>
        <v>8104.0010014229574</v>
      </c>
      <c r="AJ7" s="47">
        <f t="shared" si="5"/>
        <v>23235.982685079267</v>
      </c>
      <c r="AK7" s="47">
        <f t="shared" si="5"/>
        <v>25608.643164496545</v>
      </c>
      <c r="AL7" s="1"/>
      <c r="AO7" t="s">
        <v>132</v>
      </c>
      <c r="AP7">
        <v>1</v>
      </c>
      <c r="AQ7" s="23">
        <v>7353.1590775567292</v>
      </c>
      <c r="AR7" s="23">
        <v>8104.0010014229574</v>
      </c>
      <c r="AS7" s="23">
        <v>23235.982685079267</v>
      </c>
      <c r="AT7" s="23">
        <v>25608.643164496545</v>
      </c>
      <c r="AU7">
        <v>1</v>
      </c>
      <c r="AV7" s="23">
        <v>315.39576371845124</v>
      </c>
      <c r="AW7" s="23">
        <v>347.60129055553773</v>
      </c>
      <c r="AX7" s="23">
        <v>996.650613350306</v>
      </c>
      <c r="AY7" s="23">
        <v>1098.4200781554994</v>
      </c>
    </row>
    <row r="8" spans="2:51" x14ac:dyDescent="0.25">
      <c r="B8" s="102"/>
      <c r="C8" s="38" t="s">
        <v>133</v>
      </c>
      <c r="D8" s="39">
        <v>6498.1471802154301</v>
      </c>
      <c r="E8" s="70">
        <v>-184.77497264521659</v>
      </c>
      <c r="F8" s="70">
        <v>-17864.65483360743</v>
      </c>
      <c r="G8" s="38"/>
      <c r="H8" s="38"/>
      <c r="I8" s="38"/>
      <c r="J8" s="38"/>
      <c r="L8">
        <f>2000/800</f>
        <v>2.5</v>
      </c>
      <c r="M8">
        <f>24/(2.5+1.25)</f>
        <v>6.4</v>
      </c>
      <c r="P8" s="102"/>
      <c r="Q8" s="38" t="s">
        <v>133</v>
      </c>
      <c r="R8" s="41">
        <v>1</v>
      </c>
      <c r="S8" s="39">
        <v>6498.1477689011499</v>
      </c>
      <c r="T8">
        <v>0.82132251370564202</v>
      </c>
      <c r="U8">
        <v>0.88312021272233399</v>
      </c>
      <c r="W8" s="23">
        <f t="shared" si="0"/>
        <v>17532291.572049417</v>
      </c>
      <c r="X8" s="23">
        <f t="shared" si="1"/>
        <v>18851450.927311774</v>
      </c>
      <c r="Z8" s="23">
        <f>W8/2240</f>
        <v>7826.9158803792043</v>
      </c>
      <c r="AA8" s="23">
        <f t="shared" si="2"/>
        <v>8415.8263068356137</v>
      </c>
      <c r="AE8" s="102"/>
      <c r="AF8" s="38" t="s">
        <v>133</v>
      </c>
      <c r="AG8" s="41">
        <f t="shared" si="3"/>
        <v>1</v>
      </c>
      <c r="AH8" s="47">
        <f t="shared" si="4"/>
        <v>7826.9158803792043</v>
      </c>
      <c r="AI8" s="47">
        <f t="shared" si="4"/>
        <v>8415.8263068356137</v>
      </c>
      <c r="AJ8" s="47">
        <f t="shared" si="5"/>
        <v>24733.054181998286</v>
      </c>
      <c r="AK8" s="47">
        <f t="shared" si="5"/>
        <v>26594.011129600542</v>
      </c>
      <c r="AL8" s="1"/>
      <c r="AO8" t="s">
        <v>133</v>
      </c>
      <c r="AP8">
        <v>1</v>
      </c>
      <c r="AQ8" s="23">
        <v>7826.9158803792043</v>
      </c>
      <c r="AR8" s="23">
        <v>8415.8263068356137</v>
      </c>
      <c r="AS8" s="23">
        <v>24733.054181998286</v>
      </c>
      <c r="AT8" s="23">
        <v>26594.011129600542</v>
      </c>
      <c r="AU8">
        <v>1</v>
      </c>
      <c r="AV8" s="23">
        <v>-360.54890251133577</v>
      </c>
      <c r="AW8" s="23">
        <v>-387.67721348100144</v>
      </c>
      <c r="AX8" s="23">
        <v>-1139.3345319358211</v>
      </c>
      <c r="AY8" s="23">
        <v>-1225.0599945999645</v>
      </c>
    </row>
    <row r="9" spans="2:51" x14ac:dyDescent="0.25">
      <c r="B9" s="102"/>
      <c r="C9" s="38" t="s">
        <v>134</v>
      </c>
      <c r="D9" s="39">
        <v>5528.5598283187701</v>
      </c>
      <c r="E9" s="70">
        <v>-4694.22064644494</v>
      </c>
      <c r="F9" s="70">
        <v>-27815.187937663046</v>
      </c>
      <c r="G9" s="38"/>
      <c r="H9" s="38"/>
      <c r="I9" s="38"/>
      <c r="J9" s="38"/>
      <c r="K9">
        <f>D9/D5</f>
        <v>0.77052409594634697</v>
      </c>
      <c r="P9" s="102"/>
      <c r="Q9" s="38" t="s">
        <v>134</v>
      </c>
      <c r="R9" s="41">
        <v>1</v>
      </c>
      <c r="S9" s="39">
        <v>5528.5598283187701</v>
      </c>
      <c r="T9">
        <v>0.89710520243980096</v>
      </c>
      <c r="U9">
        <v>1</v>
      </c>
      <c r="W9" s="23">
        <f t="shared" si="0"/>
        <v>16292613.790388955</v>
      </c>
      <c r="X9" s="23">
        <f t="shared" si="1"/>
        <v>18161319.03602716</v>
      </c>
      <c r="Z9" s="23">
        <f t="shared" si="2"/>
        <v>7273.4882992807834</v>
      </c>
      <c r="AA9" s="23">
        <f t="shared" si="2"/>
        <v>8107.7317125121244</v>
      </c>
      <c r="AE9" s="102"/>
      <c r="AF9" s="38" t="s">
        <v>134</v>
      </c>
      <c r="AG9" s="41">
        <f t="shared" si="3"/>
        <v>1</v>
      </c>
      <c r="AH9" s="47">
        <f t="shared" si="4"/>
        <v>7273.4882992807834</v>
      </c>
      <c r="AI9" s="47">
        <f t="shared" si="4"/>
        <v>8107.7317125121244</v>
      </c>
      <c r="AJ9" s="47">
        <f t="shared" si="5"/>
        <v>22984.223025727275</v>
      </c>
      <c r="AK9" s="47">
        <f t="shared" si="5"/>
        <v>25620.432211538315</v>
      </c>
      <c r="AL9" s="1"/>
      <c r="AO9" t="s">
        <v>134</v>
      </c>
      <c r="AP9">
        <v>1</v>
      </c>
      <c r="AQ9" s="23">
        <v>7273.4882992807834</v>
      </c>
      <c r="AR9" s="23">
        <v>8107.7317125121244</v>
      </c>
      <c r="AS9" s="23">
        <v>22984.223025727275</v>
      </c>
      <c r="AT9" s="23">
        <v>25620.432211538315</v>
      </c>
      <c r="AU9">
        <v>1</v>
      </c>
      <c r="AV9" s="23">
        <v>-1772.7803366672899</v>
      </c>
      <c r="AW9" s="23">
        <v>-1976.1119786686893</v>
      </c>
      <c r="AX9" s="23">
        <v>-5601.9858638686364</v>
      </c>
      <c r="AY9" s="23">
        <v>-6244.5138525930588</v>
      </c>
    </row>
    <row r="10" spans="2:51" ht="15" customHeight="1" x14ac:dyDescent="0.25">
      <c r="B10" s="102" t="s">
        <v>146</v>
      </c>
      <c r="C10" s="38" t="s">
        <v>135</v>
      </c>
      <c r="D10" s="41">
        <v>931.09806651878205</v>
      </c>
      <c r="E10" s="70">
        <v>-6684.7309222931599</v>
      </c>
      <c r="F10" s="70">
        <v>-21707.069500979098</v>
      </c>
      <c r="G10" s="38"/>
      <c r="H10" s="38"/>
      <c r="I10" s="38"/>
      <c r="J10" s="38"/>
      <c r="P10" s="102" t="s">
        <v>146</v>
      </c>
      <c r="Q10" s="38" t="s">
        <v>135</v>
      </c>
      <c r="R10" s="40">
        <v>1</v>
      </c>
      <c r="S10" s="41">
        <v>931.09735261921696</v>
      </c>
      <c r="T10">
        <v>0.50348324702996095</v>
      </c>
      <c r="U10">
        <v>0.54629329253909098</v>
      </c>
      <c r="W10" s="23">
        <f>$S10*$T10*$P$2*$N$12</f>
        <v>1026654.3012910152</v>
      </c>
      <c r="X10" s="23">
        <f>$S10*$U10*$P$2*$N$12</f>
        <v>1113948.4021765548</v>
      </c>
      <c r="Z10" s="23">
        <f t="shared" si="2"/>
        <v>458.3278130763461</v>
      </c>
      <c r="AA10" s="23">
        <f t="shared" si="2"/>
        <v>497.29839382881909</v>
      </c>
      <c r="AE10" s="102" t="s">
        <v>146</v>
      </c>
      <c r="AF10" s="38" t="s">
        <v>135</v>
      </c>
      <c r="AG10" s="41">
        <f t="shared" si="3"/>
        <v>1</v>
      </c>
      <c r="AH10" s="47">
        <f t="shared" si="4"/>
        <v>458.3278130763461</v>
      </c>
      <c r="AI10" s="47">
        <f t="shared" si="4"/>
        <v>497.29839382881909</v>
      </c>
      <c r="AJ10" s="47">
        <f t="shared" si="5"/>
        <v>1448.3158893212537</v>
      </c>
      <c r="AK10" s="47">
        <f t="shared" si="5"/>
        <v>1571.4629244990683</v>
      </c>
      <c r="AL10" s="1"/>
      <c r="AO10" t="s">
        <v>157</v>
      </c>
      <c r="AQ10" s="23"/>
      <c r="AR10" s="23"/>
      <c r="AS10" s="23"/>
      <c r="AT10" s="23"/>
    </row>
    <row r="11" spans="2:51" ht="15" customHeight="1" x14ac:dyDescent="0.25">
      <c r="B11" s="102"/>
      <c r="C11" s="38" t="s">
        <v>131</v>
      </c>
      <c r="D11" s="41">
        <v>928.09339223310997</v>
      </c>
      <c r="E11" s="70">
        <v>-7246.9814515380804</v>
      </c>
      <c r="F11" s="70">
        <v>-23271.68591514045</v>
      </c>
      <c r="G11" s="38"/>
      <c r="H11" s="38"/>
      <c r="I11" s="38"/>
      <c r="J11" s="38"/>
      <c r="M11" t="s">
        <v>147</v>
      </c>
      <c r="N11">
        <v>9</v>
      </c>
      <c r="P11" s="102"/>
      <c r="Q11" s="38" t="s">
        <v>131</v>
      </c>
      <c r="R11" s="40">
        <v>1</v>
      </c>
      <c r="S11" s="41">
        <v>928.09285726272401</v>
      </c>
      <c r="T11">
        <v>0.61091126445657895</v>
      </c>
      <c r="U11">
        <v>0.67835936011659204</v>
      </c>
      <c r="W11" s="23">
        <f t="shared" ref="W11:W14" si="6">$S11*$T11*$P$2*$N$12</f>
        <v>1241691.414310043</v>
      </c>
      <c r="X11" s="23">
        <f t="shared" ref="X11:X14" si="7">$S11*$U11*$P$2*$N$12</f>
        <v>1378781.244151531</v>
      </c>
      <c r="Z11" s="23">
        <f t="shared" si="2"/>
        <v>554.32652424555488</v>
      </c>
      <c r="AA11" s="23">
        <f t="shared" si="2"/>
        <v>615.52734113907638</v>
      </c>
      <c r="AE11" s="102"/>
      <c r="AF11" s="38" t="s">
        <v>131</v>
      </c>
      <c r="AG11" s="41">
        <f t="shared" si="3"/>
        <v>1</v>
      </c>
      <c r="AH11" s="47">
        <f t="shared" si="4"/>
        <v>554.32652424555488</v>
      </c>
      <c r="AI11" s="47">
        <f t="shared" si="4"/>
        <v>615.52734113907638</v>
      </c>
      <c r="AJ11" s="47">
        <f t="shared" si="5"/>
        <v>1751.6718166159535</v>
      </c>
      <c r="AK11" s="47">
        <f t="shared" si="5"/>
        <v>1945.0663979994815</v>
      </c>
      <c r="AL11" s="1"/>
      <c r="AO11" t="s">
        <v>135</v>
      </c>
      <c r="AP11">
        <v>3</v>
      </c>
      <c r="AQ11" s="23">
        <v>15033.268964541154</v>
      </c>
      <c r="AR11" s="23">
        <v>16311.513935589222</v>
      </c>
      <c r="AS11" s="23">
        <v>47505.129927950045</v>
      </c>
      <c r="AT11" s="23">
        <v>51544.384036461946</v>
      </c>
      <c r="AU11">
        <v>2</v>
      </c>
      <c r="AV11" s="23">
        <v>2893.3059217542541</v>
      </c>
      <c r="AW11" s="23">
        <v>3139.3172019960457</v>
      </c>
      <c r="AX11" s="23">
        <v>9142.8467127434433</v>
      </c>
      <c r="AY11" s="23">
        <v>9920.2423583075051</v>
      </c>
    </row>
    <row r="12" spans="2:51" x14ac:dyDescent="0.25">
      <c r="B12" s="102"/>
      <c r="C12" s="38" t="s">
        <v>132</v>
      </c>
      <c r="D12" s="41">
        <v>449.81167787457503</v>
      </c>
      <c r="E12" s="70">
        <v>-8991.3183373130396</v>
      </c>
      <c r="F12" s="70">
        <v>-26903.661461429248</v>
      </c>
      <c r="G12" s="38"/>
      <c r="H12" s="38"/>
      <c r="I12" s="38"/>
      <c r="J12" s="38"/>
      <c r="M12" t="s">
        <v>148</v>
      </c>
      <c r="N12">
        <v>6</v>
      </c>
      <c r="P12" s="102"/>
      <c r="Q12" s="38" t="s">
        <v>132</v>
      </c>
      <c r="R12" s="40">
        <v>1</v>
      </c>
      <c r="S12" s="41">
        <v>449.81262613704899</v>
      </c>
      <c r="T12">
        <v>0.71717991336111298</v>
      </c>
      <c r="U12">
        <v>0.79041221259829997</v>
      </c>
      <c r="W12" s="23">
        <f t="shared" si="6"/>
        <v>706486.51072933071</v>
      </c>
      <c r="X12" s="23">
        <f t="shared" si="7"/>
        <v>778626.89084440446</v>
      </c>
      <c r="Z12" s="23">
        <f t="shared" si="2"/>
        <v>315.39576371845124</v>
      </c>
      <c r="AA12" s="23">
        <f t="shared" si="2"/>
        <v>347.60129055553773</v>
      </c>
      <c r="AE12" s="102"/>
      <c r="AF12" s="38" t="s">
        <v>132</v>
      </c>
      <c r="AG12" s="41">
        <f t="shared" si="3"/>
        <v>1</v>
      </c>
      <c r="AH12" s="47">
        <f t="shared" si="4"/>
        <v>315.39576371845124</v>
      </c>
      <c r="AI12" s="47">
        <f t="shared" si="4"/>
        <v>347.60129055553773</v>
      </c>
      <c r="AJ12" s="47">
        <f t="shared" si="5"/>
        <v>996.650613350306</v>
      </c>
      <c r="AK12" s="47">
        <f t="shared" si="5"/>
        <v>1098.4200781554994</v>
      </c>
      <c r="AL12" s="1"/>
      <c r="AO12" t="s">
        <v>131</v>
      </c>
      <c r="AP12">
        <v>3</v>
      </c>
      <c r="AQ12" s="23">
        <v>18285.373118864645</v>
      </c>
      <c r="AR12" s="23">
        <v>20304.182833230087</v>
      </c>
      <c r="AS12" s="23">
        <v>57781.779055612278</v>
      </c>
      <c r="AT12" s="23">
        <v>64161.217753007077</v>
      </c>
      <c r="AU12">
        <v>2</v>
      </c>
      <c r="AV12" s="23">
        <v>3669.5304128095395</v>
      </c>
      <c r="AW12" s="23">
        <v>4074.6675459915</v>
      </c>
      <c r="AX12" s="23">
        <v>11595.716104478146</v>
      </c>
      <c r="AY12" s="23">
        <v>12875.949445333141</v>
      </c>
    </row>
    <row r="13" spans="2:51" x14ac:dyDescent="0.25">
      <c r="B13" s="102"/>
      <c r="C13" s="38" t="s">
        <v>133</v>
      </c>
      <c r="D13" s="41">
        <v>-449.00928030771303</v>
      </c>
      <c r="E13" s="70">
        <v>-11877.325100825519</v>
      </c>
      <c r="F13" s="70">
        <v>-32624.5531771182</v>
      </c>
      <c r="G13" s="38"/>
      <c r="H13" s="38"/>
      <c r="I13" s="38"/>
      <c r="J13" s="38"/>
      <c r="P13" s="102"/>
      <c r="Q13" s="38" t="s">
        <v>133</v>
      </c>
      <c r="R13" s="40">
        <v>1</v>
      </c>
      <c r="S13" s="41">
        <v>-449.00828415194701</v>
      </c>
      <c r="T13">
        <v>0.82132251370564202</v>
      </c>
      <c r="U13">
        <v>0.88312021272233399</v>
      </c>
      <c r="W13" s="23">
        <f t="shared" si="6"/>
        <v>-807629.54162539216</v>
      </c>
      <c r="X13" s="23">
        <f t="shared" si="7"/>
        <v>-868396.95819744328</v>
      </c>
      <c r="Z13" s="23">
        <f t="shared" si="2"/>
        <v>-360.54890251133577</v>
      </c>
      <c r="AA13" s="23">
        <f t="shared" si="2"/>
        <v>-387.67721348100144</v>
      </c>
      <c r="AE13" s="102"/>
      <c r="AF13" s="38" t="s">
        <v>133</v>
      </c>
      <c r="AG13" s="41">
        <f t="shared" si="3"/>
        <v>1</v>
      </c>
      <c r="AH13" s="47">
        <f t="shared" si="4"/>
        <v>-360.54890251133577</v>
      </c>
      <c r="AI13" s="47">
        <f>AA13</f>
        <v>-387.67721348100144</v>
      </c>
      <c r="AJ13" s="47">
        <f t="shared" si="5"/>
        <v>-1139.3345319358211</v>
      </c>
      <c r="AK13" s="47">
        <f t="shared" si="5"/>
        <v>-1225.0599945999645</v>
      </c>
      <c r="AL13" s="1"/>
      <c r="AO13" t="s">
        <v>132</v>
      </c>
      <c r="AP13">
        <v>2</v>
      </c>
      <c r="AQ13" s="23">
        <v>20637.38609369499</v>
      </c>
      <c r="AR13" s="23">
        <v>22744.700040629046</v>
      </c>
      <c r="AS13" s="23">
        <v>65214.140056076169</v>
      </c>
      <c r="AT13" s="23">
        <v>71873.252128387787</v>
      </c>
      <c r="AU13">
        <v>1</v>
      </c>
      <c r="AV13" s="23">
        <v>3956.1786901867731</v>
      </c>
      <c r="AW13" s="23">
        <v>4360.1499340518549</v>
      </c>
      <c r="AX13" s="23">
        <v>12501.524660990204</v>
      </c>
      <c r="AY13" s="23">
        <v>13778.073791603862</v>
      </c>
    </row>
    <row r="14" spans="2:51" x14ac:dyDescent="0.25">
      <c r="B14" s="102"/>
      <c r="C14" s="38" t="s">
        <v>134</v>
      </c>
      <c r="D14" s="41">
        <v>-2021.2286905104399</v>
      </c>
      <c r="E14" s="70">
        <v>-17177.434630479602</v>
      </c>
      <c r="F14" s="70">
        <v>-43295.952405572098</v>
      </c>
      <c r="G14" s="38"/>
      <c r="H14" s="38"/>
      <c r="I14" s="38"/>
      <c r="J14" s="38"/>
      <c r="P14" s="102"/>
      <c r="Q14" s="38" t="s">
        <v>134</v>
      </c>
      <c r="R14" s="40">
        <v>1</v>
      </c>
      <c r="S14" s="41">
        <v>-2021.2286905104399</v>
      </c>
      <c r="T14">
        <v>0.89710520243980096</v>
      </c>
      <c r="U14">
        <v>1</v>
      </c>
      <c r="W14" s="23">
        <f t="shared" si="6"/>
        <v>-3971027.9541347297</v>
      </c>
      <c r="X14" s="23">
        <f t="shared" si="7"/>
        <v>-4426490.8322178638</v>
      </c>
      <c r="Z14" s="23">
        <f t="shared" si="2"/>
        <v>-1772.7803366672899</v>
      </c>
      <c r="AA14" s="23">
        <f t="shared" si="2"/>
        <v>-1976.1119786686893</v>
      </c>
      <c r="AE14" s="102"/>
      <c r="AF14" s="38" t="s">
        <v>134</v>
      </c>
      <c r="AG14" s="41">
        <f t="shared" si="3"/>
        <v>1</v>
      </c>
      <c r="AH14" s="47">
        <f t="shared" si="4"/>
        <v>-1772.7803366672899</v>
      </c>
      <c r="AI14" s="47">
        <f t="shared" si="4"/>
        <v>-1976.1119786686893</v>
      </c>
      <c r="AJ14" s="47">
        <f t="shared" si="5"/>
        <v>-5601.9858638686364</v>
      </c>
      <c r="AK14" s="47">
        <f t="shared" si="5"/>
        <v>-6244.5138525930588</v>
      </c>
      <c r="AL14" s="1"/>
      <c r="AO14" t="s">
        <v>133</v>
      </c>
      <c r="AP14">
        <v>2</v>
      </c>
      <c r="AQ14" s="23">
        <v>23210.195766133776</v>
      </c>
      <c r="AR14" s="23">
        <v>24956.570263531386</v>
      </c>
      <c r="AS14" s="23">
        <v>73344.218620982734</v>
      </c>
      <c r="AT14" s="23">
        <v>78862.762032759187</v>
      </c>
      <c r="AU14">
        <v>1</v>
      </c>
      <c r="AV14" s="23">
        <v>4291.3995054397446</v>
      </c>
      <c r="AW14" s="23">
        <v>4614.2916830826334</v>
      </c>
      <c r="AX14" s="23">
        <v>13560.822437189594</v>
      </c>
      <c r="AY14" s="23">
        <v>14581.161718541121</v>
      </c>
    </row>
    <row r="15" spans="2:51" ht="15" customHeight="1" x14ac:dyDescent="0.25">
      <c r="B15" s="107" t="s">
        <v>142</v>
      </c>
      <c r="C15" s="107"/>
      <c r="D15" s="107"/>
      <c r="E15" s="107"/>
      <c r="F15" s="38">
        <v>2</v>
      </c>
      <c r="G15" s="38"/>
      <c r="H15" s="38"/>
      <c r="I15" s="38"/>
      <c r="J15" s="38"/>
      <c r="P15" s="45" t="s">
        <v>142</v>
      </c>
      <c r="Q15" s="38">
        <v>2</v>
      </c>
      <c r="R15" s="46"/>
      <c r="S15" s="38"/>
      <c r="Z15" s="23"/>
      <c r="AA15" s="23"/>
      <c r="AE15" s="105" t="s">
        <v>157</v>
      </c>
      <c r="AF15" s="106"/>
      <c r="AG15" s="41"/>
      <c r="AH15" s="47"/>
      <c r="AI15" s="47"/>
      <c r="AJ15" s="47"/>
      <c r="AK15" s="47"/>
      <c r="AL15" s="1"/>
      <c r="AO15" t="s">
        <v>134</v>
      </c>
      <c r="AP15">
        <v>2</v>
      </c>
      <c r="AQ15" s="23">
        <v>24425.219323438752</v>
      </c>
      <c r="AR15" s="23">
        <v>27226.705694060194</v>
      </c>
      <c r="AS15" s="23">
        <v>77183.693062066464</v>
      </c>
      <c r="AT15" s="23">
        <v>86036.389993230216</v>
      </c>
      <c r="AU15">
        <v>1</v>
      </c>
      <c r="AV15" s="23">
        <v>4365.1019844347738</v>
      </c>
      <c r="AW15" s="23">
        <v>4865.763761667281</v>
      </c>
      <c r="AX15" s="23">
        <v>13793.722270813885</v>
      </c>
      <c r="AY15" s="23">
        <v>15375.813486868608</v>
      </c>
    </row>
    <row r="16" spans="2:51" ht="15" customHeight="1" x14ac:dyDescent="0.25">
      <c r="B16" s="107" t="s">
        <v>143</v>
      </c>
      <c r="C16" s="107"/>
      <c r="D16" s="38">
        <v>1</v>
      </c>
      <c r="E16" s="38">
        <v>2</v>
      </c>
      <c r="F16" s="38">
        <v>3</v>
      </c>
      <c r="G16" s="38">
        <v>4</v>
      </c>
      <c r="H16" s="38">
        <v>5</v>
      </c>
      <c r="I16" s="38"/>
      <c r="J16" s="38"/>
      <c r="P16" s="102" t="s">
        <v>145</v>
      </c>
      <c r="Q16" s="38" t="s">
        <v>135</v>
      </c>
      <c r="R16" s="40">
        <v>3</v>
      </c>
      <c r="S16" s="70">
        <v>12602.3262695384</v>
      </c>
      <c r="T16">
        <v>0.50348324702996095</v>
      </c>
      <c r="U16">
        <v>0.54629329253909098</v>
      </c>
      <c r="W16" s="23">
        <f>$T16*$S16*$P$2*$N$11</f>
        <v>20843522.593795188</v>
      </c>
      <c r="X16" s="23">
        <f>$U16*$S16*$P$2*$N$11</f>
        <v>22615800.333073869</v>
      </c>
      <c r="Z16" s="23">
        <f t="shared" si="2"/>
        <v>9305.1440150871367</v>
      </c>
      <c r="AA16" s="23">
        <f t="shared" si="2"/>
        <v>10096.339434407977</v>
      </c>
      <c r="AE16" s="102" t="s">
        <v>145</v>
      </c>
      <c r="AF16" s="38" t="s">
        <v>135</v>
      </c>
      <c r="AG16" s="41">
        <f t="shared" si="3"/>
        <v>3</v>
      </c>
      <c r="AH16" s="47">
        <f t="shared" ref="AH16:AI25" si="8">Z16</f>
        <v>9305.1440150871367</v>
      </c>
      <c r="AI16" s="47">
        <f t="shared" si="8"/>
        <v>10096.339434407977</v>
      </c>
      <c r="AJ16" s="47">
        <f t="shared" si="5"/>
        <v>29404.255087675352</v>
      </c>
      <c r="AK16" s="47">
        <f t="shared" si="5"/>
        <v>31904.432612729208</v>
      </c>
      <c r="AL16" s="1"/>
      <c r="AO16" t="s">
        <v>158</v>
      </c>
    </row>
    <row r="17" spans="2:51" ht="15" customHeight="1" x14ac:dyDescent="0.25">
      <c r="B17" s="102" t="s">
        <v>145</v>
      </c>
      <c r="C17" s="38" t="s">
        <v>135</v>
      </c>
      <c r="D17" s="70">
        <v>12602.3262695384</v>
      </c>
      <c r="E17" s="69">
        <v>19232.022322823301</v>
      </c>
      <c r="F17" s="41">
        <v>20360.15475328689</v>
      </c>
      <c r="G17" s="70">
        <v>16420.6367182012</v>
      </c>
      <c r="H17" s="70">
        <v>7813.15826283555</v>
      </c>
      <c r="I17" s="38"/>
      <c r="J17" s="38"/>
      <c r="P17" s="102"/>
      <c r="Q17" s="38" t="s">
        <v>131</v>
      </c>
      <c r="R17" s="40">
        <v>3</v>
      </c>
      <c r="S17" s="70">
        <v>12995.490577873799</v>
      </c>
      <c r="T17">
        <v>0.61091126445657895</v>
      </c>
      <c r="U17">
        <v>0.67835936011659204</v>
      </c>
      <c r="W17" s="23">
        <f t="shared" ref="W17:W20" si="9">$T17*$S17*$P$2*$N$11</f>
        <v>26079915.844118617</v>
      </c>
      <c r="X17" s="23">
        <f t="shared" ref="X17:X20" si="10">$U17*$S17*$P$2*$N$11</f>
        <v>28959287.630173199</v>
      </c>
      <c r="Z17" s="23">
        <f t="shared" si="2"/>
        <v>11642.819573267239</v>
      </c>
      <c r="AA17" s="23">
        <f t="shared" si="2"/>
        <v>12928.253406327321</v>
      </c>
      <c r="AE17" s="102"/>
      <c r="AF17" s="38" t="s">
        <v>131</v>
      </c>
      <c r="AG17" s="41">
        <f t="shared" si="3"/>
        <v>3</v>
      </c>
      <c r="AH17" s="47">
        <f t="shared" si="8"/>
        <v>11642.819573267239</v>
      </c>
      <c r="AI17" s="47">
        <f t="shared" si="8"/>
        <v>12928.253406327321</v>
      </c>
      <c r="AJ17" s="47">
        <f t="shared" si="5"/>
        <v>36791.309851524478</v>
      </c>
      <c r="AK17" s="47">
        <f t="shared" si="5"/>
        <v>40853.280763994335</v>
      </c>
      <c r="AL17" s="1"/>
      <c r="AO17" t="s">
        <v>135</v>
      </c>
      <c r="AP17">
        <v>4</v>
      </c>
      <c r="AQ17" s="23">
        <v>24980.856412097692</v>
      </c>
      <c r="AR17" s="23">
        <v>27104.922319290239</v>
      </c>
      <c r="AS17" s="23">
        <v>78939.506262228708</v>
      </c>
      <c r="AT17" s="23">
        <v>85651.55452895716</v>
      </c>
      <c r="AU17">
        <v>3</v>
      </c>
      <c r="AV17" s="23">
        <v>5268.1175752524205</v>
      </c>
      <c r="AW17" s="23">
        <v>5716.0537369308704</v>
      </c>
      <c r="AX17" s="23">
        <v>16647.251537797649</v>
      </c>
      <c r="AY17" s="23">
        <v>18062.729808701552</v>
      </c>
    </row>
    <row r="18" spans="2:51" x14ac:dyDescent="0.25">
      <c r="B18" s="102"/>
      <c r="C18" s="38" t="s">
        <v>131</v>
      </c>
      <c r="D18" s="70">
        <v>12995.490577873799</v>
      </c>
      <c r="E18" s="69">
        <v>19626.005216654699</v>
      </c>
      <c r="F18" s="41">
        <v>20409.781630763879</v>
      </c>
      <c r="G18" s="70">
        <v>15822.862508088479</v>
      </c>
      <c r="H18" s="70">
        <v>6302.5310381437503</v>
      </c>
      <c r="I18" s="38"/>
      <c r="J18" s="38"/>
      <c r="P18" s="102"/>
      <c r="Q18" s="38" t="s">
        <v>132</v>
      </c>
      <c r="R18" s="40">
        <v>2</v>
      </c>
      <c r="S18" s="70">
        <v>13291.126211496899</v>
      </c>
      <c r="T18">
        <v>0.71717991336111298</v>
      </c>
      <c r="U18">
        <v>0.79041221259829997</v>
      </c>
      <c r="W18" s="23">
        <f t="shared" si="9"/>
        <v>31313042.926776286</v>
      </c>
      <c r="X18" s="23">
        <f t="shared" si="10"/>
        <v>34510463.946132042</v>
      </c>
      <c r="Z18" s="23">
        <f t="shared" si="2"/>
        <v>13979.037020882271</v>
      </c>
      <c r="AA18" s="23">
        <f t="shared" si="2"/>
        <v>15406.457118808947</v>
      </c>
      <c r="AE18" s="102"/>
      <c r="AF18" s="38" t="s">
        <v>132</v>
      </c>
      <c r="AG18" s="41">
        <f t="shared" si="3"/>
        <v>2</v>
      </c>
      <c r="AH18" s="47">
        <f t="shared" si="8"/>
        <v>13979.037020882271</v>
      </c>
      <c r="AI18" s="47">
        <f t="shared" si="8"/>
        <v>15406.457118808947</v>
      </c>
      <c r="AJ18" s="47">
        <f t="shared" si="5"/>
        <v>44173.75698598798</v>
      </c>
      <c r="AK18" s="47">
        <f t="shared" si="5"/>
        <v>48684.404495436276</v>
      </c>
      <c r="AL18" s="1"/>
      <c r="AO18" t="s">
        <v>131</v>
      </c>
      <c r="AP18">
        <v>4</v>
      </c>
      <c r="AQ18" s="23">
        <v>30760.552886577683</v>
      </c>
      <c r="AR18" s="23">
        <v>34156.693757370624</v>
      </c>
      <c r="AS18" s="23">
        <v>97203.347121585481</v>
      </c>
      <c r="AT18" s="23">
        <v>107935.15227329117</v>
      </c>
      <c r="AU18">
        <v>3</v>
      </c>
      <c r="AV18" s="23">
        <v>6717.1944296319143</v>
      </c>
      <c r="AW18" s="23">
        <v>7458.8110911936074</v>
      </c>
      <c r="AX18" s="23">
        <v>21226.334397636849</v>
      </c>
      <c r="AY18" s="23">
        <v>23569.843048171799</v>
      </c>
    </row>
    <row r="19" spans="2:51" x14ac:dyDescent="0.25">
      <c r="B19" s="102"/>
      <c r="C19" s="38" t="s">
        <v>132</v>
      </c>
      <c r="D19" s="70">
        <v>13291.126211496899</v>
      </c>
      <c r="E19" s="39">
        <v>19621.815574436179</v>
      </c>
      <c r="F19" s="70">
        <v>19584.704884047689</v>
      </c>
      <c r="G19" s="70">
        <v>13721.97169303028</v>
      </c>
      <c r="H19" s="70">
        <v>2529.630594161355</v>
      </c>
      <c r="I19" s="38"/>
      <c r="J19" s="38"/>
      <c r="P19" s="102"/>
      <c r="Q19" s="38" t="s">
        <v>133</v>
      </c>
      <c r="R19" s="40">
        <v>2</v>
      </c>
      <c r="S19" s="70">
        <v>13539.363746654401</v>
      </c>
      <c r="T19">
        <v>0.82132251370564202</v>
      </c>
      <c r="U19">
        <v>0.88312021272233399</v>
      </c>
      <c r="W19" s="23">
        <f t="shared" si="9"/>
        <v>36529805.315049209</v>
      </c>
      <c r="X19" s="23">
        <f t="shared" si="10"/>
        <v>39278369.826951556</v>
      </c>
      <c r="Z19" s="23">
        <f t="shared" si="2"/>
        <v>16307.948801361254</v>
      </c>
      <c r="AA19" s="23">
        <f t="shared" si="2"/>
        <v>17534.986529889087</v>
      </c>
      <c r="AE19" s="102"/>
      <c r="AF19" s="38" t="s">
        <v>133</v>
      </c>
      <c r="AG19" s="41">
        <f t="shared" si="3"/>
        <v>2</v>
      </c>
      <c r="AH19" s="47">
        <f t="shared" si="8"/>
        <v>16307.948801361254</v>
      </c>
      <c r="AI19" s="47">
        <f t="shared" si="8"/>
        <v>17534.986529889087</v>
      </c>
      <c r="AJ19" s="47">
        <f t="shared" si="5"/>
        <v>51533.118212301561</v>
      </c>
      <c r="AK19" s="47">
        <f t="shared" si="5"/>
        <v>55410.557434449518</v>
      </c>
      <c r="AL19" s="1"/>
      <c r="AO19" t="s">
        <v>132</v>
      </c>
      <c r="AP19">
        <v>4</v>
      </c>
      <c r="AQ19" s="23">
        <v>35632.604481613795</v>
      </c>
      <c r="AR19" s="23">
        <v>39271.10230535856</v>
      </c>
      <c r="AS19" s="23">
        <v>112599.0301618996</v>
      </c>
      <c r="AT19" s="23">
        <v>124096.68328493305</v>
      </c>
      <c r="AU19">
        <v>2</v>
      </c>
      <c r="AV19" s="23">
        <v>7650.4296561596984</v>
      </c>
      <c r="AW19" s="23">
        <v>8431.6263174650139</v>
      </c>
      <c r="AX19" s="23">
        <v>24175.357713464648</v>
      </c>
      <c r="AY19" s="23">
        <v>26643.939163189447</v>
      </c>
    </row>
    <row r="20" spans="2:51" x14ac:dyDescent="0.25">
      <c r="B20" s="102"/>
      <c r="C20" s="38" t="s">
        <v>133</v>
      </c>
      <c r="D20" s="70">
        <v>13539.363746654401</v>
      </c>
      <c r="E20" s="39">
        <v>19269.82148136996</v>
      </c>
      <c r="F20" s="70">
        <v>17895.610724091628</v>
      </c>
      <c r="G20" s="70">
        <v>10057.4581158082</v>
      </c>
      <c r="H20" s="70">
        <v>-3661.6929233312849</v>
      </c>
      <c r="I20" s="38"/>
      <c r="J20" s="38"/>
      <c r="P20" s="102"/>
      <c r="Q20" s="38" t="s">
        <v>134</v>
      </c>
      <c r="R20" s="40">
        <v>2</v>
      </c>
      <c r="S20" s="70">
        <v>14028.011894302401</v>
      </c>
      <c r="T20">
        <v>0.89710520243980096</v>
      </c>
      <c r="U20">
        <v>1</v>
      </c>
      <c r="W20" s="23">
        <f t="shared" si="9"/>
        <v>41340419.049124107</v>
      </c>
      <c r="X20" s="23">
        <f t="shared" si="10"/>
        <v>46082019.072783388</v>
      </c>
      <c r="Z20" s="23">
        <f t="shared" si="2"/>
        <v>18455.544218358977</v>
      </c>
      <c r="AA20" s="23">
        <f t="shared" si="2"/>
        <v>20572.329943206871</v>
      </c>
      <c r="AE20" s="102"/>
      <c r="AF20" s="38" t="s">
        <v>134</v>
      </c>
      <c r="AG20" s="41">
        <f t="shared" si="3"/>
        <v>2</v>
      </c>
      <c r="AH20" s="47">
        <f t="shared" si="8"/>
        <v>18455.544218358977</v>
      </c>
      <c r="AI20" s="47">
        <f t="shared" si="8"/>
        <v>20572.329943206871</v>
      </c>
      <c r="AJ20" s="47">
        <f t="shared" si="5"/>
        <v>58319.51973001437</v>
      </c>
      <c r="AK20" s="47">
        <f t="shared" si="5"/>
        <v>65008.562620533718</v>
      </c>
      <c r="AL20" s="1"/>
      <c r="AO20" t="s">
        <v>133</v>
      </c>
      <c r="AP20">
        <v>4</v>
      </c>
      <c r="AQ20" s="23">
        <v>39185.867686989914</v>
      </c>
      <c r="AR20" s="23">
        <v>42134.278836835016</v>
      </c>
      <c r="AS20" s="23">
        <v>123827.34189088813</v>
      </c>
      <c r="AT20" s="23">
        <v>133144.32112439864</v>
      </c>
      <c r="AU20">
        <v>2</v>
      </c>
      <c r="AV20" s="23">
        <v>8251.2932936369107</v>
      </c>
      <c r="AW20" s="23">
        <v>8872.1345964742159</v>
      </c>
      <c r="AX20" s="23">
        <v>26074.08680789264</v>
      </c>
      <c r="AY20" s="23">
        <v>28035.945324858523</v>
      </c>
    </row>
    <row r="21" spans="2:51" ht="15" customHeight="1" x14ac:dyDescent="0.25">
      <c r="B21" s="102"/>
      <c r="C21" s="38" t="s">
        <v>134</v>
      </c>
      <c r="D21" s="70">
        <v>14028.011894302401</v>
      </c>
      <c r="E21" s="39">
        <v>18565.546652875139</v>
      </c>
      <c r="F21" s="70">
        <v>14556.156486922981</v>
      </c>
      <c r="G21" s="70">
        <v>2849.5847545731799</v>
      </c>
      <c r="H21" s="70">
        <v>-15788.907474245299</v>
      </c>
      <c r="I21" s="38"/>
      <c r="J21" s="38"/>
      <c r="K21">
        <f>E21/E17</f>
        <v>0.96534552327566547</v>
      </c>
      <c r="P21" s="102" t="s">
        <v>146</v>
      </c>
      <c r="Q21" s="38" t="s">
        <v>135</v>
      </c>
      <c r="R21" s="42">
        <v>2</v>
      </c>
      <c r="S21" s="70">
        <v>5382.94828341826</v>
      </c>
      <c r="T21">
        <v>0.50348324702996095</v>
      </c>
      <c r="U21">
        <v>0.54629329253909098</v>
      </c>
      <c r="W21" s="23">
        <f>$S21*$T21*$P$2*$N$12</f>
        <v>5935391.1739222184</v>
      </c>
      <c r="X21" s="23">
        <f>$S21*$U21*$P$2*$N$12</f>
        <v>6440064.1054824982</v>
      </c>
      <c r="Z21" s="23">
        <f t="shared" si="2"/>
        <v>2649.7282026438475</v>
      </c>
      <c r="AA21" s="23">
        <f t="shared" si="2"/>
        <v>2875.0286185189725</v>
      </c>
      <c r="AE21" s="102" t="s">
        <v>146</v>
      </c>
      <c r="AF21" s="38" t="s">
        <v>135</v>
      </c>
      <c r="AG21" s="41">
        <f t="shared" si="3"/>
        <v>2</v>
      </c>
      <c r="AH21" s="47">
        <f t="shared" si="8"/>
        <v>2649.7282026438475</v>
      </c>
      <c r="AI21" s="47">
        <f t="shared" si="8"/>
        <v>2875.0286185189725</v>
      </c>
      <c r="AJ21" s="47">
        <f t="shared" si="5"/>
        <v>8373.1411203545576</v>
      </c>
      <c r="AK21" s="47">
        <f t="shared" si="5"/>
        <v>9085.0904345199542</v>
      </c>
      <c r="AL21" s="1"/>
      <c r="AO21" t="s">
        <v>134</v>
      </c>
      <c r="AP21">
        <v>3</v>
      </c>
      <c r="AQ21" s="23">
        <v>41589.878731664183</v>
      </c>
      <c r="AR21" s="23">
        <v>46360.090899656796</v>
      </c>
      <c r="AS21" s="23">
        <v>131424.01679205883</v>
      </c>
      <c r="AT21" s="23">
        <v>146497.88724291549</v>
      </c>
      <c r="AU21">
        <v>2</v>
      </c>
      <c r="AV21" s="23">
        <v>8302.7221479479886</v>
      </c>
      <c r="AW21" s="23">
        <v>9255.0150476974104</v>
      </c>
      <c r="AX21" s="23">
        <v>26236.601987515645</v>
      </c>
      <c r="AY21" s="23">
        <v>29245.847550723818</v>
      </c>
    </row>
    <row r="22" spans="2:51" ht="15" customHeight="1" x14ac:dyDescent="0.25">
      <c r="B22" s="102" t="s">
        <v>146</v>
      </c>
      <c r="C22" s="38" t="s">
        <v>135</v>
      </c>
      <c r="D22" s="70">
        <v>5382.94828341826</v>
      </c>
      <c r="E22" s="41">
        <v>5877.7802902655603</v>
      </c>
      <c r="F22" s="70">
        <v>1833.271671671718</v>
      </c>
      <c r="G22" s="70">
        <v>-6426.6876743410403</v>
      </c>
      <c r="H22" s="70">
        <v>-18601.317960821048</v>
      </c>
      <c r="I22" s="38"/>
      <c r="J22" s="38"/>
      <c r="P22" s="102"/>
      <c r="Q22" s="38" t="s">
        <v>131</v>
      </c>
      <c r="R22" s="42">
        <v>2</v>
      </c>
      <c r="S22" s="70">
        <v>5687.1509964568904</v>
      </c>
      <c r="T22">
        <v>0.61091126445657895</v>
      </c>
      <c r="U22">
        <v>0.67835936011659204</v>
      </c>
      <c r="W22" s="23">
        <f t="shared" ref="W22:W25" si="11">$S22*$T22*$P$2*$N$12</f>
        <v>7608814.6880181283</v>
      </c>
      <c r="X22" s="23">
        <f t="shared" ref="X22:X25" si="12">$S22*$U22*$P$2*$N$12</f>
        <v>8448871.3227460273</v>
      </c>
      <c r="Z22" s="23">
        <f t="shared" si="2"/>
        <v>3396.7922714366646</v>
      </c>
      <c r="AA22" s="23">
        <f t="shared" si="2"/>
        <v>3771.8175547973337</v>
      </c>
      <c r="AE22" s="102"/>
      <c r="AF22" s="38" t="s">
        <v>131</v>
      </c>
      <c r="AG22" s="41">
        <f t="shared" si="3"/>
        <v>2</v>
      </c>
      <c r="AH22" s="47">
        <f t="shared" si="8"/>
        <v>3396.7922714366646</v>
      </c>
      <c r="AI22" s="47">
        <f t="shared" si="8"/>
        <v>3771.8175547973337</v>
      </c>
      <c r="AJ22" s="47">
        <f t="shared" si="5"/>
        <v>10733.863577739861</v>
      </c>
      <c r="AK22" s="47">
        <f t="shared" si="5"/>
        <v>11918.943473159576</v>
      </c>
      <c r="AL22" s="1"/>
      <c r="AO22" t="s">
        <v>159</v>
      </c>
    </row>
    <row r="23" spans="2:51" x14ac:dyDescent="0.25">
      <c r="B23" s="102"/>
      <c r="C23" s="38" t="s">
        <v>131</v>
      </c>
      <c r="D23" s="70">
        <v>5687.1509964568904</v>
      </c>
      <c r="E23" s="41">
        <v>6143.7897237037196</v>
      </c>
      <c r="F23" s="70">
        <v>1755.972090252189</v>
      </c>
      <c r="G23" s="70">
        <v>-7118.7401766105204</v>
      </c>
      <c r="H23" s="70">
        <v>-20149.176419987951</v>
      </c>
      <c r="I23" s="38"/>
      <c r="J23" s="38"/>
      <c r="P23" s="102"/>
      <c r="Q23" s="38" t="s">
        <v>132</v>
      </c>
      <c r="R23" s="42">
        <v>1</v>
      </c>
      <c r="S23" s="41">
        <v>5642.2405798333803</v>
      </c>
      <c r="T23">
        <v>0.71717991336111298</v>
      </c>
      <c r="U23">
        <v>0.79041221259829997</v>
      </c>
      <c r="W23" s="23">
        <f t="shared" si="11"/>
        <v>8861838.5263543352</v>
      </c>
      <c r="X23" s="23">
        <f t="shared" si="12"/>
        <v>9766733.9349724557</v>
      </c>
      <c r="Z23" s="23">
        <f t="shared" si="2"/>
        <v>3956.1779135510424</v>
      </c>
      <c r="AA23" s="23">
        <f t="shared" si="2"/>
        <v>4360.1490781127031</v>
      </c>
      <c r="AE23" s="102"/>
      <c r="AF23" s="38" t="s">
        <v>132</v>
      </c>
      <c r="AG23" s="41">
        <f t="shared" si="3"/>
        <v>1</v>
      </c>
      <c r="AH23" s="47">
        <f t="shared" si="8"/>
        <v>3956.1779135510424</v>
      </c>
      <c r="AI23" s="47">
        <f t="shared" si="8"/>
        <v>4360.1490781127031</v>
      </c>
      <c r="AJ23" s="47">
        <f t="shared" si="5"/>
        <v>12501.522206821295</v>
      </c>
      <c r="AK23" s="47">
        <f t="shared" si="5"/>
        <v>13778.071086836142</v>
      </c>
      <c r="AL23" s="1"/>
      <c r="AO23" t="s">
        <v>135</v>
      </c>
      <c r="AP23">
        <v>6</v>
      </c>
      <c r="AQ23" s="23">
        <v>34674.538928474452</v>
      </c>
      <c r="AR23" s="23">
        <v>37622.836807882857</v>
      </c>
      <c r="AS23" s="23">
        <v>109571.54301397927</v>
      </c>
      <c r="AT23" s="23">
        <v>118888.16431290984</v>
      </c>
      <c r="AU23">
        <v>4</v>
      </c>
      <c r="AV23" s="23">
        <v>7535.8588689697044</v>
      </c>
      <c r="AW23" s="23">
        <v>8176.6159607578566</v>
      </c>
      <c r="AX23" s="23">
        <v>23813.314025944266</v>
      </c>
      <c r="AY23" s="23">
        <v>25838.106435994829</v>
      </c>
    </row>
    <row r="24" spans="2:51" x14ac:dyDescent="0.25">
      <c r="B24" s="102"/>
      <c r="C24" s="38" t="s">
        <v>132</v>
      </c>
      <c r="D24" s="41">
        <v>5642.2405798333803</v>
      </c>
      <c r="E24" s="70">
        <v>5565.6173314684802</v>
      </c>
      <c r="F24" s="70">
        <v>211.49587336633709</v>
      </c>
      <c r="G24" s="70">
        <v>-10012.82151708944</v>
      </c>
      <c r="H24" s="70">
        <v>-24731.466991968802</v>
      </c>
      <c r="I24" s="38"/>
      <c r="J24" s="38"/>
      <c r="P24" s="102"/>
      <c r="Q24" s="38" t="s">
        <v>133</v>
      </c>
      <c r="R24" s="42">
        <v>1</v>
      </c>
      <c r="S24" s="41">
        <v>5344.2778278956303</v>
      </c>
      <c r="T24">
        <v>0.82132251370564202</v>
      </c>
      <c r="U24">
        <v>0.88312021272233399</v>
      </c>
      <c r="W24" s="23">
        <f t="shared" si="11"/>
        <v>9612732.7820113637</v>
      </c>
      <c r="X24" s="23">
        <f t="shared" si="12"/>
        <v>10336011.101158388</v>
      </c>
      <c r="Z24" s="23">
        <f t="shared" si="2"/>
        <v>4291.39856339793</v>
      </c>
      <c r="AA24" s="23">
        <f t="shared" si="2"/>
        <v>4614.290670159995</v>
      </c>
      <c r="AE24" s="102"/>
      <c r="AF24" s="38" t="s">
        <v>133</v>
      </c>
      <c r="AG24" s="41">
        <f t="shared" si="3"/>
        <v>1</v>
      </c>
      <c r="AH24" s="47">
        <f t="shared" si="8"/>
        <v>4291.39856339793</v>
      </c>
      <c r="AI24" s="47">
        <f t="shared" si="8"/>
        <v>4614.290670159995</v>
      </c>
      <c r="AJ24" s="47">
        <f t="shared" si="5"/>
        <v>13560.81946033746</v>
      </c>
      <c r="AK24" s="47">
        <f t="shared" si="5"/>
        <v>14581.158517705584</v>
      </c>
      <c r="AL24" s="1"/>
      <c r="AO24" t="s">
        <v>131</v>
      </c>
      <c r="AP24">
        <v>6</v>
      </c>
      <c r="AQ24" s="23">
        <v>42552.914771020609</v>
      </c>
      <c r="AR24" s="23">
        <v>47250.999800834594</v>
      </c>
      <c r="AS24" s="23">
        <v>134467.21067642514</v>
      </c>
      <c r="AT24" s="23">
        <v>149313.15937063732</v>
      </c>
      <c r="AU24">
        <v>4</v>
      </c>
      <c r="AV24" s="23">
        <v>9634.7999649123394</v>
      </c>
      <c r="AW24" s="23">
        <v>10698.536955056981</v>
      </c>
      <c r="AX24" s="23">
        <v>30445.967889122992</v>
      </c>
      <c r="AY24" s="23">
        <v>33807.376777980062</v>
      </c>
    </row>
    <row r="25" spans="2:51" x14ac:dyDescent="0.25">
      <c r="B25" s="102"/>
      <c r="C25" s="38" t="s">
        <v>133</v>
      </c>
      <c r="D25" s="41">
        <v>5344.2778278956303</v>
      </c>
      <c r="E25" s="70">
        <v>4287.8311842738804</v>
      </c>
      <c r="F25" s="70">
        <v>-2646.7301120134352</v>
      </c>
      <c r="G25" s="70">
        <v>-14979.466571695761</v>
      </c>
      <c r="H25" s="70">
        <v>-32269.625064900603</v>
      </c>
      <c r="I25" s="38"/>
      <c r="J25" s="38"/>
      <c r="P25" s="102"/>
      <c r="Q25" s="38" t="s">
        <v>134</v>
      </c>
      <c r="R25" s="42">
        <v>1</v>
      </c>
      <c r="S25" s="41">
        <v>4976.8542585089999</v>
      </c>
      <c r="T25">
        <v>0.89710520243980096</v>
      </c>
      <c r="U25">
        <v>1</v>
      </c>
      <c r="W25" s="23">
        <f t="shared" si="11"/>
        <v>9777828.4451338928</v>
      </c>
      <c r="X25" s="23">
        <f t="shared" si="12"/>
        <v>10899310.82613471</v>
      </c>
      <c r="Z25" s="23">
        <f t="shared" si="2"/>
        <v>4365.1019844347738</v>
      </c>
      <c r="AA25" s="23">
        <f t="shared" si="2"/>
        <v>4865.763761667281</v>
      </c>
      <c r="AE25" s="102"/>
      <c r="AF25" s="38" t="s">
        <v>134</v>
      </c>
      <c r="AG25" s="41">
        <f t="shared" si="3"/>
        <v>1</v>
      </c>
      <c r="AH25" s="47">
        <f t="shared" si="8"/>
        <v>4365.1019844347738</v>
      </c>
      <c r="AI25" s="47">
        <f t="shared" si="8"/>
        <v>4865.763761667281</v>
      </c>
      <c r="AJ25" s="47">
        <f t="shared" si="5"/>
        <v>13793.722270813885</v>
      </c>
      <c r="AK25" s="47">
        <f t="shared" si="5"/>
        <v>15375.813486868608</v>
      </c>
      <c r="AL25" s="1"/>
      <c r="AO25" t="s">
        <v>132</v>
      </c>
      <c r="AP25">
        <v>5</v>
      </c>
      <c r="AQ25" s="23">
        <v>49526.525759542899</v>
      </c>
      <c r="AR25" s="23">
        <v>54583.752387103043</v>
      </c>
      <c r="AS25" s="23">
        <v>156503.82140015558</v>
      </c>
      <c r="AT25" s="23">
        <v>172484.65754324562</v>
      </c>
      <c r="AU25">
        <v>3</v>
      </c>
      <c r="AV25" s="23">
        <v>11136.708537503477</v>
      </c>
      <c r="AW25" s="23">
        <v>12273.894279800106</v>
      </c>
      <c r="AX25" s="23">
        <v>35191.998978510986</v>
      </c>
      <c r="AY25" s="23">
        <v>38785.505924168334</v>
      </c>
    </row>
    <row r="26" spans="2:51" ht="15" customHeight="1" x14ac:dyDescent="0.25">
      <c r="B26" s="102"/>
      <c r="C26" s="38" t="s">
        <v>134</v>
      </c>
      <c r="D26" s="41">
        <v>4976.8542585089999</v>
      </c>
      <c r="E26" s="70">
        <v>2177.6557439480598</v>
      </c>
      <c r="F26" s="70">
        <v>-7697.7975953647492</v>
      </c>
      <c r="G26" s="70">
        <v>-24012.685414627678</v>
      </c>
      <c r="H26" s="70">
        <v>-46187.49736728015</v>
      </c>
      <c r="I26" s="38"/>
      <c r="J26" s="38"/>
      <c r="K26">
        <f>D26/D22</f>
        <v>0.92455918141361304</v>
      </c>
      <c r="P26" s="45" t="s">
        <v>142</v>
      </c>
      <c r="Q26" s="38">
        <v>3</v>
      </c>
      <c r="R26" s="46"/>
      <c r="Z26" s="23"/>
      <c r="AA26" s="23"/>
      <c r="AE26" s="105" t="s">
        <v>158</v>
      </c>
      <c r="AF26" s="106"/>
      <c r="AG26" s="41"/>
      <c r="AH26" s="47"/>
      <c r="AI26" s="47"/>
      <c r="AJ26" s="47"/>
      <c r="AK26" s="47"/>
      <c r="AL26" s="1"/>
      <c r="AO26" t="s">
        <v>133</v>
      </c>
      <c r="AP26">
        <v>5</v>
      </c>
      <c r="AQ26" s="23">
        <v>55393.113200270345</v>
      </c>
      <c r="AR26" s="23">
        <v>59560.984992440273</v>
      </c>
      <c r="AS26" s="23">
        <v>175042.23771285429</v>
      </c>
      <c r="AT26" s="23">
        <v>188212.71257611128</v>
      </c>
      <c r="AU26">
        <v>3</v>
      </c>
      <c r="AV26" s="23">
        <v>11952.999064072752</v>
      </c>
      <c r="AW26" s="23">
        <v>12852.36298772273</v>
      </c>
      <c r="AX26" s="23">
        <v>37771.477042469895</v>
      </c>
      <c r="AY26" s="23">
        <v>40613.467041203832</v>
      </c>
    </row>
    <row r="27" spans="2:51" ht="15" customHeight="1" x14ac:dyDescent="0.25">
      <c r="B27" s="107" t="s">
        <v>142</v>
      </c>
      <c r="C27" s="107"/>
      <c r="D27" s="107"/>
      <c r="E27" s="107"/>
      <c r="F27" s="38">
        <v>3</v>
      </c>
      <c r="G27" s="38"/>
      <c r="H27" s="38"/>
      <c r="I27" s="38"/>
      <c r="J27" s="38"/>
      <c r="P27" s="102" t="s">
        <v>145</v>
      </c>
      <c r="Q27" s="38" t="s">
        <v>135</v>
      </c>
      <c r="R27" s="43">
        <v>4</v>
      </c>
      <c r="S27" s="70">
        <v>14513.465898939399</v>
      </c>
      <c r="T27">
        <v>0.50348324702996095</v>
      </c>
      <c r="U27">
        <v>0.54629329253909098</v>
      </c>
      <c r="W27" s="23">
        <f>$T27*$S27*$P$2*$N$11</f>
        <v>24004437.586259995</v>
      </c>
      <c r="X27" s="23">
        <f>$U27*$S27*$P$2*$N$11</f>
        <v>26045480.801800612</v>
      </c>
      <c r="Z27" s="23">
        <f t="shared" si="2"/>
        <v>10716.266779580355</v>
      </c>
      <c r="AA27" s="23">
        <f t="shared" si="2"/>
        <v>11627.44678651813</v>
      </c>
      <c r="AE27" s="102" t="s">
        <v>145</v>
      </c>
      <c r="AF27" s="38" t="s">
        <v>135</v>
      </c>
      <c r="AG27" s="41">
        <f t="shared" si="3"/>
        <v>4</v>
      </c>
      <c r="AH27" s="47">
        <f t="shared" ref="AH27:AI36" si="13">Z27</f>
        <v>10716.266779580355</v>
      </c>
      <c r="AI27" s="47">
        <f t="shared" si="13"/>
        <v>11627.44678651813</v>
      </c>
      <c r="AJ27" s="47">
        <f t="shared" si="5"/>
        <v>33863.403023473926</v>
      </c>
      <c r="AK27" s="47">
        <f t="shared" si="5"/>
        <v>36742.731845397291</v>
      </c>
      <c r="AL27" s="1"/>
      <c r="AN27" t="s">
        <v>145</v>
      </c>
      <c r="AO27" t="s">
        <v>134</v>
      </c>
      <c r="AP27">
        <v>4</v>
      </c>
      <c r="AQ27" s="23">
        <v>58456.334917287444</v>
      </c>
      <c r="AR27" s="23">
        <v>65161.070026466674</v>
      </c>
      <c r="AS27" s="23">
        <v>184722.01833862835</v>
      </c>
      <c r="AT27" s="23">
        <v>205908.9812836347</v>
      </c>
      <c r="AU27">
        <v>3</v>
      </c>
      <c r="AV27" s="23">
        <v>11920.496719358467</v>
      </c>
      <c r="AW27" s="23">
        <v>13287.735582113488</v>
      </c>
      <c r="AX27" s="23">
        <v>37668.769633172757</v>
      </c>
      <c r="AY27" s="23">
        <v>41989.244439478622</v>
      </c>
    </row>
    <row r="28" spans="2:51" x14ac:dyDescent="0.25">
      <c r="B28" s="107" t="s">
        <v>143</v>
      </c>
      <c r="C28" s="107"/>
      <c r="D28" s="38">
        <v>1</v>
      </c>
      <c r="E28" s="38">
        <v>2</v>
      </c>
      <c r="F28" s="38">
        <v>3</v>
      </c>
      <c r="G28" s="38">
        <v>4</v>
      </c>
      <c r="H28" s="38">
        <v>5</v>
      </c>
      <c r="I28" s="38">
        <v>6</v>
      </c>
      <c r="J28" s="38"/>
      <c r="P28" s="102"/>
      <c r="Q28" s="38" t="s">
        <v>131</v>
      </c>
      <c r="R28" s="43">
        <v>4</v>
      </c>
      <c r="S28" s="70">
        <v>15040.513161729699</v>
      </c>
      <c r="T28">
        <v>0.61091126445657895</v>
      </c>
      <c r="U28">
        <v>0.67835936011659204</v>
      </c>
      <c r="W28" s="23">
        <f t="shared" ref="W28:W31" si="14">$T28*$S28*$P$2*$N$11</f>
        <v>30183956.131531134</v>
      </c>
      <c r="X28" s="23">
        <f t="shared" ref="X28:X31" si="15">$U28*$S28*$P$2*$N$11</f>
        <v>33516437.424650021</v>
      </c>
      <c r="Z28" s="23">
        <f t="shared" si="2"/>
        <v>13474.980415862114</v>
      </c>
      <c r="AA28" s="23">
        <f t="shared" si="2"/>
        <v>14962.695278861616</v>
      </c>
      <c r="AE28" s="102"/>
      <c r="AF28" s="38" t="s">
        <v>131</v>
      </c>
      <c r="AG28" s="41">
        <f t="shared" si="3"/>
        <v>4</v>
      </c>
      <c r="AH28" s="47">
        <f t="shared" si="13"/>
        <v>13474.980415862114</v>
      </c>
      <c r="AI28" s="47">
        <f t="shared" si="13"/>
        <v>14962.695278861616</v>
      </c>
      <c r="AJ28" s="47">
        <f t="shared" si="5"/>
        <v>42580.938114124277</v>
      </c>
      <c r="AK28" s="47">
        <f t="shared" si="5"/>
        <v>47282.117081202712</v>
      </c>
      <c r="AL28" s="1"/>
      <c r="AO28" t="s">
        <v>160</v>
      </c>
    </row>
    <row r="29" spans="2:51" x14ac:dyDescent="0.25">
      <c r="B29" s="102" t="s">
        <v>145</v>
      </c>
      <c r="C29" s="38" t="s">
        <v>135</v>
      </c>
      <c r="D29" s="70">
        <v>14513.465898939399</v>
      </c>
      <c r="E29" s="70">
        <v>24841.664567381202</v>
      </c>
      <c r="F29" s="69">
        <v>31210.213631723098</v>
      </c>
      <c r="G29" s="41">
        <v>33832.568218206921</v>
      </c>
      <c r="H29" s="70">
        <v>32910.6766038641</v>
      </c>
      <c r="I29" s="70">
        <v>28635.60052290684</v>
      </c>
      <c r="J29" s="38"/>
      <c r="P29" s="102"/>
      <c r="Q29" s="38" t="s">
        <v>132</v>
      </c>
      <c r="R29" s="43">
        <v>4</v>
      </c>
      <c r="S29" s="70">
        <v>15536.250403178799</v>
      </c>
      <c r="T29">
        <v>0.71717991336111298</v>
      </c>
      <c r="U29">
        <v>0.79041221259829997</v>
      </c>
      <c r="W29" s="23">
        <f t="shared" si="14"/>
        <v>36602411.868985854</v>
      </c>
      <c r="X29" s="23">
        <f t="shared" si="15"/>
        <v>40339938.156120822</v>
      </c>
      <c r="Z29" s="23">
        <f t="shared" si="2"/>
        <v>16340.362441511543</v>
      </c>
      <c r="AA29" s="23">
        <f t="shared" si="2"/>
        <v>18008.900962553937</v>
      </c>
      <c r="AE29" s="102"/>
      <c r="AF29" s="38" t="s">
        <v>132</v>
      </c>
      <c r="AG29" s="41">
        <f t="shared" si="3"/>
        <v>4</v>
      </c>
      <c r="AH29" s="47">
        <f t="shared" si="13"/>
        <v>16340.362441511543</v>
      </c>
      <c r="AI29" s="47">
        <f t="shared" si="13"/>
        <v>18008.900962553937</v>
      </c>
      <c r="AJ29" s="47">
        <f t="shared" si="5"/>
        <v>51635.545315176474</v>
      </c>
      <c r="AK29" s="47">
        <f t="shared" si="5"/>
        <v>56908.127041670443</v>
      </c>
      <c r="AL29" s="1"/>
      <c r="AO29" t="s">
        <v>135</v>
      </c>
      <c r="AP29">
        <v>7</v>
      </c>
      <c r="AQ29" s="23">
        <v>44174.974858188965</v>
      </c>
      <c r="AR29" s="23">
        <v>47931.073388178796</v>
      </c>
      <c r="AS29" s="23">
        <v>139592.92055187715</v>
      </c>
      <c r="AT29" s="23">
        <v>151462.19190664499</v>
      </c>
      <c r="AU29">
        <v>4</v>
      </c>
      <c r="AV29" s="23">
        <v>9705.2974973272612</v>
      </c>
      <c r="AW29" s="23">
        <v>10530.517065190064</v>
      </c>
      <c r="AX29" s="23">
        <v>30668.740091554148</v>
      </c>
      <c r="AY29" s="23">
        <v>33276.433926000602</v>
      </c>
    </row>
    <row r="30" spans="2:51" x14ac:dyDescent="0.25">
      <c r="B30" s="102"/>
      <c r="C30" s="38" t="s">
        <v>131</v>
      </c>
      <c r="D30" s="70">
        <v>15040.513161729699</v>
      </c>
      <c r="E30" s="70">
        <v>25612.796950607</v>
      </c>
      <c r="F30" s="69">
        <v>31965.732184409702</v>
      </c>
      <c r="G30" s="41">
        <v>34334.336994761681</v>
      </c>
      <c r="H30" s="70">
        <v>32940.53898012315</v>
      </c>
      <c r="I30" s="70">
        <v>27993.904349780096</v>
      </c>
      <c r="J30" s="38"/>
      <c r="P30" s="102"/>
      <c r="Q30" s="38" t="s">
        <v>133</v>
      </c>
      <c r="R30" s="43">
        <v>4</v>
      </c>
      <c r="S30" s="70">
        <v>16069.2523503549</v>
      </c>
      <c r="T30">
        <v>0.82132251370564202</v>
      </c>
      <c r="U30">
        <v>0.88312021272233399</v>
      </c>
      <c r="W30" s="23">
        <f t="shared" si="14"/>
        <v>43355557.240414023</v>
      </c>
      <c r="X30" s="23">
        <f t="shared" si="15"/>
        <v>46617702.904674128</v>
      </c>
      <c r="Z30" s="23">
        <f t="shared" si="2"/>
        <v>19355.15948232769</v>
      </c>
      <c r="AA30" s="23">
        <f t="shared" si="2"/>
        <v>20811.474511015236</v>
      </c>
      <c r="AE30" s="102"/>
      <c r="AF30" s="38" t="s">
        <v>133</v>
      </c>
      <c r="AG30" s="41">
        <f t="shared" si="3"/>
        <v>4</v>
      </c>
      <c r="AH30" s="47">
        <f t="shared" si="13"/>
        <v>19355.15948232769</v>
      </c>
      <c r="AI30" s="47">
        <f t="shared" si="13"/>
        <v>20811.474511015236</v>
      </c>
      <c r="AJ30" s="47">
        <f t="shared" si="5"/>
        <v>61162.303964155501</v>
      </c>
      <c r="AK30" s="47">
        <f t="shared" si="5"/>
        <v>65764.259454808154</v>
      </c>
      <c r="AL30" s="1"/>
      <c r="AO30" t="s">
        <v>131</v>
      </c>
      <c r="AP30">
        <v>7</v>
      </c>
      <c r="AQ30" s="23">
        <v>54483.327371132604</v>
      </c>
      <c r="AR30" s="23">
        <v>60498.598148096884</v>
      </c>
      <c r="AS30" s="23">
        <v>172167.31449277903</v>
      </c>
      <c r="AT30" s="23">
        <v>191175.57014798617</v>
      </c>
      <c r="AU30">
        <v>4</v>
      </c>
      <c r="AV30" s="23">
        <v>12469.675164205744</v>
      </c>
      <c r="AW30" s="23">
        <v>13846.398580940873</v>
      </c>
      <c r="AX30" s="23">
        <v>39404.173518890151</v>
      </c>
      <c r="AY30" s="23">
        <v>43754.619515773164</v>
      </c>
    </row>
    <row r="31" spans="2:51" x14ac:dyDescent="0.25">
      <c r="B31" s="102"/>
      <c r="C31" s="38" t="s">
        <v>132</v>
      </c>
      <c r="D31" s="70">
        <v>15536.250403178799</v>
      </c>
      <c r="E31" s="70">
        <v>26173.832324359199</v>
      </c>
      <c r="F31" s="69">
        <v>32198.4425205402</v>
      </c>
      <c r="G31" s="41">
        <v>33879.115539948361</v>
      </c>
      <c r="H31" s="70">
        <v>31469.195483857551</v>
      </c>
      <c r="I31" s="70">
        <v>25207.25109399252</v>
      </c>
      <c r="J31" s="38"/>
      <c r="P31" s="102"/>
      <c r="Q31" s="38" t="s">
        <v>134</v>
      </c>
      <c r="R31" s="43">
        <v>3</v>
      </c>
      <c r="S31" s="70">
        <v>17128.228107674699</v>
      </c>
      <c r="T31">
        <v>0.89710520243980096</v>
      </c>
      <c r="U31">
        <v>1</v>
      </c>
      <c r="W31" s="23">
        <f t="shared" si="14"/>
        <v>50476727.056943424</v>
      </c>
      <c r="X31" s="23">
        <f t="shared" si="15"/>
        <v>56266229.333711386</v>
      </c>
      <c r="Z31" s="23">
        <f t="shared" si="2"/>
        <v>22534.253150421173</v>
      </c>
      <c r="AA31" s="23">
        <f t="shared" si="2"/>
        <v>25118.852381121153</v>
      </c>
      <c r="AE31" s="102"/>
      <c r="AF31" s="38" t="s">
        <v>134</v>
      </c>
      <c r="AG31" s="41">
        <f t="shared" si="3"/>
        <v>3</v>
      </c>
      <c r="AH31" s="47">
        <f t="shared" si="13"/>
        <v>22534.253150421173</v>
      </c>
      <c r="AI31" s="47">
        <f t="shared" si="13"/>
        <v>25118.852381121153</v>
      </c>
      <c r="AJ31" s="47">
        <f t="shared" si="5"/>
        <v>71208.239955330908</v>
      </c>
      <c r="AK31" s="47">
        <f t="shared" si="5"/>
        <v>79375.57352434285</v>
      </c>
      <c r="AL31" s="1"/>
      <c r="AO31" t="s">
        <v>132</v>
      </c>
      <c r="AP31">
        <v>7</v>
      </c>
      <c r="AQ31" s="23">
        <v>63247.784497806526</v>
      </c>
      <c r="AR31" s="23">
        <v>69706.109102472779</v>
      </c>
      <c r="AS31" s="23">
        <v>199862.99901306862</v>
      </c>
      <c r="AT31" s="23">
        <v>220271.304763814</v>
      </c>
      <c r="AU31">
        <v>4</v>
      </c>
      <c r="AV31" s="23">
        <v>14426.484188499724</v>
      </c>
      <c r="AW31" s="23">
        <v>15899.593776973097</v>
      </c>
      <c r="AX31" s="23">
        <v>45587.690035659129</v>
      </c>
      <c r="AY31" s="23">
        <v>50242.716335234989</v>
      </c>
    </row>
    <row r="32" spans="2:51" ht="15" customHeight="1" x14ac:dyDescent="0.25">
      <c r="B32" s="102"/>
      <c r="C32" s="38" t="s">
        <v>133</v>
      </c>
      <c r="D32" s="70">
        <v>16069.2523503549</v>
      </c>
      <c r="E32" s="70">
        <v>26623.916378975598</v>
      </c>
      <c r="F32" s="69">
        <v>32005.230473743504</v>
      </c>
      <c r="G32" s="41">
        <v>32533.3174594966</v>
      </c>
      <c r="H32" s="70">
        <v>28508.491212462701</v>
      </c>
      <c r="I32" s="70">
        <v>20212.48242241914</v>
      </c>
      <c r="J32" s="38"/>
      <c r="P32" s="102" t="s">
        <v>146</v>
      </c>
      <c r="Q32" s="38" t="s">
        <v>135</v>
      </c>
      <c r="R32" s="43">
        <v>3</v>
      </c>
      <c r="S32" s="70">
        <v>6918.6712324416703</v>
      </c>
      <c r="T32">
        <v>0.50348324702996095</v>
      </c>
      <c r="U32">
        <v>0.54629329253909098</v>
      </c>
      <c r="W32" s="23">
        <f>$S32*$T32*$P$2*$N$12</f>
        <v>7628722.7753611058</v>
      </c>
      <c r="X32" s="23">
        <f>$S32*$U32*$P$2*$N$12</f>
        <v>8277375.8757696506</v>
      </c>
      <c r="Z32" s="23">
        <f t="shared" si="2"/>
        <v>3405.6798104290651</v>
      </c>
      <c r="AA32" s="23">
        <f t="shared" si="2"/>
        <v>3695.2570873971654</v>
      </c>
      <c r="AE32" s="102" t="s">
        <v>146</v>
      </c>
      <c r="AF32" s="38" t="s">
        <v>135</v>
      </c>
      <c r="AG32" s="41">
        <f t="shared" si="3"/>
        <v>3</v>
      </c>
      <c r="AH32" s="47">
        <f t="shared" si="13"/>
        <v>3405.6798104290651</v>
      </c>
      <c r="AI32" s="47">
        <f t="shared" si="13"/>
        <v>3695.2570873971654</v>
      </c>
      <c r="AJ32" s="47">
        <f t="shared" si="5"/>
        <v>10761.948200955847</v>
      </c>
      <c r="AK32" s="47">
        <f t="shared" si="5"/>
        <v>11677.012396175043</v>
      </c>
      <c r="AL32" s="1"/>
      <c r="AN32" t="s">
        <v>146</v>
      </c>
      <c r="AO32" t="s">
        <v>133</v>
      </c>
      <c r="AP32">
        <v>6</v>
      </c>
      <c r="AQ32" s="23">
        <v>70800.258097147715</v>
      </c>
      <c r="AR32" s="23">
        <v>76127.389604174343</v>
      </c>
      <c r="AS32" s="23">
        <v>223728.81558698678</v>
      </c>
      <c r="AT32" s="23">
        <v>240562.55114919093</v>
      </c>
      <c r="AU32">
        <v>4</v>
      </c>
      <c r="AV32" s="23">
        <v>15412.146804215612</v>
      </c>
      <c r="AW32" s="23">
        <v>16571.782871064424</v>
      </c>
      <c r="AX32" s="23">
        <v>48702.383901321336</v>
      </c>
      <c r="AY32" s="23">
        <v>52366.833872563584</v>
      </c>
    </row>
    <row r="33" spans="2:51" x14ac:dyDescent="0.25">
      <c r="B33" s="102"/>
      <c r="C33" s="38" t="s">
        <v>134</v>
      </c>
      <c r="D33" s="70">
        <v>17128.228107674699</v>
      </c>
      <c r="E33" s="70">
        <v>27511.829284025</v>
      </c>
      <c r="F33" s="39">
        <v>31612.3603090506</v>
      </c>
      <c r="G33" s="70">
        <v>29859.79212956292</v>
      </c>
      <c r="H33" s="70">
        <v>22654.671380589549</v>
      </c>
      <c r="I33" s="70">
        <v>10370.13398682522</v>
      </c>
      <c r="J33" s="38"/>
      <c r="K33">
        <f>F33/F29</f>
        <v>1.0128850985152742</v>
      </c>
      <c r="P33" s="102"/>
      <c r="Q33" s="38" t="s">
        <v>131</v>
      </c>
      <c r="R33" s="43">
        <v>3</v>
      </c>
      <c r="S33" s="70">
        <v>7338.9760849434297</v>
      </c>
      <c r="T33">
        <v>0.61091126445657895</v>
      </c>
      <c r="U33">
        <v>0.67835936011659204</v>
      </c>
      <c r="W33" s="23">
        <f t="shared" ref="W33:W36" si="16">$S33*$T33*$P$2*$N$12</f>
        <v>9818784.3201139513</v>
      </c>
      <c r="X33" s="23">
        <f t="shared" ref="X33:X36" si="17">$S33*$U33*$P$2*$N$12</f>
        <v>10902834.234756101</v>
      </c>
      <c r="Z33" s="23">
        <f t="shared" si="2"/>
        <v>4383.385857193728</v>
      </c>
      <c r="AA33" s="23">
        <f t="shared" si="2"/>
        <v>4867.3367119446875</v>
      </c>
      <c r="AE33" s="102"/>
      <c r="AF33" s="38" t="s">
        <v>131</v>
      </c>
      <c r="AG33" s="41">
        <f t="shared" si="3"/>
        <v>3</v>
      </c>
      <c r="AH33" s="47">
        <f t="shared" si="13"/>
        <v>4383.385857193728</v>
      </c>
      <c r="AI33" s="47">
        <f t="shared" si="13"/>
        <v>4867.3367119446875</v>
      </c>
      <c r="AJ33" s="47">
        <f t="shared" si="5"/>
        <v>13851.499308732182</v>
      </c>
      <c r="AK33" s="47">
        <f t="shared" si="5"/>
        <v>15380.784009745214</v>
      </c>
      <c r="AL33" s="1"/>
      <c r="AO33" t="s">
        <v>134</v>
      </c>
      <c r="AP33">
        <v>6</v>
      </c>
      <c r="AQ33" s="23">
        <v>74976.399110383281</v>
      </c>
      <c r="AR33" s="23">
        <v>83575.927222888306</v>
      </c>
      <c r="AS33" s="23">
        <v>236925.42118881119</v>
      </c>
      <c r="AT33" s="23">
        <v>264099.93002432707</v>
      </c>
      <c r="AU33">
        <v>3</v>
      </c>
      <c r="AV33" s="23">
        <v>15725.039591287143</v>
      </c>
      <c r="AW33" s="23">
        <v>17528.646081329964</v>
      </c>
      <c r="AX33" s="23">
        <v>49691.125108467371</v>
      </c>
      <c r="AY33" s="23">
        <v>55390.521617002691</v>
      </c>
    </row>
    <row r="34" spans="2:51" x14ac:dyDescent="0.25">
      <c r="B34" s="102" t="s">
        <v>146</v>
      </c>
      <c r="C34" s="38" t="s">
        <v>135</v>
      </c>
      <c r="D34" s="70">
        <v>6918.6712324416703</v>
      </c>
      <c r="E34" s="70">
        <v>10430.858674831519</v>
      </c>
      <c r="F34" s="39">
        <v>10702.23379740597</v>
      </c>
      <c r="G34" s="70">
        <v>7890.4107779726</v>
      </c>
      <c r="H34" s="70">
        <v>2145.338361542415</v>
      </c>
      <c r="I34" s="70">
        <v>-6390.3273378037811</v>
      </c>
      <c r="J34" s="38"/>
      <c r="P34" s="102"/>
      <c r="Q34" s="38" t="s">
        <v>132</v>
      </c>
      <c r="R34" s="43">
        <v>2</v>
      </c>
      <c r="S34" s="70">
        <v>7456.2243072082501</v>
      </c>
      <c r="T34">
        <v>0.71717991336111298</v>
      </c>
      <c r="U34">
        <v>0.79041221259829997</v>
      </c>
      <c r="W34" s="23">
        <f t="shared" si="16"/>
        <v>11710924.922791755</v>
      </c>
      <c r="X34" s="23">
        <f t="shared" si="17"/>
        <v>12906744.747514442</v>
      </c>
      <c r="Z34" s="23">
        <f t="shared" si="2"/>
        <v>5228.0914833891766</v>
      </c>
      <c r="AA34" s="23">
        <f t="shared" si="2"/>
        <v>5761.9396194260898</v>
      </c>
      <c r="AE34" s="102"/>
      <c r="AF34" s="38" t="s">
        <v>132</v>
      </c>
      <c r="AG34" s="41">
        <f t="shared" si="3"/>
        <v>2</v>
      </c>
      <c r="AH34" s="47">
        <f t="shared" si="13"/>
        <v>5228.0914833891766</v>
      </c>
      <c r="AI34" s="47">
        <f t="shared" si="13"/>
        <v>5761.9396194260898</v>
      </c>
      <c r="AJ34" s="47">
        <f t="shared" si="5"/>
        <v>16520.769087509798</v>
      </c>
      <c r="AK34" s="47">
        <f t="shared" si="5"/>
        <v>18207.729197386445</v>
      </c>
      <c r="AL34" s="1"/>
    </row>
    <row r="35" spans="2:51" x14ac:dyDescent="0.25">
      <c r="B35" s="102"/>
      <c r="C35" s="38" t="s">
        <v>131</v>
      </c>
      <c r="D35" s="70">
        <v>7338.9760849434297</v>
      </c>
      <c r="E35" s="70">
        <v>11026.49128752256</v>
      </c>
      <c r="F35" s="41">
        <v>11246.40601385373</v>
      </c>
      <c r="G35" s="70">
        <v>8173.3228277732396</v>
      </c>
      <c r="H35" s="70">
        <v>1973.052606904565</v>
      </c>
      <c r="I35" s="70">
        <v>-7196.9427734258406</v>
      </c>
      <c r="J35" s="38"/>
      <c r="P35" s="102"/>
      <c r="Q35" s="38" t="s">
        <v>133</v>
      </c>
      <c r="R35" s="43">
        <v>2</v>
      </c>
      <c r="S35" s="70">
        <v>7383.8985499468099</v>
      </c>
      <c r="T35">
        <v>0.82132251370564202</v>
      </c>
      <c r="U35">
        <v>0.88312021272233399</v>
      </c>
      <c r="W35" s="23">
        <f t="shared" si="16"/>
        <v>13281391.038397573</v>
      </c>
      <c r="X35" s="23">
        <f t="shared" si="17"/>
        <v>14280705.427346662</v>
      </c>
      <c r="Z35" s="23">
        <f t="shared" si="2"/>
        <v>5929.1924278560591</v>
      </c>
      <c r="AA35" s="23">
        <f t="shared" si="2"/>
        <v>6375.3149229226165</v>
      </c>
      <c r="AE35" s="102"/>
      <c r="AF35" s="38" t="s">
        <v>133</v>
      </c>
      <c r="AG35" s="41">
        <f t="shared" si="3"/>
        <v>2</v>
      </c>
      <c r="AH35" s="47">
        <f t="shared" si="13"/>
        <v>5929.1924278560591</v>
      </c>
      <c r="AI35" s="47">
        <f t="shared" si="13"/>
        <v>6375.3149229226165</v>
      </c>
      <c r="AJ35" s="47">
        <f t="shared" si="5"/>
        <v>18736.248072025148</v>
      </c>
      <c r="AK35" s="47">
        <f t="shared" si="5"/>
        <v>20145.995156435471</v>
      </c>
      <c r="AL35" s="1"/>
    </row>
    <row r="36" spans="2:51" x14ac:dyDescent="0.25">
      <c r="B36" s="102"/>
      <c r="C36" s="38" t="s">
        <v>132</v>
      </c>
      <c r="D36" s="70">
        <v>7456.2243072082501</v>
      </c>
      <c r="E36" s="41">
        <v>10910.92382638066</v>
      </c>
      <c r="F36" s="70">
        <v>10575.022802735641</v>
      </c>
      <c r="G36" s="70">
        <v>6648.3274603424397</v>
      </c>
      <c r="H36" s="70">
        <v>-679.88795622113503</v>
      </c>
      <c r="I36" s="70">
        <v>-11230.326031033499</v>
      </c>
      <c r="J36" s="38"/>
      <c r="P36" s="102"/>
      <c r="Q36" s="38" t="s">
        <v>134</v>
      </c>
      <c r="R36" s="43">
        <v>2</v>
      </c>
      <c r="S36" s="70">
        <v>7477.3674551062304</v>
      </c>
      <c r="T36">
        <v>0.89710520243980096</v>
      </c>
      <c r="U36">
        <v>1</v>
      </c>
      <c r="W36" s="23">
        <f t="shared" si="16"/>
        <v>14690487.685520381</v>
      </c>
      <c r="X36" s="23">
        <f t="shared" si="17"/>
        <v>16375434.726682644</v>
      </c>
      <c r="Z36" s="23">
        <f t="shared" si="2"/>
        <v>6558.2534310358842</v>
      </c>
      <c r="AA36" s="23">
        <f t="shared" si="2"/>
        <v>7310.4619315547516</v>
      </c>
      <c r="AE36" s="102"/>
      <c r="AF36" s="38" t="s">
        <v>134</v>
      </c>
      <c r="AG36" s="41">
        <f t="shared" si="3"/>
        <v>2</v>
      </c>
      <c r="AH36" s="47">
        <f t="shared" si="13"/>
        <v>6558.2534310358842</v>
      </c>
      <c r="AI36" s="47">
        <f t="shared" si="13"/>
        <v>7310.4619315547516</v>
      </c>
      <c r="AJ36" s="47">
        <f t="shared" si="5"/>
        <v>20724.080842073396</v>
      </c>
      <c r="AK36" s="47">
        <f t="shared" si="5"/>
        <v>23101.059703713017</v>
      </c>
      <c r="AL36" s="1"/>
    </row>
    <row r="37" spans="2:51" ht="15" customHeight="1" x14ac:dyDescent="0.25">
      <c r="B37" s="102"/>
      <c r="C37" s="38" t="s">
        <v>133</v>
      </c>
      <c r="D37" s="70">
        <v>7383.8985499468099</v>
      </c>
      <c r="E37" s="41">
        <v>10275.716189308159</v>
      </c>
      <c r="F37" s="70">
        <v>8926.3291924200294</v>
      </c>
      <c r="G37" s="70">
        <v>3572.60275361396</v>
      </c>
      <c r="H37" s="70">
        <v>-5561.8265140656003</v>
      </c>
      <c r="I37" s="70">
        <v>-18265.811781574557</v>
      </c>
      <c r="J37" s="38"/>
      <c r="P37" s="44" t="s">
        <v>142</v>
      </c>
      <c r="Q37" s="38">
        <v>4</v>
      </c>
      <c r="R37" s="44"/>
      <c r="Z37" s="23"/>
      <c r="AA37" s="23"/>
      <c r="AE37" s="105" t="s">
        <v>159</v>
      </c>
      <c r="AF37" s="106"/>
      <c r="AG37" s="41"/>
      <c r="AH37" s="47"/>
      <c r="AI37" s="47"/>
      <c r="AJ37" s="47"/>
      <c r="AK37" s="47"/>
      <c r="AL37" s="1"/>
      <c r="AP37" s="98" t="s">
        <v>192</v>
      </c>
      <c r="AQ37" s="98"/>
      <c r="AR37" s="98"/>
      <c r="AS37" s="98"/>
      <c r="AT37" s="98"/>
    </row>
    <row r="38" spans="2:51" ht="15" customHeight="1" x14ac:dyDescent="0.25">
      <c r="B38" s="102"/>
      <c r="C38" s="38" t="s">
        <v>134</v>
      </c>
      <c r="D38" s="70">
        <v>7477.3674551062304</v>
      </c>
      <c r="E38" s="41">
        <v>9466.3167611151603</v>
      </c>
      <c r="F38" s="70">
        <v>6305.6601055248302</v>
      </c>
      <c r="G38" s="70">
        <v>-1686.705949631576</v>
      </c>
      <c r="H38" s="70">
        <v>-14212.509299977952</v>
      </c>
      <c r="I38" s="70">
        <v>-30991.890837636962</v>
      </c>
      <c r="J38" s="38"/>
      <c r="P38" s="102" t="s">
        <v>145</v>
      </c>
      <c r="Q38" s="38" t="s">
        <v>135</v>
      </c>
      <c r="R38" s="43">
        <v>6</v>
      </c>
      <c r="S38" s="70">
        <v>15436.9433789828</v>
      </c>
      <c r="T38">
        <v>0.50348324702996095</v>
      </c>
      <c r="U38">
        <v>0.54629329253909098</v>
      </c>
      <c r="W38" s="23">
        <f>$T38*$S38*$P$2*$N$11</f>
        <v>25531816.207354106</v>
      </c>
      <c r="X38" s="23">
        <f>$U38*$S38*$P$2*$N$11</f>
        <v>27702728.983926654</v>
      </c>
      <c r="Z38" s="23">
        <f t="shared" si="2"/>
        <v>11398.132235425941</v>
      </c>
      <c r="AA38" s="23">
        <f t="shared" si="2"/>
        <v>12367.289724967257</v>
      </c>
      <c r="AE38" s="102" t="s">
        <v>145</v>
      </c>
      <c r="AF38" s="38" t="s">
        <v>135</v>
      </c>
      <c r="AG38" s="41">
        <f t="shared" si="3"/>
        <v>6</v>
      </c>
      <c r="AH38" s="47">
        <f t="shared" ref="AH38:AI47" si="18">Z38</f>
        <v>11398.132235425941</v>
      </c>
      <c r="AI38" s="47">
        <f t="shared" si="18"/>
        <v>12367.289724967257</v>
      </c>
      <c r="AJ38" s="47">
        <f t="shared" si="5"/>
        <v>36018.097863945972</v>
      </c>
      <c r="AK38" s="47">
        <f t="shared" si="5"/>
        <v>39080.635530896536</v>
      </c>
      <c r="AL38" s="1"/>
      <c r="AN38" t="s">
        <v>145</v>
      </c>
      <c r="AO38" s="109" t="s">
        <v>156</v>
      </c>
      <c r="AP38" s="108" t="s">
        <v>155</v>
      </c>
      <c r="AQ38" s="98" t="s">
        <v>153</v>
      </c>
      <c r="AR38" s="98"/>
      <c r="AS38" s="98" t="s">
        <v>154</v>
      </c>
      <c r="AT38" s="98"/>
    </row>
    <row r="39" spans="2:51" x14ac:dyDescent="0.25">
      <c r="B39" s="107" t="s">
        <v>142</v>
      </c>
      <c r="C39" s="107"/>
      <c r="D39" s="107"/>
      <c r="E39" s="107"/>
      <c r="F39" s="38">
        <v>4</v>
      </c>
      <c r="G39" s="38"/>
      <c r="H39" s="38"/>
      <c r="I39" s="38"/>
      <c r="J39" s="38"/>
      <c r="P39" s="102"/>
      <c r="Q39" s="38" t="s">
        <v>131</v>
      </c>
      <c r="R39" s="43">
        <v>6</v>
      </c>
      <c r="S39" s="70">
        <v>16033.689337998499</v>
      </c>
      <c r="T39">
        <v>0.61091126445657895</v>
      </c>
      <c r="U39">
        <v>0.67835936011659204</v>
      </c>
      <c r="W39" s="23">
        <f t="shared" ref="W39:W42" si="19">$T39*$S39*$P$2*$N$11</f>
        <v>32177105.288945377</v>
      </c>
      <c r="X39" s="23">
        <f t="shared" ref="X39:X42" si="20">$U39*$S39*$P$2*$N$11</f>
        <v>35729641.642194033</v>
      </c>
      <c r="Z39" s="23">
        <f t="shared" si="2"/>
        <v>14364.779146850615</v>
      </c>
      <c r="AA39" s="23">
        <f t="shared" si="2"/>
        <v>15950.732875979478</v>
      </c>
      <c r="AE39" s="102"/>
      <c r="AF39" s="38" t="s">
        <v>131</v>
      </c>
      <c r="AG39" s="41">
        <f t="shared" si="3"/>
        <v>6</v>
      </c>
      <c r="AH39" s="47">
        <f t="shared" si="18"/>
        <v>14364.779146850615</v>
      </c>
      <c r="AI39" s="47">
        <f t="shared" si="18"/>
        <v>15950.732875979478</v>
      </c>
      <c r="AJ39" s="47">
        <f t="shared" si="5"/>
        <v>45392.702104047945</v>
      </c>
      <c r="AK39" s="47">
        <f t="shared" si="5"/>
        <v>50404.315888095152</v>
      </c>
      <c r="AL39" s="1"/>
      <c r="AO39" s="109"/>
      <c r="AP39" s="108"/>
      <c r="AQ39" s="25" t="s">
        <v>151</v>
      </c>
      <c r="AR39" s="25" t="s">
        <v>152</v>
      </c>
      <c r="AS39" s="25" t="s">
        <v>151</v>
      </c>
      <c r="AT39" s="25" t="s">
        <v>152</v>
      </c>
    </row>
    <row r="40" spans="2:51" x14ac:dyDescent="0.25">
      <c r="B40" s="107" t="s">
        <v>143</v>
      </c>
      <c r="C40" s="107"/>
      <c r="D40" s="67">
        <v>1</v>
      </c>
      <c r="E40" s="67">
        <v>2</v>
      </c>
      <c r="F40" s="67">
        <v>3</v>
      </c>
      <c r="G40" s="67">
        <v>4</v>
      </c>
      <c r="H40" s="67">
        <v>5</v>
      </c>
      <c r="I40" s="67">
        <v>6</v>
      </c>
      <c r="J40" s="67">
        <v>7</v>
      </c>
      <c r="P40" s="102"/>
      <c r="Q40" s="38" t="s">
        <v>132</v>
      </c>
      <c r="R40" s="43">
        <v>5</v>
      </c>
      <c r="S40" s="70">
        <v>16632.021574407001</v>
      </c>
      <c r="T40">
        <v>0.71717991336111298</v>
      </c>
      <c r="U40">
        <v>0.79041221259829997</v>
      </c>
      <c r="W40" s="23">
        <f t="shared" si="19"/>
        <v>39183978.63590984</v>
      </c>
      <c r="X40" s="23">
        <f t="shared" si="20"/>
        <v>43185112.515022859</v>
      </c>
      <c r="Z40" s="23">
        <f t="shared" si="2"/>
        <v>17492.847605316892</v>
      </c>
      <c r="AA40" s="23">
        <f t="shared" si="2"/>
        <v>19279.068087063777</v>
      </c>
      <c r="AE40" s="102"/>
      <c r="AF40" s="38" t="s">
        <v>132</v>
      </c>
      <c r="AG40" s="41">
        <f t="shared" si="3"/>
        <v>5</v>
      </c>
      <c r="AH40" s="47">
        <f t="shared" si="18"/>
        <v>17492.847605316892</v>
      </c>
      <c r="AI40" s="47">
        <f t="shared" si="18"/>
        <v>19279.068087063777</v>
      </c>
      <c r="AJ40" s="47">
        <f t="shared" si="5"/>
        <v>55277.398432801383</v>
      </c>
      <c r="AK40" s="47">
        <f t="shared" si="5"/>
        <v>60921.855155121535</v>
      </c>
      <c r="AL40" s="1"/>
      <c r="AO40" t="s">
        <v>135</v>
      </c>
      <c r="AP40">
        <v>1</v>
      </c>
      <c r="AQ40" s="23">
        <v>458.3278130763461</v>
      </c>
      <c r="AR40" s="23">
        <v>497.29839382881909</v>
      </c>
      <c r="AS40" s="23">
        <v>1448.3158893212537</v>
      </c>
      <c r="AT40" s="23">
        <v>1571.4629244990683</v>
      </c>
    </row>
    <row r="41" spans="2:51" x14ac:dyDescent="0.25">
      <c r="B41" s="102" t="s">
        <v>145</v>
      </c>
      <c r="C41" s="38" t="s">
        <v>135</v>
      </c>
      <c r="D41" s="70">
        <v>15436.9433789828</v>
      </c>
      <c r="E41" s="70">
        <v>27659.818571641001</v>
      </c>
      <c r="F41" s="70">
        <v>36800.118233810099</v>
      </c>
      <c r="G41" s="70">
        <v>42983.9554470476</v>
      </c>
      <c r="H41" s="70">
        <v>46332.283805599356</v>
      </c>
      <c r="I41" s="41">
        <v>46961.108499253503</v>
      </c>
      <c r="J41" s="70">
        <v>44981.688760458797</v>
      </c>
      <c r="K41">
        <f>G45/H41</f>
        <v>0.95899676877309115</v>
      </c>
      <c r="P41" s="102"/>
      <c r="Q41" s="38" t="s">
        <v>133</v>
      </c>
      <c r="R41" s="43">
        <v>5</v>
      </c>
      <c r="S41" s="70">
        <v>17310.975503774898</v>
      </c>
      <c r="T41">
        <v>0.82132251370564202</v>
      </c>
      <c r="U41">
        <v>0.88312021272233399</v>
      </c>
      <c r="W41" s="23">
        <f t="shared" si="19"/>
        <v>46705781.512276873</v>
      </c>
      <c r="X41" s="23">
        <f t="shared" si="20"/>
        <v>50220003.733231969</v>
      </c>
      <c r="Z41" s="23">
        <f t="shared" si="2"/>
        <v>20850.795317980748</v>
      </c>
      <c r="AA41" s="23">
        <f t="shared" si="2"/>
        <v>22419.644523764273</v>
      </c>
      <c r="AE41" s="102"/>
      <c r="AF41" s="38" t="s">
        <v>133</v>
      </c>
      <c r="AG41" s="41">
        <f t="shared" si="3"/>
        <v>5</v>
      </c>
      <c r="AH41" s="47">
        <f t="shared" si="18"/>
        <v>20850.795317980748</v>
      </c>
      <c r="AI41" s="47">
        <f t="shared" si="18"/>
        <v>22419.644523764273</v>
      </c>
      <c r="AJ41" s="47">
        <f t="shared" si="5"/>
        <v>65888.513204819174</v>
      </c>
      <c r="AK41" s="47">
        <f t="shared" si="5"/>
        <v>70846.076695095107</v>
      </c>
      <c r="AL41" s="1"/>
      <c r="AO41" t="s">
        <v>131</v>
      </c>
      <c r="AP41">
        <v>1</v>
      </c>
      <c r="AQ41" s="23">
        <v>554.32652424555488</v>
      </c>
      <c r="AR41" s="23">
        <v>615.52734113907638</v>
      </c>
      <c r="AS41" s="23">
        <v>1751.6718166159535</v>
      </c>
      <c r="AT41" s="23">
        <v>1945.0663979994815</v>
      </c>
    </row>
    <row r="42" spans="2:51" x14ac:dyDescent="0.25">
      <c r="B42" s="102"/>
      <c r="C42" s="38" t="s">
        <v>131</v>
      </c>
      <c r="D42" s="70">
        <v>16033.689337998499</v>
      </c>
      <c r="E42" s="70">
        <v>28632.712952319602</v>
      </c>
      <c r="F42" s="70">
        <v>37942.330689885603</v>
      </c>
      <c r="G42" s="70">
        <v>44101.659027397603</v>
      </c>
      <c r="H42" s="70">
        <v>47243.930888472853</v>
      </c>
      <c r="I42" s="41">
        <v>47496.744472523162</v>
      </c>
      <c r="J42" s="70">
        <v>44982.301560093802</v>
      </c>
      <c r="P42" s="102"/>
      <c r="Q42" s="38" t="s">
        <v>134</v>
      </c>
      <c r="R42" s="43">
        <v>4</v>
      </c>
      <c r="S42" s="70">
        <v>18666.039334244098</v>
      </c>
      <c r="T42">
        <v>0.89710520243980096</v>
      </c>
      <c r="U42">
        <v>1</v>
      </c>
      <c r="W42" s="23">
        <f t="shared" si="19"/>
        <v>55008642.270862475</v>
      </c>
      <c r="X42" s="23">
        <f t="shared" si="20"/>
        <v>61317939.212991863</v>
      </c>
      <c r="Z42" s="23">
        <f t="shared" si="2"/>
        <v>24557.429585206461</v>
      </c>
      <c r="AA42" s="23">
        <f t="shared" si="2"/>
        <v>27374.08000579994</v>
      </c>
      <c r="AE42" s="102"/>
      <c r="AF42" s="38" t="s">
        <v>134</v>
      </c>
      <c r="AG42" s="41">
        <f t="shared" si="3"/>
        <v>4</v>
      </c>
      <c r="AH42" s="47">
        <f t="shared" si="18"/>
        <v>24557.429585206461</v>
      </c>
      <c r="AI42" s="47">
        <f t="shared" si="18"/>
        <v>27374.08000579994</v>
      </c>
      <c r="AJ42" s="47">
        <f t="shared" si="5"/>
        <v>77601.477489252415</v>
      </c>
      <c r="AK42" s="47">
        <f t="shared" si="5"/>
        <v>86502.092818327816</v>
      </c>
      <c r="AL42" s="1"/>
      <c r="AO42" t="s">
        <v>132</v>
      </c>
      <c r="AP42">
        <v>1</v>
      </c>
      <c r="AQ42" s="23">
        <v>315.39576371845124</v>
      </c>
      <c r="AR42" s="23">
        <v>347.60129055553773</v>
      </c>
      <c r="AS42" s="23">
        <v>996.650613350306</v>
      </c>
      <c r="AT42" s="23">
        <v>1098.4200781554994</v>
      </c>
    </row>
    <row r="43" spans="2:51" ht="15" customHeight="1" x14ac:dyDescent="0.25">
      <c r="B43" s="102"/>
      <c r="C43" s="38" t="s">
        <v>132</v>
      </c>
      <c r="D43" s="70">
        <v>16632.021574407001</v>
      </c>
      <c r="E43" s="70">
        <v>29493.556289889599</v>
      </c>
      <c r="F43" s="70">
        <v>38751.6805104339</v>
      </c>
      <c r="G43" s="70">
        <v>44566.067176422403</v>
      </c>
      <c r="H43" s="41">
        <v>47089.313862297502</v>
      </c>
      <c r="I43" s="70">
        <v>46467.256297453205</v>
      </c>
      <c r="J43" s="70">
        <v>42839.267994516071</v>
      </c>
      <c r="P43" s="102" t="s">
        <v>146</v>
      </c>
      <c r="Q43" s="38" t="s">
        <v>135</v>
      </c>
      <c r="R43" s="43">
        <v>4</v>
      </c>
      <c r="S43" s="70">
        <v>7644.1556342597496</v>
      </c>
      <c r="T43">
        <v>0.50348324702996095</v>
      </c>
      <c r="U43">
        <v>0.54629329253909098</v>
      </c>
      <c r="W43" s="23">
        <f>$S43*$T43*$P$2*$N$12</f>
        <v>8428662.4159914367</v>
      </c>
      <c r="X43" s="23">
        <f>$S43*$U43*$P$2*$N$12</f>
        <v>9145332.5807649959</v>
      </c>
      <c r="Z43" s="23">
        <f t="shared" si="2"/>
        <v>3762.7957214247485</v>
      </c>
      <c r="AA43" s="23">
        <f t="shared" si="2"/>
        <v>4082.7377592700873</v>
      </c>
      <c r="AE43" s="102" t="s">
        <v>146</v>
      </c>
      <c r="AF43" s="38" t="s">
        <v>135</v>
      </c>
      <c r="AG43" s="41">
        <f t="shared" si="3"/>
        <v>4</v>
      </c>
      <c r="AH43" s="47">
        <f t="shared" si="18"/>
        <v>3762.7957214247485</v>
      </c>
      <c r="AI43" s="47">
        <f t="shared" si="18"/>
        <v>4082.7377592700873</v>
      </c>
      <c r="AJ43" s="47">
        <f t="shared" si="5"/>
        <v>11890.434479702206</v>
      </c>
      <c r="AK43" s="47">
        <f t="shared" si="5"/>
        <v>12901.451319293476</v>
      </c>
      <c r="AL43" s="1"/>
      <c r="AN43" t="s">
        <v>146</v>
      </c>
      <c r="AO43" t="s">
        <v>133</v>
      </c>
      <c r="AP43">
        <v>1</v>
      </c>
      <c r="AQ43" s="23">
        <v>-360.54890251133577</v>
      </c>
      <c r="AR43" s="23">
        <v>-387.67721348100144</v>
      </c>
      <c r="AS43" s="23">
        <v>-1139.3345319358211</v>
      </c>
      <c r="AT43" s="23">
        <v>-1225.0599945999645</v>
      </c>
    </row>
    <row r="44" spans="2:51" x14ac:dyDescent="0.25">
      <c r="B44" s="102"/>
      <c r="C44" s="38" t="s">
        <v>133</v>
      </c>
      <c r="D44" s="70">
        <v>17310.975503774898</v>
      </c>
      <c r="E44" s="70">
        <v>30369.951540388</v>
      </c>
      <c r="F44" s="70">
        <v>39377.010409435505</v>
      </c>
      <c r="G44" s="70">
        <v>44522.819327818397</v>
      </c>
      <c r="H44" s="41">
        <v>45989.073466341652</v>
      </c>
      <c r="I44" s="70">
        <v>43948.918138765017</v>
      </c>
      <c r="J44" s="70">
        <v>38567.351124303685</v>
      </c>
      <c r="M44">
        <f>D53/D5</f>
        <v>2.2223760832109933</v>
      </c>
      <c r="P44" s="102"/>
      <c r="Q44" s="38" t="s">
        <v>131</v>
      </c>
      <c r="R44" s="43">
        <v>4</v>
      </c>
      <c r="S44" s="70">
        <v>8124.3740376901496</v>
      </c>
      <c r="T44">
        <v>0.61091126445657895</v>
      </c>
      <c r="U44">
        <v>0.67835936011659204</v>
      </c>
      <c r="W44" s="23">
        <f t="shared" ref="W44:W47" si="21">$S44*$T44*$P$2*$N$12</f>
        <v>10869564.839660846</v>
      </c>
      <c r="X44" s="23">
        <f t="shared" ref="X44:X47" si="22">$S44*$U44*$P$2*$N$12</f>
        <v>12069626.930086203</v>
      </c>
      <c r="Z44" s="23">
        <f t="shared" si="2"/>
        <v>4852.4843034200203</v>
      </c>
      <c r="AA44" s="23">
        <f t="shared" si="2"/>
        <v>5388.2263080741977</v>
      </c>
      <c r="AE44" s="102"/>
      <c r="AF44" s="38" t="s">
        <v>131</v>
      </c>
      <c r="AG44" s="41">
        <f t="shared" si="3"/>
        <v>4</v>
      </c>
      <c r="AH44" s="47">
        <f t="shared" si="18"/>
        <v>4852.4843034200203</v>
      </c>
      <c r="AI44" s="47">
        <f t="shared" si="18"/>
        <v>5388.2263080741977</v>
      </c>
      <c r="AJ44" s="47">
        <f t="shared" si="5"/>
        <v>15333.850398807264</v>
      </c>
      <c r="AK44" s="47">
        <f t="shared" si="5"/>
        <v>17026.795133514464</v>
      </c>
      <c r="AL44" s="1"/>
      <c r="AO44" t="s">
        <v>134</v>
      </c>
      <c r="AP44">
        <v>1</v>
      </c>
      <c r="AQ44" s="23">
        <v>-1772.7803366672899</v>
      </c>
      <c r="AR44" s="23">
        <v>-1976.1119786686893</v>
      </c>
      <c r="AS44" s="23">
        <v>-5601.9858638686364</v>
      </c>
      <c r="AT44" s="23">
        <v>-6244.5138525930588</v>
      </c>
    </row>
    <row r="45" spans="2:51" x14ac:dyDescent="0.25">
      <c r="B45" s="102"/>
      <c r="C45" s="38" t="s">
        <v>134</v>
      </c>
      <c r="D45" s="70">
        <v>18666.039334244098</v>
      </c>
      <c r="E45" s="70">
        <v>32114.520799876402</v>
      </c>
      <c r="F45" s="70">
        <v>40617.413632061398</v>
      </c>
      <c r="G45" s="41">
        <v>44432.5104594476</v>
      </c>
      <c r="H45" s="70">
        <v>43804.166270736394</v>
      </c>
      <c r="I45" s="70">
        <v>38963.998862044857</v>
      </c>
      <c r="J45" s="70">
        <v>30131.552772913132</v>
      </c>
      <c r="P45" s="102"/>
      <c r="Q45" s="38" t="s">
        <v>132</v>
      </c>
      <c r="R45" s="43">
        <v>3</v>
      </c>
      <c r="S45" s="70">
        <v>8323.5237615544902</v>
      </c>
      <c r="T45">
        <v>0.71717991336111298</v>
      </c>
      <c r="U45">
        <v>0.79041221259829997</v>
      </c>
      <c r="W45" s="23">
        <f t="shared" si="21"/>
        <v>13073126.269874085</v>
      </c>
      <c r="X45" s="23">
        <f t="shared" si="22"/>
        <v>14408042.484236732</v>
      </c>
      <c r="Z45" s="23">
        <f t="shared" si="2"/>
        <v>5836.217084765216</v>
      </c>
      <c r="AA45" s="23">
        <f t="shared" si="2"/>
        <v>6432.1618233199697</v>
      </c>
      <c r="AE45" s="102"/>
      <c r="AF45" s="38" t="s">
        <v>132</v>
      </c>
      <c r="AG45" s="41">
        <f t="shared" si="3"/>
        <v>3</v>
      </c>
      <c r="AH45" s="47">
        <f t="shared" si="18"/>
        <v>5836.217084765216</v>
      </c>
      <c r="AI45" s="47">
        <f t="shared" si="18"/>
        <v>6432.1618233199697</v>
      </c>
      <c r="AJ45" s="47">
        <f t="shared" si="5"/>
        <v>18442.445987858082</v>
      </c>
      <c r="AK45" s="47">
        <f t="shared" si="5"/>
        <v>20325.631361691107</v>
      </c>
      <c r="AL45" s="1"/>
      <c r="AO45" t="s">
        <v>157</v>
      </c>
    </row>
    <row r="46" spans="2:51" x14ac:dyDescent="0.25">
      <c r="B46" s="102" t="s">
        <v>146</v>
      </c>
      <c r="C46" s="38" t="s">
        <v>135</v>
      </c>
      <c r="D46" s="70">
        <v>7644.1556342597496</v>
      </c>
      <c r="E46" s="70">
        <v>12680.249351202619</v>
      </c>
      <c r="F46" s="70">
        <v>15204.397156538282</v>
      </c>
      <c r="G46" s="41">
        <v>15309.172852286119</v>
      </c>
      <c r="H46" s="70">
        <v>13083.73857909855</v>
      </c>
      <c r="I46" s="70">
        <v>8613.9705476570998</v>
      </c>
      <c r="J46" s="70">
        <v>1982.580136435374</v>
      </c>
      <c r="P46" s="102"/>
      <c r="Q46" s="38" t="s">
        <v>133</v>
      </c>
      <c r="R46" s="43">
        <v>3</v>
      </c>
      <c r="S46" s="70">
        <v>8364.8294243261007</v>
      </c>
      <c r="T46">
        <v>0.82132251370564202</v>
      </c>
      <c r="U46">
        <v>0.88312021272233399</v>
      </c>
      <c r="W46" s="23">
        <f t="shared" si="21"/>
        <v>15045787.777619086</v>
      </c>
      <c r="X46" s="23">
        <f t="shared" si="22"/>
        <v>16177858.369907223</v>
      </c>
      <c r="Z46" s="23">
        <f t="shared" si="2"/>
        <v>6716.8695435799491</v>
      </c>
      <c r="AA46" s="23">
        <f t="shared" si="2"/>
        <v>7222.2582008514391</v>
      </c>
      <c r="AE46" s="102"/>
      <c r="AF46" s="38" t="s">
        <v>133</v>
      </c>
      <c r="AG46" s="41">
        <f t="shared" si="3"/>
        <v>3</v>
      </c>
      <c r="AH46" s="47">
        <f t="shared" si="18"/>
        <v>6716.8695435799491</v>
      </c>
      <c r="AI46" s="47">
        <f t="shared" si="18"/>
        <v>7222.2582008514391</v>
      </c>
      <c r="AJ46" s="47">
        <f t="shared" si="5"/>
        <v>21225.307757712639</v>
      </c>
      <c r="AK46" s="47">
        <f t="shared" si="5"/>
        <v>22822.33591469055</v>
      </c>
      <c r="AL46" s="1"/>
      <c r="AO46" t="s">
        <v>135</v>
      </c>
      <c r="AP46">
        <v>2</v>
      </c>
      <c r="AQ46" s="23">
        <v>2893.3059217542541</v>
      </c>
      <c r="AR46" s="23">
        <v>3139.3172019960457</v>
      </c>
      <c r="AS46" s="23">
        <v>9142.8467127434433</v>
      </c>
      <c r="AT46" s="23">
        <v>9920.2423583075051</v>
      </c>
    </row>
    <row r="47" spans="2:51" x14ac:dyDescent="0.25">
      <c r="B47" s="102"/>
      <c r="C47" s="38" t="s">
        <v>131</v>
      </c>
      <c r="D47" s="70">
        <v>8124.3740376901496</v>
      </c>
      <c r="E47" s="70">
        <v>13450.51098548186</v>
      </c>
      <c r="F47" s="70">
        <v>16085.2291358127</v>
      </c>
      <c r="G47" s="41">
        <v>16131.269161092279</v>
      </c>
      <c r="H47" s="70">
        <v>13687.4497704227</v>
      </c>
      <c r="I47" s="70">
        <v>8848.8174243701997</v>
      </c>
      <c r="J47" s="70">
        <v>1706.790334608989</v>
      </c>
      <c r="P47" s="102"/>
      <c r="Q47" s="38" t="s">
        <v>134</v>
      </c>
      <c r="R47" s="43">
        <v>3</v>
      </c>
      <c r="S47" s="70">
        <v>8693.9349939392396</v>
      </c>
      <c r="T47">
        <v>0.89710520243980096</v>
      </c>
      <c r="U47">
        <v>1</v>
      </c>
      <c r="W47" s="23">
        <f t="shared" si="21"/>
        <v>17080629.744892567</v>
      </c>
      <c r="X47" s="23">
        <f t="shared" si="22"/>
        <v>19039717.636726934</v>
      </c>
      <c r="Z47" s="23">
        <f t="shared" si="2"/>
        <v>7625.2811361127533</v>
      </c>
      <c r="AA47" s="23">
        <f t="shared" si="2"/>
        <v>8499.8739449673812</v>
      </c>
      <c r="AE47" s="102"/>
      <c r="AF47" s="38" t="s">
        <v>134</v>
      </c>
      <c r="AG47" s="41">
        <f t="shared" si="3"/>
        <v>3</v>
      </c>
      <c r="AH47" s="47">
        <f t="shared" si="18"/>
        <v>7625.2811361127533</v>
      </c>
      <c r="AI47" s="47">
        <f t="shared" si="18"/>
        <v>8499.8739449673812</v>
      </c>
      <c r="AJ47" s="47">
        <f t="shared" si="5"/>
        <v>24095.888390116303</v>
      </c>
      <c r="AK47" s="47">
        <f t="shared" si="5"/>
        <v>26859.601666096925</v>
      </c>
      <c r="AL47" s="1"/>
      <c r="AO47" t="s">
        <v>131</v>
      </c>
      <c r="AP47">
        <v>2</v>
      </c>
      <c r="AQ47" s="23">
        <v>3669.5304128095395</v>
      </c>
      <c r="AR47" s="23">
        <v>4074.6675459915</v>
      </c>
      <c r="AS47" s="23">
        <v>11595.716104478146</v>
      </c>
      <c r="AT47" s="23">
        <v>12875.949445333141</v>
      </c>
    </row>
    <row r="48" spans="2:51" ht="15" customHeight="1" x14ac:dyDescent="0.25">
      <c r="B48" s="102"/>
      <c r="C48" s="38" t="s">
        <v>132</v>
      </c>
      <c r="D48" s="70">
        <v>8323.5237615544902</v>
      </c>
      <c r="E48" s="70">
        <v>13576.9379212288</v>
      </c>
      <c r="F48" s="41">
        <v>15883.000446163678</v>
      </c>
      <c r="G48" s="70">
        <v>15359.56084079056</v>
      </c>
      <c r="H48" s="70">
        <v>12119.75641112755</v>
      </c>
      <c r="I48" s="70">
        <v>6272.2006814735396</v>
      </c>
      <c r="J48" s="70">
        <v>-2078.835722718356</v>
      </c>
      <c r="P48" s="44" t="s">
        <v>142</v>
      </c>
      <c r="Q48" s="38">
        <v>5</v>
      </c>
      <c r="R48" s="44"/>
      <c r="Z48" s="23"/>
      <c r="AA48" s="23"/>
      <c r="AE48" s="105" t="s">
        <v>160</v>
      </c>
      <c r="AF48" s="106"/>
      <c r="AG48" s="41"/>
      <c r="AH48" s="47"/>
      <c r="AI48" s="47"/>
      <c r="AJ48" s="47"/>
      <c r="AK48" s="47"/>
      <c r="AL48" s="1"/>
      <c r="AO48" t="s">
        <v>132</v>
      </c>
      <c r="AP48">
        <v>1</v>
      </c>
      <c r="AQ48" s="23">
        <v>3956.1786901867731</v>
      </c>
      <c r="AR48" s="23">
        <v>4360.1499340518549</v>
      </c>
      <c r="AS48" s="23">
        <v>12501.524660990204</v>
      </c>
      <c r="AT48" s="23">
        <v>13778.073791603862</v>
      </c>
    </row>
    <row r="49" spans="2:46" ht="15" customHeight="1" x14ac:dyDescent="0.25">
      <c r="B49" s="102"/>
      <c r="C49" s="38" t="s">
        <v>133</v>
      </c>
      <c r="D49" s="70">
        <v>8364.8294243261007</v>
      </c>
      <c r="E49" s="70">
        <v>13277.92170401086</v>
      </c>
      <c r="F49" s="41">
        <v>14885.621014553431</v>
      </c>
      <c r="G49" s="70">
        <v>13328.066940311001</v>
      </c>
      <c r="H49" s="70">
        <v>8739.4575321289503</v>
      </c>
      <c r="I49" s="70">
        <v>1248.3012120411181</v>
      </c>
      <c r="J49" s="70">
        <v>-9022.3420020931408</v>
      </c>
      <c r="P49" s="102" t="s">
        <v>145</v>
      </c>
      <c r="Q49" s="38" t="s">
        <v>135</v>
      </c>
      <c r="R49" s="43">
        <v>7</v>
      </c>
      <c r="S49" s="70">
        <v>15945.6909935653</v>
      </c>
      <c r="T49">
        <v>0.50348324702996095</v>
      </c>
      <c r="U49">
        <v>0.54629329253909098</v>
      </c>
      <c r="W49" s="23">
        <f>$T49*$S49*$P$2*$N$11</f>
        <v>26373255.491839331</v>
      </c>
      <c r="X49" s="23">
        <f>$U49*$S49*$P$2*$N$11</f>
        <v>28615713.953942578</v>
      </c>
      <c r="Z49" s="23">
        <f t="shared" si="2"/>
        <v>11773.774773142559</v>
      </c>
      <c r="AA49" s="23">
        <f t="shared" si="2"/>
        <v>12774.872300867222</v>
      </c>
      <c r="AE49" s="102" t="s">
        <v>145</v>
      </c>
      <c r="AF49" s="38" t="s">
        <v>135</v>
      </c>
      <c r="AG49" s="41">
        <f t="shared" si="3"/>
        <v>7</v>
      </c>
      <c r="AH49" s="47">
        <f t="shared" ref="AH49:AI58" si="23">Z49</f>
        <v>11773.774773142559</v>
      </c>
      <c r="AI49" s="47">
        <f t="shared" si="23"/>
        <v>12774.872300867222</v>
      </c>
      <c r="AJ49" s="47">
        <f t="shared" si="5"/>
        <v>37205.128283130485</v>
      </c>
      <c r="AK49" s="47">
        <f t="shared" si="5"/>
        <v>40368.596470740427</v>
      </c>
      <c r="AL49" s="1"/>
      <c r="AN49" t="s">
        <v>145</v>
      </c>
      <c r="AO49" t="s">
        <v>133</v>
      </c>
      <c r="AP49">
        <v>1</v>
      </c>
      <c r="AQ49" s="23">
        <v>4291.3995054397446</v>
      </c>
      <c r="AR49" s="23">
        <v>4614.2916830826334</v>
      </c>
      <c r="AS49" s="23">
        <v>13560.822437189594</v>
      </c>
      <c r="AT49" s="23">
        <v>14581.161718541121</v>
      </c>
    </row>
    <row r="50" spans="2:46" x14ac:dyDescent="0.25">
      <c r="B50" s="102"/>
      <c r="C50" s="38" t="s">
        <v>134</v>
      </c>
      <c r="D50" s="70">
        <v>8693.9349939392396</v>
      </c>
      <c r="E50" s="70">
        <v>13158.13352590752</v>
      </c>
      <c r="F50" s="41">
        <v>13591.108540609228</v>
      </c>
      <c r="G50" s="70">
        <v>10182.0562346324</v>
      </c>
      <c r="H50" s="70">
        <v>3111.2933165764098</v>
      </c>
      <c r="I50" s="70">
        <v>-7449.3262546197602</v>
      </c>
      <c r="J50" s="70">
        <v>-21336.014090000121</v>
      </c>
      <c r="P50" s="102"/>
      <c r="Q50" s="38" t="s">
        <v>131</v>
      </c>
      <c r="R50" s="43">
        <v>7</v>
      </c>
      <c r="S50" s="70">
        <v>16584.471468727999</v>
      </c>
      <c r="T50">
        <v>0.61091126445657895</v>
      </c>
      <c r="U50">
        <v>0.67835936011659204</v>
      </c>
      <c r="W50" s="23">
        <f t="shared" ref="W50:W53" si="24">$T50*$S50*$P$2*$N$11</f>
        <v>33282438.829975866</v>
      </c>
      <c r="X50" s="23">
        <f t="shared" ref="X50:X53" si="25">$U50*$S50*$P$2*$N$11</f>
        <v>36957010.324413098</v>
      </c>
      <c r="Z50" s="23">
        <f t="shared" si="2"/>
        <v>14858.231620524941</v>
      </c>
      <c r="AA50" s="23">
        <f t="shared" si="2"/>
        <v>16498.665323398705</v>
      </c>
      <c r="AE50" s="102"/>
      <c r="AF50" s="38" t="s">
        <v>131</v>
      </c>
      <c r="AG50" s="41">
        <f t="shared" si="3"/>
        <v>7</v>
      </c>
      <c r="AH50" s="47">
        <f t="shared" si="23"/>
        <v>14858.231620524941</v>
      </c>
      <c r="AI50" s="47">
        <f t="shared" si="23"/>
        <v>16498.665323398705</v>
      </c>
      <c r="AJ50" s="47">
        <f t="shared" si="5"/>
        <v>46952.011920858815</v>
      </c>
      <c r="AK50" s="47">
        <f t="shared" si="5"/>
        <v>52135.782421939912</v>
      </c>
      <c r="AL50" s="1"/>
      <c r="AO50" t="s">
        <v>134</v>
      </c>
      <c r="AP50">
        <v>1</v>
      </c>
      <c r="AQ50" s="23">
        <v>4365.1019844347738</v>
      </c>
      <c r="AR50" s="23">
        <v>4865.763761667281</v>
      </c>
      <c r="AS50" s="23">
        <v>13793.722270813885</v>
      </c>
      <c r="AT50" s="23">
        <v>15375.813486868608</v>
      </c>
    </row>
    <row r="51" spans="2:46" x14ac:dyDescent="0.25">
      <c r="B51" s="107" t="s">
        <v>142</v>
      </c>
      <c r="C51" s="107"/>
      <c r="D51" s="107"/>
      <c r="E51" s="107"/>
      <c r="F51" s="38">
        <v>5</v>
      </c>
      <c r="G51" s="38"/>
      <c r="H51" s="38"/>
      <c r="I51" s="38"/>
      <c r="J51" s="38"/>
      <c r="P51" s="102"/>
      <c r="Q51" s="38" t="s">
        <v>132</v>
      </c>
      <c r="R51" s="43">
        <v>7</v>
      </c>
      <c r="S51" s="70">
        <v>17243.245416544101</v>
      </c>
      <c r="T51">
        <v>0.71717991336111298</v>
      </c>
      <c r="U51">
        <v>0.79041221259829997</v>
      </c>
      <c r="W51" s="23">
        <f t="shared" si="24"/>
        <v>40623982.899066456</v>
      </c>
      <c r="X51" s="23">
        <f t="shared" si="25"/>
        <v>44772157.738387197</v>
      </c>
      <c r="Z51" s="23">
        <f t="shared" si="2"/>
        <v>18135.706651368953</v>
      </c>
      <c r="AA51" s="23">
        <f t="shared" si="2"/>
        <v>19987.570418922856</v>
      </c>
      <c r="AE51" s="102"/>
      <c r="AF51" s="38" t="s">
        <v>132</v>
      </c>
      <c r="AG51" s="41">
        <f t="shared" si="3"/>
        <v>7</v>
      </c>
      <c r="AH51" s="47">
        <f t="shared" si="23"/>
        <v>18135.706651368953</v>
      </c>
      <c r="AI51" s="47">
        <f t="shared" si="23"/>
        <v>19987.570418922856</v>
      </c>
      <c r="AJ51" s="47">
        <f t="shared" si="5"/>
        <v>57308.833018325895</v>
      </c>
      <c r="AK51" s="47">
        <f t="shared" si="5"/>
        <v>63160.722523796227</v>
      </c>
      <c r="AL51" s="1"/>
      <c r="AO51" t="s">
        <v>158</v>
      </c>
    </row>
    <row r="52" spans="2:46" x14ac:dyDescent="0.25">
      <c r="B52" s="107" t="s">
        <v>143</v>
      </c>
      <c r="C52" s="107"/>
      <c r="D52" s="38">
        <v>1</v>
      </c>
      <c r="E52" s="38">
        <v>2</v>
      </c>
      <c r="F52" s="38">
        <v>3</v>
      </c>
      <c r="G52" s="38">
        <v>4</v>
      </c>
      <c r="H52" s="38">
        <v>5</v>
      </c>
      <c r="I52" s="38">
        <v>6</v>
      </c>
      <c r="J52" s="38">
        <v>7</v>
      </c>
      <c r="K52" s="38">
        <v>8</v>
      </c>
      <c r="P52" s="102"/>
      <c r="Q52" s="38" t="s">
        <v>133</v>
      </c>
      <c r="R52" s="43">
        <v>6</v>
      </c>
      <c r="S52" s="70">
        <v>18007.8856028921</v>
      </c>
      <c r="T52">
        <v>0.82132251370564202</v>
      </c>
      <c r="U52">
        <v>0.88312021272233399</v>
      </c>
      <c r="W52" s="23">
        <f t="shared" si="24"/>
        <v>48586075.942591868</v>
      </c>
      <c r="X52" s="23">
        <f t="shared" si="25"/>
        <v>52241774.705743663</v>
      </c>
      <c r="Z52" s="23">
        <f t="shared" si="2"/>
        <v>21690.212474371368</v>
      </c>
      <c r="AA52" s="23">
        <f t="shared" si="2"/>
        <v>23322.22085077842</v>
      </c>
      <c r="AE52" s="102"/>
      <c r="AF52" s="38" t="s">
        <v>133</v>
      </c>
      <c r="AG52" s="41">
        <f t="shared" si="3"/>
        <v>6</v>
      </c>
      <c r="AH52" s="47">
        <f t="shared" si="23"/>
        <v>21690.212474371368</v>
      </c>
      <c r="AI52" s="47">
        <f t="shared" si="23"/>
        <v>23322.22085077842</v>
      </c>
      <c r="AJ52" s="47">
        <f t="shared" si="5"/>
        <v>68541.071419013533</v>
      </c>
      <c r="AK52" s="47">
        <f t="shared" si="5"/>
        <v>73698.217888459811</v>
      </c>
      <c r="AL52" s="1"/>
      <c r="AO52" t="s">
        <v>135</v>
      </c>
      <c r="AP52">
        <v>3</v>
      </c>
      <c r="AQ52" s="23">
        <v>5268.1175752524205</v>
      </c>
      <c r="AR52" s="23">
        <v>5716.0537369308704</v>
      </c>
      <c r="AS52" s="23">
        <v>16647.251537797649</v>
      </c>
      <c r="AT52" s="23">
        <v>18062.729808701552</v>
      </c>
    </row>
    <row r="53" spans="2:46" x14ac:dyDescent="0.25">
      <c r="B53" s="102" t="s">
        <v>145</v>
      </c>
      <c r="C53" s="38" t="s">
        <v>135</v>
      </c>
      <c r="D53" s="70">
        <v>15945.6909935653</v>
      </c>
      <c r="E53" s="70">
        <v>29286.717727678599</v>
      </c>
      <c r="F53" s="70">
        <v>40108.881032087098</v>
      </c>
      <c r="G53" s="70">
        <v>48495.155352153597</v>
      </c>
      <c r="H53" s="70">
        <v>54525.781853419503</v>
      </c>
      <c r="I53" s="70">
        <v>58278.358459192379</v>
      </c>
      <c r="J53" s="41">
        <v>59827.926922174738</v>
      </c>
      <c r="K53" s="70">
        <v>59247.057027860559</v>
      </c>
      <c r="M53">
        <f>H57/I53</f>
        <v>0.97760424317136874</v>
      </c>
      <c r="P53" s="102"/>
      <c r="Q53" s="38" t="s">
        <v>134</v>
      </c>
      <c r="R53" s="43">
        <v>6</v>
      </c>
      <c r="S53" s="70">
        <v>19539.138874963301</v>
      </c>
      <c r="T53">
        <v>0.89710520243980096</v>
      </c>
      <c r="U53">
        <v>1</v>
      </c>
      <c r="W53" s="23">
        <f t="shared" si="24"/>
        <v>57581658.40150816</v>
      </c>
      <c r="X53" s="23">
        <f t="shared" si="25"/>
        <v>64186071.204254441</v>
      </c>
      <c r="Z53" s="23">
        <f t="shared" si="2"/>
        <v>25706.097500673284</v>
      </c>
      <c r="AA53" s="23">
        <f t="shared" si="2"/>
        <v>28654.496073327875</v>
      </c>
      <c r="AE53" s="102"/>
      <c r="AF53" s="38" t="s">
        <v>134</v>
      </c>
      <c r="AG53" s="41">
        <f t="shared" si="3"/>
        <v>6</v>
      </c>
      <c r="AH53" s="47">
        <f t="shared" si="23"/>
        <v>25706.097500673284</v>
      </c>
      <c r="AI53" s="47">
        <f t="shared" si="23"/>
        <v>28654.496073327875</v>
      </c>
      <c r="AJ53" s="47">
        <f t="shared" si="5"/>
        <v>81231.268102127578</v>
      </c>
      <c r="AK53" s="47">
        <f t="shared" si="5"/>
        <v>90548.207591716084</v>
      </c>
      <c r="AL53" s="1"/>
      <c r="AO53" t="s">
        <v>131</v>
      </c>
      <c r="AP53">
        <v>3</v>
      </c>
      <c r="AQ53" s="23">
        <v>6717.1944296319143</v>
      </c>
      <c r="AR53" s="23">
        <v>7458.8110911936074</v>
      </c>
      <c r="AS53" s="23">
        <v>21226.334397636849</v>
      </c>
      <c r="AT53" s="23">
        <v>23569.843048171799</v>
      </c>
    </row>
    <row r="54" spans="2:46" ht="15" customHeight="1" x14ac:dyDescent="0.25">
      <c r="B54" s="102"/>
      <c r="C54" s="38" t="s">
        <v>131</v>
      </c>
      <c r="D54" s="70">
        <v>16584.471468727999</v>
      </c>
      <c r="E54" s="70">
        <v>30383.813843907999</v>
      </c>
      <c r="F54" s="70">
        <v>41492.897771254502</v>
      </c>
      <c r="G54" s="70">
        <v>50003.362290650803</v>
      </c>
      <c r="H54" s="70">
        <v>56003.724915257997</v>
      </c>
      <c r="I54" s="70">
        <v>59579.487960973027</v>
      </c>
      <c r="J54" s="41">
        <v>60813.241253946435</v>
      </c>
      <c r="K54" s="70">
        <v>59784.761339555756</v>
      </c>
      <c r="P54" s="102" t="s">
        <v>146</v>
      </c>
      <c r="Q54" s="38" t="s">
        <v>135</v>
      </c>
      <c r="R54" s="43">
        <v>4</v>
      </c>
      <c r="S54" s="70">
        <v>8031.02240033617</v>
      </c>
      <c r="T54">
        <v>0.50348324702996095</v>
      </c>
      <c r="U54">
        <v>0.54629329253909098</v>
      </c>
      <c r="W54" s="23">
        <f>$S54*$T54*$P$2*$N$12</f>
        <v>8855232.6648506168</v>
      </c>
      <c r="X54" s="23">
        <f>$S54*$U54*$P$2*$N$12</f>
        <v>9608173.1362813003</v>
      </c>
      <c r="Z54" s="23">
        <f t="shared" si="2"/>
        <v>3953.2288682368826</v>
      </c>
      <c r="AA54" s="23">
        <f t="shared" si="2"/>
        <v>4289.3630072684373</v>
      </c>
      <c r="AE54" s="102" t="s">
        <v>146</v>
      </c>
      <c r="AF54" s="38" t="s">
        <v>135</v>
      </c>
      <c r="AG54" s="41">
        <f t="shared" si="3"/>
        <v>4</v>
      </c>
      <c r="AH54" s="47">
        <f t="shared" si="23"/>
        <v>3953.2288682368826</v>
      </c>
      <c r="AI54" s="47">
        <f t="shared" si="23"/>
        <v>4289.3630072684373</v>
      </c>
      <c r="AJ54" s="47">
        <f t="shared" si="5"/>
        <v>12492.20322362855</v>
      </c>
      <c r="AK54" s="47">
        <f t="shared" si="5"/>
        <v>13554.387102968263</v>
      </c>
      <c r="AL54" s="1"/>
      <c r="AN54" t="s">
        <v>146</v>
      </c>
      <c r="AO54" t="s">
        <v>132</v>
      </c>
      <c r="AP54">
        <v>2</v>
      </c>
      <c r="AQ54" s="23">
        <v>7650.4296561596984</v>
      </c>
      <c r="AR54" s="23">
        <v>8431.6263174650139</v>
      </c>
      <c r="AS54" s="23">
        <v>24175.357713464648</v>
      </c>
      <c r="AT54" s="23">
        <v>26643.939163189447</v>
      </c>
    </row>
    <row r="55" spans="2:46" x14ac:dyDescent="0.25">
      <c r="B55" s="102"/>
      <c r="C55" s="38" t="s">
        <v>132</v>
      </c>
      <c r="D55" s="70">
        <v>17243.245416544101</v>
      </c>
      <c r="E55" s="70">
        <v>31426.610797999001</v>
      </c>
      <c r="F55" s="70">
        <v>42659.3458968009</v>
      </c>
      <c r="G55" s="70">
        <v>51046.799819522399</v>
      </c>
      <c r="H55" s="70">
        <v>56690.560295269497</v>
      </c>
      <c r="I55" s="70">
        <v>59688.587971651199</v>
      </c>
      <c r="J55" s="41">
        <v>60135.345915857659</v>
      </c>
      <c r="K55" s="70">
        <v>58121.924492034239</v>
      </c>
      <c r="P55" s="102"/>
      <c r="Q55" s="38" t="s">
        <v>131</v>
      </c>
      <c r="R55" s="43">
        <v>4</v>
      </c>
      <c r="S55" s="70">
        <v>8547.1112486307793</v>
      </c>
      <c r="T55">
        <v>0.61091126445657895</v>
      </c>
      <c r="U55">
        <v>0.67835936011659204</v>
      </c>
      <c r="W55" s="23">
        <f t="shared" ref="W55:W58" si="26">$S55*$T55*$P$2*$N$12</f>
        <v>11435143.123371053</v>
      </c>
      <c r="X55" s="23">
        <f t="shared" ref="X55:X58" si="27">$S55*$U55*$P$2*$N$12</f>
        <v>12697648.289251637</v>
      </c>
      <c r="Z55" s="23">
        <f t="shared" si="2"/>
        <v>5104.9746086477917</v>
      </c>
      <c r="AA55" s="23">
        <f t="shared" si="2"/>
        <v>5668.5929862730518</v>
      </c>
      <c r="AE55" s="102"/>
      <c r="AF55" s="38" t="s">
        <v>131</v>
      </c>
      <c r="AG55" s="41">
        <f t="shared" si="3"/>
        <v>4</v>
      </c>
      <c r="AH55" s="47">
        <f t="shared" si="23"/>
        <v>5104.9746086477917</v>
      </c>
      <c r="AI55" s="47">
        <f t="shared" si="23"/>
        <v>5668.5929862730518</v>
      </c>
      <c r="AJ55" s="47">
        <f t="shared" si="5"/>
        <v>16131.719763327023</v>
      </c>
      <c r="AK55" s="47">
        <f t="shared" si="5"/>
        <v>17912.753836622844</v>
      </c>
      <c r="AL55" s="1"/>
      <c r="AO55" t="s">
        <v>133</v>
      </c>
      <c r="AP55">
        <v>2</v>
      </c>
      <c r="AQ55" s="23">
        <v>8251.2932936369107</v>
      </c>
      <c r="AR55" s="23">
        <v>8872.1345964742159</v>
      </c>
      <c r="AS55" s="23">
        <v>26074.08680789264</v>
      </c>
      <c r="AT55" s="23">
        <v>28035.945324858523</v>
      </c>
    </row>
    <row r="56" spans="2:46" x14ac:dyDescent="0.25">
      <c r="B56" s="102"/>
      <c r="C56" s="38" t="s">
        <v>133</v>
      </c>
      <c r="D56" s="70">
        <v>18007.8856028921</v>
      </c>
      <c r="E56" s="70">
        <v>32561.499153920198</v>
      </c>
      <c r="F56" s="70">
        <v>43791.879079664999</v>
      </c>
      <c r="G56" s="70">
        <v>51825.092840614801</v>
      </c>
      <c r="H56" s="70">
        <v>56782.4255056525</v>
      </c>
      <c r="I56" s="41">
        <v>58780.561172933398</v>
      </c>
      <c r="J56" s="70">
        <v>57931.757508530434</v>
      </c>
      <c r="K56" s="70">
        <v>54344.013663927923</v>
      </c>
      <c r="P56" s="102"/>
      <c r="Q56" s="38" t="s">
        <v>132</v>
      </c>
      <c r="R56" s="43">
        <v>4</v>
      </c>
      <c r="S56" s="70">
        <v>8793.7252422640304</v>
      </c>
      <c r="T56">
        <v>0.71717991336111298</v>
      </c>
      <c r="U56">
        <v>0.79041221259829997</v>
      </c>
      <c r="W56" s="23">
        <f t="shared" si="26"/>
        <v>13811636.005136685</v>
      </c>
      <c r="X56" s="23">
        <f t="shared" si="27"/>
        <v>15221962.538325559</v>
      </c>
      <c r="Z56" s="23">
        <f t="shared" si="2"/>
        <v>6165.9089308645916</v>
      </c>
      <c r="AA56" s="23">
        <f t="shared" si="2"/>
        <v>6795.5189903239107</v>
      </c>
      <c r="AE56" s="102"/>
      <c r="AF56" s="38" t="s">
        <v>132</v>
      </c>
      <c r="AG56" s="41">
        <f t="shared" si="3"/>
        <v>4</v>
      </c>
      <c r="AH56" s="47">
        <f t="shared" si="23"/>
        <v>6165.9089308645916</v>
      </c>
      <c r="AI56" s="47">
        <f t="shared" si="23"/>
        <v>6795.5189903239107</v>
      </c>
      <c r="AJ56" s="47">
        <f t="shared" si="5"/>
        <v>19484.272221532112</v>
      </c>
      <c r="AK56" s="47">
        <f t="shared" si="5"/>
        <v>21473.840009423559</v>
      </c>
      <c r="AL56" s="1"/>
      <c r="AO56" t="s">
        <v>134</v>
      </c>
      <c r="AP56">
        <v>2</v>
      </c>
      <c r="AQ56" s="23">
        <v>8302.7221479479886</v>
      </c>
      <c r="AR56" s="23">
        <v>9255.0150476974104</v>
      </c>
      <c r="AS56" s="23">
        <v>26236.601987515645</v>
      </c>
      <c r="AT56" s="23">
        <v>29245.847550723818</v>
      </c>
    </row>
    <row r="57" spans="2:46" x14ac:dyDescent="0.25">
      <c r="B57" s="102"/>
      <c r="C57" s="38" t="s">
        <v>134</v>
      </c>
      <c r="D57" s="70">
        <v>19539.138874963301</v>
      </c>
      <c r="E57" s="70">
        <v>34831.096292468799</v>
      </c>
      <c r="F57" s="70">
        <v>46054.527215784896</v>
      </c>
      <c r="G57" s="70">
        <v>53380.571601764401</v>
      </c>
      <c r="H57" s="70">
        <v>56973.170514768499</v>
      </c>
      <c r="I57" s="41">
        <v>56989.368943461122</v>
      </c>
      <c r="J57" s="70">
        <v>53579.60587980882</v>
      </c>
      <c r="K57" s="70">
        <v>46887.992196092877</v>
      </c>
      <c r="P57" s="102"/>
      <c r="Q57" s="38" t="s">
        <v>133</v>
      </c>
      <c r="R57" s="43">
        <v>4</v>
      </c>
      <c r="S57" s="70">
        <v>8900.4207102498895</v>
      </c>
      <c r="T57">
        <v>0.82132251370564202</v>
      </c>
      <c r="U57">
        <v>0.88312021272233399</v>
      </c>
      <c r="W57" s="23">
        <f t="shared" si="26"/>
        <v>16009153.844608627</v>
      </c>
      <c r="X57" s="23">
        <f t="shared" si="27"/>
        <v>17213709.733789586</v>
      </c>
      <c r="Z57" s="23">
        <f t="shared" si="2"/>
        <v>7146.9436806288513</v>
      </c>
      <c r="AA57" s="23">
        <f t="shared" si="2"/>
        <v>7684.6918454417792</v>
      </c>
      <c r="AE57" s="102"/>
      <c r="AF57" s="38" t="s">
        <v>133</v>
      </c>
      <c r="AG57" s="41">
        <f t="shared" si="3"/>
        <v>4</v>
      </c>
      <c r="AH57" s="47">
        <f t="shared" si="23"/>
        <v>7146.9436806288513</v>
      </c>
      <c r="AI57" s="47">
        <f t="shared" si="23"/>
        <v>7684.6918454417792</v>
      </c>
      <c r="AJ57" s="47">
        <f t="shared" si="5"/>
        <v>22584.342030787171</v>
      </c>
      <c r="AK57" s="47">
        <f t="shared" si="5"/>
        <v>24283.626231596023</v>
      </c>
      <c r="AL57" s="1"/>
      <c r="AO57" t="s">
        <v>159</v>
      </c>
    </row>
    <row r="58" spans="2:46" x14ac:dyDescent="0.25">
      <c r="B58" s="102" t="s">
        <v>146</v>
      </c>
      <c r="C58" s="38" t="s">
        <v>135</v>
      </c>
      <c r="D58" s="70">
        <v>8031.02240033617</v>
      </c>
      <c r="E58" s="70">
        <v>13952.7211322643</v>
      </c>
      <c r="F58" s="70">
        <v>17827.624795104599</v>
      </c>
      <c r="G58" s="41">
        <v>19716.408396055402</v>
      </c>
      <c r="H58" s="70">
        <v>19677.948297910902</v>
      </c>
      <c r="I58" s="70">
        <v>17769.375537911521</v>
      </c>
      <c r="J58" s="70">
        <v>14046.12756601579</v>
      </c>
      <c r="K58" s="70">
        <v>8561.9984494517594</v>
      </c>
      <c r="P58" s="102"/>
      <c r="Q58" s="38" t="s">
        <v>134</v>
      </c>
      <c r="R58" s="43">
        <v>3</v>
      </c>
      <c r="S58" s="70">
        <v>9367.5354524127906</v>
      </c>
      <c r="T58">
        <v>0.89710520243980096</v>
      </c>
      <c r="U58">
        <v>1</v>
      </c>
      <c r="W58" s="23">
        <f t="shared" si="26"/>
        <v>18404025.886593349</v>
      </c>
      <c r="X58" s="23">
        <f t="shared" si="27"/>
        <v>20514902.64078401</v>
      </c>
      <c r="Z58" s="23">
        <f t="shared" si="2"/>
        <v>8216.0829850863174</v>
      </c>
      <c r="AA58" s="23">
        <f t="shared" si="2"/>
        <v>9158.4386789214332</v>
      </c>
      <c r="AE58" s="102"/>
      <c r="AF58" s="38" t="s">
        <v>134</v>
      </c>
      <c r="AG58" s="41">
        <f t="shared" si="3"/>
        <v>3</v>
      </c>
      <c r="AH58" s="47">
        <f t="shared" si="23"/>
        <v>8216.0829850863174</v>
      </c>
      <c r="AI58" s="47">
        <f t="shared" si="23"/>
        <v>9158.4386789214332</v>
      </c>
      <c r="AJ58" s="47">
        <f t="shared" si="5"/>
        <v>25962.822232872764</v>
      </c>
      <c r="AK58" s="47">
        <f t="shared" si="5"/>
        <v>28940.666225391731</v>
      </c>
      <c r="AL58" s="1"/>
      <c r="AO58" t="s">
        <v>135</v>
      </c>
      <c r="AP58">
        <v>4</v>
      </c>
      <c r="AQ58" s="23">
        <v>7535.8588689697044</v>
      </c>
      <c r="AR58" s="23">
        <v>8176.6159607578566</v>
      </c>
      <c r="AS58" s="23">
        <v>23813.314025944266</v>
      </c>
      <c r="AT58" s="23">
        <v>25838.106435994829</v>
      </c>
    </row>
    <row r="59" spans="2:46" x14ac:dyDescent="0.25">
      <c r="B59" s="102"/>
      <c r="C59" s="38" t="s">
        <v>131</v>
      </c>
      <c r="D59" s="70">
        <v>8547.1112486307793</v>
      </c>
      <c r="E59" s="70">
        <v>14829.738651416739</v>
      </c>
      <c r="F59" s="70">
        <v>18917.43550222776</v>
      </c>
      <c r="G59" s="41">
        <v>20877.618775570081</v>
      </c>
      <c r="H59" s="70">
        <v>20775.63474332845</v>
      </c>
      <c r="I59" s="70">
        <v>18674.8225760934</v>
      </c>
      <c r="J59" s="70">
        <v>14636.575990993319</v>
      </c>
      <c r="K59" s="70">
        <v>8720.4030060094392</v>
      </c>
      <c r="AO59" t="s">
        <v>131</v>
      </c>
      <c r="AP59">
        <v>4</v>
      </c>
      <c r="AQ59" s="23">
        <v>9634.7999649123394</v>
      </c>
      <c r="AR59" s="23">
        <v>10698.536955056981</v>
      </c>
      <c r="AS59" s="23">
        <v>30445.967889122992</v>
      </c>
      <c r="AT59" s="23">
        <v>33807.376777980062</v>
      </c>
    </row>
    <row r="60" spans="2:46" x14ac:dyDescent="0.25">
      <c r="B60" s="102"/>
      <c r="C60" s="38" t="s">
        <v>132</v>
      </c>
      <c r="D60" s="70">
        <v>8793.7252422640304</v>
      </c>
      <c r="E60" s="70">
        <v>15101.18917495562</v>
      </c>
      <c r="F60" s="70">
        <v>19002.409121299228</v>
      </c>
      <c r="G60" s="41">
        <v>20574.827143424442</v>
      </c>
      <c r="H60" s="70">
        <v>19893.392924044398</v>
      </c>
      <c r="I60" s="70">
        <v>17030.643980680201</v>
      </c>
      <c r="J60" s="70">
        <v>12056.783298291761</v>
      </c>
      <c r="K60" s="70">
        <v>5039.7544633919597</v>
      </c>
      <c r="AO60" t="s">
        <v>132</v>
      </c>
      <c r="AP60">
        <v>3</v>
      </c>
      <c r="AQ60" s="23">
        <v>11136.708537503477</v>
      </c>
      <c r="AR60" s="23">
        <v>12273.894279800106</v>
      </c>
      <c r="AS60" s="23">
        <v>35191.998978510986</v>
      </c>
      <c r="AT60" s="23">
        <v>38785.505924168334</v>
      </c>
    </row>
    <row r="61" spans="2:46" x14ac:dyDescent="0.25">
      <c r="B61" s="102"/>
      <c r="C61" s="38" t="s">
        <v>133</v>
      </c>
      <c r="D61" s="70">
        <v>8900.4207102498895</v>
      </c>
      <c r="E61" s="70">
        <v>15003.00003798242</v>
      </c>
      <c r="F61" s="70">
        <v>18403.258903004309</v>
      </c>
      <c r="G61" s="41">
        <v>19193.457051637801</v>
      </c>
      <c r="H61" s="70">
        <v>17462.7043962393</v>
      </c>
      <c r="I61" s="70">
        <v>13297.068553467361</v>
      </c>
      <c r="J61" s="70">
        <v>6779.6787111061258</v>
      </c>
      <c r="K61" s="70">
        <v>-2009.174051227976</v>
      </c>
      <c r="AO61" t="s">
        <v>133</v>
      </c>
      <c r="AP61">
        <v>3</v>
      </c>
      <c r="AQ61" s="23">
        <v>11952.999064072752</v>
      </c>
      <c r="AR61" s="23">
        <v>12852.36298772273</v>
      </c>
      <c r="AS61" s="23">
        <v>37771.477042469895</v>
      </c>
      <c r="AT61" s="23">
        <v>40613.467041203832</v>
      </c>
    </row>
    <row r="62" spans="2:46" x14ac:dyDescent="0.25">
      <c r="B62" s="102"/>
      <c r="C62" s="38" t="s">
        <v>134</v>
      </c>
      <c r="D62" s="70">
        <v>9367.5354524127906</v>
      </c>
      <c r="E62" s="70">
        <v>15300.510485286541</v>
      </c>
      <c r="F62" s="41">
        <v>17928.843480447089</v>
      </c>
      <c r="G62" s="70">
        <v>17377.538424900318</v>
      </c>
      <c r="H62" s="70">
        <v>13766.870806592649</v>
      </c>
      <c r="I62" s="70">
        <v>7212.5664783332395</v>
      </c>
      <c r="J62" s="70">
        <v>-2174.0262441318191</v>
      </c>
      <c r="K62" s="70">
        <v>-14285.770993964319</v>
      </c>
      <c r="AO62" t="s">
        <v>134</v>
      </c>
      <c r="AP62">
        <v>3</v>
      </c>
      <c r="AQ62" s="23">
        <v>11920.496719358467</v>
      </c>
      <c r="AR62" s="23">
        <v>13287.735582113488</v>
      </c>
      <c r="AS62" s="23">
        <v>37668.769633172757</v>
      </c>
      <c r="AT62" s="23">
        <v>41989.244439478622</v>
      </c>
    </row>
    <row r="63" spans="2:46" x14ac:dyDescent="0.25">
      <c r="AO63" t="s">
        <v>160</v>
      </c>
    </row>
    <row r="64" spans="2:46" x14ac:dyDescent="0.25">
      <c r="AO64" t="s">
        <v>135</v>
      </c>
      <c r="AP64">
        <v>4</v>
      </c>
      <c r="AQ64" s="23">
        <v>9705.2974973272612</v>
      </c>
      <c r="AR64" s="23">
        <v>10530.517065190064</v>
      </c>
      <c r="AS64" s="23">
        <v>30668.740091554148</v>
      </c>
      <c r="AT64" s="23">
        <v>33276.433926000602</v>
      </c>
    </row>
    <row r="65" spans="4:48" x14ac:dyDescent="0.25">
      <c r="AO65" t="s">
        <v>131</v>
      </c>
      <c r="AP65">
        <v>4</v>
      </c>
      <c r="AQ65" s="23">
        <v>12469.675164205744</v>
      </c>
      <c r="AR65" s="23">
        <v>13846.398580940873</v>
      </c>
      <c r="AS65" s="23">
        <v>39404.173518890151</v>
      </c>
      <c r="AT65" s="23">
        <v>43754.619515773164</v>
      </c>
    </row>
    <row r="66" spans="4:48" x14ac:dyDescent="0.25">
      <c r="AO66" t="s">
        <v>132</v>
      </c>
      <c r="AP66">
        <v>4</v>
      </c>
      <c r="AQ66" s="23">
        <v>14426.484188499724</v>
      </c>
      <c r="AR66" s="23">
        <v>15899.593776973097</v>
      </c>
      <c r="AS66" s="23">
        <v>45587.690035659129</v>
      </c>
      <c r="AT66" s="23">
        <v>50242.716335234989</v>
      </c>
    </row>
    <row r="67" spans="4:48" x14ac:dyDescent="0.25">
      <c r="AO67" t="s">
        <v>133</v>
      </c>
      <c r="AP67">
        <v>4</v>
      </c>
      <c r="AQ67" s="23">
        <v>15412.146804215612</v>
      </c>
      <c r="AR67" s="23">
        <v>16571.782871064424</v>
      </c>
      <c r="AS67" s="23">
        <v>48702.383901321336</v>
      </c>
      <c r="AT67" s="23">
        <v>52366.833872563584</v>
      </c>
    </row>
    <row r="68" spans="4:48" x14ac:dyDescent="0.25">
      <c r="AO68" t="s">
        <v>134</v>
      </c>
      <c r="AP68">
        <v>3</v>
      </c>
      <c r="AQ68" s="23">
        <v>15725.039591287143</v>
      </c>
      <c r="AR68" s="23">
        <v>17528.646081329964</v>
      </c>
      <c r="AS68" s="23">
        <v>49691.125108467371</v>
      </c>
      <c r="AT68" s="23">
        <v>55390.521617002691</v>
      </c>
    </row>
    <row r="69" spans="4:48" x14ac:dyDescent="0.25">
      <c r="D69" t="s">
        <v>140</v>
      </c>
      <c r="F69" t="s">
        <v>141</v>
      </c>
      <c r="K69">
        <v>0.50348324702996095</v>
      </c>
      <c r="L69">
        <v>0.54629329253909098</v>
      </c>
    </row>
    <row r="70" spans="4:48" x14ac:dyDescent="0.25">
      <c r="F70" t="s">
        <v>136</v>
      </c>
      <c r="G70" t="s">
        <v>137</v>
      </c>
      <c r="K70">
        <v>0.61091126445657895</v>
      </c>
      <c r="L70">
        <v>0.67835936011659204</v>
      </c>
    </row>
    <row r="71" spans="4:48" x14ac:dyDescent="0.25">
      <c r="D71" t="s">
        <v>135</v>
      </c>
      <c r="E71" t="s">
        <v>138</v>
      </c>
      <c r="F71">
        <v>0.50348324702996095</v>
      </c>
      <c r="G71">
        <v>0.23290082798647399</v>
      </c>
      <c r="K71">
        <v>0.71717991336111298</v>
      </c>
      <c r="L71">
        <v>0.79041221259829997</v>
      </c>
    </row>
    <row r="72" spans="4:48" x14ac:dyDescent="0.25">
      <c r="E72" t="s">
        <v>139</v>
      </c>
      <c r="F72">
        <v>0.54629329253909098</v>
      </c>
      <c r="G72">
        <v>0.26369148605036502</v>
      </c>
      <c r="K72">
        <v>0.82132251370564202</v>
      </c>
      <c r="L72">
        <v>0.88312021272233399</v>
      </c>
    </row>
    <row r="73" spans="4:48" x14ac:dyDescent="0.25">
      <c r="D73" t="s">
        <v>131</v>
      </c>
      <c r="E73" t="s">
        <v>138</v>
      </c>
      <c r="F73">
        <v>0.61091126445657895</v>
      </c>
      <c r="G73">
        <v>0.33921565882342503</v>
      </c>
      <c r="K73">
        <v>0.89710520243980096</v>
      </c>
      <c r="L73">
        <v>1</v>
      </c>
    </row>
    <row r="74" spans="4:48" x14ac:dyDescent="0.25">
      <c r="E74" t="s">
        <v>139</v>
      </c>
      <c r="F74">
        <v>0.67835936011659204</v>
      </c>
      <c r="G74">
        <v>0.428414779311724</v>
      </c>
    </row>
    <row r="75" spans="4:48" x14ac:dyDescent="0.25">
      <c r="D75" t="s">
        <v>132</v>
      </c>
      <c r="E75" t="s">
        <v>138</v>
      </c>
      <c r="F75">
        <v>0.71717991336111298</v>
      </c>
      <c r="G75">
        <v>0.452706543877269</v>
      </c>
    </row>
    <row r="76" spans="4:48" x14ac:dyDescent="0.25">
      <c r="E76" t="s">
        <v>139</v>
      </c>
      <c r="F76">
        <v>0.79041221259829997</v>
      </c>
      <c r="G76">
        <v>0.58982992822323399</v>
      </c>
    </row>
    <row r="77" spans="4:48" x14ac:dyDescent="0.25">
      <c r="D77" t="s">
        <v>133</v>
      </c>
      <c r="E77" t="s">
        <v>138</v>
      </c>
      <c r="F77">
        <v>0.82132251370564202</v>
      </c>
      <c r="G77">
        <v>0.57970281553208103</v>
      </c>
      <c r="AP77">
        <v>1.54</v>
      </c>
      <c r="AQ77">
        <v>1.4</v>
      </c>
      <c r="AR77">
        <v>0.55000000000000004</v>
      </c>
      <c r="AS77">
        <v>0.63</v>
      </c>
      <c r="AT77">
        <v>0.56000000000000005</v>
      </c>
      <c r="AU77">
        <v>0.62</v>
      </c>
      <c r="AV77">
        <f>SUM(AP77:AU77)</f>
        <v>5.3</v>
      </c>
    </row>
    <row r="78" spans="4:48" x14ac:dyDescent="0.25">
      <c r="E78" t="s">
        <v>139</v>
      </c>
      <c r="F78">
        <v>0.88312021272233399</v>
      </c>
      <c r="G78">
        <v>0.72907938208082101</v>
      </c>
    </row>
    <row r="79" spans="4:48" x14ac:dyDescent="0.25">
      <c r="D79" t="s">
        <v>134</v>
      </c>
      <c r="E79" t="s">
        <v>138</v>
      </c>
      <c r="F79">
        <v>0.89710520243980096</v>
      </c>
      <c r="G79">
        <v>0.75874249158949603</v>
      </c>
      <c r="AP79" t="s">
        <v>193</v>
      </c>
    </row>
    <row r="80" spans="4:48" x14ac:dyDescent="0.25">
      <c r="E80" t="s">
        <v>139</v>
      </c>
      <c r="F80">
        <v>1</v>
      </c>
      <c r="G80">
        <v>0.87291671489763101</v>
      </c>
    </row>
  </sheetData>
  <mergeCells count="63">
    <mergeCell ref="AP2:AT2"/>
    <mergeCell ref="AU2:AY2"/>
    <mergeCell ref="B3:E3"/>
    <mergeCell ref="AE3:AF3"/>
    <mergeCell ref="AG3:AG4"/>
    <mergeCell ref="AH3:AI3"/>
    <mergeCell ref="AJ3:AK3"/>
    <mergeCell ref="AO3:AO4"/>
    <mergeCell ref="AP3:AP4"/>
    <mergeCell ref="AQ3:AR3"/>
    <mergeCell ref="AS3:AT3"/>
    <mergeCell ref="AU3:AU4"/>
    <mergeCell ref="AV3:AW3"/>
    <mergeCell ref="AX3:AY3"/>
    <mergeCell ref="B4:C4"/>
    <mergeCell ref="AE4:AF4"/>
    <mergeCell ref="B5:B9"/>
    <mergeCell ref="P5:P9"/>
    <mergeCell ref="AE5:AE9"/>
    <mergeCell ref="B10:B14"/>
    <mergeCell ref="P10:P14"/>
    <mergeCell ref="AE10:AE14"/>
    <mergeCell ref="B15:E15"/>
    <mergeCell ref="AE15:AF15"/>
    <mergeCell ref="B16:C16"/>
    <mergeCell ref="P16:P20"/>
    <mergeCell ref="AE16:AE20"/>
    <mergeCell ref="B17:B21"/>
    <mergeCell ref="P21:P25"/>
    <mergeCell ref="AE21:AE25"/>
    <mergeCell ref="B22:B26"/>
    <mergeCell ref="AE26:AF26"/>
    <mergeCell ref="B27:E27"/>
    <mergeCell ref="P27:P31"/>
    <mergeCell ref="AE27:AE31"/>
    <mergeCell ref="B28:C28"/>
    <mergeCell ref="B29:B33"/>
    <mergeCell ref="P32:P36"/>
    <mergeCell ref="AE32:AE36"/>
    <mergeCell ref="B34:B38"/>
    <mergeCell ref="AE37:AF37"/>
    <mergeCell ref="AP37:AT37"/>
    <mergeCell ref="P38:P42"/>
    <mergeCell ref="AE38:AE42"/>
    <mergeCell ref="AO38:AO39"/>
    <mergeCell ref="AP38:AP39"/>
    <mergeCell ref="AQ38:AR38"/>
    <mergeCell ref="AS38:AT38"/>
    <mergeCell ref="B39:E39"/>
    <mergeCell ref="B40:C40"/>
    <mergeCell ref="B41:B45"/>
    <mergeCell ref="P43:P47"/>
    <mergeCell ref="AE43:AE47"/>
    <mergeCell ref="B46:B50"/>
    <mergeCell ref="AE48:AF48"/>
    <mergeCell ref="P49:P53"/>
    <mergeCell ref="AE49:AE53"/>
    <mergeCell ref="B51:E51"/>
    <mergeCell ref="B52:C52"/>
    <mergeCell ref="B53:B57"/>
    <mergeCell ref="P54:P58"/>
    <mergeCell ref="AE54:AE58"/>
    <mergeCell ref="B58:B6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767B-F35F-447C-BB95-54C72F8CC96C}">
  <dimension ref="C1:AX78"/>
  <sheetViews>
    <sheetView topLeftCell="F66" zoomScale="190" zoomScaleNormal="190" workbookViewId="0">
      <selection activeCell="J71" sqref="J71"/>
    </sheetView>
  </sheetViews>
  <sheetFormatPr defaultRowHeight="15" x14ac:dyDescent="0.25"/>
  <cols>
    <col min="3" max="3" width="37.85546875" customWidth="1"/>
    <col min="4" max="4" width="29.28515625" bestFit="1" customWidth="1"/>
    <col min="15" max="15" width="20.28515625" style="6" customWidth="1"/>
    <col min="16" max="16" width="38" bestFit="1" customWidth="1"/>
    <col min="17" max="17" width="6.5703125" bestFit="1" customWidth="1"/>
    <col min="18" max="18" width="7.140625" bestFit="1" customWidth="1"/>
    <col min="19" max="19" width="8.28515625" bestFit="1" customWidth="1"/>
    <col min="20" max="20" width="7.140625" bestFit="1" customWidth="1"/>
    <col min="21" max="21" width="8.28515625" bestFit="1" customWidth="1"/>
    <col min="22" max="24" width="7.140625" bestFit="1" customWidth="1"/>
    <col min="27" max="27" width="17.42578125" customWidth="1"/>
    <col min="28" max="28" width="24.28515625" style="6" customWidth="1"/>
    <col min="29" max="29" width="31.7109375" customWidth="1"/>
    <col min="30" max="37" width="9.7109375" customWidth="1"/>
    <col min="42" max="42" width="9.140625" customWidth="1"/>
    <col min="43" max="43" width="31.5703125" bestFit="1" customWidth="1"/>
    <col min="44" max="44" width="20.42578125" customWidth="1"/>
    <col min="45" max="45" width="12.5703125" bestFit="1" customWidth="1"/>
    <col min="46" max="46" width="13.7109375" bestFit="1" customWidth="1"/>
    <col min="47" max="47" width="12.5703125" bestFit="1" customWidth="1"/>
    <col min="48" max="48" width="13.7109375" bestFit="1" customWidth="1"/>
  </cols>
  <sheetData>
    <row r="1" spans="3:48" ht="15" customHeight="1" x14ac:dyDescent="0.25">
      <c r="AR1" s="72" t="s">
        <v>187</v>
      </c>
      <c r="AS1" s="114" t="s">
        <v>189</v>
      </c>
      <c r="AT1" s="114"/>
      <c r="AU1" s="107" t="s">
        <v>190</v>
      </c>
      <c r="AV1" s="107"/>
    </row>
    <row r="2" spans="3:48" ht="54" customHeight="1" x14ac:dyDescent="0.25">
      <c r="AR2" s="76" t="s">
        <v>191</v>
      </c>
      <c r="AS2" s="75" t="s">
        <v>186</v>
      </c>
      <c r="AT2" s="72" t="s">
        <v>188</v>
      </c>
      <c r="AU2" s="75" t="s">
        <v>186</v>
      </c>
      <c r="AV2" s="72" t="s">
        <v>188</v>
      </c>
    </row>
    <row r="3" spans="3:48" x14ac:dyDescent="0.25">
      <c r="AB3" s="110" t="s">
        <v>165</v>
      </c>
      <c r="AC3" s="111"/>
      <c r="AD3" s="111"/>
      <c r="AE3" s="111"/>
      <c r="AF3" s="111"/>
      <c r="AG3" s="111"/>
      <c r="AH3" s="111"/>
      <c r="AI3" s="111"/>
      <c r="AJ3" s="111"/>
      <c r="AK3" s="112"/>
      <c r="AQ3" s="77" t="s">
        <v>145</v>
      </c>
      <c r="AR3" s="72" t="s">
        <v>135</v>
      </c>
      <c r="AS3" s="70">
        <v>1</v>
      </c>
      <c r="AT3" s="73">
        <v>7175.0637418979204</v>
      </c>
      <c r="AU3" s="70">
        <v>1</v>
      </c>
      <c r="AV3" s="74">
        <v>931.09735261921696</v>
      </c>
    </row>
    <row r="4" spans="3:48" x14ac:dyDescent="0.25">
      <c r="C4" t="s">
        <v>144</v>
      </c>
      <c r="D4" t="s">
        <v>142</v>
      </c>
      <c r="E4">
        <v>1</v>
      </c>
      <c r="O4" s="37"/>
      <c r="P4" s="38" t="s">
        <v>142</v>
      </c>
      <c r="Q4" s="67">
        <v>1</v>
      </c>
      <c r="R4" s="67"/>
      <c r="S4" s="67"/>
      <c r="T4" s="68"/>
      <c r="U4" s="68"/>
      <c r="V4" s="68"/>
      <c r="W4" s="68"/>
      <c r="X4" s="68"/>
      <c r="AB4" s="107" t="s">
        <v>143</v>
      </c>
      <c r="AC4" s="107"/>
      <c r="AD4" s="38">
        <v>1</v>
      </c>
      <c r="AE4" s="38">
        <v>2</v>
      </c>
      <c r="AF4" s="38">
        <v>3</v>
      </c>
      <c r="AG4" s="38"/>
      <c r="AH4" s="38"/>
      <c r="AI4" s="38"/>
      <c r="AJ4" s="38"/>
      <c r="AK4" s="38"/>
      <c r="AQ4" s="77"/>
      <c r="AR4" s="72" t="s">
        <v>131</v>
      </c>
      <c r="AS4" s="70">
        <v>1</v>
      </c>
      <c r="AT4" s="73">
        <v>7219.6608025509904</v>
      </c>
      <c r="AU4" s="70">
        <v>1</v>
      </c>
      <c r="AV4" s="74">
        <v>928.09285726272401</v>
      </c>
    </row>
    <row r="5" spans="3:48" x14ac:dyDescent="0.25">
      <c r="D5" t="s">
        <v>143</v>
      </c>
      <c r="E5">
        <v>1</v>
      </c>
      <c r="F5">
        <v>2</v>
      </c>
      <c r="G5">
        <v>3</v>
      </c>
      <c r="O5" s="37"/>
      <c r="P5" s="38" t="s">
        <v>143</v>
      </c>
      <c r="Q5" s="67">
        <v>1</v>
      </c>
      <c r="R5" s="67">
        <v>2</v>
      </c>
      <c r="S5" s="67">
        <v>3</v>
      </c>
      <c r="T5" s="68"/>
      <c r="U5" s="68"/>
      <c r="V5" s="68"/>
      <c r="W5" s="68"/>
      <c r="X5" s="68"/>
      <c r="AB5" s="102" t="s">
        <v>145</v>
      </c>
      <c r="AC5" s="38" t="s">
        <v>135</v>
      </c>
      <c r="AD5" s="39">
        <v>7175.0641639943397</v>
      </c>
      <c r="AE5" s="70">
        <v>4055.7232985238602</v>
      </c>
      <c r="AF5" s="70">
        <v>-7850.5454363078406</v>
      </c>
      <c r="AG5" s="38"/>
      <c r="AH5" s="38"/>
      <c r="AI5" s="38"/>
      <c r="AJ5" s="38"/>
      <c r="AK5" s="38"/>
      <c r="AQ5" s="77"/>
      <c r="AR5" s="72" t="s">
        <v>132</v>
      </c>
      <c r="AS5" s="70">
        <v>1</v>
      </c>
      <c r="AT5" s="73">
        <v>6991.3088581871698</v>
      </c>
      <c r="AU5" s="70">
        <v>1</v>
      </c>
      <c r="AV5" s="74">
        <v>449.81262613704899</v>
      </c>
    </row>
    <row r="6" spans="3:48" x14ac:dyDescent="0.25">
      <c r="C6" s="100" t="s">
        <v>145</v>
      </c>
      <c r="D6" t="s">
        <v>135</v>
      </c>
      <c r="E6" s="66">
        <v>7175.0641639943397</v>
      </c>
      <c r="F6" s="66">
        <v>2027.8616492619301</v>
      </c>
      <c r="G6" s="66">
        <v>-2616.8484787692801</v>
      </c>
      <c r="O6" s="113" t="s">
        <v>145</v>
      </c>
      <c r="P6" s="38" t="s">
        <v>135</v>
      </c>
      <c r="Q6" s="39">
        <f>E6*E$5</f>
        <v>7175.0641639943397</v>
      </c>
      <c r="R6" s="70">
        <f t="shared" ref="R6:S15" si="0">F6*F$5</f>
        <v>4055.7232985238602</v>
      </c>
      <c r="S6" s="70">
        <f t="shared" si="0"/>
        <v>-7850.5454363078406</v>
      </c>
      <c r="T6" s="68"/>
      <c r="U6" s="68"/>
      <c r="V6" s="68"/>
      <c r="W6" s="68"/>
      <c r="X6" s="68"/>
      <c r="AB6" s="102"/>
      <c r="AC6" s="38" t="s">
        <v>131</v>
      </c>
      <c r="AD6" s="39">
        <v>7219.6611176943798</v>
      </c>
      <c r="AE6" s="70">
        <v>3520.95681886482</v>
      </c>
      <c r="AF6" s="70">
        <v>-9449.5235486190595</v>
      </c>
      <c r="AG6" s="38"/>
      <c r="AH6" s="38"/>
      <c r="AI6" s="38"/>
      <c r="AJ6" s="38"/>
      <c r="AK6" s="38"/>
      <c r="AQ6" s="77"/>
      <c r="AR6" s="72" t="s">
        <v>133</v>
      </c>
      <c r="AS6" s="70">
        <v>1</v>
      </c>
      <c r="AT6" s="73">
        <v>6498.1477689011499</v>
      </c>
      <c r="AU6" s="70">
        <v>1</v>
      </c>
      <c r="AV6" s="74">
        <v>-449.00828415194701</v>
      </c>
    </row>
    <row r="7" spans="3:48" ht="15" customHeight="1" x14ac:dyDescent="0.25">
      <c r="C7" s="100"/>
      <c r="D7" t="s">
        <v>131</v>
      </c>
      <c r="E7" s="66">
        <v>7219.6611176943798</v>
      </c>
      <c r="F7" s="66">
        <v>1760.47840943241</v>
      </c>
      <c r="G7" s="66">
        <v>-3149.84118287302</v>
      </c>
      <c r="O7" s="113"/>
      <c r="P7" s="38" t="s">
        <v>131</v>
      </c>
      <c r="Q7" s="39">
        <f t="shared" ref="Q7:Q15" si="1">E7*E$5</f>
        <v>7219.6611176943798</v>
      </c>
      <c r="R7" s="70">
        <f t="shared" si="0"/>
        <v>3520.95681886482</v>
      </c>
      <c r="S7" s="70">
        <f t="shared" si="0"/>
        <v>-9449.5235486190595</v>
      </c>
      <c r="T7" s="68"/>
      <c r="U7" s="68"/>
      <c r="V7" s="68"/>
      <c r="W7" s="68"/>
      <c r="X7" s="68"/>
      <c r="AB7" s="102"/>
      <c r="AC7" s="38" t="s">
        <v>132</v>
      </c>
      <c r="AD7" s="39">
        <v>6991.3083025312399</v>
      </c>
      <c r="AE7" s="70">
        <v>2124.6290341988401</v>
      </c>
      <c r="AF7" s="70">
        <v>-12736.383529760522</v>
      </c>
      <c r="AG7" s="38"/>
      <c r="AH7" s="38"/>
      <c r="AI7" s="38"/>
      <c r="AJ7" s="38"/>
      <c r="AK7" s="38"/>
      <c r="AQ7" s="77"/>
      <c r="AR7" s="72" t="s">
        <v>134</v>
      </c>
      <c r="AS7" s="70">
        <v>1</v>
      </c>
      <c r="AT7" s="73">
        <v>5528.5598283187701</v>
      </c>
      <c r="AU7" s="70">
        <v>1</v>
      </c>
      <c r="AV7" s="74">
        <v>-2021.2286905104399</v>
      </c>
    </row>
    <row r="8" spans="3:48" x14ac:dyDescent="0.25">
      <c r="C8" s="100"/>
      <c r="D8" t="s">
        <v>132</v>
      </c>
      <c r="E8" s="66">
        <v>6991.3083025312399</v>
      </c>
      <c r="F8" s="66">
        <v>1062.3145170994201</v>
      </c>
      <c r="G8" s="66">
        <v>-4245.4611765868403</v>
      </c>
      <c r="O8" s="113"/>
      <c r="P8" s="38" t="s">
        <v>132</v>
      </c>
      <c r="Q8" s="39">
        <f t="shared" si="1"/>
        <v>6991.3083025312399</v>
      </c>
      <c r="R8" s="70">
        <f t="shared" si="0"/>
        <v>2124.6290341988401</v>
      </c>
      <c r="S8" s="70">
        <f t="shared" si="0"/>
        <v>-12736.383529760522</v>
      </c>
      <c r="T8" s="68"/>
      <c r="U8" s="68"/>
      <c r="V8" s="68"/>
      <c r="W8" s="68"/>
      <c r="X8" s="68"/>
      <c r="AB8" s="102"/>
      <c r="AC8" s="38" t="s">
        <v>133</v>
      </c>
      <c r="AD8" s="39">
        <v>6498.1471802154301</v>
      </c>
      <c r="AE8" s="70">
        <v>-184.77497264521659</v>
      </c>
      <c r="AF8" s="70">
        <v>-17864.65483360743</v>
      </c>
      <c r="AG8" s="38"/>
      <c r="AH8" s="38"/>
      <c r="AI8" s="38"/>
      <c r="AJ8" s="38"/>
      <c r="AK8" s="38"/>
      <c r="AQ8" s="77"/>
      <c r="AR8" s="72" t="s">
        <v>182</v>
      </c>
      <c r="AS8" s="70"/>
      <c r="AT8" s="74"/>
      <c r="AU8" s="38"/>
      <c r="AV8" s="38"/>
    </row>
    <row r="9" spans="3:48" x14ac:dyDescent="0.25">
      <c r="C9" s="100"/>
      <c r="D9" t="s">
        <v>133</v>
      </c>
      <c r="E9" s="66">
        <v>6498.1471802154301</v>
      </c>
      <c r="F9" s="66">
        <v>-92.387486322608297</v>
      </c>
      <c r="G9" s="66">
        <v>-5954.8849445358101</v>
      </c>
      <c r="O9" s="113"/>
      <c r="P9" s="38" t="s">
        <v>133</v>
      </c>
      <c r="Q9" s="39">
        <f t="shared" si="1"/>
        <v>6498.1471802154301</v>
      </c>
      <c r="R9" s="70">
        <f t="shared" si="0"/>
        <v>-184.77497264521659</v>
      </c>
      <c r="S9" s="70">
        <f t="shared" si="0"/>
        <v>-17864.65483360743</v>
      </c>
      <c r="T9" s="68"/>
      <c r="U9" s="68"/>
      <c r="V9" s="68"/>
      <c r="W9" s="68"/>
      <c r="X9" s="68"/>
      <c r="AB9" s="102"/>
      <c r="AC9" s="38" t="s">
        <v>134</v>
      </c>
      <c r="AD9" s="39">
        <v>5528.5598283187701</v>
      </c>
      <c r="AE9" s="70">
        <v>-4694.22064644494</v>
      </c>
      <c r="AF9" s="70">
        <v>-27815.187937663046</v>
      </c>
      <c r="AG9" s="38"/>
      <c r="AH9" s="38"/>
      <c r="AI9" s="38"/>
      <c r="AJ9" s="38"/>
      <c r="AK9" s="38"/>
      <c r="AQ9" s="77"/>
      <c r="AR9" s="72" t="s">
        <v>135</v>
      </c>
      <c r="AS9" s="70">
        <v>3</v>
      </c>
      <c r="AT9" s="74">
        <v>20360.15348947818</v>
      </c>
      <c r="AU9" s="69">
        <v>2</v>
      </c>
      <c r="AV9" s="74">
        <v>5877.7787583537802</v>
      </c>
    </row>
    <row r="10" spans="3:48" ht="15" customHeight="1" x14ac:dyDescent="0.25">
      <c r="C10" s="100"/>
      <c r="D10" t="s">
        <v>134</v>
      </c>
      <c r="E10" s="66">
        <v>5528.5598283187701</v>
      </c>
      <c r="F10" s="66">
        <v>-2347.11032322247</v>
      </c>
      <c r="G10" s="66">
        <v>-9271.7293125543492</v>
      </c>
      <c r="O10" s="113"/>
      <c r="P10" s="38" t="s">
        <v>134</v>
      </c>
      <c r="Q10" s="39">
        <f t="shared" si="1"/>
        <v>5528.5598283187701</v>
      </c>
      <c r="R10" s="70">
        <f t="shared" si="0"/>
        <v>-4694.22064644494</v>
      </c>
      <c r="S10" s="70">
        <f t="shared" si="0"/>
        <v>-27815.187937663046</v>
      </c>
      <c r="T10" s="68"/>
      <c r="U10" s="68"/>
      <c r="V10" s="68"/>
      <c r="W10" s="68"/>
      <c r="X10" s="68"/>
      <c r="AB10" s="102" t="s">
        <v>146</v>
      </c>
      <c r="AC10" s="38" t="s">
        <v>135</v>
      </c>
      <c r="AD10" s="41">
        <v>931.09806651878205</v>
      </c>
      <c r="AE10" s="70">
        <v>-6684.7309222931599</v>
      </c>
      <c r="AF10" s="70">
        <v>-21707.069500979098</v>
      </c>
      <c r="AG10" s="38"/>
      <c r="AH10" s="38"/>
      <c r="AI10" s="38"/>
      <c r="AJ10" s="38"/>
      <c r="AK10" s="38"/>
      <c r="AQ10" s="77"/>
      <c r="AR10" s="72" t="s">
        <v>131</v>
      </c>
      <c r="AS10" s="70">
        <v>3</v>
      </c>
      <c r="AT10" s="74">
        <v>20409.780687894719</v>
      </c>
      <c r="AU10" s="69">
        <v>2</v>
      </c>
      <c r="AV10" s="74">
        <v>6143.7885734802603</v>
      </c>
    </row>
    <row r="11" spans="3:48" x14ac:dyDescent="0.25">
      <c r="C11" s="100" t="s">
        <v>146</v>
      </c>
      <c r="D11" t="s">
        <v>135</v>
      </c>
      <c r="E11" s="66">
        <v>931.09806651878205</v>
      </c>
      <c r="F11" s="66">
        <v>-3342.3654611465799</v>
      </c>
      <c r="G11" s="66">
        <v>-7235.6898336596996</v>
      </c>
      <c r="O11" s="113" t="s">
        <v>146</v>
      </c>
      <c r="P11" s="38" t="s">
        <v>135</v>
      </c>
      <c r="Q11" s="41">
        <f t="shared" si="1"/>
        <v>931.09806651878205</v>
      </c>
      <c r="R11" s="70">
        <f t="shared" si="0"/>
        <v>-6684.7309222931599</v>
      </c>
      <c r="S11" s="70">
        <f t="shared" si="0"/>
        <v>-21707.069500979098</v>
      </c>
      <c r="T11" s="68"/>
      <c r="U11" s="68"/>
      <c r="V11" s="68"/>
      <c r="W11" s="68"/>
      <c r="X11" s="68"/>
      <c r="AB11" s="102"/>
      <c r="AC11" s="38" t="s">
        <v>131</v>
      </c>
      <c r="AD11" s="41">
        <v>928.09339223310997</v>
      </c>
      <c r="AE11" s="70">
        <v>-7246.9814515380804</v>
      </c>
      <c r="AF11" s="70">
        <v>-23271.68591514045</v>
      </c>
      <c r="AG11" s="38"/>
      <c r="AH11" s="38"/>
      <c r="AI11" s="38"/>
      <c r="AJ11" s="38"/>
      <c r="AK11" s="38"/>
      <c r="AQ11" s="77"/>
      <c r="AR11" s="72" t="s">
        <v>132</v>
      </c>
      <c r="AS11" s="70">
        <v>2</v>
      </c>
      <c r="AT11" s="73">
        <v>19621.816784442519</v>
      </c>
      <c r="AU11" s="69">
        <v>1</v>
      </c>
      <c r="AV11" s="74">
        <v>5642.2416874594101</v>
      </c>
    </row>
    <row r="12" spans="3:48" ht="15" customHeight="1" x14ac:dyDescent="0.25">
      <c r="C12" s="100"/>
      <c r="D12" t="s">
        <v>131</v>
      </c>
      <c r="E12" s="66">
        <v>928.09339223310997</v>
      </c>
      <c r="F12" s="66">
        <v>-3623.4907257690402</v>
      </c>
      <c r="G12" s="66">
        <v>-7757.2286383801502</v>
      </c>
      <c r="O12" s="113"/>
      <c r="P12" s="38" t="s">
        <v>131</v>
      </c>
      <c r="Q12" s="41">
        <f t="shared" si="1"/>
        <v>928.09339223310997</v>
      </c>
      <c r="R12" s="70">
        <f t="shared" si="0"/>
        <v>-7246.9814515380804</v>
      </c>
      <c r="S12" s="70">
        <f t="shared" si="0"/>
        <v>-23271.68591514045</v>
      </c>
      <c r="T12" s="68"/>
      <c r="U12" s="68"/>
      <c r="V12" s="68"/>
      <c r="W12" s="68"/>
      <c r="X12" s="68"/>
      <c r="AB12" s="102"/>
      <c r="AC12" s="38" t="s">
        <v>132</v>
      </c>
      <c r="AD12" s="41">
        <v>449.81167787457503</v>
      </c>
      <c r="AE12" s="70">
        <v>-8991.3183373130396</v>
      </c>
      <c r="AF12" s="70">
        <v>-26903.661461429248</v>
      </c>
      <c r="AG12" s="38"/>
      <c r="AH12" s="38"/>
      <c r="AI12" s="38"/>
      <c r="AJ12" s="38"/>
      <c r="AK12" s="38"/>
      <c r="AQ12" s="77"/>
      <c r="AR12" s="72" t="s">
        <v>133</v>
      </c>
      <c r="AS12" s="70">
        <v>2</v>
      </c>
      <c r="AT12" s="73">
        <v>19269.822767809521</v>
      </c>
      <c r="AU12" s="69">
        <v>1</v>
      </c>
      <c r="AV12" s="74">
        <v>5344.2790010640301</v>
      </c>
    </row>
    <row r="13" spans="3:48" x14ac:dyDescent="0.25">
      <c r="C13" s="100"/>
      <c r="D13" t="s">
        <v>132</v>
      </c>
      <c r="E13" s="66">
        <v>449.81167787457503</v>
      </c>
      <c r="F13" s="66">
        <v>-4495.6591686565198</v>
      </c>
      <c r="G13" s="66">
        <v>-8967.8871538097501</v>
      </c>
      <c r="O13" s="113"/>
      <c r="P13" s="38" t="s">
        <v>132</v>
      </c>
      <c r="Q13" s="41">
        <f t="shared" si="1"/>
        <v>449.81167787457503</v>
      </c>
      <c r="R13" s="70">
        <f t="shared" si="0"/>
        <v>-8991.3183373130396</v>
      </c>
      <c r="S13" s="70">
        <f t="shared" si="0"/>
        <v>-26903.661461429248</v>
      </c>
      <c r="T13" s="68"/>
      <c r="U13" s="68"/>
      <c r="V13" s="68"/>
      <c r="W13" s="68"/>
      <c r="X13" s="68"/>
      <c r="AB13" s="102"/>
      <c r="AC13" s="38" t="s">
        <v>133</v>
      </c>
      <c r="AD13" s="41">
        <v>-449.00928030771303</v>
      </c>
      <c r="AE13" s="70">
        <v>-11877.325100825519</v>
      </c>
      <c r="AF13" s="70">
        <v>-32624.5531771182</v>
      </c>
      <c r="AG13" s="38"/>
      <c r="AH13" s="38"/>
      <c r="AI13" s="38"/>
      <c r="AJ13" s="38"/>
      <c r="AK13" s="38"/>
      <c r="AR13" s="72" t="s">
        <v>134</v>
      </c>
      <c r="AS13" s="70">
        <v>2</v>
      </c>
      <c r="AT13" s="73">
        <v>18565.546652875139</v>
      </c>
      <c r="AU13" s="69">
        <v>1</v>
      </c>
      <c r="AV13" s="74">
        <v>4976.8542585089999</v>
      </c>
    </row>
    <row r="14" spans="3:48" x14ac:dyDescent="0.25">
      <c r="C14" s="100"/>
      <c r="D14" t="s">
        <v>133</v>
      </c>
      <c r="E14" s="66">
        <v>-449.00928030771303</v>
      </c>
      <c r="F14" s="66">
        <v>-5938.6625504127596</v>
      </c>
      <c r="G14" s="66">
        <v>-10874.8510590394</v>
      </c>
      <c r="O14" s="113"/>
      <c r="P14" s="38" t="s">
        <v>133</v>
      </c>
      <c r="Q14" s="41">
        <f t="shared" si="1"/>
        <v>-449.00928030771303</v>
      </c>
      <c r="R14" s="70">
        <f t="shared" si="0"/>
        <v>-11877.325100825519</v>
      </c>
      <c r="S14" s="70">
        <f t="shared" si="0"/>
        <v>-32624.5531771182</v>
      </c>
      <c r="T14" s="68"/>
      <c r="U14" s="68"/>
      <c r="V14" s="68"/>
      <c r="W14" s="68"/>
      <c r="X14" s="68"/>
      <c r="AB14" s="102"/>
      <c r="AC14" s="38" t="s">
        <v>134</v>
      </c>
      <c r="AD14" s="41">
        <v>-2021.2286905104399</v>
      </c>
      <c r="AE14" s="70">
        <v>-17177.434630479602</v>
      </c>
      <c r="AF14" s="70">
        <v>-43295.952405572098</v>
      </c>
      <c r="AG14" s="38"/>
      <c r="AH14" s="38"/>
      <c r="AI14" s="38"/>
      <c r="AJ14" s="38"/>
      <c r="AK14" s="38"/>
      <c r="AQ14" s="77"/>
      <c r="AR14" s="72" t="s">
        <v>183</v>
      </c>
      <c r="AS14" s="38"/>
      <c r="AT14" s="38"/>
      <c r="AU14" s="38"/>
      <c r="AV14" s="38"/>
    </row>
    <row r="15" spans="3:48" ht="15" customHeight="1" x14ac:dyDescent="0.25">
      <c r="C15" s="100"/>
      <c r="D15" t="s">
        <v>134</v>
      </c>
      <c r="E15" s="66">
        <v>-2021.2286905104399</v>
      </c>
      <c r="F15" s="66">
        <v>-8588.7173152398009</v>
      </c>
      <c r="G15" s="66">
        <v>-14431.9841351907</v>
      </c>
      <c r="O15" s="113"/>
      <c r="P15" s="38" t="s">
        <v>134</v>
      </c>
      <c r="Q15" s="41">
        <f t="shared" si="1"/>
        <v>-2021.2286905104399</v>
      </c>
      <c r="R15" s="70">
        <f t="shared" si="0"/>
        <v>-17177.434630479602</v>
      </c>
      <c r="S15" s="70">
        <f t="shared" si="0"/>
        <v>-43295.952405572098</v>
      </c>
      <c r="T15" s="68"/>
      <c r="U15" s="68"/>
      <c r="V15" s="68"/>
      <c r="W15" s="68"/>
      <c r="X15" s="68"/>
      <c r="AB15" s="110" t="s">
        <v>166</v>
      </c>
      <c r="AC15" s="111"/>
      <c r="AD15" s="111"/>
      <c r="AE15" s="111"/>
      <c r="AF15" s="111"/>
      <c r="AG15" s="111"/>
      <c r="AH15" s="111"/>
      <c r="AI15" s="111"/>
      <c r="AJ15" s="111"/>
      <c r="AK15" s="112"/>
      <c r="AQ15" s="77"/>
      <c r="AR15" s="72" t="s">
        <v>135</v>
      </c>
      <c r="AS15" s="69">
        <v>4</v>
      </c>
      <c r="AT15" s="74">
        <v>33832.566426409838</v>
      </c>
      <c r="AU15" s="69">
        <v>3</v>
      </c>
      <c r="AV15" s="73">
        <v>10702.23143273922</v>
      </c>
    </row>
    <row r="16" spans="3:48" x14ac:dyDescent="0.25">
      <c r="Q16" s="68"/>
      <c r="R16" s="68"/>
      <c r="S16" s="68"/>
      <c r="T16" s="68"/>
      <c r="U16" s="68"/>
      <c r="V16" s="68"/>
      <c r="W16" s="68"/>
      <c r="X16" s="68"/>
      <c r="AB16" s="107" t="s">
        <v>143</v>
      </c>
      <c r="AC16" s="107"/>
      <c r="AD16" s="38">
        <v>1</v>
      </c>
      <c r="AE16" s="38">
        <v>2</v>
      </c>
      <c r="AF16" s="38">
        <v>3</v>
      </c>
      <c r="AG16" s="38">
        <v>4</v>
      </c>
      <c r="AH16" s="38">
        <v>5</v>
      </c>
      <c r="AI16" s="38"/>
      <c r="AJ16" s="38"/>
      <c r="AK16" s="38"/>
      <c r="AQ16" s="77"/>
      <c r="AR16" s="72" t="s">
        <v>131</v>
      </c>
      <c r="AS16" s="69">
        <v>4</v>
      </c>
      <c r="AT16" s="74">
        <v>34334.335655734161</v>
      </c>
      <c r="AU16" s="69">
        <v>3</v>
      </c>
      <c r="AV16" s="74">
        <v>11246.404237053479</v>
      </c>
    </row>
    <row r="17" spans="3:48" x14ac:dyDescent="0.25">
      <c r="Q17" s="68"/>
      <c r="R17" s="68"/>
      <c r="S17" s="68"/>
      <c r="T17" s="68"/>
      <c r="U17" s="68"/>
      <c r="V17" s="68"/>
      <c r="W17" s="68"/>
      <c r="X17" s="68"/>
      <c r="AB17" s="102" t="s">
        <v>145</v>
      </c>
      <c r="AC17" s="38" t="s">
        <v>135</v>
      </c>
      <c r="AD17" s="70">
        <v>12602.3262695384</v>
      </c>
      <c r="AE17" s="69">
        <v>19232.022322823301</v>
      </c>
      <c r="AF17" s="41">
        <v>20360.15475328689</v>
      </c>
      <c r="AG17" s="70">
        <v>16420.6367182012</v>
      </c>
      <c r="AH17" s="70">
        <v>7813.15826283555</v>
      </c>
      <c r="AI17" s="38"/>
      <c r="AJ17" s="38"/>
      <c r="AK17" s="38"/>
      <c r="AQ17" s="77"/>
      <c r="AR17" s="72" t="s">
        <v>132</v>
      </c>
      <c r="AS17" s="69">
        <v>4</v>
      </c>
      <c r="AT17" s="74">
        <v>33879.117903615683</v>
      </c>
      <c r="AU17" s="69">
        <v>2</v>
      </c>
      <c r="AV17" s="74">
        <v>10910.92605094694</v>
      </c>
    </row>
    <row r="18" spans="3:48" x14ac:dyDescent="0.25">
      <c r="Q18" s="68"/>
      <c r="R18" s="68"/>
      <c r="S18" s="68"/>
      <c r="T18" s="68"/>
      <c r="U18" s="68"/>
      <c r="V18" s="68"/>
      <c r="W18" s="68"/>
      <c r="X18" s="68"/>
      <c r="AB18" s="102"/>
      <c r="AC18" s="38" t="s">
        <v>131</v>
      </c>
      <c r="AD18" s="70">
        <v>12995.490577873799</v>
      </c>
      <c r="AE18" s="69">
        <v>19626.005216654699</v>
      </c>
      <c r="AF18" s="41">
        <v>20409.781630763879</v>
      </c>
      <c r="AG18" s="70">
        <v>15822.862508088479</v>
      </c>
      <c r="AH18" s="70">
        <v>6302.5310381437503</v>
      </c>
      <c r="AI18" s="38"/>
      <c r="AJ18" s="38"/>
      <c r="AK18" s="38"/>
      <c r="AQ18" s="77"/>
      <c r="AR18" s="72" t="s">
        <v>133</v>
      </c>
      <c r="AS18" s="69">
        <v>4</v>
      </c>
      <c r="AT18" s="74">
        <v>32533.319965913881</v>
      </c>
      <c r="AU18" s="69">
        <v>2</v>
      </c>
      <c r="AV18" s="74">
        <v>10275.71854470946</v>
      </c>
    </row>
    <row r="19" spans="3:48" x14ac:dyDescent="0.25">
      <c r="C19" t="s">
        <v>144</v>
      </c>
      <c r="D19" t="s">
        <v>142</v>
      </c>
      <c r="E19">
        <v>2</v>
      </c>
      <c r="O19" s="37"/>
      <c r="P19" s="38" t="s">
        <v>142</v>
      </c>
      <c r="Q19" s="67">
        <v>2</v>
      </c>
      <c r="R19" s="67"/>
      <c r="S19" s="67"/>
      <c r="T19" s="67"/>
      <c r="U19" s="67"/>
      <c r="V19" s="68"/>
      <c r="W19" s="68"/>
      <c r="X19" s="68"/>
      <c r="AB19" s="102"/>
      <c r="AC19" s="38" t="s">
        <v>132</v>
      </c>
      <c r="AD19" s="70">
        <v>13291.126211496899</v>
      </c>
      <c r="AE19" s="39">
        <v>19621.815574436179</v>
      </c>
      <c r="AF19" s="70">
        <v>19584.704884047689</v>
      </c>
      <c r="AG19" s="70">
        <v>13721.97169303028</v>
      </c>
      <c r="AH19" s="70">
        <v>2529.630594161355</v>
      </c>
      <c r="AI19" s="38"/>
      <c r="AJ19" s="38"/>
      <c r="AK19" s="38"/>
      <c r="AQ19" s="77"/>
      <c r="AR19" s="72" t="s">
        <v>134</v>
      </c>
      <c r="AS19" s="69">
        <v>3</v>
      </c>
      <c r="AT19" s="73">
        <v>31612.3603090506</v>
      </c>
      <c r="AU19" s="69">
        <v>2</v>
      </c>
      <c r="AV19" s="74">
        <v>9466.3167611151603</v>
      </c>
    </row>
    <row r="20" spans="3:48" x14ac:dyDescent="0.25">
      <c r="D20" t="s">
        <v>143</v>
      </c>
      <c r="E20">
        <v>1</v>
      </c>
      <c r="F20">
        <v>2</v>
      </c>
      <c r="G20">
        <v>3</v>
      </c>
      <c r="H20">
        <v>4</v>
      </c>
      <c r="I20">
        <v>5</v>
      </c>
      <c r="O20" s="37"/>
      <c r="P20" s="38" t="s">
        <v>143</v>
      </c>
      <c r="Q20" s="67">
        <v>1</v>
      </c>
      <c r="R20" s="67">
        <v>2</v>
      </c>
      <c r="S20" s="67">
        <v>3</v>
      </c>
      <c r="T20" s="67">
        <v>4</v>
      </c>
      <c r="U20" s="67">
        <v>5</v>
      </c>
      <c r="V20" s="68"/>
      <c r="W20" s="68"/>
      <c r="X20" s="68"/>
      <c r="AB20" s="102"/>
      <c r="AC20" s="38" t="s">
        <v>133</v>
      </c>
      <c r="AD20" s="70">
        <v>13539.363746654401</v>
      </c>
      <c r="AE20" s="39">
        <v>19269.82148136996</v>
      </c>
      <c r="AF20" s="70">
        <v>17895.610724091628</v>
      </c>
      <c r="AG20" s="70">
        <v>10057.4581158082</v>
      </c>
      <c r="AH20" s="70">
        <v>-3661.6929233312849</v>
      </c>
      <c r="AI20" s="38"/>
      <c r="AJ20" s="38"/>
      <c r="AK20" s="38"/>
      <c r="AQ20" s="77"/>
      <c r="AR20" s="72" t="s">
        <v>184</v>
      </c>
      <c r="AS20" s="38"/>
      <c r="AT20" s="38"/>
      <c r="AU20" s="38"/>
      <c r="AV20" s="38"/>
    </row>
    <row r="21" spans="3:48" x14ac:dyDescent="0.25">
      <c r="C21" s="100" t="s">
        <v>145</v>
      </c>
      <c r="D21" t="s">
        <v>135</v>
      </c>
      <c r="E21" s="65">
        <v>12602.3262695384</v>
      </c>
      <c r="F21" s="65">
        <v>9616.0111614116504</v>
      </c>
      <c r="G21" s="65">
        <v>6786.71825109563</v>
      </c>
      <c r="H21" s="65">
        <v>4105.1591795503</v>
      </c>
      <c r="I21" s="65">
        <v>1562.63165256711</v>
      </c>
      <c r="O21" s="113" t="s">
        <v>145</v>
      </c>
      <c r="P21" s="38" t="s">
        <v>135</v>
      </c>
      <c r="Q21" s="70">
        <f>E21*E$20</f>
        <v>12602.3262695384</v>
      </c>
      <c r="R21" s="69">
        <f t="shared" ref="R21:U30" si="2">F21*F$20</f>
        <v>19232.022322823301</v>
      </c>
      <c r="S21" s="41">
        <f t="shared" si="2"/>
        <v>20360.15475328689</v>
      </c>
      <c r="T21" s="70">
        <f t="shared" si="2"/>
        <v>16420.6367182012</v>
      </c>
      <c r="U21" s="70">
        <f t="shared" si="2"/>
        <v>7813.15826283555</v>
      </c>
      <c r="V21" s="68"/>
      <c r="W21" s="68"/>
      <c r="X21" s="68"/>
      <c r="AB21" s="102"/>
      <c r="AC21" s="38" t="s">
        <v>134</v>
      </c>
      <c r="AD21" s="70">
        <v>14028.011894302401</v>
      </c>
      <c r="AE21" s="39">
        <v>18565.546652875139</v>
      </c>
      <c r="AF21" s="70">
        <v>14556.156486922981</v>
      </c>
      <c r="AG21" s="70">
        <v>2849.5847545731799</v>
      </c>
      <c r="AH21" s="70">
        <v>-15788.907474245299</v>
      </c>
      <c r="AI21" s="38"/>
      <c r="AJ21" s="38"/>
      <c r="AK21" s="38"/>
      <c r="AQ21" s="77"/>
      <c r="AR21" s="72" t="s">
        <v>135</v>
      </c>
      <c r="AS21" s="69">
        <v>6</v>
      </c>
      <c r="AT21" s="74">
        <v>46961.105826404935</v>
      </c>
      <c r="AU21" s="69">
        <v>4</v>
      </c>
      <c r="AV21" s="74">
        <v>15309.16964325912</v>
      </c>
    </row>
    <row r="22" spans="3:48" x14ac:dyDescent="0.25">
      <c r="C22" s="100"/>
      <c r="D22" t="s">
        <v>131</v>
      </c>
      <c r="E22" s="65">
        <v>12995.490577873799</v>
      </c>
      <c r="F22" s="65">
        <v>9813.0026083273497</v>
      </c>
      <c r="G22" s="65">
        <v>6803.2605435879595</v>
      </c>
      <c r="H22" s="65">
        <v>3955.7156270221199</v>
      </c>
      <c r="I22" s="65">
        <v>1260.50620762875</v>
      </c>
      <c r="O22" s="113"/>
      <c r="P22" s="38" t="s">
        <v>131</v>
      </c>
      <c r="Q22" s="70">
        <f t="shared" ref="Q22:Q30" si="3">E22*E$20</f>
        <v>12995.490577873799</v>
      </c>
      <c r="R22" s="69">
        <f t="shared" si="2"/>
        <v>19626.005216654699</v>
      </c>
      <c r="S22" s="41">
        <f t="shared" si="2"/>
        <v>20409.781630763879</v>
      </c>
      <c r="T22" s="70">
        <f t="shared" si="2"/>
        <v>15822.862508088479</v>
      </c>
      <c r="U22" s="70">
        <f t="shared" si="2"/>
        <v>6302.5310381437503</v>
      </c>
      <c r="V22" s="68"/>
      <c r="W22" s="68"/>
      <c r="X22" s="68"/>
      <c r="AB22" s="102" t="s">
        <v>146</v>
      </c>
      <c r="AC22" s="38" t="s">
        <v>135</v>
      </c>
      <c r="AD22" s="70">
        <v>5382.94828341826</v>
      </c>
      <c r="AE22" s="41">
        <v>5877.7802902655603</v>
      </c>
      <c r="AF22" s="70">
        <v>1833.271671671718</v>
      </c>
      <c r="AG22" s="70">
        <v>-6426.6876743410403</v>
      </c>
      <c r="AH22" s="70">
        <v>-18601.317960821048</v>
      </c>
      <c r="AI22" s="38"/>
      <c r="AJ22" s="38"/>
      <c r="AK22" s="38"/>
      <c r="AQ22" s="77"/>
      <c r="AR22" s="72" t="s">
        <v>131</v>
      </c>
      <c r="AS22" s="69">
        <v>6</v>
      </c>
      <c r="AT22" s="74">
        <v>47496.742476159663</v>
      </c>
      <c r="AU22" s="69">
        <v>4</v>
      </c>
      <c r="AV22" s="74">
        <v>16131.266748890361</v>
      </c>
    </row>
    <row r="23" spans="3:48" x14ac:dyDescent="0.25">
      <c r="C23" s="100"/>
      <c r="D23" t="s">
        <v>132</v>
      </c>
      <c r="E23" s="65">
        <v>13291.126211496899</v>
      </c>
      <c r="F23" s="65">
        <v>9810.9077872180897</v>
      </c>
      <c r="G23" s="65">
        <v>6528.2349613492297</v>
      </c>
      <c r="H23" s="65">
        <v>3430.4929232575701</v>
      </c>
      <c r="I23" s="65">
        <v>505.92611883227102</v>
      </c>
      <c r="O23" s="113"/>
      <c r="P23" s="38" t="s">
        <v>132</v>
      </c>
      <c r="Q23" s="70">
        <f t="shared" si="3"/>
        <v>13291.126211496899</v>
      </c>
      <c r="R23" s="39">
        <f t="shared" si="2"/>
        <v>19621.815574436179</v>
      </c>
      <c r="S23" s="70">
        <f t="shared" si="2"/>
        <v>19584.704884047689</v>
      </c>
      <c r="T23" s="70">
        <f t="shared" si="2"/>
        <v>13721.97169303028</v>
      </c>
      <c r="U23" s="70">
        <f t="shared" si="2"/>
        <v>2529.630594161355</v>
      </c>
      <c r="V23" s="68"/>
      <c r="W23" s="68"/>
      <c r="X23" s="68"/>
      <c r="AB23" s="102"/>
      <c r="AC23" s="38" t="s">
        <v>131</v>
      </c>
      <c r="AD23" s="70">
        <v>5687.1509964568904</v>
      </c>
      <c r="AE23" s="41">
        <v>6143.7897237037196</v>
      </c>
      <c r="AF23" s="70">
        <v>1755.972090252189</v>
      </c>
      <c r="AG23" s="70">
        <v>-7118.7401766105204</v>
      </c>
      <c r="AH23" s="70">
        <v>-20149.176419987951</v>
      </c>
      <c r="AI23" s="38"/>
      <c r="AJ23" s="38"/>
      <c r="AK23" s="38"/>
      <c r="AQ23" s="77"/>
      <c r="AR23" s="72" t="s">
        <v>132</v>
      </c>
      <c r="AS23" s="69">
        <v>5</v>
      </c>
      <c r="AT23" s="74">
        <v>47089.316932468602</v>
      </c>
      <c r="AU23" s="69">
        <v>3</v>
      </c>
      <c r="AV23" s="74">
        <v>15883.00380042255</v>
      </c>
    </row>
    <row r="24" spans="3:48" x14ac:dyDescent="0.25">
      <c r="C24" s="100"/>
      <c r="D24" t="s">
        <v>133</v>
      </c>
      <c r="E24" s="65">
        <v>13539.363746654401</v>
      </c>
      <c r="F24" s="65">
        <v>9634.9107406849798</v>
      </c>
      <c r="G24" s="65">
        <v>5965.2035746972097</v>
      </c>
      <c r="H24" s="65">
        <v>2514.36452895205</v>
      </c>
      <c r="I24" s="65">
        <v>-732.33858466625702</v>
      </c>
      <c r="O24" s="113"/>
      <c r="P24" s="38" t="s">
        <v>133</v>
      </c>
      <c r="Q24" s="70">
        <f t="shared" si="3"/>
        <v>13539.363746654401</v>
      </c>
      <c r="R24" s="39">
        <f t="shared" si="2"/>
        <v>19269.82148136996</v>
      </c>
      <c r="S24" s="70">
        <f t="shared" si="2"/>
        <v>17895.610724091628</v>
      </c>
      <c r="T24" s="70">
        <f t="shared" si="2"/>
        <v>10057.4581158082</v>
      </c>
      <c r="U24" s="70">
        <f t="shared" si="2"/>
        <v>-3661.6929233312849</v>
      </c>
      <c r="V24" s="68"/>
      <c r="W24" s="68"/>
      <c r="X24" s="68"/>
      <c r="AB24" s="102"/>
      <c r="AC24" s="38" t="s">
        <v>132</v>
      </c>
      <c r="AD24" s="41">
        <v>5642.2405798333803</v>
      </c>
      <c r="AE24" s="70">
        <v>5565.6173314684802</v>
      </c>
      <c r="AF24" s="70">
        <v>211.49587336633709</v>
      </c>
      <c r="AG24" s="70">
        <v>-10012.82151708944</v>
      </c>
      <c r="AH24" s="70">
        <v>-24731.466991968802</v>
      </c>
      <c r="AI24" s="38"/>
      <c r="AJ24" s="38"/>
      <c r="AK24" s="38"/>
      <c r="AR24" s="72" t="s">
        <v>133</v>
      </c>
      <c r="AS24" s="69">
        <v>5</v>
      </c>
      <c r="AT24" s="74">
        <v>45989.076726526197</v>
      </c>
      <c r="AU24" s="69">
        <v>3</v>
      </c>
      <c r="AV24" s="74">
        <v>14885.624565340051</v>
      </c>
    </row>
    <row r="25" spans="3:48" x14ac:dyDescent="0.25">
      <c r="C25" s="100"/>
      <c r="D25" t="s">
        <v>134</v>
      </c>
      <c r="E25" s="65">
        <v>14028.011894302401</v>
      </c>
      <c r="F25" s="65">
        <v>9282.7733264375693</v>
      </c>
      <c r="G25" s="65">
        <v>4852.0521623076602</v>
      </c>
      <c r="H25" s="65">
        <v>712.39618864329498</v>
      </c>
      <c r="I25" s="65">
        <v>-3157.78149484906</v>
      </c>
      <c r="O25" s="113"/>
      <c r="P25" s="38" t="s">
        <v>134</v>
      </c>
      <c r="Q25" s="70">
        <f t="shared" si="3"/>
        <v>14028.011894302401</v>
      </c>
      <c r="R25" s="39">
        <f t="shared" si="2"/>
        <v>18565.546652875139</v>
      </c>
      <c r="S25" s="70">
        <f t="shared" si="2"/>
        <v>14556.156486922981</v>
      </c>
      <c r="T25" s="70">
        <f t="shared" si="2"/>
        <v>2849.5847545731799</v>
      </c>
      <c r="U25" s="70">
        <f t="shared" si="2"/>
        <v>-15788.907474245299</v>
      </c>
      <c r="V25" s="68"/>
      <c r="W25" s="68"/>
      <c r="X25" s="68"/>
      <c r="AB25" s="102"/>
      <c r="AC25" s="38" t="s">
        <v>133</v>
      </c>
      <c r="AD25" s="41">
        <v>5344.2778278956303</v>
      </c>
      <c r="AE25" s="70">
        <v>4287.8311842738804</v>
      </c>
      <c r="AF25" s="70">
        <v>-2646.7301120134352</v>
      </c>
      <c r="AG25" s="70">
        <v>-14979.466571695761</v>
      </c>
      <c r="AH25" s="70">
        <v>-32269.625064900603</v>
      </c>
      <c r="AI25" s="38"/>
      <c r="AJ25" s="38"/>
      <c r="AK25" s="38"/>
      <c r="AQ25" s="77"/>
      <c r="AR25" s="72" t="s">
        <v>134</v>
      </c>
      <c r="AS25" s="69">
        <v>4</v>
      </c>
      <c r="AT25" s="74">
        <v>44432.5104594476</v>
      </c>
      <c r="AU25" s="69">
        <v>3</v>
      </c>
      <c r="AV25" s="74">
        <v>13591.108540609228</v>
      </c>
    </row>
    <row r="26" spans="3:48" x14ac:dyDescent="0.25">
      <c r="C26" s="100" t="s">
        <v>146</v>
      </c>
      <c r="D26" t="s">
        <v>135</v>
      </c>
      <c r="E26" s="65">
        <v>5382.94828341826</v>
      </c>
      <c r="F26" s="65">
        <v>2938.8901451327802</v>
      </c>
      <c r="G26" s="65">
        <v>611.09055722390599</v>
      </c>
      <c r="H26" s="65">
        <v>-1606.6719185852601</v>
      </c>
      <c r="I26" s="65">
        <v>-3720.26359216421</v>
      </c>
      <c r="O26" s="113" t="s">
        <v>146</v>
      </c>
      <c r="P26" s="38" t="s">
        <v>135</v>
      </c>
      <c r="Q26" s="70">
        <f t="shared" si="3"/>
        <v>5382.94828341826</v>
      </c>
      <c r="R26" s="41">
        <f t="shared" si="2"/>
        <v>5877.7802902655603</v>
      </c>
      <c r="S26" s="70">
        <f t="shared" si="2"/>
        <v>1833.271671671718</v>
      </c>
      <c r="T26" s="70">
        <f t="shared" si="2"/>
        <v>-6426.6876743410403</v>
      </c>
      <c r="U26" s="70">
        <f t="shared" si="2"/>
        <v>-18601.317960821048</v>
      </c>
      <c r="V26" s="68"/>
      <c r="W26" s="68"/>
      <c r="X26" s="68"/>
      <c r="AB26" s="102"/>
      <c r="AC26" s="38" t="s">
        <v>134</v>
      </c>
      <c r="AD26" s="41">
        <v>4976.8542585089999</v>
      </c>
      <c r="AE26" s="70">
        <v>2177.6557439480598</v>
      </c>
      <c r="AF26" s="70">
        <v>-7697.7975953647492</v>
      </c>
      <c r="AG26" s="70">
        <v>-24012.685414627678</v>
      </c>
      <c r="AH26" s="70">
        <v>-46187.49736728015</v>
      </c>
      <c r="AI26" s="38"/>
      <c r="AJ26" s="38"/>
      <c r="AK26" s="38"/>
      <c r="AQ26" s="77"/>
      <c r="AR26" s="72" t="s">
        <v>185</v>
      </c>
      <c r="AS26" s="38"/>
      <c r="AT26" s="38"/>
      <c r="AU26" s="38"/>
      <c r="AV26" s="38"/>
    </row>
    <row r="27" spans="3:48" x14ac:dyDescent="0.25">
      <c r="C27" s="100"/>
      <c r="D27" t="s">
        <v>131</v>
      </c>
      <c r="E27" s="65">
        <v>5687.1509964568904</v>
      </c>
      <c r="F27" s="65">
        <v>3071.8948618518598</v>
      </c>
      <c r="G27" s="65">
        <v>585.324030084063</v>
      </c>
      <c r="H27" s="65">
        <v>-1779.6850441526301</v>
      </c>
      <c r="I27" s="65">
        <v>-4029.8352839975901</v>
      </c>
      <c r="O27" s="113"/>
      <c r="P27" s="38" t="s">
        <v>131</v>
      </c>
      <c r="Q27" s="70">
        <f t="shared" si="3"/>
        <v>5687.1509964568904</v>
      </c>
      <c r="R27" s="41">
        <f t="shared" si="2"/>
        <v>6143.7897237037196</v>
      </c>
      <c r="S27" s="70">
        <f t="shared" si="2"/>
        <v>1755.972090252189</v>
      </c>
      <c r="T27" s="70">
        <f t="shared" si="2"/>
        <v>-7118.7401766105204</v>
      </c>
      <c r="U27" s="70">
        <f t="shared" si="2"/>
        <v>-20149.176419987951</v>
      </c>
      <c r="V27" s="68"/>
      <c r="W27" s="68"/>
      <c r="X27" s="68"/>
      <c r="AB27" s="110" t="s">
        <v>158</v>
      </c>
      <c r="AC27" s="111"/>
      <c r="AD27" s="111"/>
      <c r="AE27" s="111"/>
      <c r="AF27" s="111"/>
      <c r="AG27" s="111"/>
      <c r="AH27" s="111"/>
      <c r="AI27" s="111"/>
      <c r="AJ27" s="111"/>
      <c r="AK27" s="112"/>
      <c r="AQ27" s="77"/>
      <c r="AR27" s="72" t="s">
        <v>135</v>
      </c>
      <c r="AS27" s="69">
        <v>7</v>
      </c>
      <c r="AT27" s="74">
        <v>59827.923695637721</v>
      </c>
      <c r="AU27" s="69">
        <v>4</v>
      </c>
      <c r="AV27" s="74">
        <v>19716.405045307722</v>
      </c>
    </row>
    <row r="28" spans="3:48" x14ac:dyDescent="0.25">
      <c r="C28" s="100"/>
      <c r="D28" t="s">
        <v>132</v>
      </c>
      <c r="E28" s="65">
        <v>5642.2405798333803</v>
      </c>
      <c r="F28" s="65">
        <v>2782.8086657342401</v>
      </c>
      <c r="G28" s="65">
        <v>70.498624455445693</v>
      </c>
      <c r="H28" s="65">
        <v>-2503.20537927236</v>
      </c>
      <c r="I28" s="65">
        <v>-4946.2933983937601</v>
      </c>
      <c r="O28" s="113"/>
      <c r="P28" s="38" t="s">
        <v>132</v>
      </c>
      <c r="Q28" s="41">
        <f t="shared" si="3"/>
        <v>5642.2405798333803</v>
      </c>
      <c r="R28" s="70">
        <f t="shared" si="2"/>
        <v>5565.6173314684802</v>
      </c>
      <c r="S28" s="70">
        <f t="shared" si="2"/>
        <v>211.49587336633709</v>
      </c>
      <c r="T28" s="70">
        <f t="shared" si="2"/>
        <v>-10012.82151708944</v>
      </c>
      <c r="U28" s="70">
        <f t="shared" si="2"/>
        <v>-24731.466991968802</v>
      </c>
      <c r="V28" s="68"/>
      <c r="W28" s="68"/>
      <c r="X28" s="68"/>
      <c r="AB28" s="107" t="s">
        <v>143</v>
      </c>
      <c r="AC28" s="107"/>
      <c r="AD28" s="38">
        <v>1</v>
      </c>
      <c r="AE28" s="38">
        <v>2</v>
      </c>
      <c r="AF28" s="38">
        <v>3</v>
      </c>
      <c r="AG28" s="38">
        <v>4</v>
      </c>
      <c r="AH28" s="38">
        <v>5</v>
      </c>
      <c r="AI28" s="38">
        <v>6</v>
      </c>
      <c r="AJ28" s="38"/>
      <c r="AK28" s="38"/>
      <c r="AQ28" s="77"/>
      <c r="AR28" s="72" t="s">
        <v>131</v>
      </c>
      <c r="AS28" s="69">
        <v>7</v>
      </c>
      <c r="AT28" s="74">
        <v>60813.238841944541</v>
      </c>
      <c r="AU28" s="69">
        <v>4</v>
      </c>
      <c r="AV28" s="74">
        <v>20877.616253410841</v>
      </c>
    </row>
    <row r="29" spans="3:48" x14ac:dyDescent="0.25">
      <c r="C29" s="100"/>
      <c r="D29" t="s">
        <v>133</v>
      </c>
      <c r="E29" s="65">
        <v>5344.2778278956303</v>
      </c>
      <c r="F29" s="65">
        <v>2143.9155921369402</v>
      </c>
      <c r="G29" s="65">
        <v>-882.24337067114504</v>
      </c>
      <c r="H29" s="65">
        <v>-3744.8666429239402</v>
      </c>
      <c r="I29" s="65">
        <v>-6453.9250129801203</v>
      </c>
      <c r="O29" s="113"/>
      <c r="P29" s="38" t="s">
        <v>133</v>
      </c>
      <c r="Q29" s="41">
        <f t="shared" si="3"/>
        <v>5344.2778278956303</v>
      </c>
      <c r="R29" s="70">
        <f t="shared" si="2"/>
        <v>4287.8311842738804</v>
      </c>
      <c r="S29" s="70">
        <f t="shared" si="2"/>
        <v>-2646.7301120134352</v>
      </c>
      <c r="T29" s="70">
        <f t="shared" si="2"/>
        <v>-14979.466571695761</v>
      </c>
      <c r="U29" s="70">
        <f t="shared" si="2"/>
        <v>-32269.625064900603</v>
      </c>
      <c r="V29" s="68"/>
      <c r="W29" s="68"/>
      <c r="X29" s="68"/>
      <c r="AB29" s="102" t="s">
        <v>145</v>
      </c>
      <c r="AC29" s="38" t="s">
        <v>135</v>
      </c>
      <c r="AD29" s="70">
        <v>14513.465898939399</v>
      </c>
      <c r="AE29" s="70">
        <v>24841.664567381202</v>
      </c>
      <c r="AF29" s="69">
        <v>31210.213631723098</v>
      </c>
      <c r="AG29" s="41">
        <v>33832.568218206921</v>
      </c>
      <c r="AH29" s="70">
        <v>32910.6766038641</v>
      </c>
      <c r="AI29" s="70">
        <v>28635.60052290684</v>
      </c>
      <c r="AJ29" s="38"/>
      <c r="AK29" s="38"/>
      <c r="AQ29" s="77"/>
      <c r="AR29" s="72" t="s">
        <v>132</v>
      </c>
      <c r="AS29" s="69">
        <v>7</v>
      </c>
      <c r="AT29" s="74">
        <v>60135.35017484687</v>
      </c>
      <c r="AU29" s="69">
        <v>4</v>
      </c>
      <c r="AV29" s="74">
        <v>20574.831640879282</v>
      </c>
    </row>
    <row r="30" spans="3:48" x14ac:dyDescent="0.25">
      <c r="C30" s="100"/>
      <c r="D30" t="s">
        <v>134</v>
      </c>
      <c r="E30" s="65">
        <v>4976.8542585089999</v>
      </c>
      <c r="F30" s="65">
        <v>1088.8278719740299</v>
      </c>
      <c r="G30" s="65">
        <v>-2565.9325317882499</v>
      </c>
      <c r="H30" s="65">
        <v>-6003.1713536569196</v>
      </c>
      <c r="I30" s="65">
        <v>-9237.4994734560296</v>
      </c>
      <c r="O30" s="113"/>
      <c r="P30" s="38" t="s">
        <v>134</v>
      </c>
      <c r="Q30" s="41">
        <f t="shared" si="3"/>
        <v>4976.8542585089999</v>
      </c>
      <c r="R30" s="70">
        <f t="shared" si="2"/>
        <v>2177.6557439480598</v>
      </c>
      <c r="S30" s="70">
        <f t="shared" si="2"/>
        <v>-7697.7975953647492</v>
      </c>
      <c r="T30" s="70">
        <f t="shared" si="2"/>
        <v>-24012.685414627678</v>
      </c>
      <c r="U30" s="70">
        <f t="shared" si="2"/>
        <v>-46187.49736728015</v>
      </c>
      <c r="V30" s="68"/>
      <c r="W30" s="68"/>
      <c r="X30" s="68"/>
      <c r="AB30" s="102"/>
      <c r="AC30" s="38" t="s">
        <v>131</v>
      </c>
      <c r="AD30" s="70">
        <v>15040.513161729699</v>
      </c>
      <c r="AE30" s="70">
        <v>25612.796950607</v>
      </c>
      <c r="AF30" s="69">
        <v>31965.732184409702</v>
      </c>
      <c r="AG30" s="41">
        <v>34334.336994761681</v>
      </c>
      <c r="AH30" s="70">
        <v>32940.53898012315</v>
      </c>
      <c r="AI30" s="70">
        <v>27993.904349780096</v>
      </c>
      <c r="AJ30" s="38"/>
      <c r="AK30" s="38"/>
      <c r="AQ30" s="77"/>
      <c r="AR30" s="72" t="s">
        <v>133</v>
      </c>
      <c r="AS30" s="69">
        <v>6</v>
      </c>
      <c r="AT30" s="74">
        <v>58780.565196174844</v>
      </c>
      <c r="AU30" s="69">
        <v>4</v>
      </c>
      <c r="AV30" s="74">
        <v>19193.46181185836</v>
      </c>
    </row>
    <row r="31" spans="3:48" x14ac:dyDescent="0.25">
      <c r="Q31" s="68"/>
      <c r="R31" s="68"/>
      <c r="S31" s="68"/>
      <c r="T31" s="68"/>
      <c r="U31" s="68"/>
      <c r="V31" s="68"/>
      <c r="W31" s="68"/>
      <c r="X31" s="68"/>
      <c r="AB31" s="102"/>
      <c r="AC31" s="38" t="s">
        <v>132</v>
      </c>
      <c r="AD31" s="70">
        <v>15536.250403178799</v>
      </c>
      <c r="AE31" s="70">
        <v>26173.832324359199</v>
      </c>
      <c r="AF31" s="69">
        <v>32198.4425205402</v>
      </c>
      <c r="AG31" s="41">
        <v>33879.115539948361</v>
      </c>
      <c r="AH31" s="70">
        <v>31469.195483857551</v>
      </c>
      <c r="AI31" s="70">
        <v>25207.25109399252</v>
      </c>
      <c r="AJ31" s="38"/>
      <c r="AK31" s="38"/>
      <c r="AQ31" s="77"/>
      <c r="AR31" s="72" t="s">
        <v>134</v>
      </c>
      <c r="AS31" s="69">
        <v>6</v>
      </c>
      <c r="AT31" s="74">
        <v>56989.368943461122</v>
      </c>
      <c r="AU31" s="69">
        <v>3</v>
      </c>
      <c r="AV31" s="74">
        <v>17928.843480447089</v>
      </c>
    </row>
    <row r="32" spans="3:48" x14ac:dyDescent="0.25">
      <c r="Q32" s="68"/>
      <c r="R32" s="68"/>
      <c r="S32" s="68"/>
      <c r="T32" s="68"/>
      <c r="U32" s="68"/>
      <c r="V32" s="68"/>
      <c r="W32" s="68"/>
      <c r="X32" s="68"/>
      <c r="AB32" s="102"/>
      <c r="AC32" s="38" t="s">
        <v>133</v>
      </c>
      <c r="AD32" s="70">
        <v>16069.2523503549</v>
      </c>
      <c r="AE32" s="70">
        <v>26623.916378975598</v>
      </c>
      <c r="AF32" s="69">
        <v>32005.230473743504</v>
      </c>
      <c r="AG32" s="41">
        <v>32533.3174594966</v>
      </c>
      <c r="AH32" s="70">
        <v>28508.491212462701</v>
      </c>
      <c r="AI32" s="70">
        <v>20212.48242241914</v>
      </c>
      <c r="AJ32" s="38"/>
      <c r="AK32" s="38"/>
      <c r="AQ32" s="77"/>
      <c r="AR32" s="72"/>
    </row>
    <row r="33" spans="3:46" x14ac:dyDescent="0.25">
      <c r="Q33" s="68"/>
      <c r="R33" s="68"/>
      <c r="S33" s="68"/>
      <c r="T33" s="68"/>
      <c r="U33" s="68"/>
      <c r="V33" s="68"/>
      <c r="W33" s="68"/>
      <c r="X33" s="68"/>
      <c r="AB33" s="102"/>
      <c r="AC33" s="38" t="s">
        <v>134</v>
      </c>
      <c r="AD33" s="70">
        <v>17128.228107674699</v>
      </c>
      <c r="AE33" s="70">
        <v>27511.829284025</v>
      </c>
      <c r="AF33" s="39">
        <v>31612.3603090506</v>
      </c>
      <c r="AG33" s="70">
        <v>29859.79212956292</v>
      </c>
      <c r="AH33" s="70">
        <v>22654.671380589549</v>
      </c>
      <c r="AI33" s="70">
        <v>10370.13398682522</v>
      </c>
      <c r="AJ33" s="38"/>
      <c r="AK33" s="38"/>
      <c r="AQ33" s="77"/>
      <c r="AR33" s="72"/>
    </row>
    <row r="34" spans="3:46" x14ac:dyDescent="0.25">
      <c r="Q34" s="68"/>
      <c r="R34" s="68"/>
      <c r="S34" s="68"/>
      <c r="T34" s="68"/>
      <c r="U34" s="68"/>
      <c r="V34" s="68"/>
      <c r="W34" s="68"/>
      <c r="X34" s="68"/>
      <c r="AB34" s="102" t="s">
        <v>146</v>
      </c>
      <c r="AC34" s="38" t="s">
        <v>135</v>
      </c>
      <c r="AD34" s="70">
        <v>6918.6712324416703</v>
      </c>
      <c r="AE34" s="70">
        <v>10430.858674831519</v>
      </c>
      <c r="AF34" s="39">
        <v>10702.23379740597</v>
      </c>
      <c r="AG34" s="70">
        <v>7890.4107779726</v>
      </c>
      <c r="AH34" s="70">
        <v>2145.338361542415</v>
      </c>
      <c r="AI34" s="70">
        <v>-6390.3273378037811</v>
      </c>
      <c r="AJ34" s="38"/>
      <c r="AK34" s="38"/>
      <c r="AQ34" s="77"/>
      <c r="AR34" s="72"/>
    </row>
    <row r="35" spans="3:46" x14ac:dyDescent="0.25">
      <c r="C35" t="s">
        <v>144</v>
      </c>
      <c r="D35" t="s">
        <v>142</v>
      </c>
      <c r="E35">
        <v>3</v>
      </c>
      <c r="O35" s="37"/>
      <c r="P35" s="38" t="s">
        <v>142</v>
      </c>
      <c r="Q35" s="67">
        <v>3</v>
      </c>
      <c r="R35" s="67"/>
      <c r="S35" s="67"/>
      <c r="T35" s="67"/>
      <c r="U35" s="67"/>
      <c r="V35" s="67"/>
      <c r="W35" s="68"/>
      <c r="X35" s="68"/>
      <c r="AB35" s="102"/>
      <c r="AC35" s="38" t="s">
        <v>131</v>
      </c>
      <c r="AD35" s="70">
        <v>7338.9760849434297</v>
      </c>
      <c r="AE35" s="70">
        <v>11026.49128752256</v>
      </c>
      <c r="AF35" s="41">
        <v>11246.40601385373</v>
      </c>
      <c r="AG35" s="70">
        <v>8173.3228277732396</v>
      </c>
      <c r="AH35" s="70">
        <v>1973.052606904565</v>
      </c>
      <c r="AI35" s="70">
        <v>-7196.9427734258406</v>
      </c>
      <c r="AJ35" s="38"/>
      <c r="AK35" s="38"/>
      <c r="AR35" s="72"/>
      <c r="AS35" s="71"/>
      <c r="AT35" s="74"/>
    </row>
    <row r="36" spans="3:46" x14ac:dyDescent="0.25">
      <c r="D36" t="s">
        <v>143</v>
      </c>
      <c r="E36">
        <v>1</v>
      </c>
      <c r="F36">
        <v>2</v>
      </c>
      <c r="G36">
        <v>3</v>
      </c>
      <c r="H36">
        <v>4</v>
      </c>
      <c r="I36">
        <v>5</v>
      </c>
      <c r="J36">
        <v>6</v>
      </c>
      <c r="O36" s="37"/>
      <c r="P36" s="38" t="s">
        <v>143</v>
      </c>
      <c r="Q36" s="67">
        <v>1</v>
      </c>
      <c r="R36" s="67">
        <v>2</v>
      </c>
      <c r="S36" s="67">
        <v>3</v>
      </c>
      <c r="T36" s="67">
        <v>4</v>
      </c>
      <c r="U36" s="67">
        <v>5</v>
      </c>
      <c r="V36" s="67">
        <v>6</v>
      </c>
      <c r="W36" s="68"/>
      <c r="X36" s="68"/>
      <c r="AB36" s="102"/>
      <c r="AC36" s="38" t="s">
        <v>132</v>
      </c>
      <c r="AD36" s="70">
        <v>7456.2243072082501</v>
      </c>
      <c r="AE36" s="41">
        <v>10910.92382638066</v>
      </c>
      <c r="AF36" s="70">
        <v>10575.022802735641</v>
      </c>
      <c r="AG36" s="70">
        <v>6648.3274603424397</v>
      </c>
      <c r="AH36" s="70">
        <v>-679.88795622113503</v>
      </c>
      <c r="AI36" s="70">
        <v>-11230.326031033499</v>
      </c>
      <c r="AJ36" s="38"/>
      <c r="AK36" s="38"/>
      <c r="AQ36" s="77"/>
    </row>
    <row r="37" spans="3:46" x14ac:dyDescent="0.25">
      <c r="C37" s="100" t="s">
        <v>145</v>
      </c>
      <c r="D37" t="s">
        <v>135</v>
      </c>
      <c r="E37" s="65">
        <v>14513.465898939399</v>
      </c>
      <c r="F37" s="65">
        <v>12420.832283690601</v>
      </c>
      <c r="G37" s="65">
        <v>10403.4045439077</v>
      </c>
      <c r="H37" s="65">
        <v>8458.1420545517303</v>
      </c>
      <c r="I37" s="65">
        <v>6582.1353207728198</v>
      </c>
      <c r="J37" s="65">
        <v>4772.6000871511396</v>
      </c>
      <c r="O37" s="113" t="s">
        <v>145</v>
      </c>
      <c r="P37" s="38" t="s">
        <v>135</v>
      </c>
      <c r="Q37" s="70">
        <f>E37*E$36</f>
        <v>14513.465898939399</v>
      </c>
      <c r="R37" s="70">
        <f t="shared" ref="R37:V46" si="4">F37*F$36</f>
        <v>24841.664567381202</v>
      </c>
      <c r="S37" s="69">
        <f t="shared" si="4"/>
        <v>31210.213631723098</v>
      </c>
      <c r="T37" s="41">
        <f t="shared" si="4"/>
        <v>33832.568218206921</v>
      </c>
      <c r="U37" s="70">
        <f t="shared" si="4"/>
        <v>32910.6766038641</v>
      </c>
      <c r="V37" s="70">
        <f t="shared" si="4"/>
        <v>28635.60052290684</v>
      </c>
      <c r="W37" s="68"/>
      <c r="X37" s="68"/>
      <c r="AB37" s="102"/>
      <c r="AC37" s="38" t="s">
        <v>133</v>
      </c>
      <c r="AD37" s="70">
        <v>7383.8985499468099</v>
      </c>
      <c r="AE37" s="41">
        <v>10275.716189308159</v>
      </c>
      <c r="AF37" s="70">
        <v>8926.3291924200294</v>
      </c>
      <c r="AG37" s="70">
        <v>3572.60275361396</v>
      </c>
      <c r="AH37" s="70">
        <v>-5561.8265140656003</v>
      </c>
      <c r="AI37" s="70">
        <v>-18265.811781574557</v>
      </c>
      <c r="AJ37" s="38"/>
      <c r="AK37" s="38"/>
      <c r="AQ37" s="77"/>
    </row>
    <row r="38" spans="3:46" x14ac:dyDescent="0.25">
      <c r="C38" s="100"/>
      <c r="D38" t="s">
        <v>131</v>
      </c>
      <c r="E38" s="65">
        <v>15040.513161729699</v>
      </c>
      <c r="F38" s="65">
        <v>12806.3984753035</v>
      </c>
      <c r="G38" s="65">
        <v>10655.244061469901</v>
      </c>
      <c r="H38" s="65">
        <v>8583.5842486904203</v>
      </c>
      <c r="I38" s="65">
        <v>6588.1077960246303</v>
      </c>
      <c r="J38" s="65">
        <v>4665.6507249633496</v>
      </c>
      <c r="O38" s="113"/>
      <c r="P38" s="38" t="s">
        <v>131</v>
      </c>
      <c r="Q38" s="70">
        <f t="shared" ref="Q38:Q46" si="5">E38*E$36</f>
        <v>15040.513161729699</v>
      </c>
      <c r="R38" s="70">
        <f t="shared" si="4"/>
        <v>25612.796950607</v>
      </c>
      <c r="S38" s="69">
        <f t="shared" si="4"/>
        <v>31965.732184409702</v>
      </c>
      <c r="T38" s="41">
        <f t="shared" si="4"/>
        <v>34334.336994761681</v>
      </c>
      <c r="U38" s="70">
        <f t="shared" si="4"/>
        <v>32940.53898012315</v>
      </c>
      <c r="V38" s="70">
        <f t="shared" si="4"/>
        <v>27993.904349780096</v>
      </c>
      <c r="W38" s="68"/>
      <c r="X38" s="68"/>
      <c r="AB38" s="102"/>
      <c r="AC38" s="38" t="s">
        <v>134</v>
      </c>
      <c r="AD38" s="70">
        <v>7477.3674551062304</v>
      </c>
      <c r="AE38" s="41">
        <v>9466.3167611151603</v>
      </c>
      <c r="AF38" s="70">
        <v>6305.6601055248302</v>
      </c>
      <c r="AG38" s="70">
        <v>-1686.705949631576</v>
      </c>
      <c r="AH38" s="70">
        <v>-14212.509299977952</v>
      </c>
      <c r="AI38" s="70">
        <v>-30991.890837636962</v>
      </c>
      <c r="AJ38" s="38"/>
      <c r="AK38" s="38"/>
      <c r="AQ38" s="77"/>
    </row>
    <row r="39" spans="3:46" x14ac:dyDescent="0.25">
      <c r="C39" s="100"/>
      <c r="D39" t="s">
        <v>132</v>
      </c>
      <c r="E39" s="65">
        <v>15536.250403178799</v>
      </c>
      <c r="F39" s="65">
        <v>13086.916162179599</v>
      </c>
      <c r="G39" s="65">
        <v>10732.8141735134</v>
      </c>
      <c r="H39" s="65">
        <v>8469.7788849870904</v>
      </c>
      <c r="I39" s="65">
        <v>6293.8390967715104</v>
      </c>
      <c r="J39" s="65">
        <v>4201.2085156654202</v>
      </c>
      <c r="O39" s="113"/>
      <c r="P39" s="38" t="s">
        <v>132</v>
      </c>
      <c r="Q39" s="70">
        <f t="shared" si="5"/>
        <v>15536.250403178799</v>
      </c>
      <c r="R39" s="70">
        <f t="shared" si="4"/>
        <v>26173.832324359199</v>
      </c>
      <c r="S39" s="69">
        <f t="shared" si="4"/>
        <v>32198.4425205402</v>
      </c>
      <c r="T39" s="41">
        <f t="shared" si="4"/>
        <v>33879.115539948361</v>
      </c>
      <c r="U39" s="70">
        <f t="shared" si="4"/>
        <v>31469.195483857551</v>
      </c>
      <c r="V39" s="70">
        <f t="shared" si="4"/>
        <v>25207.25109399252</v>
      </c>
      <c r="W39" s="68"/>
      <c r="X39" s="68"/>
      <c r="AB39" s="110" t="s">
        <v>167</v>
      </c>
      <c r="AC39" s="111"/>
      <c r="AD39" s="111"/>
      <c r="AE39" s="111"/>
      <c r="AF39" s="111"/>
      <c r="AG39" s="111"/>
      <c r="AH39" s="111"/>
      <c r="AI39" s="111"/>
      <c r="AJ39" s="111"/>
      <c r="AK39" s="112"/>
      <c r="AQ39" s="77"/>
    </row>
    <row r="40" spans="3:46" x14ac:dyDescent="0.25">
      <c r="C40" s="100"/>
      <c r="D40" t="s">
        <v>133</v>
      </c>
      <c r="E40" s="65">
        <v>16069.2523503549</v>
      </c>
      <c r="F40" s="65">
        <v>13311.958189487799</v>
      </c>
      <c r="G40" s="65">
        <v>10668.410157914501</v>
      </c>
      <c r="H40" s="65">
        <v>8133.3293648741501</v>
      </c>
      <c r="I40" s="65">
        <v>5701.69824249254</v>
      </c>
      <c r="J40" s="65">
        <v>3368.7470704031898</v>
      </c>
      <c r="O40" s="113"/>
      <c r="P40" s="38" t="s">
        <v>133</v>
      </c>
      <c r="Q40" s="70">
        <f t="shared" si="5"/>
        <v>16069.2523503549</v>
      </c>
      <c r="R40" s="70">
        <f t="shared" si="4"/>
        <v>26623.916378975598</v>
      </c>
      <c r="S40" s="69">
        <f t="shared" si="4"/>
        <v>32005.230473743504</v>
      </c>
      <c r="T40" s="41">
        <f t="shared" si="4"/>
        <v>32533.3174594966</v>
      </c>
      <c r="U40" s="70">
        <f t="shared" si="4"/>
        <v>28508.491212462701</v>
      </c>
      <c r="V40" s="70">
        <f t="shared" si="4"/>
        <v>20212.48242241914</v>
      </c>
      <c r="W40" s="68"/>
      <c r="X40" s="68"/>
      <c r="AB40" s="107" t="s">
        <v>143</v>
      </c>
      <c r="AC40" s="107"/>
      <c r="AD40" s="67">
        <v>1</v>
      </c>
      <c r="AE40" s="67">
        <v>2</v>
      </c>
      <c r="AF40" s="67">
        <v>3</v>
      </c>
      <c r="AG40" s="67">
        <v>4</v>
      </c>
      <c r="AH40" s="67">
        <v>5</v>
      </c>
      <c r="AI40" s="67">
        <v>6</v>
      </c>
      <c r="AJ40" s="67">
        <v>7</v>
      </c>
      <c r="AK40" s="38"/>
      <c r="AQ40" s="77"/>
    </row>
    <row r="41" spans="3:46" x14ac:dyDescent="0.25">
      <c r="C41" s="100"/>
      <c r="D41" t="s">
        <v>134</v>
      </c>
      <c r="E41" s="65">
        <v>17128.228107674699</v>
      </c>
      <c r="F41" s="65">
        <v>13755.9146420125</v>
      </c>
      <c r="G41" s="65">
        <v>10537.453436350201</v>
      </c>
      <c r="H41" s="65">
        <v>7464.9480323907301</v>
      </c>
      <c r="I41" s="65">
        <v>4530.9342761179096</v>
      </c>
      <c r="J41" s="65">
        <v>1728.3556644708699</v>
      </c>
      <c r="O41" s="113"/>
      <c r="P41" s="38" t="s">
        <v>134</v>
      </c>
      <c r="Q41" s="70">
        <f t="shared" si="5"/>
        <v>17128.228107674699</v>
      </c>
      <c r="R41" s="70">
        <f t="shared" si="4"/>
        <v>27511.829284025</v>
      </c>
      <c r="S41" s="39">
        <f t="shared" si="4"/>
        <v>31612.3603090506</v>
      </c>
      <c r="T41" s="70">
        <f t="shared" si="4"/>
        <v>29859.79212956292</v>
      </c>
      <c r="U41" s="70">
        <f t="shared" si="4"/>
        <v>22654.671380589549</v>
      </c>
      <c r="V41" s="70">
        <f t="shared" si="4"/>
        <v>10370.13398682522</v>
      </c>
      <c r="W41" s="68"/>
      <c r="X41" s="68"/>
      <c r="AB41" s="102" t="s">
        <v>145</v>
      </c>
      <c r="AC41" s="38" t="s">
        <v>135</v>
      </c>
      <c r="AD41" s="70">
        <v>15436.9433789828</v>
      </c>
      <c r="AE41" s="70">
        <v>27659.818571641001</v>
      </c>
      <c r="AF41" s="70">
        <v>36800.118233810099</v>
      </c>
      <c r="AG41" s="70">
        <v>42983.9554470476</v>
      </c>
      <c r="AH41" s="70">
        <v>46332.283805599356</v>
      </c>
      <c r="AI41" s="41">
        <v>46961.108499253503</v>
      </c>
      <c r="AJ41" s="70">
        <v>44981.688760458797</v>
      </c>
      <c r="AK41" s="38"/>
      <c r="AQ41" s="77"/>
      <c r="AR41" s="72"/>
    </row>
    <row r="42" spans="3:46" x14ac:dyDescent="0.25">
      <c r="C42" s="100" t="s">
        <v>146</v>
      </c>
      <c r="D42" t="s">
        <v>135</v>
      </c>
      <c r="E42" s="65">
        <v>6918.6712324416703</v>
      </c>
      <c r="F42" s="65">
        <v>5215.4293374157596</v>
      </c>
      <c r="G42" s="65">
        <v>3567.4112658019899</v>
      </c>
      <c r="H42" s="65">
        <v>1972.60269449315</v>
      </c>
      <c r="I42" s="65">
        <v>429.067672308483</v>
      </c>
      <c r="J42" s="65">
        <v>-1065.0545563006301</v>
      </c>
      <c r="O42" s="113" t="s">
        <v>146</v>
      </c>
      <c r="P42" s="38" t="s">
        <v>135</v>
      </c>
      <c r="Q42" s="70">
        <f t="shared" si="5"/>
        <v>6918.6712324416703</v>
      </c>
      <c r="R42" s="70">
        <f t="shared" si="4"/>
        <v>10430.858674831519</v>
      </c>
      <c r="S42" s="39">
        <f t="shared" si="4"/>
        <v>10702.23379740597</v>
      </c>
      <c r="T42" s="70">
        <f t="shared" si="4"/>
        <v>7890.4107779726</v>
      </c>
      <c r="U42" s="70">
        <f t="shared" si="4"/>
        <v>2145.338361542415</v>
      </c>
      <c r="V42" s="70">
        <f t="shared" si="4"/>
        <v>-6390.3273378037811</v>
      </c>
      <c r="W42" s="68"/>
      <c r="X42" s="68"/>
      <c r="AB42" s="102"/>
      <c r="AC42" s="38" t="s">
        <v>131</v>
      </c>
      <c r="AD42" s="70">
        <v>16033.689337998499</v>
      </c>
      <c r="AE42" s="70">
        <v>28632.712952319602</v>
      </c>
      <c r="AF42" s="70">
        <v>37942.330689885603</v>
      </c>
      <c r="AG42" s="70">
        <v>44101.659027397603</v>
      </c>
      <c r="AH42" s="70">
        <v>47243.930888472853</v>
      </c>
      <c r="AI42" s="41">
        <v>47496.744472523162</v>
      </c>
      <c r="AJ42" s="70">
        <v>44982.301560093802</v>
      </c>
      <c r="AK42" s="38"/>
      <c r="AQ42" s="77"/>
      <c r="AR42" s="72"/>
    </row>
    <row r="43" spans="3:46" x14ac:dyDescent="0.25">
      <c r="C43" s="100"/>
      <c r="D43" t="s">
        <v>131</v>
      </c>
      <c r="E43" s="65">
        <v>7338.9760849434297</v>
      </c>
      <c r="F43" s="65">
        <v>5513.24564376128</v>
      </c>
      <c r="G43" s="65">
        <v>3748.8020046179099</v>
      </c>
      <c r="H43" s="65">
        <v>2043.3307069433099</v>
      </c>
      <c r="I43" s="65">
        <v>394.61052138091299</v>
      </c>
      <c r="J43" s="65">
        <v>-1199.49046223764</v>
      </c>
      <c r="O43" s="113"/>
      <c r="P43" s="38" t="s">
        <v>131</v>
      </c>
      <c r="Q43" s="70">
        <f t="shared" si="5"/>
        <v>7338.9760849434297</v>
      </c>
      <c r="R43" s="70">
        <f t="shared" si="4"/>
        <v>11026.49128752256</v>
      </c>
      <c r="S43" s="41">
        <f t="shared" si="4"/>
        <v>11246.40601385373</v>
      </c>
      <c r="T43" s="70">
        <f t="shared" si="4"/>
        <v>8173.3228277732396</v>
      </c>
      <c r="U43" s="70">
        <f t="shared" si="4"/>
        <v>1973.052606904565</v>
      </c>
      <c r="V43" s="70">
        <f t="shared" si="4"/>
        <v>-7196.9427734258406</v>
      </c>
      <c r="W43" s="68"/>
      <c r="X43" s="68"/>
      <c r="AB43" s="102"/>
      <c r="AC43" s="38" t="s">
        <v>132</v>
      </c>
      <c r="AD43" s="70">
        <v>16632.021574407001</v>
      </c>
      <c r="AE43" s="70">
        <v>29493.556289889599</v>
      </c>
      <c r="AF43" s="70">
        <v>38751.6805104339</v>
      </c>
      <c r="AG43" s="70">
        <v>44566.067176422403</v>
      </c>
      <c r="AH43" s="41">
        <v>47089.313862297502</v>
      </c>
      <c r="AI43" s="70">
        <v>46467.256297453205</v>
      </c>
      <c r="AJ43" s="70">
        <v>42839.267994516071</v>
      </c>
      <c r="AK43" s="38"/>
      <c r="AQ43" s="77"/>
      <c r="AR43" s="72"/>
    </row>
    <row r="44" spans="3:46" x14ac:dyDescent="0.25">
      <c r="C44" s="100"/>
      <c r="D44" t="s">
        <v>132</v>
      </c>
      <c r="E44" s="65">
        <v>7456.2243072082501</v>
      </c>
      <c r="F44" s="65">
        <v>5455.4619131903301</v>
      </c>
      <c r="G44" s="65">
        <v>3525.0076009118802</v>
      </c>
      <c r="H44" s="65">
        <v>1662.0818650856099</v>
      </c>
      <c r="I44" s="65">
        <v>-135.977591244227</v>
      </c>
      <c r="J44" s="65">
        <v>-1871.72100517225</v>
      </c>
      <c r="O44" s="113"/>
      <c r="P44" s="38" t="s">
        <v>132</v>
      </c>
      <c r="Q44" s="70">
        <f t="shared" si="5"/>
        <v>7456.2243072082501</v>
      </c>
      <c r="R44" s="41">
        <f t="shared" si="4"/>
        <v>10910.92382638066</v>
      </c>
      <c r="S44" s="70">
        <f t="shared" si="4"/>
        <v>10575.022802735641</v>
      </c>
      <c r="T44" s="70">
        <f t="shared" si="4"/>
        <v>6648.3274603424397</v>
      </c>
      <c r="U44" s="70">
        <f t="shared" si="4"/>
        <v>-679.88795622113503</v>
      </c>
      <c r="V44" s="70">
        <f t="shared" si="4"/>
        <v>-11230.326031033499</v>
      </c>
      <c r="W44" s="68"/>
      <c r="X44" s="68"/>
      <c r="AB44" s="102"/>
      <c r="AC44" s="38" t="s">
        <v>133</v>
      </c>
      <c r="AD44" s="70">
        <v>17310.975503774898</v>
      </c>
      <c r="AE44" s="70">
        <v>30369.951540388</v>
      </c>
      <c r="AF44" s="70">
        <v>39377.010409435505</v>
      </c>
      <c r="AG44" s="70">
        <v>44522.819327818397</v>
      </c>
      <c r="AH44" s="41">
        <v>45989.073466341652</v>
      </c>
      <c r="AI44" s="70">
        <v>43948.918138765017</v>
      </c>
      <c r="AJ44" s="70">
        <v>38567.351124303685</v>
      </c>
      <c r="AK44" s="38"/>
      <c r="AQ44" s="77"/>
      <c r="AR44" s="72"/>
    </row>
    <row r="45" spans="3:46" x14ac:dyDescent="0.25">
      <c r="C45" s="100"/>
      <c r="D45" t="s">
        <v>133</v>
      </c>
      <c r="E45" s="65">
        <v>7383.8985499468099</v>
      </c>
      <c r="F45" s="65">
        <v>5137.8580946540797</v>
      </c>
      <c r="G45" s="65">
        <v>2975.4430641400099</v>
      </c>
      <c r="H45" s="65">
        <v>893.15068840348999</v>
      </c>
      <c r="I45" s="65">
        <v>-1112.36530281312</v>
      </c>
      <c r="J45" s="65">
        <v>-3044.3019635957598</v>
      </c>
      <c r="O45" s="113"/>
      <c r="P45" s="38" t="s">
        <v>133</v>
      </c>
      <c r="Q45" s="70">
        <f t="shared" si="5"/>
        <v>7383.8985499468099</v>
      </c>
      <c r="R45" s="41">
        <f t="shared" si="4"/>
        <v>10275.716189308159</v>
      </c>
      <c r="S45" s="70">
        <f t="shared" si="4"/>
        <v>8926.3291924200294</v>
      </c>
      <c r="T45" s="70">
        <f t="shared" si="4"/>
        <v>3572.60275361396</v>
      </c>
      <c r="U45" s="70">
        <f t="shared" si="4"/>
        <v>-5561.8265140656003</v>
      </c>
      <c r="V45" s="70">
        <f t="shared" si="4"/>
        <v>-18265.811781574557</v>
      </c>
      <c r="W45" s="68"/>
      <c r="X45" s="68"/>
      <c r="AB45" s="102"/>
      <c r="AC45" s="38" t="s">
        <v>134</v>
      </c>
      <c r="AD45" s="70">
        <v>18666.039334244098</v>
      </c>
      <c r="AE45" s="70">
        <v>32114.520799876402</v>
      </c>
      <c r="AF45" s="70">
        <v>40617.413632061398</v>
      </c>
      <c r="AG45" s="41">
        <v>44432.5104594476</v>
      </c>
      <c r="AH45" s="70">
        <v>43804.166270736394</v>
      </c>
      <c r="AI45" s="70">
        <v>38963.998862044857</v>
      </c>
      <c r="AJ45" s="70">
        <v>30131.552772913132</v>
      </c>
      <c r="AK45" s="38"/>
      <c r="AQ45" s="77"/>
      <c r="AR45" s="72"/>
    </row>
    <row r="46" spans="3:46" x14ac:dyDescent="0.25">
      <c r="C46" s="100"/>
      <c r="D46" t="s">
        <v>134</v>
      </c>
      <c r="E46" s="65">
        <v>7477.3674551062304</v>
      </c>
      <c r="F46" s="65">
        <v>4733.1583805575801</v>
      </c>
      <c r="G46" s="65">
        <v>2101.8867018416099</v>
      </c>
      <c r="H46" s="65">
        <v>-421.676487407894</v>
      </c>
      <c r="I46" s="65">
        <v>-2842.5018599955902</v>
      </c>
      <c r="J46" s="65">
        <v>-5165.3151396061603</v>
      </c>
      <c r="O46" s="113"/>
      <c r="P46" s="38" t="s">
        <v>134</v>
      </c>
      <c r="Q46" s="70">
        <f t="shared" si="5"/>
        <v>7477.3674551062304</v>
      </c>
      <c r="R46" s="41">
        <f t="shared" si="4"/>
        <v>9466.3167611151603</v>
      </c>
      <c r="S46" s="70">
        <f t="shared" si="4"/>
        <v>6305.6601055248302</v>
      </c>
      <c r="T46" s="70">
        <f t="shared" si="4"/>
        <v>-1686.705949631576</v>
      </c>
      <c r="U46" s="70">
        <f t="shared" si="4"/>
        <v>-14212.509299977952</v>
      </c>
      <c r="V46" s="70">
        <f t="shared" si="4"/>
        <v>-30991.890837636962</v>
      </c>
      <c r="W46" s="68"/>
      <c r="X46" s="68"/>
      <c r="AB46" s="102" t="s">
        <v>146</v>
      </c>
      <c r="AC46" s="38" t="s">
        <v>135</v>
      </c>
      <c r="AD46" s="70">
        <v>7644.1556342597496</v>
      </c>
      <c r="AE46" s="70">
        <v>12680.249351202619</v>
      </c>
      <c r="AF46" s="70">
        <v>15204.397156538282</v>
      </c>
      <c r="AG46" s="41">
        <v>15309.172852286119</v>
      </c>
      <c r="AH46" s="70">
        <v>13083.73857909855</v>
      </c>
      <c r="AI46" s="70">
        <v>8613.9705476570998</v>
      </c>
      <c r="AJ46" s="70">
        <v>1982.580136435374</v>
      </c>
      <c r="AK46" s="38"/>
      <c r="AR46" s="72"/>
      <c r="AS46" s="71"/>
      <c r="AT46" s="74"/>
    </row>
    <row r="47" spans="3:46" x14ac:dyDescent="0.25">
      <c r="Q47" s="68"/>
      <c r="R47" s="68"/>
      <c r="S47" s="68"/>
      <c r="T47" s="68"/>
      <c r="U47" s="68"/>
      <c r="V47" s="68"/>
      <c r="W47" s="68"/>
      <c r="X47" s="68"/>
      <c r="AB47" s="102"/>
      <c r="AC47" s="38" t="s">
        <v>131</v>
      </c>
      <c r="AD47" s="70">
        <v>8124.3740376901496</v>
      </c>
      <c r="AE47" s="70">
        <v>13450.51098548186</v>
      </c>
      <c r="AF47" s="70">
        <v>16085.2291358127</v>
      </c>
      <c r="AG47" s="41">
        <v>16131.269161092279</v>
      </c>
      <c r="AH47" s="70">
        <v>13687.4497704227</v>
      </c>
      <c r="AI47" s="70">
        <v>8848.8174243701997</v>
      </c>
      <c r="AJ47" s="70">
        <v>1706.790334608989</v>
      </c>
      <c r="AK47" s="38"/>
      <c r="AQ47" s="77"/>
    </row>
    <row r="48" spans="3:46" x14ac:dyDescent="0.25">
      <c r="Q48" s="68"/>
      <c r="R48" s="68"/>
      <c r="S48" s="68"/>
      <c r="T48" s="68"/>
      <c r="U48" s="68"/>
      <c r="V48" s="68"/>
      <c r="W48" s="68"/>
      <c r="X48" s="68"/>
      <c r="AB48" s="102"/>
      <c r="AC48" s="38" t="s">
        <v>132</v>
      </c>
      <c r="AD48" s="70">
        <v>8323.5237615544902</v>
      </c>
      <c r="AE48" s="70">
        <v>13576.9379212288</v>
      </c>
      <c r="AF48" s="41">
        <v>15883.000446163678</v>
      </c>
      <c r="AG48" s="70">
        <v>15359.56084079056</v>
      </c>
      <c r="AH48" s="70">
        <v>12119.75641112755</v>
      </c>
      <c r="AI48" s="70">
        <v>6272.2006814735396</v>
      </c>
      <c r="AJ48" s="70">
        <v>-2078.835722718356</v>
      </c>
      <c r="AK48" s="38"/>
      <c r="AQ48" s="77"/>
    </row>
    <row r="49" spans="3:50" x14ac:dyDescent="0.25">
      <c r="Q49" s="68"/>
      <c r="R49" s="68"/>
      <c r="S49" s="68"/>
      <c r="T49" s="68"/>
      <c r="U49" s="68"/>
      <c r="V49" s="68"/>
      <c r="W49" s="68"/>
      <c r="X49" s="68"/>
      <c r="AB49" s="102"/>
      <c r="AC49" s="38" t="s">
        <v>133</v>
      </c>
      <c r="AD49" s="70">
        <v>8364.8294243261007</v>
      </c>
      <c r="AE49" s="70">
        <v>13277.92170401086</v>
      </c>
      <c r="AF49" s="41">
        <v>14885.621014553431</v>
      </c>
      <c r="AG49" s="70">
        <v>13328.066940311001</v>
      </c>
      <c r="AH49" s="70">
        <v>8739.4575321289503</v>
      </c>
      <c r="AI49" s="70">
        <v>1248.3012120411181</v>
      </c>
      <c r="AJ49" s="70">
        <v>-9022.3420020931408</v>
      </c>
      <c r="AK49" s="38"/>
      <c r="AQ49" s="77"/>
    </row>
    <row r="50" spans="3:50" x14ac:dyDescent="0.25">
      <c r="C50" t="s">
        <v>144</v>
      </c>
      <c r="D50" t="s">
        <v>142</v>
      </c>
      <c r="E50">
        <v>4</v>
      </c>
      <c r="O50" s="37"/>
      <c r="P50" s="38" t="s">
        <v>142</v>
      </c>
      <c r="Q50" s="67">
        <v>4</v>
      </c>
      <c r="R50" s="67"/>
      <c r="S50" s="67"/>
      <c r="T50" s="67"/>
      <c r="U50" s="67"/>
      <c r="V50" s="67"/>
      <c r="W50" s="67"/>
      <c r="X50" s="68"/>
      <c r="AB50" s="102"/>
      <c r="AC50" s="38" t="s">
        <v>134</v>
      </c>
      <c r="AD50" s="70">
        <v>8693.9349939392396</v>
      </c>
      <c r="AE50" s="70">
        <v>13158.13352590752</v>
      </c>
      <c r="AF50" s="41">
        <v>13591.108540609228</v>
      </c>
      <c r="AG50" s="70">
        <v>10182.0562346324</v>
      </c>
      <c r="AH50" s="70">
        <v>3111.2933165764098</v>
      </c>
      <c r="AI50" s="70">
        <v>-7449.3262546197602</v>
      </c>
      <c r="AJ50" s="70">
        <v>-21336.014090000121</v>
      </c>
      <c r="AK50" s="38"/>
      <c r="AQ50" s="77"/>
    </row>
    <row r="51" spans="3:50" x14ac:dyDescent="0.25">
      <c r="D51" t="s">
        <v>143</v>
      </c>
      <c r="E51">
        <v>1</v>
      </c>
      <c r="F51">
        <v>2</v>
      </c>
      <c r="G51">
        <v>3</v>
      </c>
      <c r="H51">
        <v>4</v>
      </c>
      <c r="I51">
        <v>5</v>
      </c>
      <c r="J51">
        <v>6</v>
      </c>
      <c r="K51">
        <v>7</v>
      </c>
      <c r="O51" s="37"/>
      <c r="P51" s="38" t="s">
        <v>143</v>
      </c>
      <c r="Q51" s="67">
        <v>1</v>
      </c>
      <c r="R51" s="67">
        <v>2</v>
      </c>
      <c r="S51" s="67">
        <v>3</v>
      </c>
      <c r="T51" s="67">
        <v>4</v>
      </c>
      <c r="U51" s="67">
        <v>5</v>
      </c>
      <c r="V51" s="67">
        <v>6</v>
      </c>
      <c r="W51" s="67">
        <v>7</v>
      </c>
      <c r="X51" s="68"/>
      <c r="AB51" s="110" t="s">
        <v>168</v>
      </c>
      <c r="AC51" s="111"/>
      <c r="AD51" s="111"/>
      <c r="AE51" s="111"/>
      <c r="AF51" s="111"/>
      <c r="AG51" s="111"/>
      <c r="AH51" s="111"/>
      <c r="AI51" s="111"/>
      <c r="AJ51" s="111"/>
      <c r="AK51" s="112"/>
      <c r="AQ51" s="77"/>
    </row>
    <row r="52" spans="3:50" x14ac:dyDescent="0.25">
      <c r="C52" s="100" t="s">
        <v>145</v>
      </c>
      <c r="D52" t="s">
        <v>135</v>
      </c>
      <c r="E52" s="65">
        <v>15436.9433789828</v>
      </c>
      <c r="F52" s="65">
        <v>13829.9092858205</v>
      </c>
      <c r="G52" s="65">
        <v>12266.7060779367</v>
      </c>
      <c r="H52" s="65">
        <v>10745.9888617619</v>
      </c>
      <c r="I52" s="65">
        <v>9266.4567611198709</v>
      </c>
      <c r="J52" s="65">
        <v>7826.8514165422503</v>
      </c>
      <c r="K52" s="1">
        <v>6425.9555372083996</v>
      </c>
      <c r="O52" s="113" t="s">
        <v>145</v>
      </c>
      <c r="P52" s="38" t="s">
        <v>135</v>
      </c>
      <c r="Q52" s="70">
        <f>E52*E$51</f>
        <v>15436.9433789828</v>
      </c>
      <c r="R52" s="70">
        <f t="shared" ref="R52:W52" si="6">F52*F$51</f>
        <v>27659.818571641001</v>
      </c>
      <c r="S52" s="70">
        <f t="shared" si="6"/>
        <v>36800.118233810099</v>
      </c>
      <c r="T52" s="70">
        <f t="shared" si="6"/>
        <v>42983.9554470476</v>
      </c>
      <c r="U52" s="70">
        <f t="shared" si="6"/>
        <v>46332.283805599356</v>
      </c>
      <c r="V52" s="41">
        <f t="shared" si="6"/>
        <v>46961.108499253503</v>
      </c>
      <c r="W52" s="70">
        <f t="shared" si="6"/>
        <v>44981.688760458797</v>
      </c>
      <c r="X52" s="68"/>
      <c r="AB52" s="107" t="s">
        <v>143</v>
      </c>
      <c r="AC52" s="107"/>
      <c r="AD52" s="38">
        <v>1</v>
      </c>
      <c r="AE52" s="38">
        <v>2</v>
      </c>
      <c r="AF52" s="38">
        <v>3</v>
      </c>
      <c r="AG52" s="38">
        <v>4</v>
      </c>
      <c r="AH52" s="38">
        <v>5</v>
      </c>
      <c r="AI52" s="38">
        <v>6</v>
      </c>
      <c r="AJ52" s="38">
        <v>7</v>
      </c>
      <c r="AK52" s="38">
        <v>8</v>
      </c>
      <c r="AQ52" s="77"/>
      <c r="AR52" s="72"/>
    </row>
    <row r="53" spans="3:50" x14ac:dyDescent="0.25">
      <c r="C53" s="100"/>
      <c r="D53" t="s">
        <v>131</v>
      </c>
      <c r="E53" s="65">
        <v>16033.689337998499</v>
      </c>
      <c r="F53" s="65">
        <v>14316.356476159801</v>
      </c>
      <c r="G53" s="65">
        <v>12647.443563295201</v>
      </c>
      <c r="H53" s="65">
        <v>11025.414756849401</v>
      </c>
      <c r="I53" s="65">
        <v>9448.7861776945701</v>
      </c>
      <c r="J53" s="65">
        <v>7916.12407875386</v>
      </c>
      <c r="K53" s="1">
        <v>6426.0430800134</v>
      </c>
      <c r="O53" s="113"/>
      <c r="P53" s="38" t="s">
        <v>131</v>
      </c>
      <c r="Q53" s="70">
        <f t="shared" ref="Q53:Q61" si="7">E53*E$51</f>
        <v>16033.689337998499</v>
      </c>
      <c r="R53" s="70">
        <f t="shared" ref="R53:R61" si="8">F53*F$51</f>
        <v>28632.712952319602</v>
      </c>
      <c r="S53" s="70">
        <f t="shared" ref="S53:S61" si="9">G53*G$51</f>
        <v>37942.330689885603</v>
      </c>
      <c r="T53" s="70">
        <f t="shared" ref="T53:T61" si="10">H53*H$51</f>
        <v>44101.659027397603</v>
      </c>
      <c r="U53" s="70">
        <f t="shared" ref="U53:W61" si="11">I53*I$51</f>
        <v>47243.930888472853</v>
      </c>
      <c r="V53" s="41">
        <f t="shared" ref="V53:V61" si="12">J53*J$51</f>
        <v>47496.744472523162</v>
      </c>
      <c r="W53" s="70">
        <f t="shared" si="11"/>
        <v>44982.301560093802</v>
      </c>
      <c r="X53" s="68"/>
      <c r="AB53" s="102" t="s">
        <v>145</v>
      </c>
      <c r="AC53" s="38" t="s">
        <v>135</v>
      </c>
      <c r="AD53" s="70">
        <v>15945.6909935653</v>
      </c>
      <c r="AE53" s="70">
        <v>29286.717727678599</v>
      </c>
      <c r="AF53" s="70">
        <v>40108.881032087098</v>
      </c>
      <c r="AG53" s="70">
        <v>48495.155352153597</v>
      </c>
      <c r="AH53" s="70">
        <v>54525.781853419503</v>
      </c>
      <c r="AI53" s="70">
        <v>58278.358459192379</v>
      </c>
      <c r="AJ53" s="41">
        <v>59827.926922174738</v>
      </c>
      <c r="AK53" s="70">
        <v>59247.057027860559</v>
      </c>
      <c r="AQ53" s="77"/>
      <c r="AR53" s="72"/>
    </row>
    <row r="54" spans="3:50" x14ac:dyDescent="0.25">
      <c r="C54" s="100"/>
      <c r="D54" t="s">
        <v>132</v>
      </c>
      <c r="E54" s="65">
        <v>16632.021574407001</v>
      </c>
      <c r="F54" s="65">
        <v>14746.778144944799</v>
      </c>
      <c r="G54" s="65">
        <v>12917.2268368113</v>
      </c>
      <c r="H54" s="65">
        <v>11141.516794105601</v>
      </c>
      <c r="I54" s="65">
        <v>9417.8627724595008</v>
      </c>
      <c r="J54" s="65">
        <v>7744.5427162422002</v>
      </c>
      <c r="K54" s="1">
        <v>6119.8954277880102</v>
      </c>
      <c r="O54" s="113"/>
      <c r="P54" s="38" t="s">
        <v>132</v>
      </c>
      <c r="Q54" s="70">
        <f t="shared" si="7"/>
        <v>16632.021574407001</v>
      </c>
      <c r="R54" s="70">
        <f t="shared" si="8"/>
        <v>29493.556289889599</v>
      </c>
      <c r="S54" s="70">
        <f t="shared" si="9"/>
        <v>38751.6805104339</v>
      </c>
      <c r="T54" s="70">
        <f t="shared" si="10"/>
        <v>44566.067176422403</v>
      </c>
      <c r="U54" s="41">
        <f t="shared" si="11"/>
        <v>47089.313862297502</v>
      </c>
      <c r="V54" s="70">
        <f t="shared" si="12"/>
        <v>46467.256297453205</v>
      </c>
      <c r="W54" s="70">
        <f t="shared" si="11"/>
        <v>42839.267994516071</v>
      </c>
      <c r="X54" s="68"/>
      <c r="AB54" s="102"/>
      <c r="AC54" s="38" t="s">
        <v>131</v>
      </c>
      <c r="AD54" s="70">
        <v>16584.471468727999</v>
      </c>
      <c r="AE54" s="70">
        <v>30383.813843907999</v>
      </c>
      <c r="AF54" s="70">
        <v>41492.897771254502</v>
      </c>
      <c r="AG54" s="70">
        <v>50003.362290650803</v>
      </c>
      <c r="AH54" s="70">
        <v>56003.724915257997</v>
      </c>
      <c r="AI54" s="70">
        <v>59579.487960973027</v>
      </c>
      <c r="AJ54" s="41">
        <v>60813.241253946435</v>
      </c>
      <c r="AK54" s="70">
        <v>59784.761339555756</v>
      </c>
      <c r="AQ54" s="77"/>
      <c r="AR54" s="72"/>
    </row>
    <row r="55" spans="3:50" x14ac:dyDescent="0.25">
      <c r="C55" s="100"/>
      <c r="D55" t="s">
        <v>133</v>
      </c>
      <c r="E55" s="65">
        <v>17310.975503774898</v>
      </c>
      <c r="F55" s="65">
        <v>15184.975770194</v>
      </c>
      <c r="G55" s="65">
        <v>13125.6701364785</v>
      </c>
      <c r="H55" s="65">
        <v>11130.704831954599</v>
      </c>
      <c r="I55" s="65">
        <v>9197.8146932683303</v>
      </c>
      <c r="J55" s="65">
        <v>7324.8196897941698</v>
      </c>
      <c r="K55" s="1">
        <v>5509.6215891862403</v>
      </c>
      <c r="O55" s="113"/>
      <c r="P55" s="38" t="s">
        <v>133</v>
      </c>
      <c r="Q55" s="70">
        <f t="shared" si="7"/>
        <v>17310.975503774898</v>
      </c>
      <c r="R55" s="70">
        <f t="shared" si="8"/>
        <v>30369.951540388</v>
      </c>
      <c r="S55" s="70">
        <f t="shared" si="9"/>
        <v>39377.010409435505</v>
      </c>
      <c r="T55" s="70">
        <f t="shared" si="10"/>
        <v>44522.819327818397</v>
      </c>
      <c r="U55" s="41">
        <f t="shared" si="11"/>
        <v>45989.073466341652</v>
      </c>
      <c r="V55" s="70">
        <f t="shared" si="12"/>
        <v>43948.918138765017</v>
      </c>
      <c r="W55" s="70">
        <f t="shared" si="11"/>
        <v>38567.351124303685</v>
      </c>
      <c r="X55" s="68"/>
      <c r="AB55" s="102"/>
      <c r="AC55" s="38" t="s">
        <v>132</v>
      </c>
      <c r="AD55" s="70">
        <v>17243.245416544101</v>
      </c>
      <c r="AE55" s="70">
        <v>31426.610797999001</v>
      </c>
      <c r="AF55" s="70">
        <v>42659.3458968009</v>
      </c>
      <c r="AG55" s="70">
        <v>51046.799819522399</v>
      </c>
      <c r="AH55" s="70">
        <v>56690.560295269497</v>
      </c>
      <c r="AI55" s="70">
        <v>59688.587971651199</v>
      </c>
      <c r="AJ55" s="41">
        <v>60135.345915857659</v>
      </c>
      <c r="AK55" s="70">
        <v>58121.924492034239</v>
      </c>
      <c r="AQ55" s="77"/>
      <c r="AR55" s="72"/>
    </row>
    <row r="56" spans="3:50" x14ac:dyDescent="0.25">
      <c r="C56" s="100"/>
      <c r="D56" t="s">
        <v>134</v>
      </c>
      <c r="E56" s="65">
        <v>18666.039334244098</v>
      </c>
      <c r="F56" s="65">
        <v>16057.260399938201</v>
      </c>
      <c r="G56" s="65">
        <v>13539.1378773538</v>
      </c>
      <c r="H56" s="65">
        <v>11108.1276148619</v>
      </c>
      <c r="I56" s="65">
        <v>8760.8332541472791</v>
      </c>
      <c r="J56" s="65">
        <v>6493.9998103408097</v>
      </c>
      <c r="K56" s="1">
        <v>4304.5075389875901</v>
      </c>
      <c r="O56" s="113"/>
      <c r="P56" s="38" t="s">
        <v>134</v>
      </c>
      <c r="Q56" s="70">
        <f t="shared" si="7"/>
        <v>18666.039334244098</v>
      </c>
      <c r="R56" s="70">
        <f t="shared" si="8"/>
        <v>32114.520799876402</v>
      </c>
      <c r="S56" s="70">
        <f t="shared" si="9"/>
        <v>40617.413632061398</v>
      </c>
      <c r="T56" s="41">
        <f t="shared" si="10"/>
        <v>44432.5104594476</v>
      </c>
      <c r="U56" s="70">
        <f t="shared" si="11"/>
        <v>43804.166270736394</v>
      </c>
      <c r="V56" s="70">
        <f t="shared" si="12"/>
        <v>38963.998862044857</v>
      </c>
      <c r="W56" s="70">
        <f t="shared" si="11"/>
        <v>30131.552772913132</v>
      </c>
      <c r="X56" s="68"/>
      <c r="AB56" s="102"/>
      <c r="AC56" s="38" t="s">
        <v>133</v>
      </c>
      <c r="AD56" s="70">
        <v>18007.8856028921</v>
      </c>
      <c r="AE56" s="70">
        <v>32561.499153920198</v>
      </c>
      <c r="AF56" s="70">
        <v>43791.879079664999</v>
      </c>
      <c r="AG56" s="70">
        <v>51825.092840614801</v>
      </c>
      <c r="AH56" s="70">
        <v>56782.4255056525</v>
      </c>
      <c r="AI56" s="41">
        <v>58780.561172933398</v>
      </c>
      <c r="AJ56" s="70">
        <v>57931.757508530434</v>
      </c>
      <c r="AK56" s="70">
        <v>54344.013663927923</v>
      </c>
      <c r="AQ56" s="77"/>
      <c r="AR56" s="72"/>
    </row>
    <row r="57" spans="3:50" ht="15.75" thickBot="1" x14ac:dyDescent="0.3">
      <c r="C57" s="100" t="s">
        <v>146</v>
      </c>
      <c r="D57" t="s">
        <v>135</v>
      </c>
      <c r="E57" s="65">
        <v>7644.1556342597496</v>
      </c>
      <c r="F57" s="65">
        <v>6340.1246756013097</v>
      </c>
      <c r="G57" s="65">
        <v>5068.1323855127603</v>
      </c>
      <c r="H57" s="65">
        <v>3827.2932130715299</v>
      </c>
      <c r="I57" s="65">
        <v>2616.7477158197098</v>
      </c>
      <c r="J57" s="65">
        <v>1435.66175794285</v>
      </c>
      <c r="K57" s="1">
        <v>283.225733776482</v>
      </c>
      <c r="O57" s="113" t="s">
        <v>146</v>
      </c>
      <c r="P57" s="38" t="s">
        <v>135</v>
      </c>
      <c r="Q57" s="70">
        <f t="shared" si="7"/>
        <v>7644.1556342597496</v>
      </c>
      <c r="R57" s="70">
        <f t="shared" si="8"/>
        <v>12680.249351202619</v>
      </c>
      <c r="S57" s="70">
        <f t="shared" si="9"/>
        <v>15204.397156538282</v>
      </c>
      <c r="T57" s="41">
        <f t="shared" si="10"/>
        <v>15309.172852286119</v>
      </c>
      <c r="U57" s="70">
        <f t="shared" si="11"/>
        <v>13083.73857909855</v>
      </c>
      <c r="V57" s="70">
        <f t="shared" si="12"/>
        <v>8613.9705476570998</v>
      </c>
      <c r="W57" s="70">
        <f t="shared" si="11"/>
        <v>1982.580136435374</v>
      </c>
      <c r="X57" s="68"/>
      <c r="AB57" s="102"/>
      <c r="AC57" s="38" t="s">
        <v>134</v>
      </c>
      <c r="AD57" s="70">
        <v>19539.138874963301</v>
      </c>
      <c r="AE57" s="70">
        <v>34831.096292468799</v>
      </c>
      <c r="AF57" s="70">
        <v>46054.527215784896</v>
      </c>
      <c r="AG57" s="70">
        <v>53380.571601764401</v>
      </c>
      <c r="AH57" s="70">
        <v>56973.170514768499</v>
      </c>
      <c r="AI57" s="41">
        <v>56989.368943461122</v>
      </c>
      <c r="AJ57" s="70">
        <v>53579.60587980882</v>
      </c>
      <c r="AK57" s="70">
        <v>46887.992196092877</v>
      </c>
    </row>
    <row r="58" spans="3:50" ht="15.75" thickBot="1" x14ac:dyDescent="0.3">
      <c r="C58" s="100"/>
      <c r="D58" t="s">
        <v>131</v>
      </c>
      <c r="E58" s="65">
        <v>8124.3740376901496</v>
      </c>
      <c r="F58" s="65">
        <v>6725.2554927409301</v>
      </c>
      <c r="G58" s="65">
        <v>5361.7430452709004</v>
      </c>
      <c r="H58" s="65">
        <v>4032.8172902730698</v>
      </c>
      <c r="I58" s="65">
        <v>2737.4899540845399</v>
      </c>
      <c r="J58" s="65">
        <v>1474.8029040617</v>
      </c>
      <c r="K58" s="1">
        <v>243.82719065842701</v>
      </c>
      <c r="O58" s="113"/>
      <c r="P58" s="38" t="s">
        <v>131</v>
      </c>
      <c r="Q58" s="70">
        <f t="shared" si="7"/>
        <v>8124.3740376901496</v>
      </c>
      <c r="R58" s="70">
        <f t="shared" si="8"/>
        <v>13450.51098548186</v>
      </c>
      <c r="S58" s="70">
        <f t="shared" si="9"/>
        <v>16085.2291358127</v>
      </c>
      <c r="T58" s="41">
        <f t="shared" si="10"/>
        <v>16131.269161092279</v>
      </c>
      <c r="U58" s="70">
        <f t="shared" si="11"/>
        <v>13687.4497704227</v>
      </c>
      <c r="V58" s="70">
        <f t="shared" si="12"/>
        <v>8848.8174243701997</v>
      </c>
      <c r="W58" s="70">
        <f t="shared" si="11"/>
        <v>1706.790334608989</v>
      </c>
      <c r="X58" s="68"/>
      <c r="AB58" s="102" t="s">
        <v>146</v>
      </c>
      <c r="AC58" s="38" t="s">
        <v>135</v>
      </c>
      <c r="AD58" s="70">
        <v>8031.02240033617</v>
      </c>
      <c r="AE58" s="70">
        <v>13952.7211322643</v>
      </c>
      <c r="AF58" s="70">
        <v>17827.624795104599</v>
      </c>
      <c r="AG58" s="41">
        <v>19716.408396055402</v>
      </c>
      <c r="AH58" s="70">
        <v>19677.948297910902</v>
      </c>
      <c r="AI58" s="70">
        <v>17769.375537911521</v>
      </c>
      <c r="AJ58" s="70">
        <v>14046.12756601579</v>
      </c>
      <c r="AK58" s="70">
        <v>8561.9984494517594</v>
      </c>
      <c r="AQ58" s="78"/>
      <c r="AR58" s="79"/>
      <c r="AS58" s="79"/>
      <c r="AT58" s="79"/>
      <c r="AU58" s="79"/>
      <c r="AV58" s="79"/>
      <c r="AW58" s="79"/>
      <c r="AX58" s="79"/>
    </row>
    <row r="59" spans="3:50" ht="15.75" thickBot="1" x14ac:dyDescent="0.3">
      <c r="C59" s="100"/>
      <c r="D59" t="s">
        <v>132</v>
      </c>
      <c r="E59" s="65">
        <v>8323.5237615544902</v>
      </c>
      <c r="F59" s="65">
        <v>6788.4689606144002</v>
      </c>
      <c r="G59" s="65">
        <v>5294.3334820545597</v>
      </c>
      <c r="H59" s="65">
        <v>3839.89021019764</v>
      </c>
      <c r="I59" s="65">
        <v>2423.9512822255101</v>
      </c>
      <c r="J59" s="65">
        <v>1045.36678024559</v>
      </c>
      <c r="K59" s="1">
        <v>-296.97653181690799</v>
      </c>
      <c r="O59" s="113"/>
      <c r="P59" s="38" t="s">
        <v>132</v>
      </c>
      <c r="Q59" s="70">
        <f t="shared" si="7"/>
        <v>8323.5237615544902</v>
      </c>
      <c r="R59" s="70">
        <f t="shared" si="8"/>
        <v>13576.9379212288</v>
      </c>
      <c r="S59" s="41">
        <f t="shared" si="9"/>
        <v>15883.000446163678</v>
      </c>
      <c r="T59" s="70">
        <f t="shared" si="10"/>
        <v>15359.56084079056</v>
      </c>
      <c r="U59" s="70">
        <f t="shared" si="11"/>
        <v>12119.75641112755</v>
      </c>
      <c r="V59" s="70">
        <f t="shared" si="12"/>
        <v>6272.2006814735396</v>
      </c>
      <c r="W59" s="70">
        <f t="shared" si="11"/>
        <v>-2078.835722718356</v>
      </c>
      <c r="X59" s="68"/>
      <c r="AB59" s="102"/>
      <c r="AC59" s="38" t="s">
        <v>131</v>
      </c>
      <c r="AD59" s="70">
        <v>8547.1112486307793</v>
      </c>
      <c r="AE59" s="70">
        <v>14829.738651416739</v>
      </c>
      <c r="AF59" s="70">
        <v>18917.43550222776</v>
      </c>
      <c r="AG59" s="41">
        <v>20877.618775570081</v>
      </c>
      <c r="AH59" s="70">
        <v>20775.63474332845</v>
      </c>
      <c r="AI59" s="70">
        <v>18674.8225760934</v>
      </c>
      <c r="AJ59" s="70">
        <v>14636.575990993319</v>
      </c>
      <c r="AK59" s="70">
        <v>8720.4030060094392</v>
      </c>
      <c r="AQ59" s="80"/>
      <c r="AR59" s="81"/>
      <c r="AS59" s="81"/>
      <c r="AT59" s="81"/>
      <c r="AU59" s="81"/>
      <c r="AV59" s="81"/>
      <c r="AW59" s="81"/>
      <c r="AX59" s="81"/>
    </row>
    <row r="60" spans="3:50" ht="15.75" thickBot="1" x14ac:dyDescent="0.3">
      <c r="C60" s="100"/>
      <c r="D60" t="s">
        <v>133</v>
      </c>
      <c r="E60" s="65">
        <v>8364.8294243261007</v>
      </c>
      <c r="F60" s="65">
        <v>6638.9608520054298</v>
      </c>
      <c r="G60" s="65">
        <v>4961.8736715178102</v>
      </c>
      <c r="H60" s="65">
        <v>3332.0167350777501</v>
      </c>
      <c r="I60" s="65">
        <v>1747.8915064257901</v>
      </c>
      <c r="J60" s="65">
        <v>208.050202006853</v>
      </c>
      <c r="K60" s="1">
        <v>-1288.90600029902</v>
      </c>
      <c r="O60" s="113"/>
      <c r="P60" s="38" t="s">
        <v>133</v>
      </c>
      <c r="Q60" s="70">
        <f t="shared" si="7"/>
        <v>8364.8294243261007</v>
      </c>
      <c r="R60" s="70">
        <f t="shared" si="8"/>
        <v>13277.92170401086</v>
      </c>
      <c r="S60" s="41">
        <f t="shared" si="9"/>
        <v>14885.621014553431</v>
      </c>
      <c r="T60" s="70">
        <f t="shared" si="10"/>
        <v>13328.066940311001</v>
      </c>
      <c r="U60" s="70">
        <f t="shared" si="11"/>
        <v>8739.4575321289503</v>
      </c>
      <c r="V60" s="70">
        <f t="shared" si="12"/>
        <v>1248.3012120411181</v>
      </c>
      <c r="W60" s="70">
        <f t="shared" si="11"/>
        <v>-9022.3420020931408</v>
      </c>
      <c r="X60" s="68"/>
      <c r="AB60" s="102"/>
      <c r="AC60" s="38" t="s">
        <v>132</v>
      </c>
      <c r="AD60" s="70">
        <v>8793.7252422640304</v>
      </c>
      <c r="AE60" s="70">
        <v>15101.18917495562</v>
      </c>
      <c r="AF60" s="70">
        <v>19002.409121299228</v>
      </c>
      <c r="AG60" s="41">
        <v>20574.827143424442</v>
      </c>
      <c r="AH60" s="70">
        <v>19893.392924044398</v>
      </c>
      <c r="AI60" s="70">
        <v>17030.643980680201</v>
      </c>
      <c r="AJ60" s="70">
        <v>12056.783298291761</v>
      </c>
      <c r="AK60" s="70">
        <v>5039.7544633919597</v>
      </c>
      <c r="AQ60" s="80"/>
      <c r="AR60" s="81"/>
      <c r="AS60" s="81"/>
      <c r="AT60" s="81"/>
      <c r="AU60" s="81"/>
      <c r="AV60" s="81"/>
      <c r="AW60" s="81"/>
      <c r="AX60" s="81"/>
    </row>
    <row r="61" spans="3:50" ht="15.75" thickBot="1" x14ac:dyDescent="0.3">
      <c r="C61" s="100"/>
      <c r="D61" t="s">
        <v>134</v>
      </c>
      <c r="E61" s="65">
        <v>8693.9349939392396</v>
      </c>
      <c r="F61" s="65">
        <v>6579.0667629537602</v>
      </c>
      <c r="G61" s="65">
        <v>4530.3695135364096</v>
      </c>
      <c r="H61" s="65">
        <v>2545.5140586581001</v>
      </c>
      <c r="I61" s="65">
        <v>622.25866331528198</v>
      </c>
      <c r="J61" s="65">
        <v>-1241.55437576996</v>
      </c>
      <c r="K61" s="1">
        <v>-3048.00201285716</v>
      </c>
      <c r="O61" s="113"/>
      <c r="P61" s="38" t="s">
        <v>134</v>
      </c>
      <c r="Q61" s="70">
        <f t="shared" si="7"/>
        <v>8693.9349939392396</v>
      </c>
      <c r="R61" s="70">
        <f t="shared" si="8"/>
        <v>13158.13352590752</v>
      </c>
      <c r="S61" s="41">
        <f t="shared" si="9"/>
        <v>13591.108540609228</v>
      </c>
      <c r="T61" s="70">
        <f t="shared" si="10"/>
        <v>10182.0562346324</v>
      </c>
      <c r="U61" s="70">
        <f t="shared" si="11"/>
        <v>3111.2933165764098</v>
      </c>
      <c r="V61" s="70">
        <f t="shared" si="12"/>
        <v>-7449.3262546197602</v>
      </c>
      <c r="W61" s="70">
        <f t="shared" si="11"/>
        <v>-21336.014090000121</v>
      </c>
      <c r="X61" s="68"/>
      <c r="AB61" s="102"/>
      <c r="AC61" s="38" t="s">
        <v>133</v>
      </c>
      <c r="AD61" s="70">
        <v>8900.4207102498895</v>
      </c>
      <c r="AE61" s="70">
        <v>15003.00003798242</v>
      </c>
      <c r="AF61" s="70">
        <v>18403.258903004309</v>
      </c>
      <c r="AG61" s="41">
        <v>19193.457051637801</v>
      </c>
      <c r="AH61" s="70">
        <v>17462.7043962393</v>
      </c>
      <c r="AI61" s="70">
        <v>13297.068553467361</v>
      </c>
      <c r="AJ61" s="70">
        <v>6779.6787111061258</v>
      </c>
      <c r="AK61" s="70">
        <v>-2009.174051227976</v>
      </c>
      <c r="AQ61" s="80"/>
      <c r="AR61" s="81"/>
      <c r="AS61" s="81"/>
      <c r="AT61" s="81"/>
      <c r="AU61" s="81"/>
      <c r="AV61" s="81"/>
      <c r="AW61" s="81"/>
      <c r="AX61" s="81"/>
    </row>
    <row r="62" spans="3:50" ht="15.75" thickBot="1" x14ac:dyDescent="0.3">
      <c r="Q62" s="68"/>
      <c r="R62" s="68"/>
      <c r="S62" s="68"/>
      <c r="T62" s="68"/>
      <c r="U62" s="68"/>
      <c r="V62" s="68"/>
      <c r="W62" s="68"/>
      <c r="X62" s="68"/>
      <c r="AB62" s="102"/>
      <c r="AC62" s="38" t="s">
        <v>134</v>
      </c>
      <c r="AD62" s="70">
        <v>9367.5354524127906</v>
      </c>
      <c r="AE62" s="70">
        <v>15300.510485286541</v>
      </c>
      <c r="AF62" s="41">
        <v>17928.843480447089</v>
      </c>
      <c r="AG62" s="70">
        <v>17377.538424900318</v>
      </c>
      <c r="AH62" s="70">
        <v>13766.870806592649</v>
      </c>
      <c r="AI62" s="70">
        <v>7212.5664783332395</v>
      </c>
      <c r="AJ62" s="70">
        <v>-2174.0262441318191</v>
      </c>
      <c r="AK62" s="70">
        <v>-14285.770993964319</v>
      </c>
      <c r="AQ62" s="80"/>
      <c r="AR62" s="81"/>
      <c r="AS62" s="81"/>
      <c r="AT62" s="81"/>
      <c r="AU62" s="81"/>
      <c r="AV62" s="81"/>
      <c r="AW62" s="81"/>
      <c r="AX62" s="81"/>
    </row>
    <row r="63" spans="3:50" x14ac:dyDescent="0.25">
      <c r="Q63" s="68"/>
      <c r="R63" s="68"/>
      <c r="S63" s="68"/>
      <c r="T63" s="68"/>
      <c r="U63" s="68"/>
      <c r="V63" s="68"/>
      <c r="W63" s="68"/>
      <c r="X63" s="68"/>
    </row>
    <row r="64" spans="3:50" x14ac:dyDescent="0.25">
      <c r="Q64" s="68"/>
      <c r="R64" s="68"/>
      <c r="S64" s="68"/>
      <c r="T64" s="68"/>
      <c r="U64" s="68"/>
      <c r="V64" s="68"/>
      <c r="W64" s="68"/>
      <c r="X64" s="68"/>
    </row>
    <row r="65" spans="3:24" x14ac:dyDescent="0.25">
      <c r="C65" t="s">
        <v>144</v>
      </c>
      <c r="D65" t="s">
        <v>142</v>
      </c>
      <c r="E65">
        <v>5</v>
      </c>
      <c r="O65" s="37"/>
      <c r="P65" s="38" t="s">
        <v>142</v>
      </c>
      <c r="Q65" s="67">
        <v>5</v>
      </c>
      <c r="R65" s="67"/>
      <c r="S65" s="67"/>
      <c r="T65" s="67"/>
      <c r="U65" s="67"/>
      <c r="V65" s="67"/>
      <c r="W65" s="67"/>
      <c r="X65" s="67"/>
    </row>
    <row r="66" spans="3:24" x14ac:dyDescent="0.25">
      <c r="D66" t="s">
        <v>143</v>
      </c>
      <c r="E66">
        <v>1</v>
      </c>
      <c r="F66">
        <v>2</v>
      </c>
      <c r="G66">
        <v>3</v>
      </c>
      <c r="H66">
        <v>4</v>
      </c>
      <c r="I66">
        <v>5</v>
      </c>
      <c r="J66">
        <v>6</v>
      </c>
      <c r="K66">
        <v>7</v>
      </c>
      <c r="L66">
        <v>8</v>
      </c>
      <c r="O66" s="37"/>
      <c r="P66" s="38" t="s">
        <v>143</v>
      </c>
      <c r="Q66" s="67">
        <v>1</v>
      </c>
      <c r="R66" s="67">
        <v>2</v>
      </c>
      <c r="S66" s="67">
        <v>3</v>
      </c>
      <c r="T66" s="67">
        <v>4</v>
      </c>
      <c r="U66" s="67">
        <v>5</v>
      </c>
      <c r="V66" s="67">
        <v>6</v>
      </c>
      <c r="W66" s="67">
        <v>7</v>
      </c>
      <c r="X66" s="67">
        <v>8</v>
      </c>
    </row>
    <row r="67" spans="3:24" x14ac:dyDescent="0.25">
      <c r="C67" s="100" t="s">
        <v>145</v>
      </c>
      <c r="D67" t="s">
        <v>135</v>
      </c>
      <c r="E67" s="65">
        <v>15945.6909935653</v>
      </c>
      <c r="F67" s="65">
        <v>14643.358863839299</v>
      </c>
      <c r="G67" s="65">
        <v>13369.6270106957</v>
      </c>
      <c r="H67" s="65">
        <v>12123.788838038399</v>
      </c>
      <c r="I67" s="65">
        <v>10905.156370683901</v>
      </c>
      <c r="J67" s="65">
        <v>9713.0597431987298</v>
      </c>
      <c r="K67" s="60">
        <v>8546.8467031678192</v>
      </c>
      <c r="L67" s="60">
        <v>7405.8821284825699</v>
      </c>
      <c r="O67" s="113" t="s">
        <v>145</v>
      </c>
      <c r="P67" s="38" t="s">
        <v>135</v>
      </c>
      <c r="Q67" s="70">
        <f>E67*E$66</f>
        <v>15945.6909935653</v>
      </c>
      <c r="R67" s="70">
        <f t="shared" ref="R67:V67" si="13">F67*F$66</f>
        <v>29286.717727678599</v>
      </c>
      <c r="S67" s="70">
        <f t="shared" si="13"/>
        <v>40108.881032087098</v>
      </c>
      <c r="T67" s="70">
        <f t="shared" si="13"/>
        <v>48495.155352153597</v>
      </c>
      <c r="U67" s="70">
        <f t="shared" si="13"/>
        <v>54525.781853419503</v>
      </c>
      <c r="V67" s="70">
        <f t="shared" si="13"/>
        <v>58278.358459192379</v>
      </c>
      <c r="W67" s="41">
        <f>K67*K$66</f>
        <v>59827.926922174738</v>
      </c>
      <c r="X67" s="70">
        <f t="shared" ref="X67" si="14">L67*L$66</f>
        <v>59247.057027860559</v>
      </c>
    </row>
    <row r="68" spans="3:24" x14ac:dyDescent="0.25">
      <c r="C68" s="100"/>
      <c r="D68" t="s">
        <v>131</v>
      </c>
      <c r="E68" s="65">
        <v>16584.471468727999</v>
      </c>
      <c r="F68" s="65">
        <v>15191.906921954</v>
      </c>
      <c r="G68" s="65">
        <v>13830.965923751501</v>
      </c>
      <c r="H68" s="65">
        <v>12500.840572662701</v>
      </c>
      <c r="I68" s="65">
        <v>11200.7449830516</v>
      </c>
      <c r="J68" s="65">
        <v>9929.9146601621705</v>
      </c>
      <c r="K68" s="60">
        <v>8687.6058934209195</v>
      </c>
      <c r="L68" s="60">
        <v>7473.0951674444696</v>
      </c>
      <c r="O68" s="113"/>
      <c r="P68" s="38" t="s">
        <v>131</v>
      </c>
      <c r="Q68" s="70">
        <f t="shared" ref="Q68:Q76" si="15">E68*E$66</f>
        <v>16584.471468727999</v>
      </c>
      <c r="R68" s="70">
        <f t="shared" ref="R68:R76" si="16">F68*F$66</f>
        <v>30383.813843907999</v>
      </c>
      <c r="S68" s="70">
        <f t="shared" ref="S68:S76" si="17">G68*G$66</f>
        <v>41492.897771254502</v>
      </c>
      <c r="T68" s="70">
        <f t="shared" ref="T68:T76" si="18">H68*H$66</f>
        <v>50003.362290650803</v>
      </c>
      <c r="U68" s="70">
        <f t="shared" ref="U68:U76" si="19">I68*I$66</f>
        <v>56003.724915257997</v>
      </c>
      <c r="V68" s="70">
        <f t="shared" ref="V68:V76" si="20">J68*J$66</f>
        <v>59579.487960973027</v>
      </c>
      <c r="W68" s="41">
        <f t="shared" ref="W68:W76" si="21">K68*K$66</f>
        <v>60813.241253946435</v>
      </c>
      <c r="X68" s="70">
        <f t="shared" ref="X68:X76" si="22">L68*L$66</f>
        <v>59784.761339555756</v>
      </c>
    </row>
    <row r="69" spans="3:24" x14ac:dyDescent="0.25">
      <c r="C69" s="100"/>
      <c r="D69" t="s">
        <v>132</v>
      </c>
      <c r="E69" s="65">
        <v>17243.245416544101</v>
      </c>
      <c r="F69" s="65">
        <v>15713.305398999501</v>
      </c>
      <c r="G69" s="65">
        <v>14219.781965600299</v>
      </c>
      <c r="H69" s="65">
        <v>12761.6999548806</v>
      </c>
      <c r="I69" s="65">
        <v>11338.112059053899</v>
      </c>
      <c r="J69" s="65">
        <v>9948.0979952752004</v>
      </c>
      <c r="K69" s="60">
        <v>8590.7637022653798</v>
      </c>
      <c r="L69" s="60">
        <v>7265.2405615042799</v>
      </c>
      <c r="O69" s="113"/>
      <c r="P69" s="38" t="s">
        <v>132</v>
      </c>
      <c r="Q69" s="70">
        <f t="shared" si="15"/>
        <v>17243.245416544101</v>
      </c>
      <c r="R69" s="70">
        <f t="shared" si="16"/>
        <v>31426.610797999001</v>
      </c>
      <c r="S69" s="70">
        <f t="shared" si="17"/>
        <v>42659.3458968009</v>
      </c>
      <c r="T69" s="70">
        <f t="shared" si="18"/>
        <v>51046.799819522399</v>
      </c>
      <c r="U69" s="70">
        <f t="shared" si="19"/>
        <v>56690.560295269497</v>
      </c>
      <c r="V69" s="70">
        <f t="shared" si="20"/>
        <v>59688.587971651199</v>
      </c>
      <c r="W69" s="41">
        <f t="shared" si="21"/>
        <v>60135.345915857659</v>
      </c>
      <c r="X69" s="70">
        <f t="shared" si="22"/>
        <v>58121.924492034239</v>
      </c>
    </row>
    <row r="70" spans="3:24" x14ac:dyDescent="0.25">
      <c r="C70" s="100"/>
      <c r="D70" t="s">
        <v>133</v>
      </c>
      <c r="E70" s="65">
        <v>18007.8856028921</v>
      </c>
      <c r="F70" s="65">
        <v>16280.749576960099</v>
      </c>
      <c r="G70" s="65">
        <v>14597.293026555</v>
      </c>
      <c r="H70" s="65">
        <v>12956.2732101537</v>
      </c>
      <c r="I70" s="65">
        <v>11356.4851011305</v>
      </c>
      <c r="J70" s="65">
        <v>9796.7601954888996</v>
      </c>
      <c r="K70" s="60">
        <v>8275.9653583614909</v>
      </c>
      <c r="L70" s="60">
        <v>6793.0017079909903</v>
      </c>
      <c r="O70" s="113"/>
      <c r="P70" s="38" t="s">
        <v>133</v>
      </c>
      <c r="Q70" s="70">
        <f t="shared" si="15"/>
        <v>18007.8856028921</v>
      </c>
      <c r="R70" s="70">
        <f t="shared" si="16"/>
        <v>32561.499153920198</v>
      </c>
      <c r="S70" s="70">
        <f t="shared" si="17"/>
        <v>43791.879079664999</v>
      </c>
      <c r="T70" s="70">
        <f t="shared" si="18"/>
        <v>51825.092840614801</v>
      </c>
      <c r="U70" s="70">
        <f t="shared" si="19"/>
        <v>56782.4255056525</v>
      </c>
      <c r="V70" s="41">
        <f t="shared" si="20"/>
        <v>58780.561172933398</v>
      </c>
      <c r="W70" s="70">
        <f t="shared" si="21"/>
        <v>57931.757508530434</v>
      </c>
      <c r="X70" s="70">
        <f t="shared" si="22"/>
        <v>54344.013663927923</v>
      </c>
    </row>
    <row r="71" spans="3:24" x14ac:dyDescent="0.25">
      <c r="C71" s="100"/>
      <c r="D71" t="s">
        <v>134</v>
      </c>
      <c r="E71" s="65">
        <v>19539.138874963301</v>
      </c>
      <c r="F71" s="65">
        <v>17415.5481462344</v>
      </c>
      <c r="G71" s="65">
        <v>15351.5090719283</v>
      </c>
      <c r="H71" s="65">
        <v>13345.1429004411</v>
      </c>
      <c r="I71" s="65">
        <v>11394.6341029537</v>
      </c>
      <c r="J71" s="65">
        <v>9498.2281572435204</v>
      </c>
      <c r="K71" s="60">
        <v>7654.2294114012602</v>
      </c>
      <c r="L71" s="60">
        <v>5860.9990245116096</v>
      </c>
      <c r="O71" s="113"/>
      <c r="P71" s="38" t="s">
        <v>134</v>
      </c>
      <c r="Q71" s="70">
        <f t="shared" si="15"/>
        <v>19539.138874963301</v>
      </c>
      <c r="R71" s="70">
        <f t="shared" si="16"/>
        <v>34831.096292468799</v>
      </c>
      <c r="S71" s="70">
        <f t="shared" si="17"/>
        <v>46054.527215784896</v>
      </c>
      <c r="T71" s="70">
        <f t="shared" si="18"/>
        <v>53380.571601764401</v>
      </c>
      <c r="U71" s="70">
        <f t="shared" si="19"/>
        <v>56973.170514768499</v>
      </c>
      <c r="V71" s="41">
        <f t="shared" si="20"/>
        <v>56989.368943461122</v>
      </c>
      <c r="W71" s="70">
        <f t="shared" si="21"/>
        <v>53579.60587980882</v>
      </c>
      <c r="X71" s="70">
        <f t="shared" si="22"/>
        <v>46887.992196092877</v>
      </c>
    </row>
    <row r="72" spans="3:24" x14ac:dyDescent="0.25">
      <c r="C72" s="100" t="s">
        <v>146</v>
      </c>
      <c r="D72" t="s">
        <v>135</v>
      </c>
      <c r="E72" s="65">
        <v>8031.02240033617</v>
      </c>
      <c r="F72" s="65">
        <v>6976.3605661321499</v>
      </c>
      <c r="G72" s="65">
        <v>5942.5415983681996</v>
      </c>
      <c r="H72" s="65">
        <v>4929.1020990138504</v>
      </c>
      <c r="I72" s="65">
        <v>3935.58965958218</v>
      </c>
      <c r="J72" s="65">
        <v>2961.56258965192</v>
      </c>
      <c r="K72" s="60">
        <v>2006.58965228797</v>
      </c>
      <c r="L72" s="60">
        <v>1070.2498061814699</v>
      </c>
      <c r="O72" s="113" t="s">
        <v>146</v>
      </c>
      <c r="P72" s="38" t="s">
        <v>135</v>
      </c>
      <c r="Q72" s="70">
        <f t="shared" si="15"/>
        <v>8031.02240033617</v>
      </c>
      <c r="R72" s="70">
        <f t="shared" si="16"/>
        <v>13952.7211322643</v>
      </c>
      <c r="S72" s="70">
        <f t="shared" si="17"/>
        <v>17827.624795104599</v>
      </c>
      <c r="T72" s="41">
        <f t="shared" si="18"/>
        <v>19716.408396055402</v>
      </c>
      <c r="U72" s="70">
        <f t="shared" si="19"/>
        <v>19677.948297910902</v>
      </c>
      <c r="V72" s="70">
        <f t="shared" si="20"/>
        <v>17769.375537911521</v>
      </c>
      <c r="W72" s="70">
        <f t="shared" si="21"/>
        <v>14046.12756601579</v>
      </c>
      <c r="X72" s="70">
        <f t="shared" si="22"/>
        <v>8561.9984494517594</v>
      </c>
    </row>
    <row r="73" spans="3:24" x14ac:dyDescent="0.25">
      <c r="C73" s="100"/>
      <c r="D73" t="s">
        <v>131</v>
      </c>
      <c r="E73" s="65">
        <v>8547.1112486307793</v>
      </c>
      <c r="F73" s="65">
        <v>7414.8693257083696</v>
      </c>
      <c r="G73" s="65">
        <v>6305.8118340759202</v>
      </c>
      <c r="H73" s="65">
        <v>5219.4046938925203</v>
      </c>
      <c r="I73" s="65">
        <v>4155.1269486656902</v>
      </c>
      <c r="J73" s="65">
        <v>3112.4704293488999</v>
      </c>
      <c r="K73" s="60">
        <v>2090.9394272847599</v>
      </c>
      <c r="L73" s="60">
        <v>1090.0503757511799</v>
      </c>
      <c r="O73" s="113"/>
      <c r="P73" s="38" t="s">
        <v>131</v>
      </c>
      <c r="Q73" s="70">
        <f t="shared" si="15"/>
        <v>8547.1112486307793</v>
      </c>
      <c r="R73" s="70">
        <f t="shared" si="16"/>
        <v>14829.738651416739</v>
      </c>
      <c r="S73" s="70">
        <f t="shared" si="17"/>
        <v>18917.43550222776</v>
      </c>
      <c r="T73" s="41">
        <f t="shared" si="18"/>
        <v>20877.618775570081</v>
      </c>
      <c r="U73" s="70">
        <f t="shared" si="19"/>
        <v>20775.63474332845</v>
      </c>
      <c r="V73" s="70">
        <f t="shared" si="20"/>
        <v>18674.8225760934</v>
      </c>
      <c r="W73" s="70">
        <f t="shared" si="21"/>
        <v>14636.575990993319</v>
      </c>
      <c r="X73" s="70">
        <f t="shared" si="22"/>
        <v>8720.4030060094392</v>
      </c>
    </row>
    <row r="74" spans="3:24" x14ac:dyDescent="0.25">
      <c r="C74" s="100"/>
      <c r="D74" t="s">
        <v>132</v>
      </c>
      <c r="E74" s="65">
        <v>8793.7252422640304</v>
      </c>
      <c r="F74" s="65">
        <v>7550.5945874778099</v>
      </c>
      <c r="G74" s="65">
        <v>6334.1363737664096</v>
      </c>
      <c r="H74" s="65">
        <v>5143.7067858561104</v>
      </c>
      <c r="I74" s="65">
        <v>3978.6785848088798</v>
      </c>
      <c r="J74" s="65">
        <v>2838.4406634467</v>
      </c>
      <c r="K74" s="60">
        <v>1722.3976140416801</v>
      </c>
      <c r="L74" s="60">
        <v>629.96930792399496</v>
      </c>
      <c r="O74" s="113"/>
      <c r="P74" s="38" t="s">
        <v>132</v>
      </c>
      <c r="Q74" s="70">
        <f t="shared" si="15"/>
        <v>8793.7252422640304</v>
      </c>
      <c r="R74" s="70">
        <f t="shared" si="16"/>
        <v>15101.18917495562</v>
      </c>
      <c r="S74" s="70">
        <f t="shared" si="17"/>
        <v>19002.409121299228</v>
      </c>
      <c r="T74" s="41">
        <f t="shared" si="18"/>
        <v>20574.827143424442</v>
      </c>
      <c r="U74" s="70">
        <f t="shared" si="19"/>
        <v>19893.392924044398</v>
      </c>
      <c r="V74" s="70">
        <f t="shared" si="20"/>
        <v>17030.643980680201</v>
      </c>
      <c r="W74" s="70">
        <f t="shared" si="21"/>
        <v>12056.783298291761</v>
      </c>
      <c r="X74" s="70">
        <f t="shared" si="22"/>
        <v>5039.7544633919597</v>
      </c>
    </row>
    <row r="75" spans="3:24" x14ac:dyDescent="0.25">
      <c r="C75" s="100"/>
      <c r="D75" t="s">
        <v>133</v>
      </c>
      <c r="E75" s="65">
        <v>8900.4207102498895</v>
      </c>
      <c r="F75" s="65">
        <v>7501.5000189912098</v>
      </c>
      <c r="G75" s="65">
        <v>6134.4196343347703</v>
      </c>
      <c r="H75" s="65">
        <v>4798.3642629094502</v>
      </c>
      <c r="I75" s="65">
        <v>3492.5408792478602</v>
      </c>
      <c r="J75" s="65">
        <v>2216.17809224456</v>
      </c>
      <c r="K75" s="60">
        <v>968.525530158018</v>
      </c>
      <c r="L75" s="60">
        <v>-251.14675640349699</v>
      </c>
      <c r="O75" s="113"/>
      <c r="P75" s="38" t="s">
        <v>133</v>
      </c>
      <c r="Q75" s="70">
        <f t="shared" si="15"/>
        <v>8900.4207102498895</v>
      </c>
      <c r="R75" s="70">
        <f t="shared" si="16"/>
        <v>15003.00003798242</v>
      </c>
      <c r="S75" s="70">
        <f t="shared" si="17"/>
        <v>18403.258903004309</v>
      </c>
      <c r="T75" s="41">
        <f t="shared" si="18"/>
        <v>19193.457051637801</v>
      </c>
      <c r="U75" s="70">
        <f t="shared" si="19"/>
        <v>17462.7043962393</v>
      </c>
      <c r="V75" s="70">
        <f t="shared" si="20"/>
        <v>13297.068553467361</v>
      </c>
      <c r="W75" s="70">
        <f t="shared" si="21"/>
        <v>6779.6787111061258</v>
      </c>
      <c r="X75" s="70">
        <f t="shared" si="22"/>
        <v>-2009.174051227976</v>
      </c>
    </row>
    <row r="76" spans="3:24" x14ac:dyDescent="0.25">
      <c r="C76" s="100"/>
      <c r="D76" t="s">
        <v>134</v>
      </c>
      <c r="E76" s="65">
        <v>9367.5354524127906</v>
      </c>
      <c r="F76" s="65">
        <v>7650.2552426432703</v>
      </c>
      <c r="G76" s="65">
        <v>5976.2811601490303</v>
      </c>
      <c r="H76" s="65">
        <v>4344.3846062250796</v>
      </c>
      <c r="I76" s="65">
        <v>2753.3741613185298</v>
      </c>
      <c r="J76" s="65">
        <v>1202.0944130555399</v>
      </c>
      <c r="K76" s="60">
        <v>-310.57517773311702</v>
      </c>
      <c r="L76" s="60">
        <v>-1785.7213742455399</v>
      </c>
      <c r="O76" s="113"/>
      <c r="P76" s="38" t="s">
        <v>134</v>
      </c>
      <c r="Q76" s="70">
        <f t="shared" si="15"/>
        <v>9367.5354524127906</v>
      </c>
      <c r="R76" s="70">
        <f t="shared" si="16"/>
        <v>15300.510485286541</v>
      </c>
      <c r="S76" s="41">
        <f t="shared" si="17"/>
        <v>17928.843480447089</v>
      </c>
      <c r="T76" s="70">
        <f t="shared" si="18"/>
        <v>17377.538424900318</v>
      </c>
      <c r="U76" s="70">
        <f t="shared" si="19"/>
        <v>13766.870806592649</v>
      </c>
      <c r="V76" s="70">
        <f t="shared" si="20"/>
        <v>7212.5664783332395</v>
      </c>
      <c r="W76" s="70">
        <f t="shared" si="21"/>
        <v>-2174.0262441318191</v>
      </c>
      <c r="X76" s="70">
        <f t="shared" si="22"/>
        <v>-14285.770993964319</v>
      </c>
    </row>
    <row r="77" spans="3:24" x14ac:dyDescent="0.25">
      <c r="Q77" s="68"/>
      <c r="R77" s="68"/>
      <c r="S77" s="68"/>
      <c r="T77" s="68"/>
      <c r="U77" s="68"/>
      <c r="V77" s="68"/>
      <c r="W77" s="68"/>
      <c r="X77" s="68"/>
    </row>
    <row r="78" spans="3:24" x14ac:dyDescent="0.25">
      <c r="Q78" s="68"/>
      <c r="R78" s="68"/>
      <c r="S78" s="68"/>
      <c r="T78" s="68"/>
      <c r="U78" s="68"/>
      <c r="V78" s="68"/>
      <c r="W78" s="68"/>
      <c r="X78" s="68"/>
    </row>
  </sheetData>
  <mergeCells count="42">
    <mergeCell ref="AS1:AT1"/>
    <mergeCell ref="AU1:AV1"/>
    <mergeCell ref="O42:O46"/>
    <mergeCell ref="C6:C10"/>
    <mergeCell ref="C11:C15"/>
    <mergeCell ref="C21:C25"/>
    <mergeCell ref="C26:C30"/>
    <mergeCell ref="C37:C41"/>
    <mergeCell ref="C42:C46"/>
    <mergeCell ref="O6:O10"/>
    <mergeCell ref="O11:O15"/>
    <mergeCell ref="O21:O25"/>
    <mergeCell ref="O26:O30"/>
    <mergeCell ref="O37:O41"/>
    <mergeCell ref="AB3:AK3"/>
    <mergeCell ref="AB29:AB33"/>
    <mergeCell ref="O52:O56"/>
    <mergeCell ref="O57:O61"/>
    <mergeCell ref="O67:O71"/>
    <mergeCell ref="O72:O76"/>
    <mergeCell ref="C52:C56"/>
    <mergeCell ref="C57:C61"/>
    <mergeCell ref="C67:C71"/>
    <mergeCell ref="C72:C76"/>
    <mergeCell ref="AB34:AB38"/>
    <mergeCell ref="AB16:AC16"/>
    <mergeCell ref="AB28:AC28"/>
    <mergeCell ref="AB40:AC40"/>
    <mergeCell ref="AB27:AK27"/>
    <mergeCell ref="AB39:AK39"/>
    <mergeCell ref="AB4:AC4"/>
    <mergeCell ref="AB5:AB9"/>
    <mergeCell ref="AB10:AB14"/>
    <mergeCell ref="AB17:AB21"/>
    <mergeCell ref="AB22:AB26"/>
    <mergeCell ref="AB15:AK15"/>
    <mergeCell ref="AB51:AK51"/>
    <mergeCell ref="AB41:AB45"/>
    <mergeCell ref="AB46:AB50"/>
    <mergeCell ref="AB53:AB57"/>
    <mergeCell ref="AB58:AB62"/>
    <mergeCell ref="AB52:AC5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5F411-529A-4125-AFD5-DBCE1072DFAA}">
  <dimension ref="B1:P27"/>
  <sheetViews>
    <sheetView topLeftCell="A4" zoomScale="115" zoomScaleNormal="115" workbookViewId="0">
      <selection activeCell="J16" sqref="J16"/>
    </sheetView>
  </sheetViews>
  <sheetFormatPr defaultRowHeight="15" x14ac:dyDescent="0.25"/>
  <cols>
    <col min="2" max="2" width="10.85546875" bestFit="1" customWidth="1"/>
    <col min="3" max="3" width="9.5703125" bestFit="1" customWidth="1"/>
    <col min="4" max="4" width="8.85546875" bestFit="1" customWidth="1"/>
    <col min="5" max="5" width="8.5703125" bestFit="1" customWidth="1"/>
    <col min="6" max="6" width="8.85546875" bestFit="1" customWidth="1"/>
    <col min="7" max="7" width="13.7109375" bestFit="1" customWidth="1"/>
    <col min="8" max="8" width="9" bestFit="1" customWidth="1"/>
    <col min="9" max="9" width="11.5703125" bestFit="1" customWidth="1"/>
    <col min="10" max="10" width="9" bestFit="1" customWidth="1"/>
    <col min="11" max="11" width="12" bestFit="1" customWidth="1"/>
    <col min="12" max="12" width="11.42578125" bestFit="1" customWidth="1"/>
    <col min="13" max="13" width="12.5703125" customWidth="1"/>
    <col min="15" max="15" width="13.28515625" bestFit="1" customWidth="1"/>
    <col min="16" max="16" width="14.28515625" bestFit="1" customWidth="1"/>
    <col min="17" max="17" width="9.140625" customWidth="1"/>
  </cols>
  <sheetData>
    <row r="1" spans="2:10" ht="75" x14ac:dyDescent="0.25">
      <c r="B1" s="31" t="s">
        <v>0</v>
      </c>
      <c r="C1" s="6" t="s">
        <v>95</v>
      </c>
      <c r="D1" s="6" t="s">
        <v>96</v>
      </c>
      <c r="E1" s="6" t="s">
        <v>97</v>
      </c>
      <c r="F1" s="6" t="s">
        <v>98</v>
      </c>
      <c r="G1" s="6" t="s">
        <v>99</v>
      </c>
      <c r="H1" s="6" t="s">
        <v>163</v>
      </c>
      <c r="I1" s="6" t="s">
        <v>164</v>
      </c>
    </row>
    <row r="2" spans="2:10" x14ac:dyDescent="0.25">
      <c r="B2">
        <v>205</v>
      </c>
      <c r="C2" s="32">
        <v>132</v>
      </c>
      <c r="D2" s="32">
        <v>0.35</v>
      </c>
      <c r="E2" s="32">
        <v>7.5978205647112498</v>
      </c>
      <c r="F2" s="32">
        <v>0</v>
      </c>
      <c r="G2" s="55">
        <v>124379.187033336</v>
      </c>
      <c r="H2" s="1">
        <v>28177.410656146199</v>
      </c>
      <c r="I2" s="1">
        <v>38604.133073176803</v>
      </c>
    </row>
    <row r="3" spans="2:10" x14ac:dyDescent="0.25">
      <c r="B3">
        <v>245</v>
      </c>
      <c r="C3" s="58">
        <v>132</v>
      </c>
      <c r="D3" s="58">
        <v>0.349999999857179</v>
      </c>
      <c r="E3" s="58">
        <v>7.5315866741593602</v>
      </c>
      <c r="F3" s="58">
        <v>7.4135839025440595E-4</v>
      </c>
      <c r="G3" s="57">
        <v>128209.150600077</v>
      </c>
      <c r="H3" s="1">
        <v>29514.0111087691</v>
      </c>
      <c r="I3" s="1">
        <v>40126.656265641803</v>
      </c>
    </row>
    <row r="4" spans="2:10" x14ac:dyDescent="0.25">
      <c r="B4">
        <v>285</v>
      </c>
      <c r="C4" s="58">
        <v>131.99999750822101</v>
      </c>
      <c r="D4" s="58">
        <v>0.349999998781092</v>
      </c>
      <c r="E4" s="58">
        <v>7.1832114921047099</v>
      </c>
      <c r="F4" s="58">
        <v>9.69338628374082E-5</v>
      </c>
      <c r="G4" s="57">
        <v>134309.82533346501</v>
      </c>
      <c r="H4" s="59">
        <v>30919.397087125599</v>
      </c>
      <c r="I4" s="1">
        <v>42112.563285090997</v>
      </c>
    </row>
    <row r="5" spans="2:10" x14ac:dyDescent="0.25">
      <c r="B5">
        <v>330</v>
      </c>
      <c r="C5" s="32">
        <v>131.99999956758799</v>
      </c>
      <c r="D5" s="32">
        <v>0.35</v>
      </c>
      <c r="E5" s="32">
        <v>6.6707154495746099</v>
      </c>
      <c r="F5" s="32">
        <v>4.0956269663768403E-3</v>
      </c>
      <c r="G5" s="31">
        <v>142826.39988135599</v>
      </c>
      <c r="H5" s="1">
        <v>32601.9855367122</v>
      </c>
      <c r="I5" s="1">
        <v>44719.721693849002</v>
      </c>
    </row>
    <row r="6" spans="2:10" x14ac:dyDescent="0.25">
      <c r="B6">
        <v>415</v>
      </c>
      <c r="C6" s="32">
        <v>131.999999788758</v>
      </c>
      <c r="D6" s="32">
        <v>0.35</v>
      </c>
      <c r="E6" s="32">
        <v>6.0124123144260597</v>
      </c>
      <c r="F6" s="32">
        <v>6.5216607980414804E-3</v>
      </c>
      <c r="G6" s="31">
        <v>158304.07985856599</v>
      </c>
      <c r="H6" s="1">
        <v>36092.614500778996</v>
      </c>
      <c r="I6" s="1">
        <v>49737.737403379797</v>
      </c>
    </row>
    <row r="7" spans="2:10" x14ac:dyDescent="0.25">
      <c r="B7">
        <v>9000</v>
      </c>
      <c r="C7" s="32">
        <v>111.869617547768</v>
      </c>
      <c r="D7" s="32">
        <v>0.35</v>
      </c>
      <c r="E7" s="32">
        <v>10.1</v>
      </c>
      <c r="F7" s="32">
        <v>0.46327827302212898</v>
      </c>
      <c r="G7" s="55">
        <v>250000</v>
      </c>
      <c r="H7" s="1">
        <v>81829.606228558405</v>
      </c>
      <c r="I7" s="1">
        <v>94888.508979482707</v>
      </c>
    </row>
    <row r="12" spans="2:10" ht="15.75" thickBot="1" x14ac:dyDescent="0.3"/>
    <row r="13" spans="2:10" ht="15.75" thickBot="1" x14ac:dyDescent="0.3">
      <c r="C13" s="78">
        <v>135</v>
      </c>
      <c r="D13" s="79">
        <v>0.35</v>
      </c>
      <c r="E13" s="79">
        <v>7.6</v>
      </c>
      <c r="F13" s="79">
        <v>0</v>
      </c>
      <c r="G13" s="79">
        <v>124379</v>
      </c>
      <c r="H13" s="79">
        <v>27357</v>
      </c>
      <c r="I13" s="79">
        <v>38094</v>
      </c>
      <c r="J13" s="79">
        <v>167</v>
      </c>
    </row>
    <row r="14" spans="2:10" ht="15.75" thickBot="1" x14ac:dyDescent="0.3">
      <c r="C14" s="80">
        <v>135</v>
      </c>
      <c r="D14" s="81">
        <v>0.35</v>
      </c>
      <c r="E14" s="81">
        <v>7.53</v>
      </c>
      <c r="F14" s="81">
        <v>0</v>
      </c>
      <c r="G14" s="81">
        <v>128209</v>
      </c>
      <c r="H14" s="81">
        <v>28703</v>
      </c>
      <c r="I14" s="81">
        <v>39624</v>
      </c>
      <c r="J14" s="81">
        <v>206</v>
      </c>
    </row>
    <row r="15" spans="2:10" ht="15.75" thickBot="1" x14ac:dyDescent="0.3">
      <c r="C15" s="80">
        <v>135</v>
      </c>
      <c r="D15" s="81">
        <v>0.35</v>
      </c>
      <c r="E15" s="81">
        <v>7.18</v>
      </c>
      <c r="F15" s="81">
        <v>0</v>
      </c>
      <c r="G15" s="81">
        <v>134310</v>
      </c>
      <c r="H15" s="81">
        <v>30074</v>
      </c>
      <c r="I15" s="81">
        <v>41588</v>
      </c>
      <c r="J15" s="81">
        <v>246</v>
      </c>
    </row>
    <row r="16" spans="2:10" ht="15.75" thickBot="1" x14ac:dyDescent="0.3">
      <c r="C16" s="80">
        <v>135</v>
      </c>
      <c r="D16" s="81">
        <v>0.35</v>
      </c>
      <c r="E16" s="81">
        <v>6.67</v>
      </c>
      <c r="F16" s="81">
        <v>0</v>
      </c>
      <c r="G16" s="81">
        <v>142826</v>
      </c>
      <c r="H16" s="81">
        <v>31691</v>
      </c>
      <c r="I16" s="81">
        <v>44151</v>
      </c>
      <c r="J16" s="81">
        <v>291</v>
      </c>
    </row>
    <row r="17" spans="3:16" ht="15.75" thickBot="1" x14ac:dyDescent="0.3">
      <c r="C17" s="80">
        <v>135</v>
      </c>
      <c r="D17" s="81">
        <v>0.35</v>
      </c>
      <c r="E17" s="81">
        <v>6.01</v>
      </c>
      <c r="F17" s="81">
        <v>0.01</v>
      </c>
      <c r="G17" s="81">
        <v>158304</v>
      </c>
      <c r="H17" s="81">
        <v>35098</v>
      </c>
      <c r="I17" s="81">
        <v>49114</v>
      </c>
      <c r="J17" s="81">
        <v>374</v>
      </c>
    </row>
    <row r="19" spans="3:16" x14ac:dyDescent="0.25">
      <c r="C19" s="32"/>
    </row>
    <row r="20" spans="3:16" x14ac:dyDescent="0.25">
      <c r="C20" s="32"/>
    </row>
    <row r="21" spans="3:16" x14ac:dyDescent="0.25">
      <c r="C21" s="32"/>
      <c r="H21" s="36">
        <f t="shared" ref="H21:I25" si="0">(H13-H2)/H2</f>
        <v>-2.9115899475569709E-2</v>
      </c>
      <c r="I21" s="35">
        <f t="shared" si="0"/>
        <v>-1.3214467793119728E-2</v>
      </c>
    </row>
    <row r="22" spans="3:16" x14ac:dyDescent="0.25">
      <c r="C22" s="32"/>
      <c r="H22" s="36">
        <f t="shared" si="0"/>
        <v>-2.7478850833939528E-2</v>
      </c>
      <c r="I22" s="35">
        <f t="shared" si="0"/>
        <v>-1.2526741882358113E-2</v>
      </c>
    </row>
    <row r="23" spans="3:16" x14ac:dyDescent="0.25">
      <c r="H23" s="36">
        <f t="shared" si="0"/>
        <v>-2.7341965457586822E-2</v>
      </c>
      <c r="I23" s="35">
        <f t="shared" si="0"/>
        <v>-1.2456218386419303E-2</v>
      </c>
    </row>
    <row r="24" spans="3:16" x14ac:dyDescent="0.25">
      <c r="H24" s="36">
        <f t="shared" si="0"/>
        <v>-2.7942639741569242E-2</v>
      </c>
      <c r="I24" s="35">
        <f t="shared" si="0"/>
        <v>-1.2717469436470733E-2</v>
      </c>
    </row>
    <row r="25" spans="3:16" x14ac:dyDescent="0.25">
      <c r="H25" s="36">
        <f t="shared" si="0"/>
        <v>-2.755728601366713E-2</v>
      </c>
      <c r="I25" s="35">
        <f t="shared" si="0"/>
        <v>-1.254052628733796E-2</v>
      </c>
      <c r="O25" t="s">
        <v>355</v>
      </c>
      <c r="P25">
        <v>500</v>
      </c>
    </row>
    <row r="26" spans="3:16" x14ac:dyDescent="0.25">
      <c r="H26" s="35"/>
      <c r="I26" s="35"/>
    </row>
    <row r="27" spans="3:16" x14ac:dyDescent="0.25">
      <c r="H27" s="35"/>
      <c r="I27" s="35"/>
      <c r="O27" t="s">
        <v>359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156A7-61C5-4C83-B03D-A2C598F7857F}">
  <dimension ref="C1:AF72"/>
  <sheetViews>
    <sheetView topLeftCell="T10" zoomScale="115" zoomScaleNormal="115" workbookViewId="0">
      <selection activeCell="AA19" sqref="AA19"/>
    </sheetView>
  </sheetViews>
  <sheetFormatPr defaultRowHeight="15" x14ac:dyDescent="0.25"/>
  <cols>
    <col min="2" max="2" width="13.140625" customWidth="1"/>
    <col min="3" max="3" width="11.85546875" bestFit="1" customWidth="1"/>
    <col min="4" max="4" width="9.28515625" bestFit="1" customWidth="1"/>
    <col min="5" max="5" width="7.85546875" bestFit="1" customWidth="1"/>
    <col min="6" max="6" width="7.28515625" bestFit="1" customWidth="1"/>
    <col min="7" max="7" width="16.7109375" customWidth="1"/>
    <col min="8" max="8" width="9" bestFit="1" customWidth="1"/>
    <col min="9" max="9" width="17" customWidth="1"/>
    <col min="10" max="10" width="19.140625" customWidth="1"/>
    <col min="11" max="11" width="18.28515625" customWidth="1"/>
    <col min="16" max="16" width="14.140625" bestFit="1" customWidth="1"/>
    <col min="24" max="24" width="31.85546875" bestFit="1" customWidth="1"/>
    <col min="25" max="25" width="20.140625" bestFit="1" customWidth="1"/>
    <col min="26" max="26" width="13" customWidth="1"/>
    <col min="27" max="27" width="14" bestFit="1" customWidth="1"/>
    <col min="28" max="28" width="14.5703125" bestFit="1" customWidth="1"/>
    <col min="29" max="29" width="16.85546875" bestFit="1" customWidth="1"/>
    <col min="30" max="30" width="16.7109375" bestFit="1" customWidth="1"/>
    <col min="32" max="32" width="15.140625" bestFit="1" customWidth="1"/>
  </cols>
  <sheetData>
    <row r="1" spans="3:17" x14ac:dyDescent="0.25">
      <c r="G1" t="s">
        <v>210</v>
      </c>
      <c r="H1" s="85">
        <v>1.024</v>
      </c>
      <c r="J1" t="s">
        <v>211</v>
      </c>
      <c r="K1">
        <f>80000/H5</f>
        <v>0.48019207683073228</v>
      </c>
    </row>
    <row r="2" spans="3:17" x14ac:dyDescent="0.25">
      <c r="J2" t="s">
        <v>351</v>
      </c>
      <c r="K2">
        <v>1.6</v>
      </c>
    </row>
    <row r="3" spans="3:17" x14ac:dyDescent="0.25">
      <c r="C3" s="82" t="s">
        <v>194</v>
      </c>
      <c r="D3" s="82" t="s">
        <v>195</v>
      </c>
      <c r="E3" s="82" t="s">
        <v>196</v>
      </c>
      <c r="F3" s="82" t="s">
        <v>197</v>
      </c>
      <c r="G3" s="82" t="s">
        <v>198</v>
      </c>
      <c r="H3" s="82" t="s">
        <v>208</v>
      </c>
      <c r="I3" s="82" t="s">
        <v>212</v>
      </c>
      <c r="J3" s="86" t="s">
        <v>350</v>
      </c>
      <c r="K3" s="86" t="s">
        <v>352</v>
      </c>
      <c r="N3" t="s">
        <v>213</v>
      </c>
      <c r="O3">
        <v>148.65</v>
      </c>
    </row>
    <row r="4" spans="3:17" ht="62.25" customHeight="1" x14ac:dyDescent="0.25">
      <c r="C4" s="82" t="s">
        <v>199</v>
      </c>
      <c r="D4" s="83">
        <v>205</v>
      </c>
      <c r="E4" s="83">
        <v>29</v>
      </c>
      <c r="F4" s="83">
        <v>16</v>
      </c>
      <c r="G4" s="83" t="s">
        <v>200</v>
      </c>
      <c r="H4" s="40">
        <f>D4*E4*F4*H1</f>
        <v>97402.880000000005</v>
      </c>
      <c r="I4" s="47">
        <f>H4*$K$1</f>
        <v>46772.091236494598</v>
      </c>
      <c r="J4" s="24">
        <f>I4*$O$3+$O$4</f>
        <v>9952671.3623049222</v>
      </c>
      <c r="K4" s="24">
        <f>J4*$K$2</f>
        <v>15924274.179687876</v>
      </c>
      <c r="N4" t="s">
        <v>214</v>
      </c>
      <c r="O4" s="9">
        <v>3000000</v>
      </c>
    </row>
    <row r="5" spans="3:17" ht="48" customHeight="1" x14ac:dyDescent="0.25">
      <c r="C5" s="82" t="s">
        <v>201</v>
      </c>
      <c r="D5" s="83">
        <v>245</v>
      </c>
      <c r="E5" s="83">
        <v>34</v>
      </c>
      <c r="F5" s="83">
        <v>20</v>
      </c>
      <c r="G5" s="83" t="s">
        <v>202</v>
      </c>
      <c r="H5" s="40">
        <f t="shared" ref="H5:H8" si="0">D5*E5*F5</f>
        <v>166600</v>
      </c>
      <c r="I5" s="47">
        <f t="shared" ref="I5:I8" si="1">H5*$K$1</f>
        <v>80000</v>
      </c>
      <c r="J5" s="24">
        <f t="shared" ref="J5:J8" si="2">I5*$O$3+$O$4</f>
        <v>14892000</v>
      </c>
      <c r="K5" s="24">
        <f t="shared" ref="K5:K8" si="3">J5*$K$2</f>
        <v>23827200</v>
      </c>
    </row>
    <row r="6" spans="3:17" ht="42" customHeight="1" x14ac:dyDescent="0.25">
      <c r="C6" s="82" t="s">
        <v>203</v>
      </c>
      <c r="D6" s="83">
        <v>285</v>
      </c>
      <c r="E6" s="83">
        <v>45</v>
      </c>
      <c r="F6" s="83">
        <v>23</v>
      </c>
      <c r="G6" s="83" t="s">
        <v>204</v>
      </c>
      <c r="H6" s="40">
        <f t="shared" si="0"/>
        <v>294975</v>
      </c>
      <c r="I6" s="47">
        <f t="shared" si="1"/>
        <v>141644.65786314526</v>
      </c>
      <c r="J6" s="24">
        <f t="shared" si="2"/>
        <v>24055478.391356543</v>
      </c>
      <c r="K6" s="24">
        <f t="shared" si="3"/>
        <v>38488765.426170468</v>
      </c>
    </row>
    <row r="7" spans="3:17" ht="65.25" customHeight="1" x14ac:dyDescent="0.25">
      <c r="C7" s="82" t="s">
        <v>205</v>
      </c>
      <c r="D7" s="83">
        <v>330</v>
      </c>
      <c r="E7" s="83">
        <v>55</v>
      </c>
      <c r="F7" s="83">
        <v>28</v>
      </c>
      <c r="G7" s="83" t="s">
        <v>206</v>
      </c>
      <c r="H7" s="40">
        <f t="shared" si="0"/>
        <v>508200</v>
      </c>
      <c r="I7" s="47">
        <f t="shared" si="1"/>
        <v>244033.61344537814</v>
      </c>
      <c r="J7" s="24">
        <f t="shared" si="2"/>
        <v>39275596.638655461</v>
      </c>
      <c r="K7" s="24">
        <f t="shared" si="3"/>
        <v>62840954.62184874</v>
      </c>
    </row>
    <row r="8" spans="3:17" ht="15" customHeight="1" x14ac:dyDescent="0.25">
      <c r="C8" s="82" t="s">
        <v>207</v>
      </c>
      <c r="D8" s="83">
        <v>415</v>
      </c>
      <c r="E8" s="83">
        <v>63</v>
      </c>
      <c r="F8" s="83">
        <v>35</v>
      </c>
      <c r="G8" s="84" t="s">
        <v>209</v>
      </c>
      <c r="H8" s="40">
        <f t="shared" si="0"/>
        <v>915075</v>
      </c>
      <c r="I8" s="47">
        <f t="shared" si="1"/>
        <v>439411.76470588235</v>
      </c>
      <c r="J8" s="24">
        <f t="shared" si="2"/>
        <v>68318558.823529422</v>
      </c>
      <c r="K8" s="24">
        <f t="shared" si="3"/>
        <v>109309694.11764708</v>
      </c>
    </row>
    <row r="9" spans="3:17" ht="15" customHeight="1" x14ac:dyDescent="0.25">
      <c r="D9" s="90"/>
      <c r="E9" s="90"/>
      <c r="F9" s="90"/>
      <c r="H9" s="42"/>
      <c r="I9" s="91"/>
      <c r="J9" s="24"/>
      <c r="K9" s="24"/>
    </row>
    <row r="10" spans="3:17" ht="15" customHeight="1" x14ac:dyDescent="0.25">
      <c r="H10" s="42"/>
    </row>
    <row r="14" spans="3:17" ht="45" x14ac:dyDescent="0.25">
      <c r="C14" s="6" t="s">
        <v>92</v>
      </c>
      <c r="D14" s="6" t="s">
        <v>93</v>
      </c>
      <c r="E14" s="6" t="s">
        <v>95</v>
      </c>
      <c r="F14" s="6" t="s">
        <v>96</v>
      </c>
      <c r="G14" s="6" t="s">
        <v>97</v>
      </c>
      <c r="H14" s="6" t="s">
        <v>98</v>
      </c>
      <c r="I14" s="6" t="s">
        <v>99</v>
      </c>
      <c r="J14" s="6" t="s">
        <v>106</v>
      </c>
      <c r="K14" s="50" t="s">
        <v>169</v>
      </c>
      <c r="L14" s="50" t="s">
        <v>363</v>
      </c>
      <c r="M14" s="50" t="s">
        <v>353</v>
      </c>
      <c r="N14" s="50" t="s">
        <v>354</v>
      </c>
      <c r="O14" s="92" t="s">
        <v>356</v>
      </c>
      <c r="P14" s="94" t="s">
        <v>357</v>
      </c>
      <c r="Q14" s="50" t="s">
        <v>358</v>
      </c>
    </row>
    <row r="15" spans="3:17" ht="15" customHeight="1" x14ac:dyDescent="0.25">
      <c r="C15">
        <v>9000</v>
      </c>
      <c r="D15">
        <v>205</v>
      </c>
      <c r="E15" s="33">
        <v>132</v>
      </c>
      <c r="F15" s="33">
        <v>0.35</v>
      </c>
      <c r="G15" s="33">
        <v>7.5978199999999996</v>
      </c>
      <c r="H15" s="33">
        <v>0</v>
      </c>
      <c r="I15" s="33">
        <v>124379.18703299999</v>
      </c>
      <c r="J15" s="1">
        <v>28177.409130829699</v>
      </c>
      <c r="K15" s="49">
        <v>204.99999754133199</v>
      </c>
      <c r="L15" s="1">
        <v>17883.6755103914</v>
      </c>
      <c r="M15">
        <f t="shared" ref="M15:M20" si="4">1/(LOG(3.3191+0.8043*LOG(I15,10),10))</f>
        <v>1.1491388015398709</v>
      </c>
      <c r="N15" s="1">
        <f t="shared" ref="N15:N20" si="5">(-0.0656*LOG10(I15)+0.8267)*I15</f>
        <v>61254.827951743966</v>
      </c>
      <c r="O15" s="93">
        <f t="shared" ref="O15:O20" si="6">10^(3.3191+0.8043*LOG10(I15))*2.08</f>
        <v>54308639.238676272</v>
      </c>
      <c r="P15" s="95">
        <f>N15*'sensetivity study'!$P$25*1.79</f>
        <v>54823071.016810849</v>
      </c>
      <c r="Q15">
        <f t="shared" ref="Q15:Q20" si="7">L15*$I$26</f>
        <v>5863.5001673414436</v>
      </c>
    </row>
    <row r="16" spans="3:17" x14ac:dyDescent="0.25">
      <c r="C16">
        <v>9000</v>
      </c>
      <c r="D16">
        <v>245</v>
      </c>
      <c r="E16" s="33">
        <v>132</v>
      </c>
      <c r="F16" s="33">
        <v>0.35</v>
      </c>
      <c r="G16" s="33">
        <v>7.5315899999999996</v>
      </c>
      <c r="H16" s="33">
        <v>7.3999999999999999E-4</v>
      </c>
      <c r="I16" s="33">
        <v>128209.15059999999</v>
      </c>
      <c r="J16" s="1">
        <v>29514.020175437399</v>
      </c>
      <c r="K16" s="49">
        <v>246.34441797630399</v>
      </c>
      <c r="L16" s="1">
        <v>18238.096250532599</v>
      </c>
      <c r="M16">
        <f t="shared" si="4"/>
        <v>1.1483208262537101</v>
      </c>
      <c r="N16" s="1">
        <f t="shared" si="5"/>
        <v>63030.248273202546</v>
      </c>
      <c r="O16" s="93">
        <f t="shared" si="6"/>
        <v>55649671.510291018</v>
      </c>
      <c r="P16" s="95">
        <f>N16*'sensetivity study'!$P$25*1.79</f>
        <v>56412072.204516277</v>
      </c>
      <c r="Q16">
        <f t="shared" si="7"/>
        <v>5979.7036886992137</v>
      </c>
    </row>
    <row r="17" spans="3:32" ht="45" x14ac:dyDescent="0.25">
      <c r="C17">
        <v>9000</v>
      </c>
      <c r="D17">
        <v>285</v>
      </c>
      <c r="E17" s="33">
        <v>132</v>
      </c>
      <c r="F17" s="33">
        <v>0.35</v>
      </c>
      <c r="G17" s="33">
        <v>7.1832099999999999</v>
      </c>
      <c r="H17" s="33">
        <v>1E-4</v>
      </c>
      <c r="I17" s="33">
        <v>134309.82533299999</v>
      </c>
      <c r="J17" s="1">
        <v>30919.3919422822</v>
      </c>
      <c r="K17" s="49">
        <v>284.99998007228999</v>
      </c>
      <c r="L17" s="1">
        <v>19192.256708121698</v>
      </c>
      <c r="M17">
        <f t="shared" si="4"/>
        <v>1.1470715607689641</v>
      </c>
      <c r="N17" s="1">
        <f t="shared" si="5"/>
        <v>65851.587494319465</v>
      </c>
      <c r="O17" s="93">
        <f t="shared" si="6"/>
        <v>57769741.720870517</v>
      </c>
      <c r="P17" s="95">
        <f>N17*'sensetivity study'!$P$25*1.79</f>
        <v>58937170.807415918</v>
      </c>
      <c r="Q17">
        <f t="shared" si="7"/>
        <v>6292.5431829907211</v>
      </c>
      <c r="Z17" s="6" t="s">
        <v>155</v>
      </c>
      <c r="AA17" t="s">
        <v>153</v>
      </c>
      <c r="AB17" t="s">
        <v>154</v>
      </c>
    </row>
    <row r="18" spans="3:32" x14ac:dyDescent="0.25">
      <c r="C18">
        <v>9000</v>
      </c>
      <c r="D18">
        <v>330</v>
      </c>
      <c r="E18" s="33">
        <v>132</v>
      </c>
      <c r="F18" s="33">
        <v>0.35</v>
      </c>
      <c r="G18" s="33">
        <v>6.6707200000000002</v>
      </c>
      <c r="H18" s="33">
        <v>4.1000000000000003E-3</v>
      </c>
      <c r="I18" s="33">
        <v>142826.39988099999</v>
      </c>
      <c r="J18" s="1">
        <v>32602.001403192899</v>
      </c>
      <c r="K18" s="49">
        <v>331.358460987618</v>
      </c>
      <c r="L18" s="1">
        <v>20679.394325344801</v>
      </c>
      <c r="M18">
        <f t="shared" si="4"/>
        <v>1.1454276722212744</v>
      </c>
      <c r="N18" s="1">
        <f t="shared" si="5"/>
        <v>69777.061128405941</v>
      </c>
      <c r="O18" s="93">
        <f t="shared" si="6"/>
        <v>60698198.69769983</v>
      </c>
      <c r="P18" s="95">
        <f>N18*'sensetivity study'!$P$25*1.79</f>
        <v>62450469.70992332</v>
      </c>
      <c r="Q18">
        <f t="shared" si="7"/>
        <v>6780.1292869982963</v>
      </c>
      <c r="X18" t="s">
        <v>156</v>
      </c>
      <c r="AA18" t="s">
        <v>151</v>
      </c>
      <c r="AB18" t="s">
        <v>151</v>
      </c>
      <c r="AD18" t="s">
        <v>366</v>
      </c>
    </row>
    <row r="19" spans="3:32" x14ac:dyDescent="0.25">
      <c r="C19">
        <v>9000</v>
      </c>
      <c r="D19">
        <v>415</v>
      </c>
      <c r="E19" s="33">
        <v>132</v>
      </c>
      <c r="F19" s="33">
        <v>0.35</v>
      </c>
      <c r="G19" s="33">
        <v>6.01241</v>
      </c>
      <c r="H19" s="33">
        <v>6.5199999999999998E-3</v>
      </c>
      <c r="I19" s="33">
        <v>158304.07985899999</v>
      </c>
      <c r="J19" s="1">
        <v>36092.604362655198</v>
      </c>
      <c r="K19" s="49">
        <v>414.39601719291198</v>
      </c>
      <c r="L19" s="1">
        <v>23165.684777142498</v>
      </c>
      <c r="M19">
        <f t="shared" si="4"/>
        <v>1.142697625739491</v>
      </c>
      <c r="N19" s="1">
        <f t="shared" si="5"/>
        <v>76874.569430560397</v>
      </c>
      <c r="O19" s="93">
        <f t="shared" si="6"/>
        <v>65934821.871568091</v>
      </c>
      <c r="P19" s="95">
        <f>N19*'sensetivity study'!$P$25*1.79</f>
        <v>68802739.640351549</v>
      </c>
      <c r="Q19">
        <f t="shared" si="7"/>
        <v>7595.3064843090169</v>
      </c>
      <c r="X19" t="s">
        <v>145</v>
      </c>
      <c r="Y19" t="s">
        <v>135</v>
      </c>
      <c r="Z19">
        <v>1</v>
      </c>
      <c r="AA19" s="1">
        <v>5297.8315279116805</v>
      </c>
      <c r="AB19" s="1">
        <f>AA19*3.16</f>
        <v>16741.14762820091</v>
      </c>
      <c r="AC19" s="23">
        <f>AA19*2240*$I$26+AB19*$K$30</f>
        <v>4496382.8802991752</v>
      </c>
      <c r="AD19" s="23">
        <f>AC19/Z19</f>
        <v>4496382.8802991752</v>
      </c>
      <c r="AF19" s="24">
        <f>AD19*20</f>
        <v>89927657.605983496</v>
      </c>
    </row>
    <row r="20" spans="3:32" ht="15" customHeight="1" x14ac:dyDescent="0.25">
      <c r="C20">
        <v>9000</v>
      </c>
      <c r="D20">
        <v>9000</v>
      </c>
      <c r="E20" s="33">
        <v>111.86962</v>
      </c>
      <c r="F20" s="33">
        <v>0.35</v>
      </c>
      <c r="G20" s="33">
        <v>10.1</v>
      </c>
      <c r="H20" s="33">
        <v>0.46328000000000003</v>
      </c>
      <c r="I20" s="33">
        <v>250000</v>
      </c>
      <c r="J20" s="1">
        <v>81828.759382578195</v>
      </c>
      <c r="K20" s="49">
        <v>2552.8161172876198</v>
      </c>
      <c r="L20" s="1">
        <v>25029.9612340891</v>
      </c>
      <c r="M20">
        <f t="shared" si="4"/>
        <v>1.1308809633137418</v>
      </c>
      <c r="N20" s="1">
        <f t="shared" si="5"/>
        <v>118148.78385777857</v>
      </c>
      <c r="O20" s="93">
        <f t="shared" si="6"/>
        <v>95219628.762801617</v>
      </c>
      <c r="P20" s="95">
        <f>N20*'sensetivity study'!$P$25*1.79</f>
        <v>105743161.55271183</v>
      </c>
      <c r="Q20">
        <f t="shared" si="7"/>
        <v>8206.5446669144603</v>
      </c>
      <c r="Y20" t="s">
        <v>131</v>
      </c>
      <c r="Z20">
        <v>1</v>
      </c>
      <c r="AA20" s="1">
        <v>6468.1827592878453</v>
      </c>
      <c r="AB20" s="1">
        <f t="shared" ref="AB20:AB72" si="8">AA20*3.16</f>
        <v>20439.457519349591</v>
      </c>
      <c r="AC20" s="23">
        <f t="shared" ref="AC20:AC72" si="9">AA20*2240*$I$26+AB20*$K$30</f>
        <v>5489684.9913557675</v>
      </c>
      <c r="AD20" s="23">
        <f t="shared" ref="AD20:AD72" si="10">AC20/Z20</f>
        <v>5489684.9913557675</v>
      </c>
      <c r="AF20" s="24">
        <f t="shared" ref="AF20:AF72" si="11">AD20*20</f>
        <v>109793699.82711536</v>
      </c>
    </row>
    <row r="21" spans="3:32" ht="15" customHeight="1" x14ac:dyDescent="0.25">
      <c r="Y21" t="s">
        <v>132</v>
      </c>
      <c r="Z21">
        <v>1</v>
      </c>
      <c r="AA21" s="1">
        <v>7353.1590775567292</v>
      </c>
      <c r="AB21" s="1">
        <f t="shared" si="8"/>
        <v>23235.982685079267</v>
      </c>
      <c r="AC21" s="23">
        <f t="shared" si="9"/>
        <v>6240783.3126160773</v>
      </c>
      <c r="AD21" s="23">
        <f t="shared" si="10"/>
        <v>6240783.3126160773</v>
      </c>
      <c r="AF21" s="24">
        <f t="shared" si="11"/>
        <v>124815666.25232154</v>
      </c>
    </row>
    <row r="22" spans="3:32" x14ac:dyDescent="0.25">
      <c r="Y22" t="s">
        <v>133</v>
      </c>
      <c r="Z22">
        <v>1</v>
      </c>
      <c r="AA22" s="1">
        <v>7826.9158803792043</v>
      </c>
      <c r="AB22" s="1">
        <f t="shared" si="8"/>
        <v>24733.054181998286</v>
      </c>
      <c r="AC22" s="23">
        <f t="shared" si="9"/>
        <v>6642870.8396378988</v>
      </c>
      <c r="AD22" s="23">
        <f t="shared" si="10"/>
        <v>6642870.8396378988</v>
      </c>
      <c r="AF22" s="24">
        <f t="shared" si="11"/>
        <v>132857416.79275797</v>
      </c>
    </row>
    <row r="23" spans="3:32" x14ac:dyDescent="0.25">
      <c r="Y23" t="s">
        <v>134</v>
      </c>
      <c r="Z23">
        <v>1</v>
      </c>
      <c r="AA23" s="1">
        <v>7273.4882992807834</v>
      </c>
      <c r="AB23" s="1">
        <f t="shared" si="8"/>
        <v>22984.223025727275</v>
      </c>
      <c r="AC23" s="23">
        <f t="shared" si="9"/>
        <v>6173165.0198084004</v>
      </c>
      <c r="AD23" s="23">
        <f t="shared" si="10"/>
        <v>6173165.0198084004</v>
      </c>
      <c r="AF23" s="24">
        <f t="shared" si="11"/>
        <v>123463300.39616801</v>
      </c>
    </row>
    <row r="24" spans="3:32" x14ac:dyDescent="0.25">
      <c r="I24">
        <v>6.71</v>
      </c>
      <c r="J24" t="s">
        <v>362</v>
      </c>
      <c r="X24" t="s">
        <v>146</v>
      </c>
      <c r="Y24" t="s">
        <v>135</v>
      </c>
      <c r="Z24">
        <v>1</v>
      </c>
      <c r="AA24" s="1">
        <v>458.3278130763461</v>
      </c>
      <c r="AB24" s="1">
        <f t="shared" si="8"/>
        <v>1448.3158893212537</v>
      </c>
      <c r="AC24" s="23">
        <f t="shared" si="9"/>
        <v>388992.613567269</v>
      </c>
      <c r="AD24" s="23">
        <f t="shared" si="10"/>
        <v>388992.613567269</v>
      </c>
      <c r="AF24" s="24">
        <f t="shared" si="11"/>
        <v>7779852.2713453798</v>
      </c>
    </row>
    <row r="25" spans="3:32" x14ac:dyDescent="0.25">
      <c r="F25" t="s">
        <v>360</v>
      </c>
      <c r="G25">
        <v>2.2000000000000002</v>
      </c>
      <c r="H25" t="s">
        <v>361</v>
      </c>
      <c r="Y25" t="s">
        <v>131</v>
      </c>
      <c r="Z25">
        <v>1</v>
      </c>
      <c r="AA25" s="1">
        <v>554.32652424555488</v>
      </c>
      <c r="AB25" s="1">
        <f t="shared" si="8"/>
        <v>1751.6718166159535</v>
      </c>
      <c r="AC25" s="23">
        <f>AA25*2240*$I$26+AB25*$K$30</f>
        <v>470468.77209701447</v>
      </c>
      <c r="AD25" s="23">
        <f t="shared" si="10"/>
        <v>470468.77209701447</v>
      </c>
      <c r="AF25" s="24">
        <f t="shared" si="11"/>
        <v>9409375.441940289</v>
      </c>
    </row>
    <row r="26" spans="3:32" ht="15" customHeight="1" x14ac:dyDescent="0.25">
      <c r="I26">
        <f>G25/I24</f>
        <v>0.32786885245901642</v>
      </c>
      <c r="J26" t="s">
        <v>364</v>
      </c>
      <c r="Y26" t="s">
        <v>132</v>
      </c>
      <c r="Z26">
        <v>1</v>
      </c>
      <c r="AA26" s="1">
        <v>315.39576371845124</v>
      </c>
      <c r="AB26" s="1">
        <f t="shared" si="8"/>
        <v>996.650613350306</v>
      </c>
      <c r="AC26" s="23">
        <f t="shared" si="9"/>
        <v>267683.12752699701</v>
      </c>
      <c r="AD26" s="23">
        <f t="shared" si="10"/>
        <v>267683.12752699701</v>
      </c>
      <c r="AF26" s="24">
        <f t="shared" si="11"/>
        <v>5353662.5505399406</v>
      </c>
    </row>
    <row r="27" spans="3:32" x14ac:dyDescent="0.25">
      <c r="Y27" t="s">
        <v>133</v>
      </c>
      <c r="Z27">
        <v>1</v>
      </c>
      <c r="AA27" s="1">
        <v>-360.54890251133577</v>
      </c>
      <c r="AB27" s="1">
        <f t="shared" si="8"/>
        <v>-1139.3345319358211</v>
      </c>
      <c r="AC27" s="23">
        <f t="shared" si="9"/>
        <v>-306005.56175134995</v>
      </c>
      <c r="AD27" s="23">
        <f t="shared" si="10"/>
        <v>-306005.56175134995</v>
      </c>
      <c r="AF27" s="24">
        <f t="shared" si="11"/>
        <v>-6120111.2350269984</v>
      </c>
    </row>
    <row r="28" spans="3:32" x14ac:dyDescent="0.25">
      <c r="Y28" t="s">
        <v>134</v>
      </c>
      <c r="Z28">
        <v>1</v>
      </c>
      <c r="AA28" s="1">
        <v>-1772.7803366672899</v>
      </c>
      <c r="AB28" s="1">
        <f t="shared" si="8"/>
        <v>-5601.9858638686364</v>
      </c>
      <c r="AC28" s="23">
        <f t="shared" si="9"/>
        <v>-1504596.5720740629</v>
      </c>
      <c r="AD28" s="23">
        <f t="shared" si="10"/>
        <v>-1504596.5720740629</v>
      </c>
      <c r="AF28" s="24">
        <f t="shared" si="11"/>
        <v>-30091931.441481259</v>
      </c>
    </row>
    <row r="29" spans="3:32" x14ac:dyDescent="0.25">
      <c r="J29" t="s">
        <v>365</v>
      </c>
      <c r="K29" s="96">
        <v>31.2</v>
      </c>
      <c r="X29" t="s">
        <v>157</v>
      </c>
      <c r="AA29" s="1"/>
      <c r="AB29" s="1">
        <f t="shared" si="8"/>
        <v>0</v>
      </c>
      <c r="AC29" s="23">
        <f t="shared" si="9"/>
        <v>0</v>
      </c>
      <c r="AD29" s="23"/>
      <c r="AF29" s="24">
        <f t="shared" si="11"/>
        <v>0</v>
      </c>
    </row>
    <row r="30" spans="3:32" x14ac:dyDescent="0.25">
      <c r="J30">
        <v>2020</v>
      </c>
      <c r="K30" s="7">
        <f>K29*1.03^5</f>
        <v>36.169351118159994</v>
      </c>
      <c r="X30" t="s">
        <v>145</v>
      </c>
      <c r="Y30" t="s">
        <v>135</v>
      </c>
      <c r="Z30">
        <v>1</v>
      </c>
      <c r="AA30" s="1">
        <v>9305.1440150871367</v>
      </c>
      <c r="AB30" s="1">
        <f t="shared" si="8"/>
        <v>29404.255087675352</v>
      </c>
      <c r="AC30" s="23">
        <f t="shared" si="9"/>
        <v>7897474.6606652811</v>
      </c>
      <c r="AD30" s="23">
        <f t="shared" si="10"/>
        <v>7897474.6606652811</v>
      </c>
      <c r="AF30" s="24">
        <f t="shared" si="11"/>
        <v>157949493.21330562</v>
      </c>
    </row>
    <row r="31" spans="3:32" x14ac:dyDescent="0.25">
      <c r="Y31" t="s">
        <v>131</v>
      </c>
      <c r="Z31">
        <v>1</v>
      </c>
      <c r="AA31" s="1">
        <v>11642.819573267239</v>
      </c>
      <c r="AB31" s="1">
        <f t="shared" si="8"/>
        <v>36791.309851524478</v>
      </c>
      <c r="AC31" s="23">
        <f t="shared" si="9"/>
        <v>9881509.8841557</v>
      </c>
      <c r="AD31" s="23">
        <f t="shared" si="10"/>
        <v>9881509.8841557</v>
      </c>
      <c r="AF31" s="24">
        <f t="shared" si="11"/>
        <v>197630197.68311399</v>
      </c>
    </row>
    <row r="32" spans="3:32" x14ac:dyDescent="0.25">
      <c r="Y32" t="s">
        <v>132</v>
      </c>
      <c r="Z32">
        <v>1</v>
      </c>
      <c r="AA32" s="1">
        <v>13979.037020882271</v>
      </c>
      <c r="AB32" s="1">
        <f t="shared" si="8"/>
        <v>44173.75698598798</v>
      </c>
      <c r="AC32" s="23">
        <f t="shared" si="9"/>
        <v>11864307.578036536</v>
      </c>
      <c r="AD32" s="23">
        <f t="shared" si="10"/>
        <v>11864307.578036536</v>
      </c>
      <c r="AF32" s="24">
        <f t="shared" si="11"/>
        <v>237286151.5607307</v>
      </c>
    </row>
    <row r="33" spans="24:32" x14ac:dyDescent="0.25">
      <c r="Y33" t="s">
        <v>133</v>
      </c>
      <c r="Z33">
        <v>1</v>
      </c>
      <c r="AA33" s="1">
        <v>16307.948801361254</v>
      </c>
      <c r="AB33" s="1">
        <f t="shared" si="8"/>
        <v>51533.118212301561</v>
      </c>
      <c r="AC33" s="23">
        <f t="shared" si="9"/>
        <v>13840904.796030845</v>
      </c>
      <c r="AD33" s="23">
        <f t="shared" si="10"/>
        <v>13840904.796030845</v>
      </c>
      <c r="AF33" s="24">
        <f t="shared" si="11"/>
        <v>276818095.92061692</v>
      </c>
    </row>
    <row r="34" spans="24:32" x14ac:dyDescent="0.25">
      <c r="Y34" t="s">
        <v>134</v>
      </c>
      <c r="Z34">
        <v>1</v>
      </c>
      <c r="AA34" s="1">
        <v>18455.544218358977</v>
      </c>
      <c r="AB34" s="1">
        <f t="shared" si="8"/>
        <v>58319.51973001437</v>
      </c>
      <c r="AC34" s="23">
        <f t="shared" si="9"/>
        <v>15663614.939968534</v>
      </c>
      <c r="AD34" s="23">
        <f t="shared" si="10"/>
        <v>15663614.939968534</v>
      </c>
      <c r="AF34" s="24">
        <f t="shared" si="11"/>
        <v>313272298.79937065</v>
      </c>
    </row>
    <row r="35" spans="24:32" x14ac:dyDescent="0.25">
      <c r="X35" t="s">
        <v>146</v>
      </c>
      <c r="Y35" t="s">
        <v>135</v>
      </c>
      <c r="Z35">
        <v>1</v>
      </c>
      <c r="AA35" s="1">
        <v>2649.7282026438475</v>
      </c>
      <c r="AB35" s="1">
        <f t="shared" si="8"/>
        <v>8373.1411203545576</v>
      </c>
      <c r="AC35" s="23">
        <f t="shared" si="9"/>
        <v>2248880.9742332594</v>
      </c>
      <c r="AD35" s="23">
        <f t="shared" si="10"/>
        <v>2248880.9742332594</v>
      </c>
      <c r="AF35" s="24">
        <f t="shared" si="11"/>
        <v>44977619.484665185</v>
      </c>
    </row>
    <row r="36" spans="24:32" x14ac:dyDescent="0.25">
      <c r="Y36" t="s">
        <v>131</v>
      </c>
      <c r="Z36">
        <v>1</v>
      </c>
      <c r="AA36" s="1">
        <v>3396.7922714366646</v>
      </c>
      <c r="AB36" s="1">
        <f t="shared" si="8"/>
        <v>10733.863577739861</v>
      </c>
      <c r="AC36" s="23">
        <f t="shared" si="9"/>
        <v>2882930.2209315151</v>
      </c>
      <c r="AD36" s="23">
        <f t="shared" si="10"/>
        <v>2882930.2209315151</v>
      </c>
      <c r="AF36" s="24">
        <f t="shared" si="11"/>
        <v>57658604.418630302</v>
      </c>
    </row>
    <row r="37" spans="24:32" x14ac:dyDescent="0.25">
      <c r="Y37" t="s">
        <v>132</v>
      </c>
      <c r="Z37">
        <v>1</v>
      </c>
      <c r="AA37" s="1">
        <v>3956.1779135510424</v>
      </c>
      <c r="AB37" s="1">
        <f t="shared" si="8"/>
        <v>12501.522206821295</v>
      </c>
      <c r="AC37" s="23">
        <f t="shared" si="9"/>
        <v>3357692.7745228908</v>
      </c>
      <c r="AD37" s="23">
        <f t="shared" si="10"/>
        <v>3357692.7745228908</v>
      </c>
      <c r="AF37" s="24">
        <f t="shared" si="11"/>
        <v>67153855.490457818</v>
      </c>
    </row>
    <row r="38" spans="24:32" x14ac:dyDescent="0.25">
      <c r="Y38" t="s">
        <v>133</v>
      </c>
      <c r="Z38">
        <v>1</v>
      </c>
      <c r="AA38" s="1">
        <v>4291.39856339793</v>
      </c>
      <c r="AB38" s="1">
        <f t="shared" si="8"/>
        <v>13560.81946033746</v>
      </c>
      <c r="AC38" s="23">
        <f t="shared" si="9"/>
        <v>3642201.7067441568</v>
      </c>
      <c r="AD38" s="23">
        <f t="shared" si="10"/>
        <v>3642201.7067441568</v>
      </c>
      <c r="AF38" s="24">
        <f t="shared" si="11"/>
        <v>72844034.134883136</v>
      </c>
    </row>
    <row r="39" spans="24:32" x14ac:dyDescent="0.25">
      <c r="Y39" t="s">
        <v>134</v>
      </c>
      <c r="Z39">
        <v>1</v>
      </c>
      <c r="AA39" s="1">
        <v>4365.1019844347738</v>
      </c>
      <c r="AB39" s="1">
        <f t="shared" si="8"/>
        <v>13793.722270813885</v>
      </c>
      <c r="AC39" s="23">
        <f t="shared" si="9"/>
        <v>3704755.3758866289</v>
      </c>
      <c r="AD39" s="23">
        <f t="shared" si="10"/>
        <v>3704755.3758866289</v>
      </c>
      <c r="AF39" s="24">
        <f t="shared" si="11"/>
        <v>74095107.517732576</v>
      </c>
    </row>
    <row r="40" spans="24:32" x14ac:dyDescent="0.25">
      <c r="X40" t="s">
        <v>158</v>
      </c>
      <c r="AA40" s="1"/>
      <c r="AB40" s="1">
        <f t="shared" si="8"/>
        <v>0</v>
      </c>
      <c r="AC40" s="23">
        <f t="shared" si="9"/>
        <v>0</v>
      </c>
      <c r="AD40" s="23"/>
      <c r="AF40" s="24">
        <f t="shared" si="11"/>
        <v>0</v>
      </c>
    </row>
    <row r="41" spans="24:32" x14ac:dyDescent="0.25">
      <c r="X41" t="s">
        <v>145</v>
      </c>
      <c r="Y41" t="s">
        <v>135</v>
      </c>
      <c r="Z41">
        <v>1</v>
      </c>
      <c r="AA41" s="1">
        <v>10716.266779580355</v>
      </c>
      <c r="AB41" s="1">
        <f t="shared" si="8"/>
        <v>33863.403023473926</v>
      </c>
      <c r="AC41" s="23">
        <f t="shared" si="9"/>
        <v>9095124.7193429358</v>
      </c>
      <c r="AD41" s="23">
        <f t="shared" si="10"/>
        <v>9095124.7193429358</v>
      </c>
      <c r="AF41" s="24">
        <f t="shared" si="11"/>
        <v>181902494.3868587</v>
      </c>
    </row>
    <row r="42" spans="24:32" x14ac:dyDescent="0.25">
      <c r="Y42" t="s">
        <v>131</v>
      </c>
      <c r="Z42">
        <v>1</v>
      </c>
      <c r="AA42" s="1">
        <v>13474.980415862114</v>
      </c>
      <c r="AB42" s="1">
        <f t="shared" si="8"/>
        <v>42580.938114124277</v>
      </c>
      <c r="AC42" s="23">
        <f t="shared" si="9"/>
        <v>11436503.961108809</v>
      </c>
      <c r="AD42" s="23">
        <f t="shared" si="10"/>
        <v>11436503.961108809</v>
      </c>
      <c r="AF42" s="24">
        <f t="shared" si="11"/>
        <v>228730079.22217619</v>
      </c>
    </row>
    <row r="43" spans="24:32" x14ac:dyDescent="0.25">
      <c r="Y43" t="s">
        <v>132</v>
      </c>
      <c r="Z43">
        <v>1</v>
      </c>
      <c r="AA43" s="1">
        <v>16340.362441511543</v>
      </c>
      <c r="AB43" s="1">
        <f t="shared" si="8"/>
        <v>51635.545315176474</v>
      </c>
      <c r="AC43" s="23">
        <f t="shared" si="9"/>
        <v>13868414.945398953</v>
      </c>
      <c r="AD43" s="23">
        <f t="shared" si="10"/>
        <v>13868414.945398953</v>
      </c>
      <c r="AF43" s="24">
        <f t="shared" si="11"/>
        <v>277368298.90797907</v>
      </c>
    </row>
    <row r="44" spans="24:32" x14ac:dyDescent="0.25">
      <c r="Y44" t="s">
        <v>133</v>
      </c>
      <c r="Z44">
        <v>1</v>
      </c>
      <c r="AA44" s="1">
        <v>19355.15948232769</v>
      </c>
      <c r="AB44" s="1">
        <f t="shared" si="8"/>
        <v>61162.303964155501</v>
      </c>
      <c r="AC44" s="23">
        <f t="shared" si="9"/>
        <v>16427137.647410916</v>
      </c>
      <c r="AD44" s="23">
        <f t="shared" si="10"/>
        <v>16427137.647410916</v>
      </c>
      <c r="AF44" s="24">
        <f t="shared" si="11"/>
        <v>328542752.94821835</v>
      </c>
    </row>
    <row r="45" spans="24:32" x14ac:dyDescent="0.25">
      <c r="Y45" t="s">
        <v>134</v>
      </c>
      <c r="Z45">
        <v>1</v>
      </c>
      <c r="AA45" s="1">
        <v>22534.253150421173</v>
      </c>
      <c r="AB45" s="1">
        <f t="shared" si="8"/>
        <v>71208.239955330908</v>
      </c>
      <c r="AC45" s="23">
        <f t="shared" si="9"/>
        <v>19125302.409497578</v>
      </c>
      <c r="AD45" s="23">
        <f t="shared" si="10"/>
        <v>19125302.409497578</v>
      </c>
      <c r="AF45" s="24">
        <f t="shared" si="11"/>
        <v>382506048.18995154</v>
      </c>
    </row>
    <row r="46" spans="24:32" x14ac:dyDescent="0.25">
      <c r="X46" t="s">
        <v>146</v>
      </c>
      <c r="Y46" t="s">
        <v>135</v>
      </c>
      <c r="Z46">
        <v>1</v>
      </c>
      <c r="AA46" s="1">
        <v>3405.6798104290651</v>
      </c>
      <c r="AB46" s="1">
        <f t="shared" si="8"/>
        <v>10761.948200955847</v>
      </c>
      <c r="AC46" s="23">
        <f t="shared" si="9"/>
        <v>2890473.2652814309</v>
      </c>
      <c r="AD46" s="23">
        <f t="shared" si="10"/>
        <v>2890473.2652814309</v>
      </c>
      <c r="AF46" s="24">
        <f t="shared" si="11"/>
        <v>57809465.30562862</v>
      </c>
    </row>
    <row r="47" spans="24:32" x14ac:dyDescent="0.25">
      <c r="Y47" t="s">
        <v>131</v>
      </c>
      <c r="Z47">
        <v>1</v>
      </c>
      <c r="AA47" s="1">
        <v>4383.385857193728</v>
      </c>
      <c r="AB47" s="1">
        <f t="shared" si="8"/>
        <v>13851.499308732182</v>
      </c>
      <c r="AC47" s="23">
        <f t="shared" si="9"/>
        <v>3720273.28958883</v>
      </c>
      <c r="AD47" s="23">
        <f t="shared" si="10"/>
        <v>3720273.28958883</v>
      </c>
      <c r="AF47" s="24">
        <f t="shared" si="11"/>
        <v>74405465.791776597</v>
      </c>
    </row>
    <row r="48" spans="24:32" x14ac:dyDescent="0.25">
      <c r="Y48" t="s">
        <v>132</v>
      </c>
      <c r="Z48">
        <v>1</v>
      </c>
      <c r="AA48" s="1">
        <v>5228.0914833891766</v>
      </c>
      <c r="AB48" s="1">
        <f t="shared" si="8"/>
        <v>16520.769087509798</v>
      </c>
      <c r="AC48" s="23">
        <f t="shared" si="9"/>
        <v>4437193.0135376137</v>
      </c>
      <c r="AD48" s="23">
        <f t="shared" si="10"/>
        <v>4437193.0135376137</v>
      </c>
      <c r="AF48" s="24">
        <f t="shared" si="11"/>
        <v>88743860.270752281</v>
      </c>
    </row>
    <row r="49" spans="24:32" x14ac:dyDescent="0.25">
      <c r="Y49" t="s">
        <v>133</v>
      </c>
      <c r="Z49">
        <v>1</v>
      </c>
      <c r="AA49" s="1">
        <v>5929.1924278560591</v>
      </c>
      <c r="AB49" s="1">
        <f t="shared" si="8"/>
        <v>18736.248072025148</v>
      </c>
      <c r="AC49" s="23">
        <f t="shared" si="9"/>
        <v>5032232.3739729021</v>
      </c>
      <c r="AD49" s="23">
        <f t="shared" si="10"/>
        <v>5032232.3739729021</v>
      </c>
      <c r="AF49" s="24">
        <f t="shared" si="11"/>
        <v>100644647.47945803</v>
      </c>
    </row>
    <row r="50" spans="24:32" x14ac:dyDescent="0.25">
      <c r="Y50" t="s">
        <v>134</v>
      </c>
      <c r="Z50">
        <v>1</v>
      </c>
      <c r="AA50" s="1">
        <v>6558.2534310358842</v>
      </c>
      <c r="AB50" s="1">
        <f t="shared" si="8"/>
        <v>20724.080842073396</v>
      </c>
      <c r="AC50" s="23">
        <f t="shared" si="9"/>
        <v>5566129.8960929653</v>
      </c>
      <c r="AD50" s="23">
        <f t="shared" si="10"/>
        <v>5566129.8960929653</v>
      </c>
      <c r="AF50" s="24">
        <f t="shared" si="11"/>
        <v>111322597.92185931</v>
      </c>
    </row>
    <row r="51" spans="24:32" x14ac:dyDescent="0.25">
      <c r="X51" t="s">
        <v>159</v>
      </c>
      <c r="AA51" s="1"/>
      <c r="AB51" s="1">
        <f t="shared" si="8"/>
        <v>0</v>
      </c>
      <c r="AC51" s="23">
        <f t="shared" si="9"/>
        <v>0</v>
      </c>
      <c r="AD51" s="23"/>
      <c r="AF51" s="24">
        <f t="shared" si="11"/>
        <v>0</v>
      </c>
    </row>
    <row r="52" spans="24:32" x14ac:dyDescent="0.25">
      <c r="X52" t="s">
        <v>145</v>
      </c>
      <c r="Y52" t="s">
        <v>135</v>
      </c>
      <c r="Z52">
        <v>1</v>
      </c>
      <c r="AA52" s="1">
        <v>11398.132235425941</v>
      </c>
      <c r="AB52" s="1">
        <f t="shared" si="8"/>
        <v>36018.097863945972</v>
      </c>
      <c r="AC52" s="23">
        <f t="shared" si="9"/>
        <v>9673838.5093490183</v>
      </c>
      <c r="AD52" s="23">
        <f t="shared" si="10"/>
        <v>9673838.5093490183</v>
      </c>
      <c r="AF52" s="24">
        <f t="shared" si="11"/>
        <v>193476770.18698037</v>
      </c>
    </row>
    <row r="53" spans="24:32" x14ac:dyDescent="0.25">
      <c r="Y53" t="s">
        <v>131</v>
      </c>
      <c r="Z53">
        <v>1</v>
      </c>
      <c r="AA53" s="1">
        <v>14364.779146850615</v>
      </c>
      <c r="AB53" s="1">
        <f t="shared" si="8"/>
        <v>45392.702104047945</v>
      </c>
      <c r="AC53" s="23">
        <f t="shared" si="9"/>
        <v>12191695.16714282</v>
      </c>
      <c r="AD53" s="23">
        <f t="shared" si="10"/>
        <v>12191695.16714282</v>
      </c>
      <c r="AF53" s="24">
        <f t="shared" si="11"/>
        <v>243833903.34285641</v>
      </c>
    </row>
    <row r="54" spans="24:32" x14ac:dyDescent="0.25">
      <c r="Y54" t="s">
        <v>132</v>
      </c>
      <c r="Z54">
        <v>1</v>
      </c>
      <c r="AA54" s="1">
        <v>17492.847605316892</v>
      </c>
      <c r="AB54" s="1">
        <f t="shared" si="8"/>
        <v>55277.398432801383</v>
      </c>
      <c r="AC54" s="23">
        <f t="shared" si="9"/>
        <v>14846553.742948795</v>
      </c>
      <c r="AD54" s="23">
        <f t="shared" si="10"/>
        <v>14846553.742948795</v>
      </c>
      <c r="AF54" s="24">
        <f t="shared" si="11"/>
        <v>296931074.85897589</v>
      </c>
    </row>
    <row r="55" spans="24:32" x14ac:dyDescent="0.25">
      <c r="Y55" t="s">
        <v>133</v>
      </c>
      <c r="Z55">
        <v>1</v>
      </c>
      <c r="AA55" s="1">
        <v>20850.795317980748</v>
      </c>
      <c r="AB55" s="1">
        <f t="shared" si="8"/>
        <v>65888.513204819174</v>
      </c>
      <c r="AC55" s="23">
        <f t="shared" si="9"/>
        <v>17696515.756390389</v>
      </c>
      <c r="AD55" s="23">
        <f t="shared" si="10"/>
        <v>17696515.756390389</v>
      </c>
      <c r="AF55" s="24">
        <f t="shared" si="11"/>
        <v>353930315.1278078</v>
      </c>
    </row>
    <row r="56" spans="24:32" x14ac:dyDescent="0.25">
      <c r="Y56" t="s">
        <v>134</v>
      </c>
      <c r="Z56">
        <v>1</v>
      </c>
      <c r="AA56" s="1">
        <v>24557.429585206461</v>
      </c>
      <c r="AB56" s="1">
        <f t="shared" si="8"/>
        <v>77601.477489252415</v>
      </c>
      <c r="AC56" s="23">
        <f t="shared" si="9"/>
        <v>20842415.503272984</v>
      </c>
      <c r="AD56" s="23">
        <f t="shared" si="10"/>
        <v>20842415.503272984</v>
      </c>
      <c r="AF56" s="24">
        <f t="shared" si="11"/>
        <v>416848310.06545967</v>
      </c>
    </row>
    <row r="57" spans="24:32" x14ac:dyDescent="0.25">
      <c r="X57" t="s">
        <v>146</v>
      </c>
      <c r="Y57" t="s">
        <v>135</v>
      </c>
      <c r="Z57">
        <v>1</v>
      </c>
      <c r="AA57" s="1">
        <v>3762.7957214247485</v>
      </c>
      <c r="AB57" s="1">
        <f t="shared" si="8"/>
        <v>11890.434479702206</v>
      </c>
      <c r="AC57" s="23">
        <f t="shared" si="9"/>
        <v>3193565.1737393783</v>
      </c>
      <c r="AD57" s="23">
        <f t="shared" si="10"/>
        <v>3193565.1737393783</v>
      </c>
      <c r="AF57" s="24">
        <f t="shared" si="11"/>
        <v>63871303.474787563</v>
      </c>
    </row>
    <row r="58" spans="24:32" x14ac:dyDescent="0.25">
      <c r="Y58" t="s">
        <v>131</v>
      </c>
      <c r="Z58">
        <v>1</v>
      </c>
      <c r="AA58" s="1">
        <v>4852.4843034200203</v>
      </c>
      <c r="AB58" s="1">
        <f t="shared" si="8"/>
        <v>15333.850398807264</v>
      </c>
      <c r="AC58" s="23">
        <f t="shared" si="9"/>
        <v>4118407.169776272</v>
      </c>
      <c r="AD58" s="23">
        <f t="shared" si="10"/>
        <v>4118407.169776272</v>
      </c>
      <c r="AF58" s="24">
        <f t="shared" si="11"/>
        <v>82368143.395525441</v>
      </c>
    </row>
    <row r="59" spans="24:32" x14ac:dyDescent="0.25">
      <c r="Y59" t="s">
        <v>132</v>
      </c>
      <c r="Z59">
        <v>1</v>
      </c>
      <c r="AA59" s="1">
        <v>5836.217084765216</v>
      </c>
      <c r="AB59" s="1">
        <f t="shared" si="8"/>
        <v>18442.445987858082</v>
      </c>
      <c r="AC59" s="23">
        <f t="shared" si="9"/>
        <v>4953322.2125679776</v>
      </c>
      <c r="AD59" s="23">
        <f t="shared" si="10"/>
        <v>4953322.2125679776</v>
      </c>
      <c r="AF59" s="24">
        <f t="shared" si="11"/>
        <v>99066444.251359552</v>
      </c>
    </row>
    <row r="60" spans="24:32" x14ac:dyDescent="0.25">
      <c r="Y60" t="s">
        <v>133</v>
      </c>
      <c r="Z60">
        <v>1</v>
      </c>
      <c r="AA60" s="1">
        <v>6716.8695435799491</v>
      </c>
      <c r="AB60" s="1">
        <f t="shared" si="8"/>
        <v>21225.307757712639</v>
      </c>
      <c r="AC60" s="23">
        <f t="shared" si="9"/>
        <v>5700750.7818695782</v>
      </c>
      <c r="AD60" s="23">
        <f t="shared" si="10"/>
        <v>5700750.7818695782</v>
      </c>
      <c r="AF60" s="24">
        <f t="shared" si="11"/>
        <v>114015015.63739157</v>
      </c>
    </row>
    <row r="61" spans="24:32" x14ac:dyDescent="0.25">
      <c r="Y61" t="s">
        <v>134</v>
      </c>
      <c r="Z61">
        <v>1</v>
      </c>
      <c r="AA61" s="1">
        <v>7625.2811361127533</v>
      </c>
      <c r="AB61" s="1">
        <f t="shared" si="8"/>
        <v>24095.888390116303</v>
      </c>
      <c r="AC61" s="23">
        <f t="shared" si="9"/>
        <v>6471739.12142138</v>
      </c>
      <c r="AD61" s="23">
        <f t="shared" si="10"/>
        <v>6471739.12142138</v>
      </c>
      <c r="AF61" s="24">
        <f t="shared" si="11"/>
        <v>129434782.42842761</v>
      </c>
    </row>
    <row r="62" spans="24:32" x14ac:dyDescent="0.25">
      <c r="X62" t="s">
        <v>160</v>
      </c>
      <c r="AA62" s="1"/>
      <c r="AB62" s="1">
        <f t="shared" si="8"/>
        <v>0</v>
      </c>
      <c r="AC62" s="23">
        <f t="shared" si="9"/>
        <v>0</v>
      </c>
      <c r="AD62" s="23"/>
      <c r="AF62" s="24">
        <f t="shared" si="11"/>
        <v>0</v>
      </c>
    </row>
    <row r="63" spans="24:32" x14ac:dyDescent="0.25">
      <c r="X63" t="s">
        <v>145</v>
      </c>
      <c r="Y63" t="s">
        <v>135</v>
      </c>
      <c r="Z63">
        <v>1</v>
      </c>
      <c r="AA63" s="1">
        <v>11773.774773142559</v>
      </c>
      <c r="AB63" s="1">
        <f t="shared" si="8"/>
        <v>37205.128283130485</v>
      </c>
      <c r="AC63" s="23">
        <f t="shared" si="9"/>
        <v>9992654.3619865458</v>
      </c>
      <c r="AD63" s="23">
        <f t="shared" si="10"/>
        <v>9992654.3619865458</v>
      </c>
      <c r="AF63" s="24">
        <f t="shared" si="11"/>
        <v>199853087.23973092</v>
      </c>
    </row>
    <row r="64" spans="24:32" x14ac:dyDescent="0.25">
      <c r="Y64" t="s">
        <v>131</v>
      </c>
      <c r="Z64">
        <v>1</v>
      </c>
      <c r="AA64" s="1">
        <v>14858.231620524941</v>
      </c>
      <c r="AB64" s="1">
        <f t="shared" si="8"/>
        <v>46952.011920858815</v>
      </c>
      <c r="AC64" s="23">
        <f t="shared" si="9"/>
        <v>12610498.831091171</v>
      </c>
      <c r="AD64" s="23">
        <f t="shared" si="10"/>
        <v>12610498.831091171</v>
      </c>
      <c r="AF64" s="24">
        <f t="shared" si="11"/>
        <v>252209976.62182343</v>
      </c>
    </row>
    <row r="65" spans="24:32" x14ac:dyDescent="0.25">
      <c r="Y65" t="s">
        <v>132</v>
      </c>
      <c r="Z65">
        <v>1</v>
      </c>
      <c r="AA65" s="1">
        <v>18135.706651368953</v>
      </c>
      <c r="AB65" s="1">
        <f t="shared" si="8"/>
        <v>57308.833018325895</v>
      </c>
      <c r="AC65" s="23">
        <f t="shared" si="9"/>
        <v>15392161.959043456</v>
      </c>
      <c r="AD65" s="23">
        <f t="shared" si="10"/>
        <v>15392161.959043456</v>
      </c>
      <c r="AF65" s="24">
        <f t="shared" si="11"/>
        <v>307843239.1808691</v>
      </c>
    </row>
    <row r="66" spans="24:32" x14ac:dyDescent="0.25">
      <c r="Y66" t="s">
        <v>133</v>
      </c>
      <c r="Z66">
        <v>1</v>
      </c>
      <c r="AA66" s="1">
        <v>21690.212474371368</v>
      </c>
      <c r="AB66" s="1">
        <f t="shared" si="8"/>
        <v>68541.071419013533</v>
      </c>
      <c r="AC66" s="23">
        <f t="shared" si="9"/>
        <v>18408947.042953402</v>
      </c>
      <c r="AD66" s="23">
        <f t="shared" si="10"/>
        <v>18408947.042953402</v>
      </c>
      <c r="AF66" s="24">
        <f t="shared" si="11"/>
        <v>368178940.85906804</v>
      </c>
    </row>
    <row r="67" spans="24:32" x14ac:dyDescent="0.25">
      <c r="Y67" t="s">
        <v>134</v>
      </c>
      <c r="Z67">
        <v>1</v>
      </c>
      <c r="AA67" s="1">
        <v>25706.097500673284</v>
      </c>
      <c r="AB67" s="1">
        <f t="shared" si="8"/>
        <v>81231.268102127578</v>
      </c>
      <c r="AC67" s="23">
        <f t="shared" si="9"/>
        <v>21817314.520548806</v>
      </c>
      <c r="AD67" s="23">
        <f t="shared" si="10"/>
        <v>21817314.520548806</v>
      </c>
      <c r="AF67" s="24">
        <f t="shared" si="11"/>
        <v>436346290.41097611</v>
      </c>
    </row>
    <row r="68" spans="24:32" x14ac:dyDescent="0.25">
      <c r="X68" t="s">
        <v>146</v>
      </c>
      <c r="Y68" t="s">
        <v>135</v>
      </c>
      <c r="Z68">
        <v>1</v>
      </c>
      <c r="AA68" s="1">
        <v>3953.2288682368826</v>
      </c>
      <c r="AB68" s="1">
        <f t="shared" si="8"/>
        <v>12492.20322362855</v>
      </c>
      <c r="AC68" s="23">
        <f t="shared" si="9"/>
        <v>3355189.8567170007</v>
      </c>
      <c r="AD68" s="23">
        <f t="shared" si="10"/>
        <v>3355189.8567170007</v>
      </c>
      <c r="AF68" s="24">
        <f t="shared" si="11"/>
        <v>67103797.134340018</v>
      </c>
    </row>
    <row r="69" spans="24:32" x14ac:dyDescent="0.25">
      <c r="Y69" t="s">
        <v>131</v>
      </c>
      <c r="Z69">
        <v>1</v>
      </c>
      <c r="AA69" s="1">
        <v>5104.9746086477917</v>
      </c>
      <c r="AB69" s="1">
        <f t="shared" si="8"/>
        <v>16131.719763327023</v>
      </c>
      <c r="AC69" s="23">
        <f t="shared" si="9"/>
        <v>4332701.089823816</v>
      </c>
      <c r="AD69" s="23">
        <f t="shared" si="10"/>
        <v>4332701.089823816</v>
      </c>
      <c r="AF69" s="24">
        <f t="shared" si="11"/>
        <v>86654021.796476319</v>
      </c>
    </row>
    <row r="70" spans="24:32" x14ac:dyDescent="0.25">
      <c r="Y70" t="s">
        <v>132</v>
      </c>
      <c r="Z70">
        <v>1</v>
      </c>
      <c r="AA70" s="1">
        <v>6165.9089308645916</v>
      </c>
      <c r="AB70" s="1">
        <f t="shared" si="8"/>
        <v>19484.272221532112</v>
      </c>
      <c r="AC70" s="23">
        <f t="shared" si="9"/>
        <v>5233138.7308482043</v>
      </c>
      <c r="AD70" s="23">
        <f t="shared" si="10"/>
        <v>5233138.7308482043</v>
      </c>
      <c r="AF70" s="24">
        <f t="shared" si="11"/>
        <v>104662774.61696409</v>
      </c>
    </row>
    <row r="71" spans="24:32" x14ac:dyDescent="0.25">
      <c r="Y71" t="s">
        <v>133</v>
      </c>
      <c r="Z71">
        <v>1</v>
      </c>
      <c r="AA71" s="1">
        <v>7146.9436806288513</v>
      </c>
      <c r="AB71" s="1">
        <f t="shared" si="8"/>
        <v>22584.342030787171</v>
      </c>
      <c r="AC71" s="23">
        <f t="shared" si="9"/>
        <v>6065763.8965558419</v>
      </c>
      <c r="AD71" s="23">
        <f t="shared" si="10"/>
        <v>6065763.8965558419</v>
      </c>
      <c r="AF71" s="24">
        <f t="shared" si="11"/>
        <v>121315277.93111683</v>
      </c>
    </row>
    <row r="72" spans="24:32" x14ac:dyDescent="0.25">
      <c r="Y72" t="s">
        <v>134</v>
      </c>
      <c r="Z72">
        <v>1</v>
      </c>
      <c r="AA72" s="1">
        <v>8216.0829850863174</v>
      </c>
      <c r="AB72" s="1">
        <f t="shared" si="8"/>
        <v>25962.822232872764</v>
      </c>
      <c r="AC72" s="23">
        <f t="shared" si="9"/>
        <v>6973165.2814225387</v>
      </c>
      <c r="AD72" s="23">
        <f t="shared" si="10"/>
        <v>6973165.2814225387</v>
      </c>
      <c r="AF72" s="24">
        <f t="shared" si="11"/>
        <v>139463305.62845078</v>
      </c>
    </row>
  </sheetData>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54AE7-AF3D-41C5-90CE-AE047333F352}">
  <dimension ref="A1:P75"/>
  <sheetViews>
    <sheetView topLeftCell="A11" zoomScaleNormal="100" workbookViewId="0">
      <selection activeCell="C87" sqref="C87:C161"/>
    </sheetView>
  </sheetViews>
  <sheetFormatPr defaultRowHeight="15" x14ac:dyDescent="0.25"/>
  <cols>
    <col min="3" max="3" width="65.5703125" bestFit="1" customWidth="1"/>
    <col min="7" max="7" width="11.5703125" bestFit="1" customWidth="1"/>
    <col min="13" max="13" width="12.140625" bestFit="1" customWidth="1"/>
    <col min="14" max="14" width="12.7109375" bestFit="1" customWidth="1"/>
    <col min="15" max="15" width="12.140625" bestFit="1" customWidth="1"/>
    <col min="16" max="16" width="11" bestFit="1" customWidth="1"/>
  </cols>
  <sheetData>
    <row r="1" spans="1:16" x14ac:dyDescent="0.25">
      <c r="C1" t="s">
        <v>348</v>
      </c>
    </row>
    <row r="3" spans="1:16" x14ac:dyDescent="0.25">
      <c r="A3" t="s">
        <v>215</v>
      </c>
      <c r="B3" t="s">
        <v>216</v>
      </c>
      <c r="C3" t="s">
        <v>217</v>
      </c>
      <c r="D3" t="s">
        <v>195</v>
      </c>
      <c r="E3" t="s">
        <v>196</v>
      </c>
      <c r="F3" t="s">
        <v>197</v>
      </c>
      <c r="G3" t="s">
        <v>218</v>
      </c>
      <c r="H3" t="s">
        <v>219</v>
      </c>
      <c r="I3" t="s">
        <v>220</v>
      </c>
      <c r="J3" t="s">
        <v>194</v>
      </c>
      <c r="K3" t="s">
        <v>221</v>
      </c>
      <c r="L3" t="s">
        <v>222</v>
      </c>
      <c r="M3" t="s">
        <v>223</v>
      </c>
      <c r="N3" t="s">
        <v>349</v>
      </c>
    </row>
    <row r="4" spans="1:16" x14ac:dyDescent="0.25">
      <c r="A4" s="54">
        <v>7056</v>
      </c>
      <c r="B4" s="54"/>
      <c r="C4" s="54" t="s">
        <v>224</v>
      </c>
      <c r="D4" s="54">
        <v>176</v>
      </c>
      <c r="E4" s="54">
        <v>27</v>
      </c>
      <c r="F4" s="54">
        <v>18</v>
      </c>
      <c r="G4" s="54">
        <v>16000</v>
      </c>
      <c r="H4" s="54"/>
      <c r="I4" s="54"/>
      <c r="J4" s="54" t="s">
        <v>225</v>
      </c>
      <c r="K4" s="54" t="s">
        <v>226</v>
      </c>
      <c r="L4" s="54" t="s">
        <v>227</v>
      </c>
      <c r="M4" s="87">
        <v>68000000</v>
      </c>
      <c r="N4" s="54"/>
      <c r="O4" s="54"/>
      <c r="P4" s="88"/>
    </row>
    <row r="5" spans="1:16" x14ac:dyDescent="0.25">
      <c r="A5">
        <v>7695</v>
      </c>
      <c r="C5" t="s">
        <v>228</v>
      </c>
      <c r="D5">
        <v>227</v>
      </c>
      <c r="E5">
        <v>36</v>
      </c>
      <c r="G5">
        <v>53677</v>
      </c>
      <c r="H5">
        <v>18898</v>
      </c>
      <c r="J5" t="s">
        <v>229</v>
      </c>
      <c r="K5" t="s">
        <v>226</v>
      </c>
      <c r="M5" s="89">
        <v>43000000</v>
      </c>
      <c r="N5" s="54"/>
      <c r="P5" s="35"/>
    </row>
    <row r="6" spans="1:16" x14ac:dyDescent="0.25">
      <c r="A6">
        <v>8600</v>
      </c>
      <c r="C6" t="s">
        <v>230</v>
      </c>
      <c r="D6">
        <v>227</v>
      </c>
      <c r="E6">
        <v>36</v>
      </c>
      <c r="F6">
        <v>12</v>
      </c>
      <c r="G6">
        <v>53677</v>
      </c>
      <c r="J6" t="s">
        <v>231</v>
      </c>
      <c r="K6" t="s">
        <v>226</v>
      </c>
      <c r="L6" t="s">
        <v>232</v>
      </c>
      <c r="M6" s="89">
        <v>43000000</v>
      </c>
      <c r="N6" s="54"/>
      <c r="P6" s="35"/>
    </row>
    <row r="7" spans="1:16" x14ac:dyDescent="0.25">
      <c r="A7">
        <v>7335</v>
      </c>
      <c r="C7" t="s">
        <v>233</v>
      </c>
      <c r="D7">
        <v>339</v>
      </c>
      <c r="E7">
        <v>60</v>
      </c>
      <c r="F7">
        <v>31</v>
      </c>
      <c r="G7" s="23">
        <v>320054</v>
      </c>
      <c r="H7">
        <v>43018</v>
      </c>
      <c r="J7" t="s">
        <v>234</v>
      </c>
      <c r="K7" t="s">
        <v>226</v>
      </c>
      <c r="M7" s="89">
        <v>49000000</v>
      </c>
      <c r="N7" s="68">
        <f>D7*E7*F7*Cost!$K$1*1.024</f>
        <v>310047.03961584636</v>
      </c>
      <c r="O7" s="89">
        <f>M7</f>
        <v>49000000</v>
      </c>
      <c r="P7" s="97">
        <f>G7/N7</f>
        <v>1.0322756198432097</v>
      </c>
    </row>
    <row r="8" spans="1:16" x14ac:dyDescent="0.25">
      <c r="A8">
        <v>8423</v>
      </c>
      <c r="C8" t="s">
        <v>235</v>
      </c>
      <c r="D8">
        <v>244</v>
      </c>
      <c r="E8">
        <v>42</v>
      </c>
      <c r="F8">
        <v>22</v>
      </c>
      <c r="G8" s="23">
        <v>109647</v>
      </c>
      <c r="H8">
        <v>20753</v>
      </c>
      <c r="J8" t="s">
        <v>236</v>
      </c>
      <c r="K8" t="s">
        <v>226</v>
      </c>
      <c r="M8" s="89">
        <v>21000000</v>
      </c>
      <c r="N8" s="68">
        <f>D8*E8*F8*Cost!$K$1*1.024</f>
        <v>110860.47731092437</v>
      </c>
      <c r="O8" s="89">
        <f t="shared" ref="O8:O71" si="0">M8</f>
        <v>21000000</v>
      </c>
      <c r="P8" s="97">
        <f t="shared" ref="P8:P71" si="1">G8/N8</f>
        <v>0.9890540132934752</v>
      </c>
    </row>
    <row r="9" spans="1:16" x14ac:dyDescent="0.25">
      <c r="A9">
        <v>8424</v>
      </c>
      <c r="C9" t="s">
        <v>235</v>
      </c>
      <c r="D9">
        <v>244</v>
      </c>
      <c r="E9">
        <v>42</v>
      </c>
      <c r="F9">
        <v>22</v>
      </c>
      <c r="G9" s="23">
        <v>109647</v>
      </c>
      <c r="H9">
        <v>20753</v>
      </c>
      <c r="J9" t="s">
        <v>236</v>
      </c>
      <c r="K9" t="s">
        <v>226</v>
      </c>
      <c r="M9" s="89">
        <v>21000000</v>
      </c>
      <c r="N9" s="68">
        <f>D9*E9*F9*Cost!$K$1*1.024</f>
        <v>110860.47731092437</v>
      </c>
      <c r="O9" s="89">
        <f t="shared" si="0"/>
        <v>21000000</v>
      </c>
      <c r="P9" s="97">
        <f t="shared" si="1"/>
        <v>0.9890540132934752</v>
      </c>
    </row>
    <row r="10" spans="1:16" x14ac:dyDescent="0.25">
      <c r="A10">
        <v>8421</v>
      </c>
      <c r="C10" t="s">
        <v>237</v>
      </c>
      <c r="D10">
        <v>244</v>
      </c>
      <c r="E10">
        <v>42</v>
      </c>
      <c r="F10">
        <v>22</v>
      </c>
      <c r="G10" s="23">
        <v>109571</v>
      </c>
      <c r="H10">
        <v>21134</v>
      </c>
      <c r="J10" t="s">
        <v>236</v>
      </c>
      <c r="K10" t="s">
        <v>226</v>
      </c>
      <c r="M10" s="89">
        <v>19000000</v>
      </c>
      <c r="N10" s="68">
        <f>D10*E10*F10*Cost!$K$1*1.024</f>
        <v>110860.47731092437</v>
      </c>
      <c r="O10" s="89">
        <f t="shared" si="0"/>
        <v>19000000</v>
      </c>
      <c r="P10" s="97">
        <f t="shared" si="1"/>
        <v>0.98836846690360314</v>
      </c>
    </row>
    <row r="11" spans="1:16" x14ac:dyDescent="0.25">
      <c r="A11">
        <v>8422</v>
      </c>
      <c r="C11" t="s">
        <v>238</v>
      </c>
      <c r="D11">
        <v>244</v>
      </c>
      <c r="E11">
        <v>42</v>
      </c>
      <c r="F11">
        <v>22</v>
      </c>
      <c r="G11" s="23">
        <v>109637</v>
      </c>
      <c r="J11" t="s">
        <v>236</v>
      </c>
      <c r="K11" t="s">
        <v>226</v>
      </c>
      <c r="M11" s="89">
        <v>19000000</v>
      </c>
      <c r="N11" s="68">
        <f>D11*E11*F11*Cost!$K$1*1.024</f>
        <v>110860.47731092437</v>
      </c>
      <c r="O11" s="89">
        <f t="shared" si="0"/>
        <v>19000000</v>
      </c>
      <c r="P11" s="97">
        <f t="shared" si="1"/>
        <v>0.98896380982112364</v>
      </c>
    </row>
    <row r="12" spans="1:16" x14ac:dyDescent="0.25">
      <c r="A12">
        <v>6163</v>
      </c>
      <c r="C12" t="s">
        <v>239</v>
      </c>
      <c r="D12">
        <v>179</v>
      </c>
      <c r="E12">
        <v>32</v>
      </c>
      <c r="F12">
        <v>19</v>
      </c>
      <c r="G12" s="23">
        <v>48023</v>
      </c>
      <c r="H12">
        <v>12889</v>
      </c>
      <c r="J12" t="s">
        <v>231</v>
      </c>
      <c r="K12" t="s">
        <v>226</v>
      </c>
      <c r="L12" t="s">
        <v>240</v>
      </c>
      <c r="M12" s="89">
        <v>16000000</v>
      </c>
      <c r="N12" s="68">
        <f>D12*E12*F12*Cost!$K$1*1.024</f>
        <v>53514.510444177671</v>
      </c>
      <c r="O12" s="89">
        <f t="shared" si="0"/>
        <v>16000000</v>
      </c>
      <c r="P12" s="97">
        <f t="shared" si="1"/>
        <v>0.89738277714591064</v>
      </c>
    </row>
    <row r="13" spans="1:16" x14ac:dyDescent="0.25">
      <c r="A13">
        <v>7908</v>
      </c>
      <c r="C13" t="s">
        <v>241</v>
      </c>
      <c r="D13">
        <v>249</v>
      </c>
      <c r="E13">
        <v>43</v>
      </c>
      <c r="F13">
        <v>21</v>
      </c>
      <c r="G13" s="23">
        <v>114500</v>
      </c>
      <c r="H13">
        <v>19460</v>
      </c>
      <c r="J13" t="s">
        <v>242</v>
      </c>
      <c r="K13" t="s">
        <v>226</v>
      </c>
      <c r="M13" s="89">
        <v>16000000</v>
      </c>
      <c r="N13" s="68">
        <f>D13*E13*F13*Cost!$K$1*1.024</f>
        <v>110561.02184873949</v>
      </c>
      <c r="O13" s="89">
        <f t="shared" si="0"/>
        <v>16000000</v>
      </c>
      <c r="P13" s="97">
        <f t="shared" si="1"/>
        <v>1.0356271865563027</v>
      </c>
    </row>
    <row r="14" spans="1:16" x14ac:dyDescent="0.25">
      <c r="A14">
        <v>8517</v>
      </c>
      <c r="C14" t="s">
        <v>243</v>
      </c>
      <c r="D14">
        <v>246</v>
      </c>
      <c r="E14">
        <v>42</v>
      </c>
      <c r="F14">
        <v>14</v>
      </c>
      <c r="G14" s="23">
        <v>107181</v>
      </c>
      <c r="J14" t="s">
        <v>244</v>
      </c>
      <c r="K14" t="s">
        <v>226</v>
      </c>
      <c r="L14" t="s">
        <v>245</v>
      </c>
      <c r="M14" s="89">
        <v>14000000</v>
      </c>
      <c r="N14" s="68">
        <f>D14*E14*F14*Cost!$K$1*1.024</f>
        <v>71125.835294117642</v>
      </c>
      <c r="O14" s="89">
        <f t="shared" si="0"/>
        <v>14000000</v>
      </c>
      <c r="P14" s="97">
        <f t="shared" si="1"/>
        <v>1.5069207912538112</v>
      </c>
    </row>
    <row r="15" spans="1:16" x14ac:dyDescent="0.25">
      <c r="A15">
        <v>8213</v>
      </c>
      <c r="C15" t="s">
        <v>246</v>
      </c>
      <c r="D15">
        <v>183</v>
      </c>
      <c r="E15">
        <v>32</v>
      </c>
      <c r="F15">
        <v>18</v>
      </c>
      <c r="G15" s="23">
        <v>47470</v>
      </c>
      <c r="J15" t="s">
        <v>242</v>
      </c>
      <c r="K15" t="s">
        <v>226</v>
      </c>
      <c r="L15" t="s">
        <v>247</v>
      </c>
      <c r="M15" s="89">
        <v>13500000</v>
      </c>
      <c r="N15" s="68">
        <f>D15*E15*F15*Cost!$K$1*1.024</f>
        <v>51830.872509003602</v>
      </c>
      <c r="O15" s="89">
        <f t="shared" si="0"/>
        <v>13500000</v>
      </c>
      <c r="P15" s="97">
        <f t="shared" si="1"/>
        <v>0.91586341695779727</v>
      </c>
    </row>
    <row r="16" spans="1:16" x14ac:dyDescent="0.25">
      <c r="A16">
        <v>7305</v>
      </c>
      <c r="C16" t="s">
        <v>248</v>
      </c>
      <c r="D16">
        <v>228</v>
      </c>
      <c r="E16">
        <v>32</v>
      </c>
      <c r="F16">
        <v>20</v>
      </c>
      <c r="G16" s="23">
        <v>74998</v>
      </c>
      <c r="H16">
        <v>16642</v>
      </c>
      <c r="J16" t="s">
        <v>249</v>
      </c>
      <c r="K16" t="s">
        <v>226</v>
      </c>
      <c r="L16" t="s">
        <v>250</v>
      </c>
      <c r="M16" s="89">
        <v>13000000</v>
      </c>
      <c r="N16" s="68">
        <f>D16*E16*F16*Cost!$K$1*1.024</f>
        <v>71751.298919567824</v>
      </c>
      <c r="O16" s="89">
        <f t="shared" si="0"/>
        <v>13000000</v>
      </c>
      <c r="P16" s="97">
        <f t="shared" si="1"/>
        <v>1.0452493701064796</v>
      </c>
    </row>
    <row r="17" spans="1:16" x14ac:dyDescent="0.25">
      <c r="A17">
        <v>8231</v>
      </c>
      <c r="C17" t="s">
        <v>251</v>
      </c>
      <c r="D17">
        <v>244</v>
      </c>
      <c r="E17">
        <v>42</v>
      </c>
      <c r="F17">
        <v>22</v>
      </c>
      <c r="G17" s="23">
        <v>109637</v>
      </c>
      <c r="J17" t="s">
        <v>236</v>
      </c>
      <c r="K17" t="s">
        <v>226</v>
      </c>
      <c r="M17" s="89">
        <v>12000000</v>
      </c>
      <c r="N17" s="68">
        <f>D17*E17*F17*Cost!$K$1*1.024</f>
        <v>110860.47731092437</v>
      </c>
      <c r="O17" s="89">
        <f t="shared" si="0"/>
        <v>12000000</v>
      </c>
      <c r="P17" s="97">
        <f t="shared" si="1"/>
        <v>0.98896380982112364</v>
      </c>
    </row>
    <row r="18" spans="1:16" x14ac:dyDescent="0.25">
      <c r="A18">
        <v>8403</v>
      </c>
      <c r="C18" t="s">
        <v>252</v>
      </c>
      <c r="D18">
        <v>182</v>
      </c>
      <c r="E18">
        <v>32</v>
      </c>
      <c r="F18">
        <v>17</v>
      </c>
      <c r="G18" s="23">
        <v>46683</v>
      </c>
      <c r="H18">
        <v>11869</v>
      </c>
      <c r="J18" t="s">
        <v>236</v>
      </c>
      <c r="K18" t="s">
        <v>226</v>
      </c>
      <c r="L18" t="s">
        <v>247</v>
      </c>
      <c r="M18" s="89">
        <v>12000000</v>
      </c>
      <c r="N18" s="68">
        <f>D18*E18*F18*Cost!$K$1*1.024</f>
        <v>48683.885714285716</v>
      </c>
      <c r="O18" s="89">
        <f t="shared" si="0"/>
        <v>12000000</v>
      </c>
      <c r="P18" s="97">
        <f t="shared" si="1"/>
        <v>0.95890045166015625</v>
      </c>
    </row>
    <row r="19" spans="1:16" x14ac:dyDescent="0.25">
      <c r="A19">
        <v>6165</v>
      </c>
      <c r="C19" t="s">
        <v>253</v>
      </c>
      <c r="D19">
        <v>250</v>
      </c>
      <c r="E19">
        <v>44</v>
      </c>
      <c r="F19">
        <v>15</v>
      </c>
      <c r="G19" s="23">
        <v>115635</v>
      </c>
      <c r="J19" t="s">
        <v>254</v>
      </c>
      <c r="K19" t="s">
        <v>226</v>
      </c>
      <c r="L19" t="s">
        <v>232</v>
      </c>
      <c r="M19" s="89">
        <v>11900000</v>
      </c>
      <c r="N19" s="68">
        <f>D19*E19*F19*Cost!$K$1*1.024</f>
        <v>81133.253301320525</v>
      </c>
      <c r="O19" s="89">
        <f t="shared" si="0"/>
        <v>11900000</v>
      </c>
      <c r="P19" s="97">
        <f t="shared" si="1"/>
        <v>1.4252479137073863</v>
      </c>
    </row>
    <row r="20" spans="1:16" x14ac:dyDescent="0.25">
      <c r="A20">
        <v>6317</v>
      </c>
      <c r="C20" t="s">
        <v>255</v>
      </c>
      <c r="D20">
        <v>184</v>
      </c>
      <c r="E20">
        <v>27</v>
      </c>
      <c r="F20">
        <v>11</v>
      </c>
      <c r="G20" s="23">
        <v>37488</v>
      </c>
      <c r="H20">
        <v>10686</v>
      </c>
      <c r="J20" t="s">
        <v>236</v>
      </c>
      <c r="K20" t="s">
        <v>226</v>
      </c>
      <c r="L20" t="s">
        <v>256</v>
      </c>
      <c r="M20" s="89">
        <v>11500000</v>
      </c>
      <c r="N20" s="68">
        <f>D20*E20*F20*Cost!$K$1*1.024</f>
        <v>26871.33349339736</v>
      </c>
      <c r="O20" s="89">
        <f t="shared" si="0"/>
        <v>11500000</v>
      </c>
      <c r="P20" s="97">
        <f t="shared" si="1"/>
        <v>1.395092655495169</v>
      </c>
    </row>
    <row r="21" spans="1:16" x14ac:dyDescent="0.25">
      <c r="A21">
        <v>6318</v>
      </c>
      <c r="C21" t="s">
        <v>257</v>
      </c>
      <c r="D21">
        <v>184</v>
      </c>
      <c r="E21">
        <v>27</v>
      </c>
      <c r="F21">
        <v>11</v>
      </c>
      <c r="G21" s="23">
        <v>37434</v>
      </c>
      <c r="H21">
        <v>10686</v>
      </c>
      <c r="J21" t="s">
        <v>236</v>
      </c>
      <c r="K21" t="s">
        <v>226</v>
      </c>
      <c r="L21" t="s">
        <v>258</v>
      </c>
      <c r="M21" s="89">
        <v>11500000</v>
      </c>
      <c r="N21" s="68">
        <f>D21*E21*F21*Cost!$K$1*1.024</f>
        <v>26871.33349339736</v>
      </c>
      <c r="O21" s="89">
        <f t="shared" si="0"/>
        <v>11500000</v>
      </c>
      <c r="P21" s="97">
        <f t="shared" si="1"/>
        <v>1.3930830790067796</v>
      </c>
    </row>
    <row r="22" spans="1:16" x14ac:dyDescent="0.25">
      <c r="A22">
        <v>7385</v>
      </c>
      <c r="C22" t="s">
        <v>259</v>
      </c>
      <c r="D22">
        <v>109</v>
      </c>
      <c r="E22">
        <v>17</v>
      </c>
      <c r="F22">
        <v>8</v>
      </c>
      <c r="G22" s="23">
        <v>6300</v>
      </c>
      <c r="J22" t="s">
        <v>260</v>
      </c>
      <c r="K22" t="s">
        <v>226</v>
      </c>
      <c r="L22" t="s">
        <v>258</v>
      </c>
      <c r="M22" s="89">
        <v>11000000</v>
      </c>
      <c r="N22" s="68">
        <f>D22*E22*F22*Cost!$K$1*1.024</f>
        <v>7289.2081632653053</v>
      </c>
      <c r="O22" s="89">
        <f t="shared" si="0"/>
        <v>11000000</v>
      </c>
      <c r="P22" s="97">
        <f t="shared" si="1"/>
        <v>0.86429140983371566</v>
      </c>
    </row>
    <row r="23" spans="1:16" x14ac:dyDescent="0.25">
      <c r="A23">
        <v>5482</v>
      </c>
      <c r="C23" t="s">
        <v>261</v>
      </c>
      <c r="D23">
        <v>112</v>
      </c>
      <c r="E23">
        <v>17</v>
      </c>
      <c r="F23">
        <v>9</v>
      </c>
      <c r="G23" s="23">
        <v>7500</v>
      </c>
      <c r="J23" t="s">
        <v>262</v>
      </c>
      <c r="K23" t="s">
        <v>226</v>
      </c>
      <c r="L23" t="s">
        <v>232</v>
      </c>
      <c r="M23" s="89">
        <v>9500000</v>
      </c>
      <c r="N23" s="68">
        <f>D23*E23*F23*Cost!$K$1*1.024</f>
        <v>8426.057142857142</v>
      </c>
      <c r="O23" s="89">
        <f t="shared" si="0"/>
        <v>9500000</v>
      </c>
      <c r="P23" s="97">
        <f t="shared" si="1"/>
        <v>0.89009602864583337</v>
      </c>
    </row>
    <row r="24" spans="1:16" x14ac:dyDescent="0.25">
      <c r="A24">
        <v>8313</v>
      </c>
      <c r="C24" t="s">
        <v>263</v>
      </c>
      <c r="D24">
        <v>128</v>
      </c>
      <c r="E24">
        <v>20</v>
      </c>
      <c r="F24">
        <v>7</v>
      </c>
      <c r="G24" s="23">
        <v>12999</v>
      </c>
      <c r="J24" t="s">
        <v>244</v>
      </c>
      <c r="K24" t="s">
        <v>226</v>
      </c>
      <c r="L24" t="s">
        <v>264</v>
      </c>
      <c r="M24" s="89">
        <v>9000000</v>
      </c>
      <c r="N24" s="68">
        <f>D24*E24*F24*Cost!$K$1*1.024</f>
        <v>8811.5630252100855</v>
      </c>
      <c r="O24" s="89">
        <f t="shared" si="0"/>
        <v>9000000</v>
      </c>
      <c r="P24" s="97">
        <f t="shared" si="1"/>
        <v>1.4752206802368162</v>
      </c>
    </row>
    <row r="25" spans="1:16" x14ac:dyDescent="0.25">
      <c r="A25">
        <v>5958</v>
      </c>
      <c r="C25" t="s">
        <v>265</v>
      </c>
      <c r="D25">
        <v>101</v>
      </c>
      <c r="E25">
        <v>19</v>
      </c>
      <c r="F25">
        <v>7</v>
      </c>
      <c r="G25" s="23">
        <v>6850</v>
      </c>
      <c r="J25" t="s">
        <v>234</v>
      </c>
      <c r="K25" t="s">
        <v>226</v>
      </c>
      <c r="L25" t="s">
        <v>266</v>
      </c>
      <c r="M25" s="89">
        <v>8700000</v>
      </c>
      <c r="N25" s="68">
        <f>D25*E25*F25*Cost!$K$1*1.024</f>
        <v>6605.2302521008405</v>
      </c>
      <c r="O25" s="89">
        <f t="shared" si="0"/>
        <v>8700000</v>
      </c>
      <c r="P25" s="97">
        <f t="shared" si="1"/>
        <v>1.0370569591909848</v>
      </c>
    </row>
    <row r="26" spans="1:16" x14ac:dyDescent="0.25">
      <c r="A26">
        <v>5959</v>
      </c>
      <c r="C26" t="s">
        <v>267</v>
      </c>
      <c r="D26">
        <v>101</v>
      </c>
      <c r="E26">
        <v>19</v>
      </c>
      <c r="F26">
        <v>7</v>
      </c>
      <c r="G26" s="23">
        <v>6919</v>
      </c>
      <c r="J26" t="s">
        <v>234</v>
      </c>
      <c r="K26" t="s">
        <v>226</v>
      </c>
      <c r="L26" t="s">
        <v>266</v>
      </c>
      <c r="M26" s="89">
        <v>8500000</v>
      </c>
      <c r="N26" s="68">
        <f>D26*E26*F26*Cost!$K$1*1.024</f>
        <v>6605.2302521008405</v>
      </c>
      <c r="O26" s="89">
        <f t="shared" si="0"/>
        <v>8500000</v>
      </c>
      <c r="P26" s="97">
        <f t="shared" si="1"/>
        <v>1.0475032263711568</v>
      </c>
    </row>
    <row r="27" spans="1:16" x14ac:dyDescent="0.25">
      <c r="A27">
        <v>7590</v>
      </c>
      <c r="C27" t="s">
        <v>268</v>
      </c>
      <c r="D27">
        <v>179</v>
      </c>
      <c r="E27">
        <v>32</v>
      </c>
      <c r="F27">
        <v>18</v>
      </c>
      <c r="G27" s="23">
        <v>45937</v>
      </c>
      <c r="J27" t="s">
        <v>254</v>
      </c>
      <c r="K27" t="s">
        <v>226</v>
      </c>
      <c r="M27" s="89">
        <v>8500000</v>
      </c>
      <c r="N27" s="68">
        <f>D27*E27*F27*Cost!$K$1*1.024</f>
        <v>50697.957262905162</v>
      </c>
      <c r="O27" s="89">
        <f t="shared" si="0"/>
        <v>8500000</v>
      </c>
      <c r="P27" s="97">
        <f t="shared" si="1"/>
        <v>0.90609173386974562</v>
      </c>
    </row>
    <row r="28" spans="1:16" x14ac:dyDescent="0.25">
      <c r="A28">
        <v>8111</v>
      </c>
      <c r="C28" t="s">
        <v>269</v>
      </c>
      <c r="D28">
        <v>118</v>
      </c>
      <c r="E28">
        <v>20</v>
      </c>
      <c r="F28">
        <v>5</v>
      </c>
      <c r="G28" s="23">
        <v>3852</v>
      </c>
      <c r="J28" t="s">
        <v>249</v>
      </c>
      <c r="K28" t="s">
        <v>226</v>
      </c>
      <c r="L28" t="s">
        <v>270</v>
      </c>
      <c r="M28" s="89">
        <v>8500000</v>
      </c>
      <c r="N28" s="68">
        <f>D28*E28*F28*Cost!$K$1*1.024</f>
        <v>5802.2569027611044</v>
      </c>
      <c r="O28" s="89">
        <f t="shared" si="0"/>
        <v>8500000</v>
      </c>
      <c r="P28" s="97">
        <f t="shared" si="1"/>
        <v>0.66387960143008473</v>
      </c>
    </row>
    <row r="29" spans="1:16" x14ac:dyDescent="0.25">
      <c r="A29">
        <v>7538</v>
      </c>
      <c r="C29" t="s">
        <v>271</v>
      </c>
      <c r="D29">
        <v>138</v>
      </c>
      <c r="E29">
        <v>20</v>
      </c>
      <c r="F29">
        <v>12</v>
      </c>
      <c r="G29" s="23">
        <v>16631</v>
      </c>
      <c r="H29">
        <v>8076</v>
      </c>
      <c r="J29" t="s">
        <v>249</v>
      </c>
      <c r="K29" t="s">
        <v>226</v>
      </c>
      <c r="L29" t="s">
        <v>272</v>
      </c>
      <c r="M29" s="89">
        <v>8000000</v>
      </c>
      <c r="N29" s="68">
        <f>D29*E29*F29*Cost!$K$1*1.024</f>
        <v>16285.656662665066</v>
      </c>
      <c r="O29" s="89">
        <f t="shared" si="0"/>
        <v>8000000</v>
      </c>
      <c r="P29" s="97">
        <f t="shared" si="1"/>
        <v>1.0212053676734225</v>
      </c>
    </row>
    <row r="30" spans="1:16" x14ac:dyDescent="0.25">
      <c r="A30">
        <v>8564</v>
      </c>
      <c r="C30" t="s">
        <v>273</v>
      </c>
      <c r="D30">
        <v>119</v>
      </c>
      <c r="E30">
        <v>18</v>
      </c>
      <c r="F30">
        <v>8</v>
      </c>
      <c r="G30" s="23">
        <v>7124</v>
      </c>
      <c r="H30">
        <v>5710</v>
      </c>
      <c r="J30" t="s">
        <v>236</v>
      </c>
      <c r="K30" t="s">
        <v>226</v>
      </c>
      <c r="L30" t="s">
        <v>274</v>
      </c>
      <c r="M30" s="89">
        <v>8000000</v>
      </c>
      <c r="N30" s="68">
        <f>D30*E30*F30*Cost!$K$1*1.024</f>
        <v>8426.057142857142</v>
      </c>
      <c r="O30" s="89">
        <f t="shared" si="0"/>
        <v>8000000</v>
      </c>
      <c r="P30" s="97">
        <f t="shared" si="1"/>
        <v>0.84547254774305569</v>
      </c>
    </row>
    <row r="31" spans="1:16" x14ac:dyDescent="0.25">
      <c r="A31">
        <v>6323</v>
      </c>
      <c r="C31" t="s">
        <v>275</v>
      </c>
      <c r="D31">
        <v>150</v>
      </c>
      <c r="E31">
        <v>21</v>
      </c>
      <c r="F31">
        <v>12</v>
      </c>
      <c r="G31" s="23">
        <v>16830</v>
      </c>
      <c r="H31">
        <v>5982</v>
      </c>
      <c r="J31" t="s">
        <v>225</v>
      </c>
      <c r="K31" t="s">
        <v>226</v>
      </c>
      <c r="L31" t="s">
        <v>276</v>
      </c>
      <c r="M31" s="89">
        <v>8000000</v>
      </c>
      <c r="N31" s="68">
        <f>D31*E31*F31*Cost!$K$1*1.024</f>
        <v>18586.89075630252</v>
      </c>
      <c r="O31" s="89">
        <f t="shared" si="0"/>
        <v>8000000</v>
      </c>
      <c r="P31" s="97">
        <f t="shared" si="1"/>
        <v>0.90547688802083337</v>
      </c>
    </row>
    <row r="32" spans="1:16" x14ac:dyDescent="0.25">
      <c r="A32">
        <v>7375</v>
      </c>
      <c r="C32" t="s">
        <v>277</v>
      </c>
      <c r="D32">
        <v>239</v>
      </c>
      <c r="E32">
        <v>42</v>
      </c>
      <c r="F32">
        <v>15</v>
      </c>
      <c r="G32" s="23">
        <v>108468</v>
      </c>
      <c r="H32">
        <v>16320</v>
      </c>
      <c r="J32" t="s">
        <v>236</v>
      </c>
      <c r="K32" t="s">
        <v>226</v>
      </c>
      <c r="L32" t="s">
        <v>240</v>
      </c>
      <c r="M32" s="89">
        <v>8000000</v>
      </c>
      <c r="N32" s="68">
        <f>D32*E32*F32*Cost!$K$1*1.024</f>
        <v>74037.781512605041</v>
      </c>
      <c r="O32" s="89">
        <f t="shared" si="0"/>
        <v>8000000</v>
      </c>
      <c r="P32" s="97">
        <f t="shared" si="1"/>
        <v>1.4650357936715481</v>
      </c>
    </row>
    <row r="33" spans="1:16" x14ac:dyDescent="0.25">
      <c r="A33">
        <v>6172</v>
      </c>
      <c r="C33" t="s">
        <v>278</v>
      </c>
      <c r="D33">
        <v>129</v>
      </c>
      <c r="E33">
        <v>19</v>
      </c>
      <c r="F33">
        <v>10</v>
      </c>
      <c r="G33" s="23">
        <v>11299</v>
      </c>
      <c r="H33">
        <v>6000</v>
      </c>
      <c r="J33" t="s">
        <v>254</v>
      </c>
      <c r="K33" t="s">
        <v>226</v>
      </c>
      <c r="L33" t="s">
        <v>279</v>
      </c>
      <c r="M33" s="89">
        <v>7500000</v>
      </c>
      <c r="N33" s="68">
        <f>D33*E33*F33*Cost!$K$1*1.024</f>
        <v>12051.975990396159</v>
      </c>
      <c r="O33" s="89">
        <f t="shared" si="0"/>
        <v>7500000</v>
      </c>
      <c r="P33" s="97">
        <f t="shared" si="1"/>
        <v>0.93752261114723578</v>
      </c>
    </row>
    <row r="34" spans="1:16" x14ac:dyDescent="0.25">
      <c r="A34">
        <v>6260</v>
      </c>
      <c r="C34" t="s">
        <v>280</v>
      </c>
      <c r="D34">
        <v>100</v>
      </c>
      <c r="E34">
        <v>17</v>
      </c>
      <c r="F34">
        <v>5</v>
      </c>
      <c r="G34" s="23">
        <v>5814</v>
      </c>
      <c r="H34">
        <v>1305</v>
      </c>
      <c r="J34" t="s">
        <v>262</v>
      </c>
      <c r="K34" t="s">
        <v>226</v>
      </c>
      <c r="L34" t="s">
        <v>281</v>
      </c>
      <c r="M34" s="89">
        <v>7500000</v>
      </c>
      <c r="N34" s="68">
        <f>D34*E34*F34*Cost!$K$1*1.024</f>
        <v>4179.591836734694</v>
      </c>
      <c r="O34" s="89">
        <f t="shared" si="0"/>
        <v>7500000</v>
      </c>
      <c r="P34" s="97">
        <f t="shared" si="1"/>
        <v>1.3910449218750001</v>
      </c>
    </row>
    <row r="35" spans="1:16" x14ac:dyDescent="0.25">
      <c r="A35">
        <v>6324</v>
      </c>
      <c r="C35" t="s">
        <v>282</v>
      </c>
      <c r="D35">
        <v>137</v>
      </c>
      <c r="E35">
        <v>20</v>
      </c>
      <c r="F35">
        <v>8</v>
      </c>
      <c r="G35" s="23">
        <v>13655</v>
      </c>
      <c r="H35">
        <v>5602</v>
      </c>
      <c r="J35" t="s">
        <v>225</v>
      </c>
      <c r="K35" t="s">
        <v>226</v>
      </c>
      <c r="L35" t="s">
        <v>276</v>
      </c>
      <c r="M35" s="89">
        <v>7000000</v>
      </c>
      <c r="N35" s="68">
        <f>D35*E35*F35*Cost!$K$1*1.024</f>
        <v>10778.429771908764</v>
      </c>
      <c r="O35" s="89">
        <f t="shared" si="0"/>
        <v>7000000</v>
      </c>
      <c r="P35" s="97">
        <f t="shared" si="1"/>
        <v>1.2668821237383097</v>
      </c>
    </row>
    <row r="36" spans="1:16" x14ac:dyDescent="0.25">
      <c r="A36">
        <v>7692</v>
      </c>
      <c r="C36" t="s">
        <v>283</v>
      </c>
      <c r="D36">
        <v>120</v>
      </c>
      <c r="E36">
        <v>16</v>
      </c>
      <c r="F36">
        <v>6</v>
      </c>
      <c r="G36" s="23">
        <v>6395</v>
      </c>
      <c r="J36" t="s">
        <v>234</v>
      </c>
      <c r="K36" t="s">
        <v>226</v>
      </c>
      <c r="L36" t="s">
        <v>284</v>
      </c>
      <c r="M36" s="89">
        <v>6000000</v>
      </c>
      <c r="N36" s="68">
        <f>D36*E36*F36*Cost!$K$1*1.024</f>
        <v>5664.5762304921973</v>
      </c>
      <c r="O36" s="89">
        <f t="shared" si="0"/>
        <v>6000000</v>
      </c>
      <c r="P36" s="97">
        <f t="shared" si="1"/>
        <v>1.1289458804660373</v>
      </c>
    </row>
    <row r="37" spans="1:16" x14ac:dyDescent="0.25">
      <c r="A37">
        <v>6042</v>
      </c>
      <c r="C37" t="s">
        <v>285</v>
      </c>
      <c r="D37">
        <v>135</v>
      </c>
      <c r="E37">
        <v>22</v>
      </c>
      <c r="F37">
        <v>8</v>
      </c>
      <c r="G37" s="23">
        <v>12000</v>
      </c>
      <c r="H37">
        <v>6037</v>
      </c>
      <c r="K37" t="s">
        <v>226</v>
      </c>
      <c r="L37" t="s">
        <v>286</v>
      </c>
      <c r="M37" s="89">
        <v>6000000</v>
      </c>
      <c r="N37" s="68">
        <f>D37*E37*F37*Cost!$K$1*1.024</f>
        <v>11683.188475390158</v>
      </c>
      <c r="O37" s="89">
        <f t="shared" si="0"/>
        <v>6000000</v>
      </c>
      <c r="P37" s="97">
        <f t="shared" si="1"/>
        <v>1.0271168718434343</v>
      </c>
    </row>
    <row r="38" spans="1:16" x14ac:dyDescent="0.25">
      <c r="A38">
        <v>7075</v>
      </c>
      <c r="C38" t="s">
        <v>287</v>
      </c>
      <c r="D38">
        <v>182</v>
      </c>
      <c r="E38">
        <v>30</v>
      </c>
      <c r="F38">
        <v>17</v>
      </c>
      <c r="G38" s="23">
        <v>44128</v>
      </c>
      <c r="H38">
        <v>10689</v>
      </c>
      <c r="J38" t="s">
        <v>262</v>
      </c>
      <c r="K38" t="s">
        <v>226</v>
      </c>
      <c r="L38" t="s">
        <v>284</v>
      </c>
      <c r="M38" s="89">
        <v>5900000</v>
      </c>
      <c r="N38" s="68">
        <f>D38*E38*F38*Cost!$K$1*1.024</f>
        <v>45641.142857142862</v>
      </c>
      <c r="O38" s="89">
        <f t="shared" si="0"/>
        <v>5900000</v>
      </c>
      <c r="P38" s="97">
        <f t="shared" si="1"/>
        <v>0.96684695512820507</v>
      </c>
    </row>
    <row r="39" spans="1:16" x14ac:dyDescent="0.25">
      <c r="A39">
        <v>7557</v>
      </c>
      <c r="C39" t="s">
        <v>288</v>
      </c>
      <c r="D39">
        <v>84</v>
      </c>
      <c r="E39">
        <v>13</v>
      </c>
      <c r="F39">
        <v>6</v>
      </c>
      <c r="G39" s="23">
        <v>3000</v>
      </c>
      <c r="H39">
        <v>1999</v>
      </c>
      <c r="J39" t="s">
        <v>262</v>
      </c>
      <c r="K39" t="s">
        <v>226</v>
      </c>
      <c r="L39" t="s">
        <v>289</v>
      </c>
      <c r="M39" s="89">
        <v>5200000</v>
      </c>
      <c r="N39" s="68">
        <f>D39*E39*F39*Cost!$K$1*1.024</f>
        <v>3221.7277310924369</v>
      </c>
      <c r="O39" s="89">
        <f t="shared" si="0"/>
        <v>5200000</v>
      </c>
      <c r="P39" s="97">
        <f t="shared" si="1"/>
        <v>0.93117738381410253</v>
      </c>
    </row>
    <row r="40" spans="1:16" x14ac:dyDescent="0.25">
      <c r="A40">
        <v>8080</v>
      </c>
      <c r="C40" t="s">
        <v>290</v>
      </c>
      <c r="D40">
        <v>92</v>
      </c>
      <c r="E40">
        <v>13</v>
      </c>
      <c r="F40">
        <v>5</v>
      </c>
      <c r="G40" s="23">
        <v>4424</v>
      </c>
      <c r="J40" t="s">
        <v>236</v>
      </c>
      <c r="K40" t="s">
        <v>226</v>
      </c>
      <c r="L40" t="s">
        <v>291</v>
      </c>
      <c r="M40" s="89">
        <v>4500000</v>
      </c>
      <c r="N40" s="68">
        <f>D40*E40*F40*Cost!$K$1*1.024</f>
        <v>2940.4657863145258</v>
      </c>
      <c r="O40" s="89">
        <f t="shared" si="0"/>
        <v>4500000</v>
      </c>
      <c r="P40" s="97">
        <f t="shared" si="1"/>
        <v>1.5045235420150502</v>
      </c>
    </row>
    <row r="41" spans="1:16" x14ac:dyDescent="0.25">
      <c r="A41">
        <v>6388</v>
      </c>
      <c r="C41" t="s">
        <v>292</v>
      </c>
      <c r="D41">
        <v>83</v>
      </c>
      <c r="E41">
        <v>13</v>
      </c>
      <c r="F41">
        <v>6</v>
      </c>
      <c r="G41" s="23">
        <v>3750</v>
      </c>
      <c r="H41">
        <v>2091</v>
      </c>
      <c r="J41" t="s">
        <v>225</v>
      </c>
      <c r="K41" t="s">
        <v>226</v>
      </c>
      <c r="L41" t="s">
        <v>270</v>
      </c>
      <c r="M41" s="89">
        <v>4500000</v>
      </c>
      <c r="N41" s="68">
        <f>D41*E41*F41*Cost!$K$1*1.024</f>
        <v>3183.3738295318126</v>
      </c>
      <c r="O41" s="89">
        <f t="shared" si="0"/>
        <v>4500000</v>
      </c>
      <c r="P41" s="97">
        <f t="shared" si="1"/>
        <v>1.1779954855479611</v>
      </c>
    </row>
    <row r="42" spans="1:16" x14ac:dyDescent="0.25">
      <c r="A42">
        <v>6201</v>
      </c>
      <c r="C42" t="s">
        <v>293</v>
      </c>
      <c r="D42">
        <v>90</v>
      </c>
      <c r="E42">
        <v>15</v>
      </c>
      <c r="F42">
        <v>6</v>
      </c>
      <c r="G42" s="23">
        <v>3590</v>
      </c>
      <c r="J42" t="s">
        <v>249</v>
      </c>
      <c r="K42" t="s">
        <v>226</v>
      </c>
      <c r="L42" t="s">
        <v>240</v>
      </c>
      <c r="M42" s="89">
        <v>4000000</v>
      </c>
      <c r="N42" s="68">
        <f>D42*E42*F42*Cost!$K$1*1.024</f>
        <v>3982.9051620648256</v>
      </c>
      <c r="O42" s="89">
        <f t="shared" si="0"/>
        <v>4000000</v>
      </c>
      <c r="P42" s="97">
        <f t="shared" si="1"/>
        <v>0.90135211709104945</v>
      </c>
    </row>
    <row r="43" spans="1:16" x14ac:dyDescent="0.25">
      <c r="A43">
        <v>6048</v>
      </c>
      <c r="C43" t="s">
        <v>294</v>
      </c>
      <c r="D43">
        <v>90</v>
      </c>
      <c r="E43">
        <v>15</v>
      </c>
      <c r="F43">
        <v>5</v>
      </c>
      <c r="G43" s="23">
        <v>3590</v>
      </c>
      <c r="H43">
        <v>5200</v>
      </c>
      <c r="J43" t="s">
        <v>249</v>
      </c>
      <c r="K43" t="s">
        <v>226</v>
      </c>
      <c r="L43" t="s">
        <v>240</v>
      </c>
      <c r="M43" s="89">
        <v>4000000</v>
      </c>
      <c r="N43" s="68">
        <f>D43*E43*F43*Cost!$K$1*1.024</f>
        <v>3319.0876350540216</v>
      </c>
      <c r="O43" s="89">
        <f t="shared" si="0"/>
        <v>4000000</v>
      </c>
      <c r="P43" s="97">
        <f t="shared" si="1"/>
        <v>1.0816225405092592</v>
      </c>
    </row>
    <row r="44" spans="1:16" x14ac:dyDescent="0.25">
      <c r="A44">
        <v>6889</v>
      </c>
      <c r="C44" t="s">
        <v>295</v>
      </c>
      <c r="D44">
        <v>93</v>
      </c>
      <c r="E44">
        <v>14</v>
      </c>
      <c r="F44">
        <v>7</v>
      </c>
      <c r="G44" s="23">
        <v>4858</v>
      </c>
      <c r="K44" t="s">
        <v>226</v>
      </c>
      <c r="L44" t="s">
        <v>266</v>
      </c>
      <c r="M44" s="89">
        <v>3800000</v>
      </c>
      <c r="N44" s="68">
        <f>D44*E44*F44*Cost!$K$1*1.024</f>
        <v>4481.5058823529407</v>
      </c>
      <c r="O44" s="89">
        <f t="shared" si="0"/>
        <v>3800000</v>
      </c>
      <c r="P44" s="97">
        <f t="shared" si="1"/>
        <v>1.0840106266801077</v>
      </c>
    </row>
    <row r="45" spans="1:16" x14ac:dyDescent="0.25">
      <c r="A45">
        <v>5673</v>
      </c>
      <c r="C45" t="s">
        <v>296</v>
      </c>
      <c r="D45">
        <v>88</v>
      </c>
      <c r="E45">
        <v>13</v>
      </c>
      <c r="F45">
        <v>6</v>
      </c>
      <c r="G45" s="23">
        <v>3500</v>
      </c>
      <c r="J45" t="s">
        <v>297</v>
      </c>
      <c r="K45" t="s">
        <v>226</v>
      </c>
      <c r="L45" t="s">
        <v>270</v>
      </c>
      <c r="M45" s="89">
        <v>3650000</v>
      </c>
      <c r="N45" s="68">
        <f>D45*E45*F45*Cost!$K$1*1.024</f>
        <v>3375.1433373349337</v>
      </c>
      <c r="O45" s="89">
        <f t="shared" si="0"/>
        <v>3650000</v>
      </c>
      <c r="P45" s="97">
        <f t="shared" si="1"/>
        <v>1.0369929956111599</v>
      </c>
    </row>
    <row r="46" spans="1:16" x14ac:dyDescent="0.25">
      <c r="A46">
        <v>6325</v>
      </c>
      <c r="C46" t="s">
        <v>298</v>
      </c>
      <c r="D46">
        <v>133</v>
      </c>
      <c r="E46">
        <v>19</v>
      </c>
      <c r="F46">
        <v>6</v>
      </c>
      <c r="G46" s="23">
        <v>10000</v>
      </c>
      <c r="J46" t="s">
        <v>262</v>
      </c>
      <c r="K46" t="s">
        <v>226</v>
      </c>
      <c r="L46" t="s">
        <v>276</v>
      </c>
      <c r="M46" s="89">
        <v>3500000</v>
      </c>
      <c r="N46" s="68">
        <f>D46*E46*F46*Cost!$K$1*1.024</f>
        <v>7455.4084033613444</v>
      </c>
      <c r="O46" s="89">
        <f t="shared" si="0"/>
        <v>3500000</v>
      </c>
      <c r="P46" s="97">
        <f t="shared" si="1"/>
        <v>1.3413081428901201</v>
      </c>
    </row>
    <row r="47" spans="1:16" x14ac:dyDescent="0.25">
      <c r="A47">
        <v>6307</v>
      </c>
      <c r="C47" t="s">
        <v>299</v>
      </c>
      <c r="D47">
        <v>117</v>
      </c>
      <c r="E47">
        <v>18</v>
      </c>
      <c r="F47">
        <v>7</v>
      </c>
      <c r="G47" s="23">
        <v>9025</v>
      </c>
      <c r="J47" t="s">
        <v>300</v>
      </c>
      <c r="K47" t="s">
        <v>226</v>
      </c>
      <c r="L47" t="s">
        <v>284</v>
      </c>
      <c r="M47" s="89">
        <v>3000000</v>
      </c>
      <c r="N47" s="68">
        <f>D47*E47*F47*Cost!$K$1*1.024</f>
        <v>7248.8873949579829</v>
      </c>
      <c r="O47" s="89">
        <f t="shared" si="0"/>
        <v>3000000</v>
      </c>
      <c r="P47" s="97">
        <f t="shared" si="1"/>
        <v>1.2450186502107075</v>
      </c>
    </row>
    <row r="48" spans="1:16" x14ac:dyDescent="0.25">
      <c r="A48">
        <v>6888</v>
      </c>
      <c r="C48" t="s">
        <v>301</v>
      </c>
      <c r="D48">
        <v>59</v>
      </c>
      <c r="E48">
        <v>10</v>
      </c>
      <c r="F48">
        <v>4</v>
      </c>
      <c r="G48" s="23">
        <v>1034</v>
      </c>
      <c r="K48" t="s">
        <v>226</v>
      </c>
      <c r="L48" t="s">
        <v>266</v>
      </c>
      <c r="M48" s="89">
        <v>2800000</v>
      </c>
      <c r="N48" s="68">
        <f>D48*E48*F48*Cost!$K$1*1.024</f>
        <v>1160.4513805522208</v>
      </c>
      <c r="O48" s="89">
        <f t="shared" si="0"/>
        <v>2800000</v>
      </c>
      <c r="P48" s="97">
        <f t="shared" si="1"/>
        <v>0.89103259070444918</v>
      </c>
    </row>
    <row r="49" spans="1:16" x14ac:dyDescent="0.25">
      <c r="A49">
        <v>7195</v>
      </c>
      <c r="C49" t="s">
        <v>302</v>
      </c>
      <c r="D49">
        <v>85</v>
      </c>
      <c r="E49">
        <v>12</v>
      </c>
      <c r="F49">
        <v>5</v>
      </c>
      <c r="G49" s="23">
        <v>2492</v>
      </c>
      <c r="H49">
        <v>1780</v>
      </c>
      <c r="J49" t="s">
        <v>231</v>
      </c>
      <c r="K49" t="s">
        <v>226</v>
      </c>
      <c r="L49" t="s">
        <v>303</v>
      </c>
      <c r="M49" s="89">
        <v>2000000</v>
      </c>
      <c r="N49" s="68">
        <f>D49*E49*F49*Cost!$K$1*1.024</f>
        <v>2507.7551020408159</v>
      </c>
      <c r="O49" s="89">
        <f t="shared" si="0"/>
        <v>2000000</v>
      </c>
      <c r="P49" s="97">
        <f t="shared" si="1"/>
        <v>0.99371744791666683</v>
      </c>
    </row>
    <row r="50" spans="1:16" x14ac:dyDescent="0.25">
      <c r="A50">
        <v>7416</v>
      </c>
      <c r="C50" t="s">
        <v>304</v>
      </c>
      <c r="D50">
        <v>99</v>
      </c>
      <c r="E50">
        <v>15</v>
      </c>
      <c r="F50">
        <v>7</v>
      </c>
      <c r="G50" s="23">
        <v>3785</v>
      </c>
      <c r="J50" t="s">
        <v>234</v>
      </c>
      <c r="K50" t="s">
        <v>226</v>
      </c>
      <c r="L50" t="s">
        <v>305</v>
      </c>
      <c r="M50" s="89">
        <v>1900000</v>
      </c>
      <c r="N50" s="68">
        <f>D50*E50*F50*Cost!$K$1*1.024</f>
        <v>5111.3949579831933</v>
      </c>
      <c r="O50" s="89">
        <f t="shared" si="0"/>
        <v>1900000</v>
      </c>
      <c r="P50" s="97">
        <f t="shared" si="1"/>
        <v>0.74050235427188549</v>
      </c>
    </row>
    <row r="51" spans="1:16" x14ac:dyDescent="0.25">
      <c r="A51">
        <v>6315</v>
      </c>
      <c r="C51" t="s">
        <v>306</v>
      </c>
      <c r="D51">
        <v>100</v>
      </c>
      <c r="E51">
        <v>15</v>
      </c>
      <c r="F51">
        <v>6</v>
      </c>
      <c r="G51" s="23">
        <v>5750</v>
      </c>
      <c r="K51" t="s">
        <v>226</v>
      </c>
      <c r="L51" t="s">
        <v>307</v>
      </c>
      <c r="M51" s="89">
        <v>1837500</v>
      </c>
      <c r="N51" s="68">
        <f>D51*E51*F51*Cost!$K$1*1.024</f>
        <v>4425.4501800720291</v>
      </c>
      <c r="O51" s="89">
        <f t="shared" si="0"/>
        <v>1837500</v>
      </c>
      <c r="P51" s="97">
        <f t="shared" si="1"/>
        <v>1.2993028428819444</v>
      </c>
    </row>
    <row r="52" spans="1:16" x14ac:dyDescent="0.25">
      <c r="A52">
        <v>4316</v>
      </c>
      <c r="C52" t="s">
        <v>308</v>
      </c>
      <c r="D52">
        <v>54</v>
      </c>
      <c r="E52">
        <v>9</v>
      </c>
      <c r="F52">
        <v>4</v>
      </c>
      <c r="G52" s="23">
        <v>944</v>
      </c>
      <c r="J52" t="s">
        <v>309</v>
      </c>
      <c r="K52" t="s">
        <v>226</v>
      </c>
      <c r="L52" t="s">
        <v>232</v>
      </c>
      <c r="M52" s="89">
        <v>1800000</v>
      </c>
      <c r="N52" s="68">
        <f>D52*E52*F52*Cost!$K$1*1.024</f>
        <v>955.89723889555819</v>
      </c>
      <c r="O52" s="89">
        <f t="shared" si="0"/>
        <v>1800000</v>
      </c>
      <c r="P52" s="97">
        <f t="shared" si="1"/>
        <v>0.98755385159465026</v>
      </c>
    </row>
    <row r="53" spans="1:16" x14ac:dyDescent="0.25">
      <c r="A53">
        <v>5769</v>
      </c>
      <c r="C53" t="s">
        <v>310</v>
      </c>
      <c r="D53">
        <v>73</v>
      </c>
      <c r="E53">
        <v>12</v>
      </c>
      <c r="F53">
        <v>5</v>
      </c>
      <c r="G53" s="23">
        <v>2400</v>
      </c>
      <c r="J53" t="s">
        <v>300</v>
      </c>
      <c r="K53" t="s">
        <v>226</v>
      </c>
      <c r="L53" t="s">
        <v>232</v>
      </c>
      <c r="M53" s="89">
        <v>1700000</v>
      </c>
      <c r="N53" s="68">
        <f>D53*E53*F53*Cost!$K$1*1.024</f>
        <v>2153.7190876350537</v>
      </c>
      <c r="O53" s="89">
        <f t="shared" si="0"/>
        <v>1700000</v>
      </c>
      <c r="P53" s="97">
        <f t="shared" si="1"/>
        <v>1.1143514554794522</v>
      </c>
    </row>
    <row r="54" spans="1:16" x14ac:dyDescent="0.25">
      <c r="A54">
        <v>7389</v>
      </c>
      <c r="C54" t="s">
        <v>311</v>
      </c>
      <c r="D54">
        <v>100</v>
      </c>
      <c r="E54">
        <v>15</v>
      </c>
      <c r="F54">
        <v>9</v>
      </c>
      <c r="G54" s="23">
        <v>5750</v>
      </c>
      <c r="K54" t="s">
        <v>226</v>
      </c>
      <c r="M54" s="89">
        <v>1200000</v>
      </c>
      <c r="N54" s="68">
        <f>D54*E54*F54*Cost!$K$1*1.024</f>
        <v>6638.1752701080432</v>
      </c>
      <c r="O54" s="89">
        <f t="shared" si="0"/>
        <v>1200000</v>
      </c>
      <c r="P54" s="97">
        <f t="shared" si="1"/>
        <v>0.86620189525462965</v>
      </c>
    </row>
    <row r="55" spans="1:16" x14ac:dyDescent="0.25">
      <c r="A55">
        <v>8554</v>
      </c>
      <c r="C55" t="s">
        <v>312</v>
      </c>
      <c r="D55">
        <v>105</v>
      </c>
      <c r="E55">
        <v>18</v>
      </c>
      <c r="F55">
        <v>6</v>
      </c>
      <c r="G55" s="23">
        <v>6756</v>
      </c>
      <c r="J55" t="s">
        <v>313</v>
      </c>
      <c r="K55" t="s">
        <v>226</v>
      </c>
      <c r="L55" t="s">
        <v>256</v>
      </c>
      <c r="M55" s="89">
        <v>1100000</v>
      </c>
      <c r="N55" s="68">
        <f>D55*E55*F55*Cost!$K$1*1.024</f>
        <v>5576.0672268907556</v>
      </c>
      <c r="O55" s="89">
        <f t="shared" si="0"/>
        <v>1100000</v>
      </c>
      <c r="P55" s="97">
        <f t="shared" si="1"/>
        <v>1.2116066261574077</v>
      </c>
    </row>
    <row r="56" spans="1:16" x14ac:dyDescent="0.25">
      <c r="A56">
        <v>6037</v>
      </c>
      <c r="C56" t="s">
        <v>314</v>
      </c>
      <c r="D56">
        <v>86</v>
      </c>
      <c r="E56">
        <v>14</v>
      </c>
      <c r="F56">
        <v>7</v>
      </c>
      <c r="G56" s="23">
        <v>3399</v>
      </c>
      <c r="K56" t="s">
        <v>226</v>
      </c>
      <c r="L56" t="s">
        <v>266</v>
      </c>
      <c r="M56" s="89">
        <v>1050000</v>
      </c>
      <c r="N56" s="68">
        <f>D56*E56*F56*Cost!$K$1*1.024</f>
        <v>4144.1882352941175</v>
      </c>
      <c r="O56" s="89">
        <f t="shared" si="0"/>
        <v>1050000</v>
      </c>
      <c r="P56" s="97">
        <f t="shared" si="1"/>
        <v>0.82018475199854657</v>
      </c>
    </row>
    <row r="57" spans="1:16" x14ac:dyDescent="0.25">
      <c r="A57">
        <v>8003</v>
      </c>
      <c r="C57" t="s">
        <v>315</v>
      </c>
      <c r="D57">
        <v>77</v>
      </c>
      <c r="E57">
        <v>14</v>
      </c>
      <c r="F57">
        <v>5</v>
      </c>
      <c r="G57" s="23">
        <v>2622</v>
      </c>
      <c r="J57" t="s">
        <v>316</v>
      </c>
      <c r="K57" t="s">
        <v>226</v>
      </c>
      <c r="L57" t="s">
        <v>317</v>
      </c>
      <c r="M57" s="89">
        <v>1000000</v>
      </c>
      <c r="N57" s="68">
        <f>D57*E57*F57*Cost!$K$1*1.024</f>
        <v>2650.3529411764703</v>
      </c>
      <c r="O57" s="89">
        <f t="shared" si="0"/>
        <v>1000000</v>
      </c>
      <c r="P57" s="97">
        <f t="shared" si="1"/>
        <v>0.98930220170454553</v>
      </c>
    </row>
    <row r="58" spans="1:16" x14ac:dyDescent="0.25">
      <c r="A58">
        <v>8292</v>
      </c>
      <c r="C58" t="s">
        <v>318</v>
      </c>
      <c r="D58">
        <v>77</v>
      </c>
      <c r="E58">
        <v>12</v>
      </c>
      <c r="F58">
        <v>5</v>
      </c>
      <c r="G58" s="23">
        <v>2366</v>
      </c>
      <c r="J58" t="s">
        <v>236</v>
      </c>
      <c r="K58" t="s">
        <v>226</v>
      </c>
      <c r="L58" t="s">
        <v>319</v>
      </c>
      <c r="M58" s="89">
        <v>1000000</v>
      </c>
      <c r="N58" s="68">
        <f>D58*E58*F58*Cost!$K$1*1.024</f>
        <v>2271.7310924369749</v>
      </c>
      <c r="O58" s="89">
        <f t="shared" si="0"/>
        <v>1000000</v>
      </c>
      <c r="P58" s="97">
        <f t="shared" si="1"/>
        <v>1.0414965080492424</v>
      </c>
    </row>
    <row r="59" spans="1:16" x14ac:dyDescent="0.25">
      <c r="A59">
        <v>7382</v>
      </c>
      <c r="C59" t="s">
        <v>320</v>
      </c>
      <c r="D59">
        <v>75</v>
      </c>
      <c r="E59">
        <v>13</v>
      </c>
      <c r="F59">
        <v>4</v>
      </c>
      <c r="G59" s="23">
        <v>1500</v>
      </c>
      <c r="J59" t="s">
        <v>321</v>
      </c>
      <c r="K59" t="s">
        <v>226</v>
      </c>
      <c r="L59" t="s">
        <v>322</v>
      </c>
      <c r="M59" s="89">
        <v>1000000</v>
      </c>
      <c r="N59" s="68">
        <f>D59*E59*F59*Cost!$K$1*1.024</f>
        <v>1917.6950780312127</v>
      </c>
      <c r="O59" s="89">
        <f t="shared" si="0"/>
        <v>1000000</v>
      </c>
      <c r="P59" s="97">
        <f t="shared" si="1"/>
        <v>0.78218900240384603</v>
      </c>
    </row>
    <row r="60" spans="1:16" x14ac:dyDescent="0.25">
      <c r="A60">
        <v>5880</v>
      </c>
      <c r="C60" t="s">
        <v>323</v>
      </c>
      <c r="D60">
        <v>89</v>
      </c>
      <c r="E60">
        <v>13</v>
      </c>
      <c r="F60">
        <v>6</v>
      </c>
      <c r="G60" s="23">
        <v>2998</v>
      </c>
      <c r="J60" t="s">
        <v>249</v>
      </c>
      <c r="K60" t="s">
        <v>226</v>
      </c>
      <c r="L60" t="s">
        <v>240</v>
      </c>
      <c r="M60" s="89">
        <v>1000000</v>
      </c>
      <c r="N60" s="68">
        <f>D60*E60*F60*Cost!$K$1*1.024</f>
        <v>3413.4972388955584</v>
      </c>
      <c r="O60" s="89">
        <f t="shared" si="0"/>
        <v>1000000</v>
      </c>
      <c r="P60" s="97">
        <f t="shared" si="1"/>
        <v>0.87827813827967438</v>
      </c>
    </row>
    <row r="61" spans="1:16" x14ac:dyDescent="0.25">
      <c r="A61">
        <v>7118</v>
      </c>
      <c r="C61" t="s">
        <v>324</v>
      </c>
      <c r="D61">
        <v>78</v>
      </c>
      <c r="E61">
        <v>14</v>
      </c>
      <c r="F61">
        <v>5</v>
      </c>
      <c r="G61" s="23">
        <v>2622</v>
      </c>
      <c r="H61">
        <v>1200</v>
      </c>
      <c r="J61" t="s">
        <v>325</v>
      </c>
      <c r="K61" t="s">
        <v>226</v>
      </c>
      <c r="L61" t="s">
        <v>281</v>
      </c>
      <c r="M61" s="89">
        <v>875000</v>
      </c>
      <c r="N61" s="68">
        <f>D61*E61*F61*Cost!$K$1*1.024</f>
        <v>2684.7731092436975</v>
      </c>
      <c r="O61" s="89">
        <f t="shared" si="0"/>
        <v>875000</v>
      </c>
      <c r="P61" s="97">
        <f t="shared" si="1"/>
        <v>0.97661884014423073</v>
      </c>
    </row>
    <row r="62" spans="1:16" x14ac:dyDescent="0.25">
      <c r="A62">
        <v>7154</v>
      </c>
      <c r="C62" t="s">
        <v>326</v>
      </c>
      <c r="D62">
        <v>44</v>
      </c>
      <c r="E62">
        <v>7</v>
      </c>
      <c r="F62">
        <v>3</v>
      </c>
      <c r="G62" s="23">
        <v>830</v>
      </c>
      <c r="J62" t="s">
        <v>327</v>
      </c>
      <c r="K62" t="s">
        <v>226</v>
      </c>
      <c r="L62" t="s">
        <v>328</v>
      </c>
      <c r="M62" s="89">
        <v>871000</v>
      </c>
      <c r="N62" s="68">
        <f>D62*E62*F62*Cost!$K$1*1.024</f>
        <v>454.34621848739499</v>
      </c>
      <c r="O62" s="89">
        <f t="shared" si="0"/>
        <v>871000</v>
      </c>
      <c r="P62" s="97">
        <f t="shared" si="1"/>
        <v>1.8268007220643938</v>
      </c>
    </row>
    <row r="63" spans="1:16" x14ac:dyDescent="0.25">
      <c r="A63">
        <v>6100</v>
      </c>
      <c r="C63" t="s">
        <v>329</v>
      </c>
      <c r="D63">
        <v>81</v>
      </c>
      <c r="E63">
        <v>14</v>
      </c>
      <c r="F63">
        <v>5</v>
      </c>
      <c r="G63" s="23">
        <v>2893</v>
      </c>
      <c r="K63" t="s">
        <v>226</v>
      </c>
      <c r="L63" t="s">
        <v>281</v>
      </c>
      <c r="M63" s="89">
        <v>860000</v>
      </c>
      <c r="N63" s="68">
        <f>D63*E63*F63*Cost!$K$1*1.024</f>
        <v>2788.0336134453778</v>
      </c>
      <c r="O63" s="89">
        <f t="shared" si="0"/>
        <v>860000</v>
      </c>
      <c r="P63" s="97">
        <f t="shared" si="1"/>
        <v>1.0376488956404322</v>
      </c>
    </row>
    <row r="64" spans="1:16" x14ac:dyDescent="0.25">
      <c r="A64">
        <v>6338</v>
      </c>
      <c r="C64" t="s">
        <v>330</v>
      </c>
      <c r="D64">
        <v>80</v>
      </c>
      <c r="E64">
        <v>14</v>
      </c>
      <c r="F64">
        <v>6</v>
      </c>
      <c r="G64" s="23">
        <v>3040</v>
      </c>
      <c r="H64">
        <v>2400</v>
      </c>
      <c r="J64" t="s">
        <v>331</v>
      </c>
      <c r="K64" t="s">
        <v>226</v>
      </c>
      <c r="L64" t="s">
        <v>332</v>
      </c>
      <c r="M64" s="89">
        <v>850000</v>
      </c>
      <c r="N64" s="68">
        <f>D64*E64*F64*Cost!$K$1*1.024</f>
        <v>3304.3361344537816</v>
      </c>
      <c r="O64" s="89">
        <f t="shared" si="0"/>
        <v>850000</v>
      </c>
      <c r="P64" s="97">
        <f t="shared" si="1"/>
        <v>0.92000325520833326</v>
      </c>
    </row>
    <row r="65" spans="1:16" x14ac:dyDescent="0.25">
      <c r="A65">
        <v>6340</v>
      </c>
      <c r="C65" t="s">
        <v>333</v>
      </c>
      <c r="D65">
        <v>81</v>
      </c>
      <c r="E65">
        <v>13</v>
      </c>
      <c r="F65">
        <v>5</v>
      </c>
      <c r="G65" s="23">
        <v>2900</v>
      </c>
      <c r="J65" t="s">
        <v>331</v>
      </c>
      <c r="K65" t="s">
        <v>226</v>
      </c>
      <c r="L65" t="s">
        <v>334</v>
      </c>
      <c r="M65" s="89">
        <v>800000</v>
      </c>
      <c r="N65" s="68">
        <f>D65*E65*F65*Cost!$K$1*1.024</f>
        <v>2588.8883553421369</v>
      </c>
      <c r="O65" s="89">
        <f t="shared" si="0"/>
        <v>800000</v>
      </c>
      <c r="P65" s="97">
        <f t="shared" si="1"/>
        <v>1.120171904677113</v>
      </c>
    </row>
    <row r="66" spans="1:16" x14ac:dyDescent="0.25">
      <c r="A66">
        <v>7388</v>
      </c>
      <c r="C66" t="s">
        <v>335</v>
      </c>
      <c r="D66">
        <v>91</v>
      </c>
      <c r="E66">
        <v>13</v>
      </c>
      <c r="F66">
        <v>6</v>
      </c>
      <c r="G66" s="23">
        <v>3200</v>
      </c>
      <c r="H66">
        <v>1800</v>
      </c>
      <c r="J66" t="s">
        <v>225</v>
      </c>
      <c r="K66" t="s">
        <v>226</v>
      </c>
      <c r="M66" s="89">
        <v>750000</v>
      </c>
      <c r="N66" s="68">
        <f>D66*E66*F66*Cost!$K$1*1.024</f>
        <v>3490.2050420168066</v>
      </c>
      <c r="O66" s="89">
        <f t="shared" si="0"/>
        <v>750000</v>
      </c>
      <c r="P66" s="97">
        <f t="shared" si="1"/>
        <v>0.9168515779092703</v>
      </c>
    </row>
    <row r="67" spans="1:16" x14ac:dyDescent="0.25">
      <c r="A67">
        <v>5804</v>
      </c>
      <c r="C67" t="s">
        <v>336</v>
      </c>
      <c r="D67">
        <v>24</v>
      </c>
      <c r="E67">
        <v>7</v>
      </c>
      <c r="F67">
        <v>3</v>
      </c>
      <c r="G67" s="23">
        <v>200</v>
      </c>
      <c r="J67" t="s">
        <v>262</v>
      </c>
      <c r="K67" t="s">
        <v>226</v>
      </c>
      <c r="L67" t="s">
        <v>232</v>
      </c>
      <c r="M67" s="89">
        <v>680000</v>
      </c>
      <c r="N67" s="68">
        <f>D67*E67*F67*Cost!$K$1*1.024</f>
        <v>247.82521008403361</v>
      </c>
      <c r="O67" s="89">
        <f t="shared" si="0"/>
        <v>680000</v>
      </c>
      <c r="P67" s="97">
        <f t="shared" si="1"/>
        <v>0.80702039930555558</v>
      </c>
    </row>
    <row r="68" spans="1:16" x14ac:dyDescent="0.25">
      <c r="A68">
        <v>5805</v>
      </c>
      <c r="C68" t="s">
        <v>337</v>
      </c>
      <c r="D68">
        <v>24</v>
      </c>
      <c r="E68">
        <v>7</v>
      </c>
      <c r="F68">
        <v>2</v>
      </c>
      <c r="G68" s="23">
        <v>200</v>
      </c>
      <c r="J68" t="s">
        <v>262</v>
      </c>
      <c r="K68" t="s">
        <v>226</v>
      </c>
      <c r="L68" t="s">
        <v>232</v>
      </c>
      <c r="M68" s="89">
        <v>560000</v>
      </c>
      <c r="N68" s="68">
        <f>D68*E68*F68*Cost!$K$1*1.024</f>
        <v>165.21680672268909</v>
      </c>
      <c r="O68" s="89">
        <f t="shared" si="0"/>
        <v>560000</v>
      </c>
      <c r="P68" s="97">
        <f t="shared" si="1"/>
        <v>1.2105305989583333</v>
      </c>
    </row>
    <row r="69" spans="1:16" x14ac:dyDescent="0.25">
      <c r="A69">
        <v>6108</v>
      </c>
      <c r="C69" t="s">
        <v>338</v>
      </c>
      <c r="D69">
        <v>62</v>
      </c>
      <c r="E69">
        <v>10</v>
      </c>
      <c r="F69">
        <v>5</v>
      </c>
      <c r="G69" s="23">
        <v>1150</v>
      </c>
      <c r="K69" t="s">
        <v>226</v>
      </c>
      <c r="L69" t="s">
        <v>232</v>
      </c>
      <c r="M69" s="89">
        <v>560000</v>
      </c>
      <c r="N69" s="68">
        <f>D69*E69*F69*Cost!$K$1*1.024</f>
        <v>1524.3217286914767</v>
      </c>
      <c r="O69" s="89">
        <f t="shared" si="0"/>
        <v>560000</v>
      </c>
      <c r="P69" s="97">
        <f t="shared" si="1"/>
        <v>0.75443390877016125</v>
      </c>
    </row>
    <row r="70" spans="1:16" x14ac:dyDescent="0.25">
      <c r="A70">
        <v>8009</v>
      </c>
      <c r="C70" t="s">
        <v>339</v>
      </c>
      <c r="D70">
        <v>104</v>
      </c>
      <c r="E70">
        <v>18</v>
      </c>
      <c r="F70">
        <v>4</v>
      </c>
      <c r="G70" s="23">
        <v>3226</v>
      </c>
      <c r="K70" t="s">
        <v>226</v>
      </c>
      <c r="L70" t="s">
        <v>340</v>
      </c>
      <c r="M70" s="89">
        <v>500000</v>
      </c>
      <c r="N70" s="68">
        <f>D70*E70*F70*Cost!$K$1*1.024</f>
        <v>3681.9745498199281</v>
      </c>
      <c r="O70" s="89">
        <f t="shared" si="0"/>
        <v>500000</v>
      </c>
      <c r="P70" s="97">
        <f t="shared" si="1"/>
        <v>0.87616032005375266</v>
      </c>
    </row>
    <row r="71" spans="1:16" x14ac:dyDescent="0.25">
      <c r="A71">
        <v>6109</v>
      </c>
      <c r="C71" t="s">
        <v>341</v>
      </c>
      <c r="D71">
        <v>64</v>
      </c>
      <c r="E71">
        <v>10</v>
      </c>
      <c r="F71">
        <v>5</v>
      </c>
      <c r="G71" s="23">
        <v>1150</v>
      </c>
      <c r="H71">
        <v>1000</v>
      </c>
      <c r="K71" t="s">
        <v>226</v>
      </c>
      <c r="L71" t="s">
        <v>232</v>
      </c>
      <c r="M71" s="89">
        <v>460000</v>
      </c>
      <c r="N71" s="68">
        <f>D71*E71*F71*Cost!$K$1*1.024</f>
        <v>1573.4933973589434</v>
      </c>
      <c r="O71" s="89">
        <f t="shared" si="0"/>
        <v>460000</v>
      </c>
      <c r="P71" s="97">
        <f t="shared" si="1"/>
        <v>0.73085784912109386</v>
      </c>
    </row>
    <row r="72" spans="1:16" x14ac:dyDescent="0.25">
      <c r="A72">
        <v>7540</v>
      </c>
      <c r="C72" t="s">
        <v>342</v>
      </c>
      <c r="D72">
        <v>29</v>
      </c>
      <c r="E72">
        <v>6</v>
      </c>
      <c r="F72">
        <v>2</v>
      </c>
      <c r="G72" s="23">
        <v>239</v>
      </c>
      <c r="H72">
        <v>700</v>
      </c>
      <c r="J72" t="s">
        <v>262</v>
      </c>
      <c r="K72" t="s">
        <v>226</v>
      </c>
      <c r="M72" s="89">
        <v>450000</v>
      </c>
      <c r="N72" s="68">
        <f>D72*E72*F72*Cost!$K$1*1.024</f>
        <v>171.11740696278511</v>
      </c>
      <c r="O72" s="89">
        <f t="shared" ref="O72:O75" si="2">M72</f>
        <v>450000</v>
      </c>
      <c r="P72" s="97">
        <f t="shared" ref="P72:P75" si="3">G72/N72</f>
        <v>1.3967018565912357</v>
      </c>
    </row>
    <row r="73" spans="1:16" x14ac:dyDescent="0.25">
      <c r="A73">
        <v>5806</v>
      </c>
      <c r="C73" t="s">
        <v>343</v>
      </c>
      <c r="D73">
        <v>23</v>
      </c>
      <c r="E73">
        <v>6</v>
      </c>
      <c r="F73">
        <v>2</v>
      </c>
      <c r="G73" s="23">
        <v>110</v>
      </c>
      <c r="J73" t="s">
        <v>262</v>
      </c>
      <c r="K73" t="s">
        <v>226</v>
      </c>
      <c r="L73" t="s">
        <v>232</v>
      </c>
      <c r="M73" s="89">
        <v>365000</v>
      </c>
      <c r="N73" s="68">
        <f>D73*E73*F73*Cost!$K$1*1.024</f>
        <v>135.7138055222089</v>
      </c>
      <c r="O73" s="89">
        <f t="shared" si="2"/>
        <v>365000</v>
      </c>
      <c r="P73" s="97">
        <f t="shared" si="3"/>
        <v>0.81052918365036219</v>
      </c>
    </row>
    <row r="74" spans="1:16" x14ac:dyDescent="0.25">
      <c r="A74">
        <v>6025</v>
      </c>
      <c r="C74" t="s">
        <v>344</v>
      </c>
      <c r="D74">
        <v>58</v>
      </c>
      <c r="E74">
        <v>9</v>
      </c>
      <c r="F74">
        <v>4</v>
      </c>
      <c r="G74" s="23">
        <v>829</v>
      </c>
      <c r="J74" t="s">
        <v>345</v>
      </c>
      <c r="K74" t="s">
        <v>226</v>
      </c>
      <c r="L74" t="s">
        <v>346</v>
      </c>
      <c r="M74" s="89">
        <v>350000</v>
      </c>
      <c r="N74" s="68">
        <f>D74*E74*F74*Cost!$K$1*1.024</f>
        <v>1026.7044417767106</v>
      </c>
      <c r="O74" s="89">
        <f t="shared" si="2"/>
        <v>350000</v>
      </c>
      <c r="P74" s="97">
        <f t="shared" si="3"/>
        <v>0.80743782365002403</v>
      </c>
    </row>
    <row r="75" spans="1:16" x14ac:dyDescent="0.25">
      <c r="A75">
        <v>8643</v>
      </c>
      <c r="C75" t="s">
        <v>347</v>
      </c>
      <c r="D75">
        <v>50</v>
      </c>
      <c r="E75">
        <v>9</v>
      </c>
      <c r="F75">
        <v>3</v>
      </c>
      <c r="G75" s="23">
        <v>593</v>
      </c>
      <c r="J75" t="s">
        <v>297</v>
      </c>
      <c r="K75" t="s">
        <v>226</v>
      </c>
      <c r="L75" t="s">
        <v>286</v>
      </c>
      <c r="M75" s="89">
        <v>350000</v>
      </c>
      <c r="N75" s="68">
        <f>D75*E75*F75*Cost!$K$1*1.024</f>
        <v>663.81752701080427</v>
      </c>
      <c r="O75" s="89">
        <f t="shared" si="2"/>
        <v>350000</v>
      </c>
      <c r="P75" s="97">
        <f t="shared" si="3"/>
        <v>0.89331778067129641</v>
      </c>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7F8E-9904-4A47-A25B-6DE82CC823BB}">
  <dimension ref="A2:U36"/>
  <sheetViews>
    <sheetView zoomScale="175" zoomScaleNormal="175" workbookViewId="0">
      <selection activeCell="C11" sqref="C11"/>
    </sheetView>
  </sheetViews>
  <sheetFormatPr defaultRowHeight="15" x14ac:dyDescent="0.25"/>
  <cols>
    <col min="1" max="1" width="12.7109375" bestFit="1" customWidth="1"/>
    <col min="2" max="2" width="2.140625" bestFit="1" customWidth="1"/>
    <col min="3" max="4" width="13.140625" bestFit="1" customWidth="1"/>
    <col min="5" max="5" width="15.42578125" bestFit="1" customWidth="1"/>
    <col min="6" max="6" width="15.7109375" bestFit="1" customWidth="1"/>
    <col min="7" max="7" width="8.42578125" bestFit="1" customWidth="1"/>
    <col min="8" max="8" width="15.42578125" bestFit="1" customWidth="1"/>
    <col min="9" max="9" width="15.7109375" bestFit="1" customWidth="1"/>
    <col min="14" max="14" width="10.140625" bestFit="1" customWidth="1"/>
    <col min="15" max="15" width="15.140625" bestFit="1" customWidth="1"/>
    <col min="16" max="16" width="11.28515625" bestFit="1" customWidth="1"/>
    <col min="17" max="17" width="12.140625" bestFit="1" customWidth="1"/>
    <col min="18" max="18" width="19.140625" bestFit="1" customWidth="1"/>
    <col min="19" max="19" width="8.140625" bestFit="1" customWidth="1"/>
    <col min="20" max="20" width="13.140625" bestFit="1" customWidth="1"/>
  </cols>
  <sheetData>
    <row r="2" spans="1:21" x14ac:dyDescent="0.25">
      <c r="C2" t="s">
        <v>10</v>
      </c>
      <c r="D2" t="s">
        <v>11</v>
      </c>
    </row>
    <row r="3" spans="1:21" x14ac:dyDescent="0.25">
      <c r="D3" t="s">
        <v>8</v>
      </c>
      <c r="E3" t="s">
        <v>9</v>
      </c>
      <c r="F3" t="s">
        <v>7</v>
      </c>
      <c r="G3" t="s">
        <v>8</v>
      </c>
      <c r="H3" t="s">
        <v>9</v>
      </c>
      <c r="I3" t="s">
        <v>7</v>
      </c>
    </row>
    <row r="4" spans="1:21" x14ac:dyDescent="0.25">
      <c r="A4" s="3" t="s">
        <v>2</v>
      </c>
      <c r="B4" s="3">
        <v>1</v>
      </c>
      <c r="C4" s="3">
        <v>68</v>
      </c>
      <c r="D4" s="4">
        <v>18588.1109913285</v>
      </c>
      <c r="E4" s="4">
        <v>6835.0827984969601</v>
      </c>
      <c r="F4" s="4">
        <v>437.42033763865101</v>
      </c>
      <c r="G4" s="4">
        <f>D4-D$36</f>
        <v>-12423.800921337701</v>
      </c>
      <c r="H4" s="4">
        <f t="shared" ref="H4:I4" si="0">E4-E$36</f>
        <v>-1257.1139049884496</v>
      </c>
      <c r="I4" s="4">
        <f t="shared" si="0"/>
        <v>34.582639305531018</v>
      </c>
    </row>
    <row r="5" spans="1:21" x14ac:dyDescent="0.25">
      <c r="A5" s="3"/>
      <c r="B5" s="3">
        <v>1</v>
      </c>
      <c r="C5" s="3">
        <v>80.8</v>
      </c>
      <c r="D5" s="4">
        <v>22205.2685716796</v>
      </c>
      <c r="E5" s="4">
        <v>7445.9481006911701</v>
      </c>
      <c r="F5" s="4">
        <v>426.12168196124998</v>
      </c>
      <c r="G5" s="4">
        <f t="shared" ref="G5:G35" si="1">D5-D$36</f>
        <v>-8806.6433409866004</v>
      </c>
      <c r="H5" s="4">
        <f t="shared" ref="H5:H35" si="2">E5-E$36</f>
        <v>-646.24860279423956</v>
      </c>
      <c r="I5" s="4">
        <f t="shared" ref="I5:I35" si="3">F5-F$36</f>
        <v>23.283983628129988</v>
      </c>
    </row>
    <row r="6" spans="1:21" x14ac:dyDescent="0.25">
      <c r="A6" s="3"/>
      <c r="B6" s="3">
        <v>1</v>
      </c>
      <c r="C6" s="3">
        <v>93.6</v>
      </c>
      <c r="D6" s="4">
        <v>27000.810240888299</v>
      </c>
      <c r="E6" s="4">
        <v>7153.35333228115</v>
      </c>
      <c r="F6" s="4">
        <v>419.46286466699701</v>
      </c>
      <c r="G6" s="4">
        <f t="shared" si="1"/>
        <v>-4011.1016717779021</v>
      </c>
      <c r="H6" s="4">
        <f t="shared" si="2"/>
        <v>-938.84337120425971</v>
      </c>
      <c r="I6" s="4">
        <f t="shared" si="3"/>
        <v>16.625166333877019</v>
      </c>
    </row>
    <row r="7" spans="1:21" x14ac:dyDescent="0.25">
      <c r="A7" s="3"/>
      <c r="B7" s="3">
        <v>1</v>
      </c>
      <c r="C7" s="3">
        <v>106.4</v>
      </c>
      <c r="D7" s="4">
        <v>31557.449232259201</v>
      </c>
      <c r="E7" s="4">
        <v>7229.6240369317202</v>
      </c>
      <c r="F7" s="4">
        <v>412.47390999902899</v>
      </c>
      <c r="G7" s="4">
        <f t="shared" si="1"/>
        <v>545.53731959300057</v>
      </c>
      <c r="H7" s="4">
        <f t="shared" si="2"/>
        <v>-862.57266655368949</v>
      </c>
      <c r="I7" s="4">
        <f t="shared" si="3"/>
        <v>9.636211665909002</v>
      </c>
      <c r="N7" t="s">
        <v>12</v>
      </c>
      <c r="O7" t="s">
        <v>13</v>
      </c>
      <c r="P7" t="s">
        <v>14</v>
      </c>
      <c r="Q7" t="s">
        <v>15</v>
      </c>
      <c r="R7" t="s">
        <v>16</v>
      </c>
      <c r="S7" t="s">
        <v>17</v>
      </c>
      <c r="T7" t="s">
        <v>18</v>
      </c>
      <c r="U7" t="s">
        <v>19</v>
      </c>
    </row>
    <row r="8" spans="1:21" x14ac:dyDescent="0.25">
      <c r="A8" s="3"/>
      <c r="B8" s="3">
        <v>1</v>
      </c>
      <c r="C8" s="3">
        <v>119.2</v>
      </c>
      <c r="D8" s="4">
        <v>34873.3518113092</v>
      </c>
      <c r="E8" s="4">
        <v>8275.5590851110192</v>
      </c>
      <c r="F8" s="4">
        <v>400.96574632543201</v>
      </c>
      <c r="G8" s="4">
        <f t="shared" si="1"/>
        <v>3861.4398986429987</v>
      </c>
      <c r="H8" s="4">
        <f t="shared" si="2"/>
        <v>183.36238162560949</v>
      </c>
      <c r="I8" s="4">
        <f t="shared" si="3"/>
        <v>-1.8719520076879803</v>
      </c>
      <c r="N8">
        <v>106.4</v>
      </c>
      <c r="O8">
        <v>0.35</v>
      </c>
      <c r="P8">
        <v>10.1</v>
      </c>
      <c r="Q8">
        <v>0</v>
      </c>
      <c r="R8">
        <v>40000</v>
      </c>
      <c r="S8" s="1">
        <v>16821.3149115827</v>
      </c>
      <c r="T8">
        <v>2186.49050566184</v>
      </c>
      <c r="U8" s="1">
        <f>S8-T8</f>
        <v>14634.824405920859</v>
      </c>
    </row>
    <row r="9" spans="1:21" x14ac:dyDescent="0.25">
      <c r="A9" s="3"/>
      <c r="B9" s="3">
        <v>1</v>
      </c>
      <c r="C9" s="3">
        <v>132</v>
      </c>
      <c r="D9" s="4">
        <v>35822.049925149302</v>
      </c>
      <c r="E9" s="4">
        <v>9692.7830048358992</v>
      </c>
      <c r="F9" s="4">
        <v>369.85890225289199</v>
      </c>
      <c r="G9" s="4">
        <f t="shared" si="1"/>
        <v>4810.1380124831012</v>
      </c>
      <c r="H9" s="4">
        <f t="shared" si="2"/>
        <v>1600.5863013504895</v>
      </c>
      <c r="I9" s="4">
        <f t="shared" si="3"/>
        <v>-32.978796080227994</v>
      </c>
      <c r="N9">
        <v>106.4</v>
      </c>
      <c r="O9">
        <v>0.4</v>
      </c>
      <c r="P9">
        <v>10.1</v>
      </c>
      <c r="Q9">
        <v>0</v>
      </c>
      <c r="R9">
        <v>55000</v>
      </c>
      <c r="S9" s="1">
        <v>23539.961543599598</v>
      </c>
      <c r="T9">
        <v>3094.7670400956699</v>
      </c>
      <c r="U9" s="1">
        <f t="shared" ref="U9:U15" si="4">S9-T9</f>
        <v>20445.194503503928</v>
      </c>
    </row>
    <row r="10" spans="1:21" x14ac:dyDescent="0.25">
      <c r="A10" t="s">
        <v>3</v>
      </c>
      <c r="B10">
        <v>2</v>
      </c>
      <c r="C10">
        <v>0.2</v>
      </c>
      <c r="D10" s="1">
        <v>22995.773642071399</v>
      </c>
      <c r="E10" s="2">
        <v>7008.0017645477801</v>
      </c>
      <c r="F10" s="1">
        <v>195.239530072094</v>
      </c>
      <c r="G10" s="1">
        <f t="shared" si="1"/>
        <v>-8016.1382705948017</v>
      </c>
      <c r="H10" s="1">
        <f t="shared" si="2"/>
        <v>-1084.1949389376296</v>
      </c>
      <c r="I10" s="1">
        <f t="shared" si="3"/>
        <v>-207.59816826102599</v>
      </c>
      <c r="N10">
        <v>119.2</v>
      </c>
      <c r="O10">
        <v>0.4</v>
      </c>
      <c r="P10">
        <v>10.1</v>
      </c>
      <c r="Q10">
        <v>0</v>
      </c>
      <c r="R10">
        <v>70000</v>
      </c>
      <c r="S10" s="1">
        <v>30321.574447585601</v>
      </c>
      <c r="T10">
        <v>4058.1157521598798</v>
      </c>
      <c r="U10" s="1">
        <f t="shared" si="4"/>
        <v>26263.458695425721</v>
      </c>
    </row>
    <row r="11" spans="1:21" x14ac:dyDescent="0.25">
      <c r="B11">
        <v>2</v>
      </c>
      <c r="C11">
        <v>0.25</v>
      </c>
      <c r="D11" s="1">
        <v>28421.769119934601</v>
      </c>
      <c r="E11" s="2">
        <v>7617.1473269257604</v>
      </c>
      <c r="F11" s="1">
        <v>320.81207252303102</v>
      </c>
      <c r="G11" s="1">
        <f t="shared" si="1"/>
        <v>-2590.1427927315999</v>
      </c>
      <c r="H11" s="1">
        <f t="shared" si="2"/>
        <v>-475.04937655964932</v>
      </c>
      <c r="I11" s="1">
        <f t="shared" si="3"/>
        <v>-82.025625810088968</v>
      </c>
      <c r="N11">
        <v>119.2</v>
      </c>
      <c r="O11">
        <v>0.4</v>
      </c>
      <c r="P11">
        <v>10.1</v>
      </c>
      <c r="Q11">
        <v>0</v>
      </c>
      <c r="R11">
        <v>85000</v>
      </c>
      <c r="S11" s="1">
        <v>37094.804373708503</v>
      </c>
      <c r="T11">
        <v>5122.1355560744296</v>
      </c>
      <c r="U11" s="1">
        <f t="shared" si="4"/>
        <v>31972.668817634072</v>
      </c>
    </row>
    <row r="12" spans="1:21" x14ac:dyDescent="0.25">
      <c r="B12">
        <v>2</v>
      </c>
      <c r="C12">
        <v>0.3</v>
      </c>
      <c r="D12" s="1">
        <v>30616.228025275501</v>
      </c>
      <c r="E12" s="2">
        <v>7710.6009849983702</v>
      </c>
      <c r="F12" s="1">
        <v>392.15586756901899</v>
      </c>
      <c r="G12" s="1">
        <f t="shared" si="1"/>
        <v>-395.68388739069997</v>
      </c>
      <c r="H12" s="1">
        <f t="shared" si="2"/>
        <v>-381.59571848703945</v>
      </c>
      <c r="I12" s="1">
        <f t="shared" si="3"/>
        <v>-10.681830764100994</v>
      </c>
      <c r="N12">
        <v>132</v>
      </c>
      <c r="O12">
        <v>0.4</v>
      </c>
      <c r="P12">
        <v>10.1</v>
      </c>
      <c r="Q12">
        <v>0</v>
      </c>
      <c r="R12">
        <v>100000</v>
      </c>
      <c r="S12" s="1">
        <v>44023.783213996401</v>
      </c>
      <c r="T12">
        <v>6106.2167860036197</v>
      </c>
      <c r="U12" s="1">
        <f t="shared" si="4"/>
        <v>37917.566427992781</v>
      </c>
    </row>
    <row r="13" spans="1:21" x14ac:dyDescent="0.25">
      <c r="B13">
        <v>2</v>
      </c>
      <c r="C13">
        <v>0.35</v>
      </c>
      <c r="D13" s="1">
        <v>31907.3474043854</v>
      </c>
      <c r="E13" s="2">
        <v>8177.0566584032304</v>
      </c>
      <c r="F13" s="1">
        <v>437.85288825082603</v>
      </c>
      <c r="G13" s="1">
        <f t="shared" si="1"/>
        <v>895.43549171919949</v>
      </c>
      <c r="H13" s="1">
        <f t="shared" si="2"/>
        <v>84.859954917820687</v>
      </c>
      <c r="I13" s="1">
        <f t="shared" si="3"/>
        <v>35.015189917706039</v>
      </c>
      <c r="N13">
        <v>132</v>
      </c>
      <c r="O13">
        <v>0.4</v>
      </c>
      <c r="P13">
        <v>10.1</v>
      </c>
      <c r="Q13">
        <v>0</v>
      </c>
      <c r="R13">
        <v>115000</v>
      </c>
      <c r="S13" s="1">
        <v>50901.045128218997</v>
      </c>
      <c r="T13">
        <v>7206.3593794086601</v>
      </c>
      <c r="U13" s="1">
        <f t="shared" si="4"/>
        <v>43694.685748810334</v>
      </c>
    </row>
    <row r="14" spans="1:21" x14ac:dyDescent="0.25">
      <c r="B14">
        <v>2</v>
      </c>
      <c r="C14">
        <v>0.4</v>
      </c>
      <c r="D14" s="1">
        <v>32788.501820485399</v>
      </c>
      <c r="E14" s="2">
        <v>8429.8039081362804</v>
      </c>
      <c r="F14" s="1">
        <v>454.38117186007798</v>
      </c>
      <c r="G14" s="1">
        <f t="shared" si="1"/>
        <v>1776.5899078191978</v>
      </c>
      <c r="H14" s="1">
        <f t="shared" si="2"/>
        <v>337.6072046508707</v>
      </c>
      <c r="I14" s="1">
        <f t="shared" si="3"/>
        <v>51.543473526957996</v>
      </c>
      <c r="N14">
        <v>132</v>
      </c>
      <c r="O14">
        <v>0.4</v>
      </c>
      <c r="P14">
        <v>10.1</v>
      </c>
      <c r="Q14">
        <v>0</v>
      </c>
      <c r="R14">
        <v>130000</v>
      </c>
      <c r="S14" s="1">
        <v>57815.593808248697</v>
      </c>
      <c r="T14">
        <v>8325.1151002239603</v>
      </c>
      <c r="U14" s="1">
        <f t="shared" si="4"/>
        <v>49490.478708024733</v>
      </c>
    </row>
    <row r="15" spans="1:21" x14ac:dyDescent="0.25">
      <c r="B15">
        <v>2</v>
      </c>
      <c r="C15">
        <v>0.45</v>
      </c>
      <c r="D15" s="1">
        <v>33462.242406555197</v>
      </c>
      <c r="E15" s="2">
        <v>8696.5130823774907</v>
      </c>
      <c r="F15" s="1">
        <v>460.11721133855798</v>
      </c>
      <c r="G15" s="1">
        <f t="shared" si="1"/>
        <v>2450.330493888996</v>
      </c>
      <c r="H15" s="1">
        <f t="shared" si="2"/>
        <v>604.31637889208105</v>
      </c>
      <c r="I15" s="1">
        <f t="shared" si="3"/>
        <v>57.279513005437991</v>
      </c>
      <c r="N15">
        <v>132</v>
      </c>
      <c r="O15">
        <v>0.4</v>
      </c>
      <c r="P15">
        <v>7.3819999999999997</v>
      </c>
      <c r="Q15">
        <v>0</v>
      </c>
      <c r="R15">
        <v>145000</v>
      </c>
      <c r="S15" s="1">
        <v>53487.161156978502</v>
      </c>
      <c r="T15">
        <v>20736.271280280602</v>
      </c>
      <c r="U15" s="1">
        <f t="shared" si="4"/>
        <v>32750.8898766979</v>
      </c>
    </row>
    <row r="16" spans="1:21" x14ac:dyDescent="0.25">
      <c r="A16" s="3" t="s">
        <v>4</v>
      </c>
      <c r="B16" s="3">
        <v>3</v>
      </c>
      <c r="C16" s="3">
        <v>5.57</v>
      </c>
      <c r="D16" s="4">
        <v>30594.37234645</v>
      </c>
      <c r="E16" s="4">
        <v>9381.8327832865798</v>
      </c>
      <c r="F16" s="4">
        <v>362.79344907584698</v>
      </c>
      <c r="G16" s="4">
        <f t="shared" si="1"/>
        <v>-417.53956621620091</v>
      </c>
      <c r="H16" s="4">
        <f t="shared" si="2"/>
        <v>1289.6360798011701</v>
      </c>
      <c r="I16" s="4">
        <f t="shared" si="3"/>
        <v>-40.044249257273009</v>
      </c>
    </row>
    <row r="17" spans="1:9" x14ac:dyDescent="0.25">
      <c r="A17" s="3"/>
      <c r="B17" s="3">
        <v>3</v>
      </c>
      <c r="C17" s="3">
        <v>6.476</v>
      </c>
      <c r="D17" s="4">
        <v>31877.859036407499</v>
      </c>
      <c r="E17" s="4">
        <v>8856.7900146081902</v>
      </c>
      <c r="F17" s="4">
        <v>395.90366106199502</v>
      </c>
      <c r="G17" s="4">
        <f t="shared" si="1"/>
        <v>865.94712374129813</v>
      </c>
      <c r="H17" s="4">
        <f t="shared" si="2"/>
        <v>764.59331112278051</v>
      </c>
      <c r="I17" s="4">
        <f t="shared" si="3"/>
        <v>-6.9340372711249643</v>
      </c>
    </row>
    <row r="18" spans="1:9" x14ac:dyDescent="0.25">
      <c r="A18" s="3"/>
      <c r="B18" s="3">
        <v>3</v>
      </c>
      <c r="C18" s="3">
        <v>7.3819999999999997</v>
      </c>
      <c r="D18" s="4">
        <v>32119.785280546701</v>
      </c>
      <c r="E18" s="4">
        <v>8167.0862090504597</v>
      </c>
      <c r="F18" s="4">
        <v>408.62743702037699</v>
      </c>
      <c r="G18" s="4">
        <f t="shared" si="1"/>
        <v>1107.8733678805002</v>
      </c>
      <c r="H18" s="4">
        <f t="shared" si="2"/>
        <v>74.889505565050058</v>
      </c>
      <c r="I18" s="4">
        <f t="shared" si="3"/>
        <v>5.7897386872569996</v>
      </c>
    </row>
    <row r="19" spans="1:9" x14ac:dyDescent="0.25">
      <c r="A19" s="3"/>
      <c r="B19" s="3">
        <v>3</v>
      </c>
      <c r="C19" s="3">
        <v>8.2880000000000003</v>
      </c>
      <c r="D19" s="4">
        <v>31369.767517267901</v>
      </c>
      <c r="E19" s="4">
        <v>7515.1376846384101</v>
      </c>
      <c r="F19" s="4">
        <v>416.12761807001698</v>
      </c>
      <c r="G19" s="4">
        <f t="shared" si="1"/>
        <v>357.85560460170018</v>
      </c>
      <c r="H19" s="4">
        <f t="shared" si="2"/>
        <v>-577.05901884699961</v>
      </c>
      <c r="I19" s="4">
        <f t="shared" si="3"/>
        <v>13.289919736896991</v>
      </c>
    </row>
    <row r="20" spans="1:9" x14ac:dyDescent="0.25">
      <c r="A20" s="3"/>
      <c r="B20" s="3">
        <v>3</v>
      </c>
      <c r="C20" s="3">
        <v>9.1940000000000008</v>
      </c>
      <c r="D20" s="4">
        <v>30365.7758290778</v>
      </c>
      <c r="E20" s="4">
        <v>7065.9130156584197</v>
      </c>
      <c r="F20" s="4">
        <v>420.16617126128699</v>
      </c>
      <c r="G20" s="4">
        <f t="shared" si="1"/>
        <v>-646.13608358840065</v>
      </c>
      <c r="H20" s="4">
        <f t="shared" si="2"/>
        <v>-1026.28368782699</v>
      </c>
      <c r="I20" s="4">
        <f t="shared" si="3"/>
        <v>17.328472928167002</v>
      </c>
    </row>
    <row r="21" spans="1:9" x14ac:dyDescent="0.25">
      <c r="A21" s="3"/>
      <c r="B21" s="3">
        <v>3</v>
      </c>
      <c r="C21" s="3">
        <v>10.1</v>
      </c>
      <c r="D21" s="4">
        <v>29250.7053519451</v>
      </c>
      <c r="E21" s="4">
        <v>7043.60847176472</v>
      </c>
      <c r="F21" s="4">
        <v>423.48620280720797</v>
      </c>
      <c r="G21" s="4">
        <f t="shared" si="1"/>
        <v>-1761.2065607211007</v>
      </c>
      <c r="H21" s="4">
        <f t="shared" si="2"/>
        <v>-1048.5882317206897</v>
      </c>
      <c r="I21" s="4">
        <f t="shared" si="3"/>
        <v>20.648504474087986</v>
      </c>
    </row>
    <row r="22" spans="1:9" x14ac:dyDescent="0.25">
      <c r="A22" t="s">
        <v>5</v>
      </c>
      <c r="B22">
        <v>4</v>
      </c>
      <c r="C22">
        <v>0</v>
      </c>
      <c r="D22" s="1">
        <v>31354.762990535899</v>
      </c>
      <c r="E22" s="2">
        <v>8147.7975294703701</v>
      </c>
      <c r="F22" s="1">
        <v>400.74433711661197</v>
      </c>
      <c r="G22" s="1">
        <f t="shared" si="1"/>
        <v>342.8510778696982</v>
      </c>
      <c r="H22" s="1">
        <f t="shared" si="2"/>
        <v>55.600825984960466</v>
      </c>
      <c r="I22" s="1">
        <f t="shared" si="3"/>
        <v>-2.0933612165080149</v>
      </c>
    </row>
    <row r="23" spans="1:9" x14ac:dyDescent="0.25">
      <c r="B23">
        <v>4</v>
      </c>
      <c r="C23">
        <v>8.3333333333333304</v>
      </c>
      <c r="D23" s="1">
        <v>31269.9716118621</v>
      </c>
      <c r="E23" s="2">
        <v>8118.4450709291104</v>
      </c>
      <c r="F23" s="1">
        <v>401.642987379923</v>
      </c>
      <c r="G23" s="1">
        <f t="shared" si="1"/>
        <v>258.05969919589916</v>
      </c>
      <c r="H23" s="1">
        <f t="shared" si="2"/>
        <v>26.248367443700772</v>
      </c>
      <c r="I23" s="1">
        <f t="shared" si="3"/>
        <v>-1.1947109531969886</v>
      </c>
    </row>
    <row r="24" spans="1:9" x14ac:dyDescent="0.25">
      <c r="B24">
        <v>4</v>
      </c>
      <c r="C24">
        <v>16.6666666666667</v>
      </c>
      <c r="D24" s="1">
        <v>30914.298918551802</v>
      </c>
      <c r="E24" s="2">
        <v>8102.5532712783897</v>
      </c>
      <c r="F24" s="1">
        <v>402.88267771022498</v>
      </c>
      <c r="G24" s="1">
        <f t="shared" si="1"/>
        <v>-97.612994114399044</v>
      </c>
      <c r="H24" s="1">
        <f t="shared" si="2"/>
        <v>10.356567792980059</v>
      </c>
      <c r="I24" s="1">
        <f t="shared" si="3"/>
        <v>4.4979377104994001E-2</v>
      </c>
    </row>
    <row r="25" spans="1:9" x14ac:dyDescent="0.25">
      <c r="B25">
        <v>4</v>
      </c>
      <c r="C25">
        <v>25</v>
      </c>
      <c r="D25" s="1">
        <v>30468.0826554866</v>
      </c>
      <c r="E25" s="2">
        <v>7993.38344895312</v>
      </c>
      <c r="F25" s="1">
        <v>406.32524910131298</v>
      </c>
      <c r="G25" s="1">
        <f t="shared" si="1"/>
        <v>-543.82925717960097</v>
      </c>
      <c r="H25" s="1">
        <f t="shared" si="2"/>
        <v>-98.813254532289648</v>
      </c>
      <c r="I25" s="1">
        <f t="shared" si="3"/>
        <v>3.4875507681929889</v>
      </c>
    </row>
    <row r="26" spans="1:9" x14ac:dyDescent="0.25">
      <c r="A26" s="3" t="s">
        <v>6</v>
      </c>
      <c r="B26" s="3">
        <v>5</v>
      </c>
      <c r="C26" s="3">
        <v>40000</v>
      </c>
      <c r="D26" s="4">
        <v>14759.491168745801</v>
      </c>
      <c r="E26" s="4">
        <v>4248.3142484987502</v>
      </c>
      <c r="F26" s="4">
        <v>114.85738921551901</v>
      </c>
      <c r="G26" s="4">
        <f t="shared" si="1"/>
        <v>-16252.4207439204</v>
      </c>
      <c r="H26" s="4">
        <f t="shared" si="2"/>
        <v>-3843.8824549866595</v>
      </c>
      <c r="I26" s="4">
        <f t="shared" si="3"/>
        <v>-287.980309117601</v>
      </c>
    </row>
    <row r="27" spans="1:9" x14ac:dyDescent="0.25">
      <c r="A27" s="3"/>
      <c r="B27" s="3">
        <v>5</v>
      </c>
      <c r="C27" s="3">
        <v>55000</v>
      </c>
      <c r="D27" s="4">
        <v>20786.1678825077</v>
      </c>
      <c r="E27" s="4">
        <v>5848.56070118761</v>
      </c>
      <c r="F27" s="4">
        <v>206.128800313243</v>
      </c>
      <c r="G27" s="4">
        <f t="shared" si="1"/>
        <v>-10225.744030158501</v>
      </c>
      <c r="H27" s="4">
        <f t="shared" si="2"/>
        <v>-2243.6360022977997</v>
      </c>
      <c r="I27" s="4">
        <f t="shared" si="3"/>
        <v>-196.70889801987698</v>
      </c>
    </row>
    <row r="28" spans="1:9" x14ac:dyDescent="0.25">
      <c r="A28" s="3"/>
      <c r="B28" s="3">
        <v>5</v>
      </c>
      <c r="C28" s="3">
        <v>70000</v>
      </c>
      <c r="D28" s="4">
        <v>26939.7612730277</v>
      </c>
      <c r="E28" s="4">
        <v>7439.9289267178701</v>
      </c>
      <c r="F28" s="4">
        <v>321.44342996255801</v>
      </c>
      <c r="G28" s="4">
        <f t="shared" si="1"/>
        <v>-4072.1506396385012</v>
      </c>
      <c r="H28" s="4">
        <f t="shared" si="2"/>
        <v>-652.26777676753954</v>
      </c>
      <c r="I28" s="4">
        <f t="shared" si="3"/>
        <v>-81.394268370561974</v>
      </c>
    </row>
    <row r="29" spans="1:9" x14ac:dyDescent="0.25">
      <c r="A29" s="3"/>
      <c r="B29" s="3">
        <v>5</v>
      </c>
      <c r="C29" s="3">
        <v>85000</v>
      </c>
      <c r="D29" s="4">
        <v>33156.177189833099</v>
      </c>
      <c r="E29" s="4">
        <v>9060.7627399498506</v>
      </c>
      <c r="F29" s="4">
        <v>446.83860444724797</v>
      </c>
      <c r="G29" s="4">
        <f t="shared" si="1"/>
        <v>2144.2652771668982</v>
      </c>
      <c r="H29" s="4">
        <f t="shared" si="2"/>
        <v>968.56603646444091</v>
      </c>
      <c r="I29" s="4">
        <f t="shared" si="3"/>
        <v>44.000906114127986</v>
      </c>
    </row>
    <row r="30" spans="1:9" x14ac:dyDescent="0.25">
      <c r="A30" s="3"/>
      <c r="B30" s="3">
        <v>5</v>
      </c>
      <c r="C30" s="3">
        <v>100000</v>
      </c>
      <c r="D30" s="4">
        <v>39591.200827525099</v>
      </c>
      <c r="E30" s="4">
        <v>10538.799172474901</v>
      </c>
      <c r="F30" s="4">
        <v>583.80651066269297</v>
      </c>
      <c r="G30" s="4">
        <f t="shared" si="1"/>
        <v>8579.2889148588984</v>
      </c>
      <c r="H30" s="4">
        <f t="shared" si="2"/>
        <v>2446.6024689894912</v>
      </c>
      <c r="I30" s="4">
        <f t="shared" si="3"/>
        <v>180.96881232957298</v>
      </c>
    </row>
    <row r="31" spans="1:9" x14ac:dyDescent="0.25">
      <c r="A31" s="3"/>
      <c r="B31" s="3">
        <v>5</v>
      </c>
      <c r="C31" s="3">
        <v>115000</v>
      </c>
      <c r="D31" s="4">
        <v>46578.987549062098</v>
      </c>
      <c r="E31" s="4">
        <v>11528.4169585656</v>
      </c>
      <c r="F31" s="4">
        <v>708.97386502058805</v>
      </c>
      <c r="G31" s="4">
        <f t="shared" si="1"/>
        <v>15567.075636395897</v>
      </c>
      <c r="H31" s="4">
        <f t="shared" si="2"/>
        <v>3436.2202550801903</v>
      </c>
      <c r="I31" s="4">
        <f t="shared" si="3"/>
        <v>306.13616668746806</v>
      </c>
    </row>
    <row r="32" spans="1:9" x14ac:dyDescent="0.25">
      <c r="A32" s="3"/>
      <c r="B32" s="3">
        <v>5</v>
      </c>
      <c r="C32" s="3">
        <v>130000</v>
      </c>
      <c r="D32" s="4">
        <v>53161.919722686798</v>
      </c>
      <c r="E32" s="4">
        <v>12978.789185785899</v>
      </c>
      <c r="F32" s="4">
        <v>808.05763874368301</v>
      </c>
      <c r="G32" s="4">
        <f t="shared" si="1"/>
        <v>22150.007810020597</v>
      </c>
      <c r="H32" s="4">
        <f t="shared" si="2"/>
        <v>4886.5924823004898</v>
      </c>
      <c r="I32" s="4">
        <f t="shared" si="3"/>
        <v>405.21994041056303</v>
      </c>
    </row>
    <row r="33" spans="1:9" x14ac:dyDescent="0.25">
      <c r="A33" s="3"/>
      <c r="B33" s="3">
        <v>5</v>
      </c>
      <c r="C33" s="3">
        <v>145000</v>
      </c>
      <c r="D33" s="4">
        <v>60317.197526874901</v>
      </c>
      <c r="E33" s="4">
        <v>13906.234910384201</v>
      </c>
      <c r="F33" s="4">
        <v>900.59463688574999</v>
      </c>
      <c r="G33" s="4">
        <f t="shared" si="1"/>
        <v>29305.2856142087</v>
      </c>
      <c r="H33" s="4">
        <f t="shared" si="2"/>
        <v>5814.038206898791</v>
      </c>
      <c r="I33" s="4">
        <f t="shared" si="3"/>
        <v>497.75693855263</v>
      </c>
    </row>
    <row r="34" spans="1:9" x14ac:dyDescent="0.25">
      <c r="A34" s="3"/>
      <c r="B34" s="3">
        <v>5</v>
      </c>
      <c r="C34" s="3">
        <v>160000</v>
      </c>
      <c r="D34" s="3">
        <v>71615.647024054997</v>
      </c>
      <c r="E34" s="4">
        <v>10734.796313901599</v>
      </c>
      <c r="F34" s="4">
        <v>984.40367444675098</v>
      </c>
      <c r="G34" s="4">
        <f t="shared" si="1"/>
        <v>40603.7351113888</v>
      </c>
      <c r="H34" s="4">
        <f t="shared" si="2"/>
        <v>2642.5996104161895</v>
      </c>
      <c r="I34" s="4">
        <f t="shared" si="3"/>
        <v>581.565976113631</v>
      </c>
    </row>
    <row r="35" spans="1:9" x14ac:dyDescent="0.25">
      <c r="A35" s="3"/>
      <c r="B35" s="3">
        <v>5</v>
      </c>
      <c r="C35" s="3">
        <v>175000</v>
      </c>
      <c r="D35" s="3">
        <v>78517.770933178501</v>
      </c>
      <c r="E35" s="4">
        <v>11999.8058657401</v>
      </c>
      <c r="F35" s="4">
        <v>1045.3968675864801</v>
      </c>
      <c r="G35" s="4">
        <f t="shared" si="1"/>
        <v>47505.859020512304</v>
      </c>
      <c r="H35" s="4">
        <f t="shared" si="2"/>
        <v>3907.6091622546901</v>
      </c>
      <c r="I35" s="4">
        <f t="shared" si="3"/>
        <v>642.5591692533601</v>
      </c>
    </row>
    <row r="36" spans="1:9" x14ac:dyDescent="0.25">
      <c r="B36">
        <v>0</v>
      </c>
      <c r="C36">
        <v>0</v>
      </c>
      <c r="D36">
        <v>31011.911912666201</v>
      </c>
      <c r="E36">
        <v>8092.1967034854097</v>
      </c>
      <c r="F36" s="1">
        <v>402.83769833311999</v>
      </c>
    </row>
  </sheetData>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3B4F9-649F-4B57-BCFD-40A46E2E7B01}">
  <dimension ref="A1"/>
  <sheetViews>
    <sheetView topLeftCell="A4" workbookViewId="0">
      <selection activeCell="F40" sqref="F4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098A4-7930-4260-A0E0-F7ADEE63E561}">
  <dimension ref="C4:J37"/>
  <sheetViews>
    <sheetView topLeftCell="A4" zoomScale="130" zoomScaleNormal="130" workbookViewId="0">
      <selection activeCell="G21" sqref="G21"/>
    </sheetView>
  </sheetViews>
  <sheetFormatPr defaultRowHeight="15" x14ac:dyDescent="0.25"/>
  <sheetData>
    <row r="4" spans="3:8" x14ac:dyDescent="0.25">
      <c r="C4" t="s">
        <v>50</v>
      </c>
      <c r="D4" t="s">
        <v>51</v>
      </c>
      <c r="E4" t="s">
        <v>52</v>
      </c>
    </row>
    <row r="5" spans="3:8" x14ac:dyDescent="0.25">
      <c r="C5" t="s">
        <v>43</v>
      </c>
      <c r="D5">
        <v>1.65</v>
      </c>
      <c r="E5">
        <v>0.95</v>
      </c>
    </row>
    <row r="6" spans="3:8" x14ac:dyDescent="0.25">
      <c r="C6" t="s">
        <v>46</v>
      </c>
      <c r="D6">
        <v>2.4500000000000002</v>
      </c>
      <c r="E6">
        <v>1.1200000000000001</v>
      </c>
    </row>
    <row r="7" spans="3:8" x14ac:dyDescent="0.25">
      <c r="C7" t="s">
        <v>48</v>
      </c>
      <c r="D7">
        <v>3.5</v>
      </c>
      <c r="E7">
        <v>1.2</v>
      </c>
      <c r="F7" s="5"/>
      <c r="H7" s="5"/>
    </row>
    <row r="8" spans="3:8" x14ac:dyDescent="0.25">
      <c r="C8" t="s">
        <v>45</v>
      </c>
      <c r="D8">
        <v>3.18</v>
      </c>
      <c r="E8">
        <v>1.38</v>
      </c>
    </row>
    <row r="9" spans="3:8" x14ac:dyDescent="0.25">
      <c r="C9" t="s">
        <v>36</v>
      </c>
      <c r="D9">
        <v>2.78</v>
      </c>
      <c r="E9">
        <v>1.4</v>
      </c>
    </row>
    <row r="10" spans="3:8" x14ac:dyDescent="0.25">
      <c r="C10" t="s">
        <v>39</v>
      </c>
      <c r="D10">
        <v>3.7</v>
      </c>
      <c r="E10">
        <v>1.4</v>
      </c>
    </row>
    <row r="11" spans="3:8" x14ac:dyDescent="0.25">
      <c r="C11" t="s">
        <v>37</v>
      </c>
      <c r="D11">
        <v>2.9</v>
      </c>
      <c r="E11">
        <v>1.42</v>
      </c>
    </row>
    <row r="12" spans="3:8" x14ac:dyDescent="0.25">
      <c r="C12" t="s">
        <v>34</v>
      </c>
      <c r="D12">
        <v>2.36</v>
      </c>
      <c r="E12">
        <v>1.48</v>
      </c>
    </row>
    <row r="13" spans="3:8" x14ac:dyDescent="0.25">
      <c r="C13" t="s">
        <v>44</v>
      </c>
      <c r="D13">
        <v>3.5</v>
      </c>
      <c r="E13">
        <v>1.62</v>
      </c>
    </row>
    <row r="14" spans="3:8" x14ac:dyDescent="0.25">
      <c r="C14" t="s">
        <v>33</v>
      </c>
      <c r="D14">
        <v>3.2</v>
      </c>
      <c r="E14">
        <v>1.7</v>
      </c>
    </row>
    <row r="15" spans="3:8" x14ac:dyDescent="0.25">
      <c r="C15" t="s">
        <v>49</v>
      </c>
      <c r="D15">
        <v>3.95</v>
      </c>
      <c r="E15">
        <v>1.75</v>
      </c>
    </row>
    <row r="16" spans="3:8" x14ac:dyDescent="0.25">
      <c r="C16" t="s">
        <v>35</v>
      </c>
      <c r="D16">
        <v>6.75</v>
      </c>
      <c r="E16">
        <v>1.9</v>
      </c>
    </row>
    <row r="17" spans="3:5" x14ac:dyDescent="0.25">
      <c r="C17" t="s">
        <v>38</v>
      </c>
      <c r="D17">
        <v>4</v>
      </c>
      <c r="E17">
        <v>1.9</v>
      </c>
    </row>
    <row r="18" spans="3:5" x14ac:dyDescent="0.25">
      <c r="C18" t="s">
        <v>20</v>
      </c>
      <c r="D18">
        <v>7</v>
      </c>
      <c r="E18">
        <v>2</v>
      </c>
    </row>
    <row r="19" spans="3:5" x14ac:dyDescent="0.25">
      <c r="C19" t="s">
        <v>47</v>
      </c>
      <c r="D19">
        <v>5</v>
      </c>
      <c r="E19">
        <v>2</v>
      </c>
    </row>
    <row r="20" spans="3:5" x14ac:dyDescent="0.25">
      <c r="C20" t="s">
        <v>40</v>
      </c>
      <c r="D20">
        <v>5.3</v>
      </c>
      <c r="E20">
        <v>2.0499999999999998</v>
      </c>
    </row>
    <row r="21" spans="3:5" x14ac:dyDescent="0.25">
      <c r="C21" t="s">
        <v>21</v>
      </c>
      <c r="D21">
        <v>7</v>
      </c>
      <c r="E21">
        <v>2.16</v>
      </c>
    </row>
    <row r="22" spans="3:5" x14ac:dyDescent="0.25">
      <c r="C22" t="s">
        <v>41</v>
      </c>
      <c r="D22">
        <v>7.25</v>
      </c>
      <c r="E22">
        <v>2.35</v>
      </c>
    </row>
    <row r="23" spans="3:5" x14ac:dyDescent="0.25">
      <c r="C23" t="s">
        <v>30</v>
      </c>
      <c r="D23">
        <v>7.8</v>
      </c>
      <c r="E23">
        <v>2.36</v>
      </c>
    </row>
    <row r="24" spans="3:5" x14ac:dyDescent="0.25">
      <c r="C24" t="s">
        <v>42</v>
      </c>
      <c r="D24">
        <v>6</v>
      </c>
      <c r="E24">
        <v>2.4500000000000002</v>
      </c>
    </row>
    <row r="25" spans="3:5" x14ac:dyDescent="0.25">
      <c r="C25" t="s">
        <v>24</v>
      </c>
      <c r="D25">
        <v>7.7</v>
      </c>
      <c r="E25">
        <v>2.5</v>
      </c>
    </row>
    <row r="26" spans="3:5" x14ac:dyDescent="0.25">
      <c r="C26" t="s">
        <v>22</v>
      </c>
      <c r="D26">
        <v>7.1</v>
      </c>
      <c r="E26">
        <v>2.62</v>
      </c>
    </row>
    <row r="27" spans="3:5" x14ac:dyDescent="0.25">
      <c r="C27" t="s">
        <v>32</v>
      </c>
      <c r="D27">
        <v>8</v>
      </c>
      <c r="E27">
        <v>2.64</v>
      </c>
    </row>
    <row r="28" spans="3:5" x14ac:dyDescent="0.25">
      <c r="C28" t="s">
        <v>29</v>
      </c>
      <c r="D28">
        <v>6.95</v>
      </c>
      <c r="E28">
        <v>2.65</v>
      </c>
    </row>
    <row r="29" spans="3:5" x14ac:dyDescent="0.25">
      <c r="C29" t="s">
        <v>26</v>
      </c>
      <c r="D29">
        <v>7.9</v>
      </c>
      <c r="E29">
        <v>2.75</v>
      </c>
    </row>
    <row r="30" spans="3:5" x14ac:dyDescent="0.25">
      <c r="C30" t="s">
        <v>25</v>
      </c>
      <c r="D30">
        <v>7.77</v>
      </c>
      <c r="E30">
        <v>2.8</v>
      </c>
    </row>
    <row r="31" spans="3:5" x14ac:dyDescent="0.25">
      <c r="C31" t="s">
        <v>27</v>
      </c>
      <c r="D31">
        <v>8.6999999999999993</v>
      </c>
      <c r="E31">
        <v>2.8</v>
      </c>
    </row>
    <row r="32" spans="3:5" x14ac:dyDescent="0.25">
      <c r="C32" t="s">
        <v>31</v>
      </c>
      <c r="D32">
        <v>8.5</v>
      </c>
      <c r="E32">
        <v>2.96</v>
      </c>
    </row>
    <row r="33" spans="3:10" x14ac:dyDescent="0.25">
      <c r="C33" t="s">
        <v>23</v>
      </c>
      <c r="D33">
        <v>8.83</v>
      </c>
      <c r="E33">
        <v>3.05</v>
      </c>
    </row>
    <row r="34" spans="3:10" x14ac:dyDescent="0.25">
      <c r="C34" t="s">
        <v>28</v>
      </c>
      <c r="D34">
        <v>9.5</v>
      </c>
      <c r="E34">
        <v>3.2</v>
      </c>
    </row>
    <row r="36" spans="3:10" x14ac:dyDescent="0.25">
      <c r="J36" s="5"/>
    </row>
    <row r="37" spans="3:10" x14ac:dyDescent="0.25">
      <c r="J37" s="5"/>
    </row>
  </sheetData>
  <sortState xmlns:xlrd2="http://schemas.microsoft.com/office/spreadsheetml/2017/richdata2" ref="C5:E34">
    <sortCondition ref="E5:E3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B3B78-3196-4725-9489-9F172DB344B8}">
  <dimension ref="G7:J15"/>
  <sheetViews>
    <sheetView workbookViewId="0">
      <selection activeCell="G7" sqref="G7:J18"/>
    </sheetView>
  </sheetViews>
  <sheetFormatPr defaultRowHeight="15" x14ac:dyDescent="0.25"/>
  <cols>
    <col min="7" max="10" width="22" customWidth="1"/>
  </cols>
  <sheetData>
    <row r="7" spans="7:10" x14ac:dyDescent="0.25">
      <c r="G7" t="s">
        <v>53</v>
      </c>
      <c r="H7" t="s">
        <v>54</v>
      </c>
      <c r="I7" t="s">
        <v>55</v>
      </c>
      <c r="J7" t="s">
        <v>56</v>
      </c>
    </row>
    <row r="8" spans="7:10" x14ac:dyDescent="0.25">
      <c r="G8" t="s">
        <v>58</v>
      </c>
      <c r="H8" t="s">
        <v>57</v>
      </c>
    </row>
    <row r="13" spans="7:10" x14ac:dyDescent="0.25">
      <c r="H13" t="s">
        <v>59</v>
      </c>
    </row>
    <row r="14" spans="7:10" x14ac:dyDescent="0.25">
      <c r="G14" t="s">
        <v>60</v>
      </c>
    </row>
    <row r="15" spans="7:10" x14ac:dyDescent="0.25">
      <c r="G15"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2C042-8FDE-4CB5-8CD4-C64F7A870012}">
  <dimension ref="B6:X77"/>
  <sheetViews>
    <sheetView topLeftCell="A4" zoomScale="190" zoomScaleNormal="190" workbookViewId="0">
      <selection activeCell="G18" sqref="G18"/>
    </sheetView>
  </sheetViews>
  <sheetFormatPr defaultRowHeight="15" x14ac:dyDescent="0.25"/>
  <cols>
    <col min="2" max="2" width="23.85546875" bestFit="1" customWidth="1"/>
    <col min="3" max="6" width="16" customWidth="1"/>
    <col min="7" max="7" width="12.140625" bestFit="1" customWidth="1"/>
    <col min="8" max="8" width="17.140625" bestFit="1" customWidth="1"/>
    <col min="9" max="9" width="12" bestFit="1" customWidth="1"/>
    <col min="10" max="10" width="14.85546875" bestFit="1" customWidth="1"/>
    <col min="11" max="11" width="20.85546875" customWidth="1"/>
    <col min="12" max="12" width="9.5703125" customWidth="1"/>
    <col min="13" max="13" width="12.5703125" customWidth="1"/>
    <col min="14" max="15" width="21.28515625" bestFit="1" customWidth="1"/>
    <col min="16" max="16" width="19.85546875" bestFit="1" customWidth="1"/>
    <col min="17" max="17" width="18.7109375" customWidth="1"/>
    <col min="18" max="18" width="20" customWidth="1"/>
    <col min="19" max="19" width="15.140625" bestFit="1" customWidth="1"/>
    <col min="20" max="20" width="24.5703125" customWidth="1"/>
    <col min="21" max="21" width="14.140625" bestFit="1" customWidth="1"/>
    <col min="22" max="22" width="14" bestFit="1" customWidth="1"/>
    <col min="23" max="23" width="10.28515625" bestFit="1" customWidth="1"/>
  </cols>
  <sheetData>
    <row r="6" spans="2:8" x14ac:dyDescent="0.25">
      <c r="B6" s="10" t="s">
        <v>89</v>
      </c>
      <c r="C6" s="10" t="s">
        <v>62</v>
      </c>
      <c r="D6" s="10" t="s">
        <v>85</v>
      </c>
      <c r="E6" s="10" t="s">
        <v>63</v>
      </c>
      <c r="F6" s="10" t="s">
        <v>64</v>
      </c>
      <c r="G6" s="10" t="s">
        <v>65</v>
      </c>
      <c r="H6" s="10" t="s">
        <v>76</v>
      </c>
    </row>
    <row r="7" spans="2:8" x14ac:dyDescent="0.25">
      <c r="B7" s="10" t="s">
        <v>68</v>
      </c>
      <c r="C7" s="14">
        <v>68</v>
      </c>
      <c r="D7" s="14">
        <v>132.6</v>
      </c>
      <c r="E7" s="14">
        <v>93</v>
      </c>
      <c r="F7" s="14">
        <v>130</v>
      </c>
      <c r="G7" s="14">
        <v>157</v>
      </c>
      <c r="H7" s="14">
        <v>198</v>
      </c>
    </row>
    <row r="8" spans="2:8" ht="60.75" customHeight="1" x14ac:dyDescent="0.25">
      <c r="B8" s="10" t="s">
        <v>74</v>
      </c>
      <c r="C8" s="15" t="s">
        <v>71</v>
      </c>
      <c r="D8" s="15" t="s">
        <v>72</v>
      </c>
      <c r="E8" s="15" t="s">
        <v>73</v>
      </c>
      <c r="F8" s="14" t="s">
        <v>70</v>
      </c>
      <c r="G8" s="14" t="s">
        <v>69</v>
      </c>
      <c r="H8" s="14" t="s">
        <v>69</v>
      </c>
    </row>
    <row r="9" spans="2:8" x14ac:dyDescent="0.25">
      <c r="B9" s="10" t="s">
        <v>75</v>
      </c>
      <c r="C9" s="14">
        <v>7.73</v>
      </c>
      <c r="D9" s="14">
        <v>10.1</v>
      </c>
      <c r="E9" s="14">
        <v>9.4499999999999993</v>
      </c>
      <c r="F9" s="14">
        <v>7.1</v>
      </c>
      <c r="G9" s="14">
        <v>8</v>
      </c>
      <c r="H9" s="14">
        <v>9.26</v>
      </c>
    </row>
    <row r="10" spans="2:8" x14ac:dyDescent="0.25">
      <c r="B10" s="10" t="s">
        <v>86</v>
      </c>
      <c r="C10" s="16">
        <v>26581</v>
      </c>
      <c r="D10" s="16">
        <v>75562</v>
      </c>
      <c r="E10" s="16">
        <v>93680</v>
      </c>
      <c r="F10" s="16">
        <v>105476</v>
      </c>
      <c r="G10" s="16">
        <v>204000</v>
      </c>
      <c r="H10" s="16">
        <v>285300</v>
      </c>
    </row>
    <row r="11" spans="2:8" x14ac:dyDescent="0.25">
      <c r="B11" s="10" t="s">
        <v>77</v>
      </c>
      <c r="C11" s="16">
        <v>52539</v>
      </c>
      <c r="D11" s="16">
        <v>155000</v>
      </c>
      <c r="E11" s="16">
        <v>181200</v>
      </c>
      <c r="F11" s="16">
        <v>322500</v>
      </c>
      <c r="G11" s="16">
        <v>415000</v>
      </c>
      <c r="H11" s="16">
        <v>533519</v>
      </c>
    </row>
    <row r="12" spans="2:8" x14ac:dyDescent="0.25">
      <c r="B12" s="10" t="s">
        <v>87</v>
      </c>
      <c r="C12" s="14">
        <v>15</v>
      </c>
      <c r="D12" s="14">
        <v>0</v>
      </c>
      <c r="E12" s="14">
        <v>25</v>
      </c>
      <c r="F12" s="17">
        <v>35</v>
      </c>
      <c r="G12" s="17">
        <v>34</v>
      </c>
      <c r="H12" s="17">
        <v>29.7</v>
      </c>
    </row>
    <row r="13" spans="2:8" x14ac:dyDescent="0.25">
      <c r="B13" s="10" t="s">
        <v>66</v>
      </c>
      <c r="C13" s="14" t="s">
        <v>78</v>
      </c>
      <c r="D13" s="14" t="s">
        <v>79</v>
      </c>
      <c r="E13" s="14" t="s">
        <v>80</v>
      </c>
      <c r="F13" s="14" t="s">
        <v>81</v>
      </c>
      <c r="G13" s="14" t="s">
        <v>82</v>
      </c>
      <c r="H13" s="14" t="s">
        <v>83</v>
      </c>
    </row>
    <row r="14" spans="2:8" x14ac:dyDescent="0.25">
      <c r="B14" s="10" t="s">
        <v>84</v>
      </c>
      <c r="C14" s="14">
        <f>9275*2</f>
        <v>18550</v>
      </c>
      <c r="D14" s="14">
        <f>4*7412</f>
        <v>29648</v>
      </c>
      <c r="E14" s="14">
        <f>29317*2</f>
        <v>58634</v>
      </c>
      <c r="F14" s="14">
        <f>21600*4</f>
        <v>86400</v>
      </c>
      <c r="G14" s="14">
        <f>62000*2</f>
        <v>124000</v>
      </c>
      <c r="H14" s="14">
        <f>72000*2</f>
        <v>144000</v>
      </c>
    </row>
    <row r="15" spans="2:8" x14ac:dyDescent="0.25">
      <c r="B15" s="10" t="s">
        <v>67</v>
      </c>
      <c r="C15" s="18">
        <f t="shared" ref="C15:G15" si="0">C14/C11</f>
        <v>0.35307105198043359</v>
      </c>
      <c r="D15" s="18">
        <f t="shared" si="0"/>
        <v>0.19127741935483872</v>
      </c>
      <c r="E15" s="18">
        <f t="shared" si="0"/>
        <v>0.32358719646799117</v>
      </c>
      <c r="F15" s="18">
        <f t="shared" si="0"/>
        <v>0.26790697674418606</v>
      </c>
      <c r="G15" s="18">
        <f t="shared" si="0"/>
        <v>0.29879518072289157</v>
      </c>
      <c r="H15" s="18">
        <f>H14/H11</f>
        <v>0.269906038960187</v>
      </c>
    </row>
    <row r="16" spans="2:8" ht="30" x14ac:dyDescent="0.25">
      <c r="B16" s="11" t="s">
        <v>102</v>
      </c>
      <c r="C16" s="12">
        <v>16483.6573192428</v>
      </c>
      <c r="D16" s="12">
        <v>49567.949195400499</v>
      </c>
      <c r="E16" s="12">
        <v>66571.106809195</v>
      </c>
      <c r="F16" s="12">
        <v>73953.269063105006</v>
      </c>
      <c r="G16" s="12">
        <v>174030.07704042</v>
      </c>
      <c r="H16" s="12">
        <v>208126.343240847</v>
      </c>
    </row>
    <row r="17" spans="2:19" ht="30" x14ac:dyDescent="0.25">
      <c r="B17" s="11" t="s">
        <v>103</v>
      </c>
      <c r="C17" s="13">
        <v>13015.1117164688</v>
      </c>
      <c r="D17" s="13">
        <v>40094.769312814198</v>
      </c>
      <c r="E17" s="13">
        <v>56848.535404726899</v>
      </c>
      <c r="F17" s="13">
        <v>70898.920355642796</v>
      </c>
      <c r="G17" s="13">
        <v>163244.55683644101</v>
      </c>
      <c r="H17" s="13">
        <v>178635.544265087</v>
      </c>
    </row>
    <row r="18" spans="2:19" ht="45" x14ac:dyDescent="0.25">
      <c r="B18" s="11" t="s">
        <v>104</v>
      </c>
      <c r="C18" s="1">
        <v>4197.3557559512801</v>
      </c>
      <c r="D18" s="1">
        <v>9836.6702271325503</v>
      </c>
      <c r="E18" s="1">
        <v>10661.1769047119</v>
      </c>
      <c r="F18" s="1">
        <v>9120.5132736335108</v>
      </c>
      <c r="G18" s="1">
        <v>6800.93108226816</v>
      </c>
      <c r="H18" s="1">
        <v>8250.4591178541395</v>
      </c>
    </row>
    <row r="19" spans="2:19" ht="45" x14ac:dyDescent="0.25">
      <c r="B19" s="11" t="s">
        <v>105</v>
      </c>
      <c r="C19" s="1">
        <v>3433.5367253872801</v>
      </c>
      <c r="D19" s="1">
        <v>7762.5681368340402</v>
      </c>
      <c r="E19" s="1">
        <v>8660.3530317230707</v>
      </c>
      <c r="F19" s="1">
        <v>7626.3734160430404</v>
      </c>
      <c r="G19" s="1">
        <v>5679.3101547331999</v>
      </c>
      <c r="H19" s="1">
        <v>6704.7894194789897</v>
      </c>
    </row>
    <row r="20" spans="2:19" ht="30" x14ac:dyDescent="0.25">
      <c r="B20" s="11" t="s">
        <v>88</v>
      </c>
      <c r="C20" s="14" t="s">
        <v>69</v>
      </c>
      <c r="D20" s="14">
        <v>4700</v>
      </c>
      <c r="E20" s="14">
        <v>9700</v>
      </c>
      <c r="F20" s="14">
        <v>7000</v>
      </c>
      <c r="G20" s="14" t="s">
        <v>69</v>
      </c>
      <c r="H20" s="19">
        <v>7280</v>
      </c>
    </row>
    <row r="21" spans="2:19" x14ac:dyDescent="0.25">
      <c r="C21" s="54">
        <v>4402.7335462154397</v>
      </c>
      <c r="D21" s="54">
        <v>9208.1321514948304</v>
      </c>
      <c r="E21" s="54">
        <v>11303.8580420711</v>
      </c>
      <c r="F21" s="54">
        <v>10459.8188794788</v>
      </c>
      <c r="G21" s="54">
        <v>7982.8888354245801</v>
      </c>
      <c r="H21" s="54">
        <v>9185.5316374702907</v>
      </c>
    </row>
    <row r="22" spans="2:19" ht="45" x14ac:dyDescent="0.25">
      <c r="B22" s="11" t="s">
        <v>101</v>
      </c>
      <c r="C22">
        <v>3433.5367253872801</v>
      </c>
      <c r="D22">
        <v>7762.6418483978396</v>
      </c>
      <c r="E22">
        <v>8659.8757447735898</v>
      </c>
      <c r="F22">
        <v>7626.3734160430404</v>
      </c>
      <c r="G22">
        <v>5679.3101547331999</v>
      </c>
      <c r="H22">
        <v>6704.4421894425705</v>
      </c>
    </row>
    <row r="23" spans="2:19" x14ac:dyDescent="0.25">
      <c r="H23" s="1"/>
    </row>
    <row r="25" spans="2:19" x14ac:dyDescent="0.25">
      <c r="L25" s="9"/>
    </row>
    <row r="26" spans="2:19" x14ac:dyDescent="0.25">
      <c r="B26" s="101" t="s">
        <v>94</v>
      </c>
      <c r="C26" s="101"/>
    </row>
    <row r="27" spans="2:19" s="6" customFormat="1" ht="75" x14ac:dyDescent="0.25">
      <c r="B27" s="6" t="s">
        <v>100</v>
      </c>
      <c r="C27" s="6" t="s">
        <v>90</v>
      </c>
      <c r="D27" s="6" t="s">
        <v>91</v>
      </c>
      <c r="E27" s="6" t="s">
        <v>92</v>
      </c>
      <c r="F27" s="6" t="s">
        <v>93</v>
      </c>
      <c r="G27" s="6" t="s">
        <v>95</v>
      </c>
      <c r="H27" s="6" t="s">
        <v>96</v>
      </c>
      <c r="I27" s="6" t="s">
        <v>97</v>
      </c>
      <c r="J27" s="6" t="s">
        <v>98</v>
      </c>
      <c r="K27" s="6" t="s">
        <v>99</v>
      </c>
      <c r="L27" s="6" t="s">
        <v>106</v>
      </c>
      <c r="N27" s="6" t="s">
        <v>107</v>
      </c>
      <c r="O27" s="6" t="s">
        <v>108</v>
      </c>
      <c r="P27" s="6" t="s">
        <v>109</v>
      </c>
      <c r="Q27" s="6" t="s">
        <v>110</v>
      </c>
      <c r="R27" s="6" t="s">
        <v>109</v>
      </c>
      <c r="S27" s="6" t="s">
        <v>110</v>
      </c>
    </row>
    <row r="28" spans="2:19" x14ac:dyDescent="0.25">
      <c r="B28">
        <v>1</v>
      </c>
      <c r="C28">
        <v>500</v>
      </c>
      <c r="D28">
        <v>1000</v>
      </c>
      <c r="E28">
        <v>9000</v>
      </c>
      <c r="F28">
        <v>205</v>
      </c>
      <c r="G28" s="8">
        <v>120.96161081621101</v>
      </c>
      <c r="H28" s="7">
        <v>0.35</v>
      </c>
      <c r="I28" s="8">
        <v>5.57270323280882</v>
      </c>
      <c r="J28" s="8">
        <v>23.522281247699901</v>
      </c>
      <c r="K28" s="1">
        <v>137324.62388941899</v>
      </c>
      <c r="L28" s="8">
        <v>31573</v>
      </c>
      <c r="M28" s="1">
        <v>32007</v>
      </c>
      <c r="N28">
        <v>5</v>
      </c>
      <c r="O28">
        <v>9</v>
      </c>
      <c r="P28" s="1">
        <v>1198.8071405108201</v>
      </c>
      <c r="Q28" s="1">
        <v>8517.7473403478507</v>
      </c>
      <c r="R28" s="23">
        <f>P28*O28</f>
        <v>10789.264264597381</v>
      </c>
      <c r="S28" s="23">
        <f>Q28*O28</f>
        <v>76659.726063130656</v>
      </c>
    </row>
    <row r="29" spans="2:19" x14ac:dyDescent="0.25">
      <c r="B29">
        <v>2</v>
      </c>
      <c r="C29">
        <v>500</v>
      </c>
      <c r="D29">
        <v>1000</v>
      </c>
      <c r="E29">
        <v>9000</v>
      </c>
      <c r="F29">
        <v>245</v>
      </c>
      <c r="G29" s="8">
        <v>129.73650335686401</v>
      </c>
      <c r="H29" s="7">
        <v>0.35</v>
      </c>
      <c r="I29" s="8">
        <v>5.5005589955241101</v>
      </c>
      <c r="J29" s="8">
        <v>8.2849364473853697</v>
      </c>
      <c r="K29" s="1">
        <v>152743.57859668799</v>
      </c>
      <c r="L29" s="8">
        <v>34533</v>
      </c>
      <c r="M29" s="1">
        <v>35028</v>
      </c>
      <c r="N29">
        <v>5</v>
      </c>
      <c r="O29">
        <v>7</v>
      </c>
      <c r="P29" s="1">
        <v>2137.91382502137</v>
      </c>
      <c r="Q29" s="1">
        <v>10856.556196448601</v>
      </c>
      <c r="R29" s="23">
        <f t="shared" ref="R29:R33" si="1">P29*O29</f>
        <v>14965.396775149591</v>
      </c>
      <c r="S29" s="23">
        <f t="shared" ref="S29:S33" si="2">Q29*O29</f>
        <v>75995.893375140207</v>
      </c>
    </row>
    <row r="30" spans="2:19" x14ac:dyDescent="0.25">
      <c r="B30">
        <v>3</v>
      </c>
      <c r="C30">
        <v>500</v>
      </c>
      <c r="D30">
        <v>1000</v>
      </c>
      <c r="E30">
        <v>9000</v>
      </c>
      <c r="F30">
        <v>285</v>
      </c>
      <c r="G30" s="8">
        <v>127.26848721229</v>
      </c>
      <c r="H30" s="7">
        <v>0.35</v>
      </c>
      <c r="I30" s="8">
        <v>5.5428819204567104</v>
      </c>
      <c r="J30" s="8">
        <v>21.928792935022699</v>
      </c>
      <c r="K30" s="1">
        <v>153024.91898027199</v>
      </c>
      <c r="L30" s="8">
        <v>35675</v>
      </c>
      <c r="M30" s="1">
        <v>36159</v>
      </c>
      <c r="N30">
        <v>5</v>
      </c>
      <c r="O30">
        <v>8</v>
      </c>
      <c r="P30" s="1">
        <v>1428.2086787580199</v>
      </c>
      <c r="Q30" s="1">
        <v>9553.9060174106107</v>
      </c>
      <c r="R30" s="23">
        <f t="shared" si="1"/>
        <v>11425.669430064159</v>
      </c>
      <c r="S30" s="23">
        <f t="shared" si="2"/>
        <v>76431.248139284886</v>
      </c>
    </row>
    <row r="31" spans="2:19" x14ac:dyDescent="0.25">
      <c r="B31">
        <v>4</v>
      </c>
      <c r="C31">
        <v>500</v>
      </c>
      <c r="D31">
        <v>1000</v>
      </c>
      <c r="E31">
        <v>9000</v>
      </c>
      <c r="F31">
        <v>330</v>
      </c>
      <c r="G31" s="8">
        <v>131.82494344988299</v>
      </c>
      <c r="H31" s="7">
        <v>0.35</v>
      </c>
      <c r="I31" s="8">
        <v>5.9679445831296798</v>
      </c>
      <c r="J31" s="8">
        <v>24.371864113890702</v>
      </c>
      <c r="K31" s="1">
        <v>157925.982587951</v>
      </c>
      <c r="L31" s="8">
        <v>38052</v>
      </c>
      <c r="M31" s="1">
        <v>38536</v>
      </c>
      <c r="N31">
        <v>5</v>
      </c>
      <c r="O31">
        <v>8</v>
      </c>
      <c r="P31" s="1">
        <v>1797.70986833761</v>
      </c>
      <c r="Q31" s="1">
        <v>9797.2918505916896</v>
      </c>
      <c r="R31" s="23">
        <f t="shared" si="1"/>
        <v>14381.67894670088</v>
      </c>
      <c r="S31" s="23">
        <f t="shared" si="2"/>
        <v>78378.334804733517</v>
      </c>
    </row>
    <row r="32" spans="2:19" x14ac:dyDescent="0.25">
      <c r="B32">
        <v>5</v>
      </c>
      <c r="C32">
        <v>500</v>
      </c>
      <c r="D32">
        <v>1000</v>
      </c>
      <c r="E32">
        <v>9000</v>
      </c>
      <c r="F32">
        <v>415</v>
      </c>
      <c r="G32" s="8">
        <v>128.2603542905</v>
      </c>
      <c r="H32" s="7">
        <v>0.35</v>
      </c>
      <c r="I32" s="8">
        <v>5.57709068728267</v>
      </c>
      <c r="J32" s="8">
        <v>19.585818931124098</v>
      </c>
      <c r="K32" s="1">
        <v>169949.95488569399</v>
      </c>
      <c r="L32" s="8">
        <v>42176</v>
      </c>
      <c r="M32" s="1">
        <v>42692</v>
      </c>
      <c r="N32">
        <v>5</v>
      </c>
      <c r="O32">
        <v>7</v>
      </c>
      <c r="P32" s="1">
        <v>3231.2807520865299</v>
      </c>
      <c r="Q32" s="1">
        <v>11754.417002112101</v>
      </c>
      <c r="R32" s="23">
        <f t="shared" si="1"/>
        <v>22618.965264605707</v>
      </c>
      <c r="S32" s="23">
        <f t="shared" si="2"/>
        <v>82280.919014784711</v>
      </c>
    </row>
    <row r="33" spans="2:24" x14ac:dyDescent="0.25">
      <c r="B33">
        <v>6</v>
      </c>
      <c r="C33">
        <v>500</v>
      </c>
      <c r="D33">
        <v>1000</v>
      </c>
      <c r="E33">
        <v>9000</v>
      </c>
      <c r="F33">
        <v>9000</v>
      </c>
      <c r="G33" s="8">
        <v>128.2603542905</v>
      </c>
      <c r="H33" s="7">
        <v>0.35</v>
      </c>
      <c r="I33" s="8">
        <v>10.1</v>
      </c>
      <c r="J33" s="8">
        <v>19.585818931124098</v>
      </c>
      <c r="K33" s="1">
        <v>169949.95488569399</v>
      </c>
      <c r="L33" s="8">
        <v>52632</v>
      </c>
      <c r="M33" s="1">
        <v>53008</v>
      </c>
      <c r="N33">
        <v>5</v>
      </c>
      <c r="O33">
        <v>11</v>
      </c>
      <c r="P33" s="1">
        <v>2017.99090018998</v>
      </c>
      <c r="Q33" s="1">
        <v>6736.0973098970398</v>
      </c>
      <c r="R33" s="23">
        <f t="shared" si="1"/>
        <v>22197.899902089779</v>
      </c>
      <c r="S33" s="23">
        <f t="shared" si="2"/>
        <v>74097.070408867439</v>
      </c>
    </row>
    <row r="39" spans="2:24" ht="45" x14ac:dyDescent="0.25">
      <c r="L39" s="6" t="s">
        <v>100</v>
      </c>
      <c r="M39" s="6" t="s">
        <v>93</v>
      </c>
      <c r="N39" t="s">
        <v>107</v>
      </c>
      <c r="O39" t="s">
        <v>108</v>
      </c>
      <c r="P39" s="6" t="s">
        <v>121</v>
      </c>
      <c r="Q39" s="6" t="s">
        <v>122</v>
      </c>
      <c r="R39" s="6" t="s">
        <v>123</v>
      </c>
      <c r="S39" s="6" t="s">
        <v>114</v>
      </c>
      <c r="T39" s="6" t="s">
        <v>115</v>
      </c>
      <c r="U39" s="6" t="s">
        <v>126</v>
      </c>
      <c r="V39" s="6" t="s">
        <v>127</v>
      </c>
    </row>
    <row r="40" spans="2:24" x14ac:dyDescent="0.25">
      <c r="L40">
        <v>1</v>
      </c>
      <c r="M40">
        <v>205</v>
      </c>
      <c r="N40">
        <v>5</v>
      </c>
      <c r="O40">
        <v>9</v>
      </c>
      <c r="P40" s="1">
        <v>10789.264264597381</v>
      </c>
      <c r="Q40" s="1">
        <v>76659.726063130656</v>
      </c>
      <c r="R40" s="7">
        <v>0.46567544181986986</v>
      </c>
      <c r="S40" s="23">
        <f>365*$R40*P40*8</f>
        <v>14670942.577716939</v>
      </c>
      <c r="T40" s="23">
        <f>365*$R40*Q40*8</f>
        <v>104239771.2683766</v>
      </c>
      <c r="U40" s="24">
        <f>S40*3.16</f>
        <v>46360178.545585528</v>
      </c>
      <c r="V40" s="24">
        <f>T40*3.16</f>
        <v>329397677.2080701</v>
      </c>
    </row>
    <row r="41" spans="2:24" x14ac:dyDescent="0.25">
      <c r="L41">
        <v>2</v>
      </c>
      <c r="M41">
        <v>245</v>
      </c>
      <c r="N41">
        <v>5</v>
      </c>
      <c r="O41">
        <v>7</v>
      </c>
      <c r="P41" s="1">
        <v>14965.396775149591</v>
      </c>
      <c r="Q41" s="1">
        <v>75995.893375140207</v>
      </c>
      <c r="R41" s="7">
        <v>0.58224007511306808</v>
      </c>
      <c r="S41" s="23">
        <f t="shared" ref="S41:S45" si="3">365*$R41*P41*8</f>
        <v>25443284.927983098</v>
      </c>
      <c r="T41" s="23">
        <f t="shared" ref="T41:T44" si="4">365*$R41*Q41*8</f>
        <v>129203735.62771693</v>
      </c>
      <c r="U41" s="24">
        <f t="shared" ref="U41:V45" si="5">S41*3.16</f>
        <v>80400780.372426599</v>
      </c>
      <c r="V41" s="24">
        <f t="shared" si="5"/>
        <v>408283804.5835855</v>
      </c>
    </row>
    <row r="42" spans="2:24" x14ac:dyDescent="0.25">
      <c r="L42">
        <v>3</v>
      </c>
      <c r="M42">
        <v>285</v>
      </c>
      <c r="N42">
        <v>5</v>
      </c>
      <c r="O42">
        <v>8</v>
      </c>
      <c r="P42" s="1">
        <v>11425.669430064159</v>
      </c>
      <c r="Q42" s="1">
        <v>76431.248139284886</v>
      </c>
      <c r="R42" s="7">
        <v>0.6921847327502676</v>
      </c>
      <c r="S42" s="23">
        <f t="shared" si="3"/>
        <v>23093327.907550238</v>
      </c>
      <c r="T42" s="23">
        <f t="shared" si="4"/>
        <v>154481265.75581607</v>
      </c>
      <c r="U42" s="24">
        <f t="shared" si="5"/>
        <v>72974916.18785876</v>
      </c>
      <c r="V42" s="24">
        <f t="shared" si="5"/>
        <v>488160799.78837883</v>
      </c>
    </row>
    <row r="43" spans="2:24" x14ac:dyDescent="0.25">
      <c r="L43">
        <v>4</v>
      </c>
      <c r="M43">
        <v>330</v>
      </c>
      <c r="N43">
        <v>5</v>
      </c>
      <c r="O43">
        <v>8</v>
      </c>
      <c r="P43" s="1">
        <v>14381.67894670088</v>
      </c>
      <c r="Q43" s="1">
        <v>78378.334804733517</v>
      </c>
      <c r="R43" s="7">
        <v>0.79166530285369618</v>
      </c>
      <c r="S43" s="23">
        <f t="shared" si="3"/>
        <v>33245590.559142966</v>
      </c>
      <c r="T43" s="23">
        <f t="shared" si="4"/>
        <v>181184271.82824463</v>
      </c>
      <c r="U43" s="24">
        <f t="shared" si="5"/>
        <v>105056066.16689178</v>
      </c>
      <c r="V43" s="24">
        <f t="shared" si="5"/>
        <v>572542298.97725308</v>
      </c>
    </row>
    <row r="44" spans="2:24" x14ac:dyDescent="0.25">
      <c r="L44">
        <v>5</v>
      </c>
      <c r="M44">
        <v>415</v>
      </c>
      <c r="N44">
        <v>5</v>
      </c>
      <c r="O44">
        <v>7</v>
      </c>
      <c r="P44" s="1">
        <v>22618.965264605707</v>
      </c>
      <c r="Q44" s="1">
        <v>82280.919014784711</v>
      </c>
      <c r="R44" s="7">
        <v>0.89383089355697476</v>
      </c>
      <c r="S44" s="23">
        <f t="shared" si="3"/>
        <v>59035187.406686351</v>
      </c>
      <c r="T44" s="23">
        <f t="shared" si="4"/>
        <v>214752063.90776837</v>
      </c>
      <c r="U44" s="24">
        <f t="shared" si="5"/>
        <v>186551192.20512888</v>
      </c>
      <c r="V44" s="24">
        <f t="shared" si="5"/>
        <v>678616521.94854808</v>
      </c>
    </row>
    <row r="45" spans="2:24" x14ac:dyDescent="0.25">
      <c r="L45">
        <v>6</v>
      </c>
      <c r="M45">
        <v>9000</v>
      </c>
      <c r="N45">
        <v>5</v>
      </c>
      <c r="O45">
        <v>11</v>
      </c>
      <c r="P45" s="1">
        <v>22197.899902089779</v>
      </c>
      <c r="Q45" s="23">
        <v>74097</v>
      </c>
      <c r="R45">
        <v>1</v>
      </c>
      <c r="S45">
        <f t="shared" si="3"/>
        <v>64817867.714102156</v>
      </c>
      <c r="T45">
        <f>365*$R45*Q45*8</f>
        <v>216363240</v>
      </c>
      <c r="U45" s="24">
        <f t="shared" si="5"/>
        <v>204824461.97656283</v>
      </c>
      <c r="V45" s="24">
        <f t="shared" si="5"/>
        <v>683707838.39999998</v>
      </c>
    </row>
    <row r="48" spans="2:24" x14ac:dyDescent="0.25">
      <c r="S48" s="25" t="s">
        <v>124</v>
      </c>
      <c r="T48" s="25" t="s">
        <v>125</v>
      </c>
      <c r="U48" s="25"/>
      <c r="V48" s="25" t="s">
        <v>117</v>
      </c>
      <c r="W48" s="25" t="s">
        <v>117</v>
      </c>
      <c r="X48" t="s">
        <v>118</v>
      </c>
    </row>
    <row r="49" spans="2:23" x14ac:dyDescent="0.25">
      <c r="S49" s="26">
        <f>S40*0.000453592</f>
        <v>6654.6221857117816</v>
      </c>
      <c r="T49" s="26">
        <f>T40*0.000453592</f>
        <v>47282.32632916548</v>
      </c>
      <c r="U49" s="25"/>
      <c r="V49" s="26">
        <f>S49*3.16</f>
        <v>21028.606106849231</v>
      </c>
      <c r="W49" s="26">
        <f>T49*3.16</f>
        <v>149412.15120016292</v>
      </c>
    </row>
    <row r="50" spans="2:23" x14ac:dyDescent="0.25">
      <c r="D50">
        <v>7762.6418483978396</v>
      </c>
      <c r="O50" s="25">
        <v>0.46567544181986986</v>
      </c>
      <c r="S50" s="26">
        <f t="shared" ref="S50:T50" si="6">S41*0.000453592</f>
        <v>11540.870497053709</v>
      </c>
      <c r="T50" s="26">
        <f t="shared" si="6"/>
        <v>58605.780850847375</v>
      </c>
      <c r="U50" s="25"/>
      <c r="V50" s="26">
        <f t="shared" ref="V50:V54" si="7">S50*3.16</f>
        <v>36469.150770689725</v>
      </c>
      <c r="W50" s="26">
        <f t="shared" ref="W50:W54" si="8">T50*3.16</f>
        <v>185194.26748867772</v>
      </c>
    </row>
    <row r="51" spans="2:23" x14ac:dyDescent="0.25">
      <c r="D51">
        <v>8659.8757447735898</v>
      </c>
      <c r="O51">
        <v>0.49623756779319589</v>
      </c>
      <c r="S51" s="26">
        <f t="shared" ref="S51:T51" si="9">S42*0.000453592</f>
        <v>10474.948792241528</v>
      </c>
      <c r="T51" s="26">
        <f t="shared" si="9"/>
        <v>70071.466296712126</v>
      </c>
      <c r="U51" s="25"/>
      <c r="V51" s="26">
        <f t="shared" si="7"/>
        <v>33100.838183483233</v>
      </c>
      <c r="W51" s="26">
        <f t="shared" si="8"/>
        <v>221425.83349761032</v>
      </c>
    </row>
    <row r="52" spans="2:23" x14ac:dyDescent="0.25">
      <c r="D52">
        <v>7626.3734160430404</v>
      </c>
      <c r="O52" s="25">
        <v>0.58224007511306808</v>
      </c>
      <c r="S52" s="26">
        <f t="shared" ref="S52:T52" si="10">S43*0.000453592</f>
        <v>15079.933912902776</v>
      </c>
      <c r="T52" s="26">
        <f t="shared" si="10"/>
        <v>82183.736227117144</v>
      </c>
      <c r="U52" s="25"/>
      <c r="V52" s="26">
        <f t="shared" si="7"/>
        <v>47652.591164772777</v>
      </c>
      <c r="W52" s="26">
        <f t="shared" si="8"/>
        <v>259700.60647769019</v>
      </c>
    </row>
    <row r="53" spans="2:23" x14ac:dyDescent="0.25">
      <c r="D53">
        <v>5679.3101547331999</v>
      </c>
      <c r="O53">
        <v>0.62995311633568807</v>
      </c>
      <c r="S53" s="26">
        <f t="shared" ref="S53:T53" si="11">S44*0.000453592</f>
        <v>26777.888726173675</v>
      </c>
      <c r="T53" s="26">
        <f t="shared" si="11"/>
        <v>97409.818172052474</v>
      </c>
      <c r="U53" s="25"/>
      <c r="V53" s="26">
        <f t="shared" si="7"/>
        <v>84618.128374708816</v>
      </c>
      <c r="W53" s="26">
        <f t="shared" si="8"/>
        <v>307815.02542368585</v>
      </c>
    </row>
    <row r="54" spans="2:23" x14ac:dyDescent="0.25">
      <c r="D54">
        <v>6704.4421894425705</v>
      </c>
      <c r="O54" s="25">
        <v>0.6921847327502676</v>
      </c>
      <c r="S54" s="27">
        <f>S45*0.000453592</f>
        <v>29400.866252175027</v>
      </c>
      <c r="T54" s="27">
        <f>T45*0.000453592</f>
        <v>98140.634758080007</v>
      </c>
      <c r="U54" s="25"/>
      <c r="V54" s="26">
        <f t="shared" si="7"/>
        <v>92906.737356873084</v>
      </c>
      <c r="W54" s="26">
        <f t="shared" si="8"/>
        <v>310124.40583553282</v>
      </c>
    </row>
    <row r="55" spans="2:23" x14ac:dyDescent="0.25">
      <c r="O55">
        <v>0.75143669334918495</v>
      </c>
    </row>
    <row r="56" spans="2:23" x14ac:dyDescent="0.25">
      <c r="O56" s="25">
        <v>0.79166530285369618</v>
      </c>
    </row>
    <row r="57" spans="2:23" x14ac:dyDescent="0.25">
      <c r="O57">
        <v>0.85092191537137252</v>
      </c>
    </row>
    <row r="58" spans="2:23" x14ac:dyDescent="0.25">
      <c r="O58" s="25">
        <v>0.89383089355697476</v>
      </c>
      <c r="Q58" t="s">
        <v>116</v>
      </c>
      <c r="R58" t="s">
        <v>128</v>
      </c>
      <c r="S58" t="s">
        <v>120</v>
      </c>
    </row>
    <row r="59" spans="2:23" x14ac:dyDescent="0.25">
      <c r="O59">
        <v>1</v>
      </c>
      <c r="Q59">
        <v>623</v>
      </c>
      <c r="R59">
        <v>205</v>
      </c>
      <c r="S59" s="28">
        <f>$Q$59*S49</f>
        <v>4145829.6216984401</v>
      </c>
      <c r="T59" s="28">
        <f>$Q$59*T49</f>
        <v>29456889.303070094</v>
      </c>
      <c r="U59" s="29">
        <f>T59/O40</f>
        <v>3272987.7003411218</v>
      </c>
    </row>
    <row r="60" spans="2:23" x14ac:dyDescent="0.25">
      <c r="R60">
        <v>245</v>
      </c>
      <c r="S60" s="28">
        <f t="shared" ref="S60:T60" si="12">$Q$59*S50</f>
        <v>7189962.3196644606</v>
      </c>
      <c r="T60" s="28">
        <f t="shared" si="12"/>
        <v>36511401.470077917</v>
      </c>
      <c r="U60" s="29">
        <f t="shared" ref="U60:U64" si="13">T60/O41</f>
        <v>5215914.4957254166</v>
      </c>
    </row>
    <row r="61" spans="2:23" x14ac:dyDescent="0.25">
      <c r="R61">
        <v>285</v>
      </c>
      <c r="S61" s="28">
        <f t="shared" ref="S61:T61" si="14">$Q$59*S51</f>
        <v>6525893.0975664724</v>
      </c>
      <c r="T61" s="28">
        <f t="shared" si="14"/>
        <v>43654523.502851658</v>
      </c>
      <c r="U61" s="29">
        <f t="shared" si="13"/>
        <v>5456815.4378564572</v>
      </c>
    </row>
    <row r="62" spans="2:23" x14ac:dyDescent="0.25">
      <c r="B62" s="10" t="s">
        <v>89</v>
      </c>
      <c r="C62" s="10" t="s">
        <v>62</v>
      </c>
      <c r="D62" s="10" t="s">
        <v>85</v>
      </c>
      <c r="E62" s="10" t="s">
        <v>63</v>
      </c>
      <c r="F62" s="10" t="s">
        <v>64</v>
      </c>
      <c r="G62" s="10" t="s">
        <v>65</v>
      </c>
      <c r="H62" s="10" t="s">
        <v>76</v>
      </c>
      <c r="R62">
        <v>330</v>
      </c>
      <c r="S62" s="28">
        <f t="shared" ref="S62:T62" si="15">$Q$59*S52</f>
        <v>9394798.8277384285</v>
      </c>
      <c r="T62" s="28">
        <f t="shared" si="15"/>
        <v>51200467.669493981</v>
      </c>
      <c r="U62" s="29">
        <f t="shared" si="13"/>
        <v>6400058.4586867476</v>
      </c>
    </row>
    <row r="63" spans="2:23" ht="30" x14ac:dyDescent="0.25">
      <c r="B63" s="11" t="s">
        <v>102</v>
      </c>
      <c r="C63" s="12">
        <v>16483.6573192428</v>
      </c>
      <c r="D63" s="12">
        <v>49567.949195400499</v>
      </c>
      <c r="E63" s="12">
        <v>66571.106809195</v>
      </c>
      <c r="F63" s="12">
        <v>73953.269063105006</v>
      </c>
      <c r="G63" s="12">
        <v>174030.07704042</v>
      </c>
      <c r="H63" s="12">
        <v>208126.343240847</v>
      </c>
      <c r="R63">
        <v>415</v>
      </c>
      <c r="S63" s="28">
        <f t="shared" ref="S63" si="16">$Q$59*S53</f>
        <v>16682624.676406199</v>
      </c>
      <c r="T63" s="28">
        <f>$Q$59*T53</f>
        <v>60686316.721188694</v>
      </c>
      <c r="U63" s="29">
        <f t="shared" si="13"/>
        <v>8669473.8173126709</v>
      </c>
    </row>
    <row r="64" spans="2:23" ht="30" x14ac:dyDescent="0.25">
      <c r="B64" s="11" t="s">
        <v>103</v>
      </c>
      <c r="C64" s="13">
        <v>13015.1117164688</v>
      </c>
      <c r="D64" s="13">
        <v>40094.769312814198</v>
      </c>
      <c r="E64" s="13">
        <v>56848.535404726899</v>
      </c>
      <c r="F64" s="13">
        <v>70898.920355642796</v>
      </c>
      <c r="G64" s="13">
        <v>163244.55683644101</v>
      </c>
      <c r="H64" s="13">
        <v>178635.544265087</v>
      </c>
      <c r="R64">
        <v>9000</v>
      </c>
      <c r="S64" s="28">
        <f>$Q$59*S54</f>
        <v>18316739.675105043</v>
      </c>
      <c r="T64" s="28">
        <f>$Q$59*T54</f>
        <v>61141615.454283841</v>
      </c>
      <c r="U64" s="29">
        <f t="shared" si="13"/>
        <v>5558328.6776621677</v>
      </c>
    </row>
    <row r="65" spans="2:21" ht="45" x14ac:dyDescent="0.25">
      <c r="B65" s="11" t="s">
        <v>104</v>
      </c>
      <c r="C65" s="1">
        <v>4197.3557559512801</v>
      </c>
      <c r="D65" s="1">
        <v>9836.6702271325503</v>
      </c>
      <c r="E65" s="1">
        <v>10661.1769047119</v>
      </c>
      <c r="F65" s="1">
        <v>9120.5132736335108</v>
      </c>
      <c r="G65" s="1">
        <v>6800.93108226816</v>
      </c>
      <c r="H65" s="1">
        <v>8250.4591178541395</v>
      </c>
    </row>
    <row r="66" spans="2:21" ht="45" x14ac:dyDescent="0.25">
      <c r="B66" s="11" t="s">
        <v>105</v>
      </c>
      <c r="C66" s="1">
        <v>3433.5367253872801</v>
      </c>
      <c r="D66" s="1">
        <v>7762.5681368340402</v>
      </c>
      <c r="E66" s="1">
        <v>8660.3530317230707</v>
      </c>
      <c r="F66" s="1">
        <v>7626.3734160430404</v>
      </c>
      <c r="G66" s="1">
        <v>5679.3101547331999</v>
      </c>
      <c r="H66" s="1">
        <v>6704.7894194789897</v>
      </c>
    </row>
    <row r="67" spans="2:21" ht="30" x14ac:dyDescent="0.25">
      <c r="B67" s="20" t="s">
        <v>88</v>
      </c>
      <c r="C67" s="21" t="s">
        <v>69</v>
      </c>
      <c r="D67" s="21">
        <v>4700</v>
      </c>
      <c r="E67" s="21">
        <v>9700</v>
      </c>
      <c r="F67" s="21">
        <v>7000</v>
      </c>
      <c r="G67" s="21" t="s">
        <v>69</v>
      </c>
      <c r="H67" s="22">
        <v>7280</v>
      </c>
    </row>
    <row r="71" spans="2:21" ht="45" x14ac:dyDescent="0.25">
      <c r="M71" s="6" t="s">
        <v>100</v>
      </c>
      <c r="N71" s="6" t="s">
        <v>93</v>
      </c>
      <c r="O71" t="s">
        <v>107</v>
      </c>
      <c r="P71" t="s">
        <v>108</v>
      </c>
      <c r="Q71" s="6" t="s">
        <v>111</v>
      </c>
      <c r="R71" s="6" t="s">
        <v>112</v>
      </c>
      <c r="T71" t="s">
        <v>114</v>
      </c>
      <c r="U71" t="s">
        <v>115</v>
      </c>
    </row>
    <row r="72" spans="2:21" x14ac:dyDescent="0.25">
      <c r="M72">
        <v>1</v>
      </c>
      <c r="N72">
        <v>205</v>
      </c>
      <c r="O72">
        <v>5</v>
      </c>
      <c r="P72">
        <v>9</v>
      </c>
      <c r="Q72" s="1">
        <v>10789.264264597381</v>
      </c>
      <c r="R72" s="1">
        <v>76659.726063130656</v>
      </c>
      <c r="S72">
        <v>0.50757247676690997</v>
      </c>
      <c r="T72" s="23">
        <f>365*$R72*Q72*8</f>
        <v>2415137965404.5391</v>
      </c>
      <c r="U72" s="23">
        <f>365*$R72*R72*8</f>
        <v>17160003712216.762</v>
      </c>
    </row>
    <row r="73" spans="2:21" x14ac:dyDescent="0.25">
      <c r="M73">
        <v>2</v>
      </c>
      <c r="N73">
        <v>245</v>
      </c>
      <c r="O73">
        <v>5</v>
      </c>
      <c r="P73">
        <v>7</v>
      </c>
      <c r="Q73" s="1">
        <v>14965.396775149591</v>
      </c>
      <c r="R73" s="1">
        <v>75995.893375140207</v>
      </c>
      <c r="S73">
        <v>0.61579012650993803</v>
      </c>
      <c r="T73" s="23">
        <f t="shared" ref="T73:T77" si="17">365*$R73*Q73*8</f>
        <v>3320941397111.5313</v>
      </c>
      <c r="U73" s="23">
        <f t="shared" ref="U73:U76" si="18">365*$R73*R73*8</f>
        <v>16864097364866.184</v>
      </c>
    </row>
    <row r="74" spans="2:21" x14ac:dyDescent="0.25">
      <c r="M74">
        <v>3</v>
      </c>
      <c r="N74">
        <v>285</v>
      </c>
      <c r="O74">
        <v>5</v>
      </c>
      <c r="P74">
        <v>8</v>
      </c>
      <c r="Q74" s="1">
        <v>11425.669430064159</v>
      </c>
      <c r="R74" s="1">
        <v>76431.248139284886</v>
      </c>
      <c r="S74">
        <v>0.72384485625389305</v>
      </c>
      <c r="T74" s="23">
        <f t="shared" si="17"/>
        <v>2549972272070.6924</v>
      </c>
      <c r="U74" s="23">
        <f t="shared" si="18"/>
        <v>17057868221016.504</v>
      </c>
    </row>
    <row r="75" spans="2:21" x14ac:dyDescent="0.25">
      <c r="M75">
        <v>4</v>
      </c>
      <c r="N75">
        <v>330</v>
      </c>
      <c r="O75">
        <v>5</v>
      </c>
      <c r="P75">
        <v>8</v>
      </c>
      <c r="Q75" s="1">
        <v>14381.67894670088</v>
      </c>
      <c r="R75" s="1">
        <v>78378.334804733517</v>
      </c>
      <c r="S75">
        <v>0.82162834083629399</v>
      </c>
      <c r="T75" s="23">
        <f t="shared" si="17"/>
        <v>3291459178813.0298</v>
      </c>
      <c r="U75" s="23">
        <f t="shared" si="18"/>
        <v>17938037030947.672</v>
      </c>
    </row>
    <row r="76" spans="2:21" x14ac:dyDescent="0.25">
      <c r="M76">
        <v>5</v>
      </c>
      <c r="N76">
        <v>415</v>
      </c>
      <c r="O76">
        <v>5</v>
      </c>
      <c r="P76">
        <v>7</v>
      </c>
      <c r="Q76" s="1">
        <v>22618.965264605707</v>
      </c>
      <c r="R76" s="1">
        <v>82280.919014784711</v>
      </c>
      <c r="S76">
        <v>1</v>
      </c>
      <c r="T76" s="23">
        <f t="shared" si="17"/>
        <v>5434439007474.9316</v>
      </c>
      <c r="U76" s="23">
        <f t="shared" si="18"/>
        <v>19768836931039.277</v>
      </c>
    </row>
    <row r="77" spans="2:21" x14ac:dyDescent="0.25">
      <c r="M77">
        <v>6</v>
      </c>
      <c r="N77">
        <v>9000</v>
      </c>
      <c r="O77">
        <v>5</v>
      </c>
      <c r="P77">
        <v>11</v>
      </c>
      <c r="Q77" s="1">
        <v>22197.899902089779</v>
      </c>
      <c r="R77" s="23">
        <v>74097</v>
      </c>
      <c r="S77">
        <v>1</v>
      </c>
      <c r="T77">
        <f t="shared" si="17"/>
        <v>4802809544011.8271</v>
      </c>
      <c r="U77">
        <f>365*$R77*R77*8</f>
        <v>16031866994280</v>
      </c>
    </row>
  </sheetData>
  <mergeCells count="1">
    <mergeCell ref="B26:C2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309CF-B949-4E60-8CA7-53B5D5E7CBD8}">
  <dimension ref="B3:D26"/>
  <sheetViews>
    <sheetView zoomScale="70" zoomScaleNormal="70" workbookViewId="0">
      <selection activeCell="H23" sqref="H23"/>
    </sheetView>
  </sheetViews>
  <sheetFormatPr defaultRowHeight="15" x14ac:dyDescent="0.25"/>
  <sheetData>
    <row r="3" spans="2:4" x14ac:dyDescent="0.25">
      <c r="B3">
        <v>1</v>
      </c>
      <c r="D3" s="8">
        <v>1</v>
      </c>
    </row>
    <row r="4" spans="2:4" x14ac:dyDescent="0.25">
      <c r="B4">
        <v>2</v>
      </c>
      <c r="C4">
        <v>0.1</v>
      </c>
      <c r="D4" s="8">
        <f>D3*(C4+1)</f>
        <v>1.1000000000000001</v>
      </c>
    </row>
    <row r="5" spans="2:4" x14ac:dyDescent="0.25">
      <c r="B5">
        <v>3</v>
      </c>
      <c r="C5">
        <v>0.1</v>
      </c>
      <c r="D5" s="8">
        <f t="shared" ref="D5:D19" si="0">D4*(C5+1)</f>
        <v>1.2100000000000002</v>
      </c>
    </row>
    <row r="6" spans="2:4" x14ac:dyDescent="0.25">
      <c r="B6">
        <v>4</v>
      </c>
      <c r="C6">
        <v>0.1</v>
      </c>
      <c r="D6" s="8">
        <f t="shared" si="0"/>
        <v>1.3310000000000004</v>
      </c>
    </row>
    <row r="7" spans="2:4" x14ac:dyDescent="0.25">
      <c r="B7">
        <v>5</v>
      </c>
      <c r="C7">
        <v>0.1</v>
      </c>
      <c r="D7" s="8">
        <f t="shared" si="0"/>
        <v>1.4641000000000006</v>
      </c>
    </row>
    <row r="8" spans="2:4" x14ac:dyDescent="0.25">
      <c r="B8">
        <v>6</v>
      </c>
      <c r="C8">
        <v>0.1</v>
      </c>
      <c r="D8" s="8">
        <f t="shared" si="0"/>
        <v>1.6105100000000008</v>
      </c>
    </row>
    <row r="9" spans="2:4" x14ac:dyDescent="0.25">
      <c r="B9">
        <v>7</v>
      </c>
      <c r="C9">
        <v>0.1</v>
      </c>
      <c r="D9" s="8">
        <f t="shared" si="0"/>
        <v>1.7715610000000011</v>
      </c>
    </row>
    <row r="10" spans="2:4" x14ac:dyDescent="0.25">
      <c r="B10">
        <v>8</v>
      </c>
      <c r="C10">
        <v>0.1</v>
      </c>
      <c r="D10" s="8">
        <f t="shared" si="0"/>
        <v>1.9487171000000014</v>
      </c>
    </row>
    <row r="11" spans="2:4" x14ac:dyDescent="0.25">
      <c r="B11">
        <v>9</v>
      </c>
      <c r="C11">
        <v>0.1</v>
      </c>
      <c r="D11" s="8">
        <f t="shared" si="0"/>
        <v>2.1435888100000016</v>
      </c>
    </row>
    <row r="12" spans="2:4" x14ac:dyDescent="0.25">
      <c r="B12">
        <v>10</v>
      </c>
      <c r="C12">
        <v>0.1</v>
      </c>
      <c r="D12" s="8">
        <f t="shared" si="0"/>
        <v>2.3579476910000019</v>
      </c>
    </row>
    <row r="13" spans="2:4" x14ac:dyDescent="0.25">
      <c r="B13">
        <v>11</v>
      </c>
      <c r="C13">
        <v>0.1</v>
      </c>
      <c r="D13" s="8">
        <f t="shared" si="0"/>
        <v>2.5937424601000023</v>
      </c>
    </row>
    <row r="14" spans="2:4" x14ac:dyDescent="0.25">
      <c r="B14">
        <v>12</v>
      </c>
      <c r="C14">
        <v>0.1</v>
      </c>
      <c r="D14" s="8">
        <f t="shared" si="0"/>
        <v>2.8531167061100029</v>
      </c>
    </row>
    <row r="15" spans="2:4" x14ac:dyDescent="0.25">
      <c r="B15">
        <v>13</v>
      </c>
      <c r="C15">
        <v>0.1</v>
      </c>
      <c r="D15" s="8">
        <f t="shared" si="0"/>
        <v>3.1384283767210035</v>
      </c>
    </row>
    <row r="16" spans="2:4" x14ac:dyDescent="0.25">
      <c r="B16">
        <v>14</v>
      </c>
      <c r="C16">
        <v>0.1</v>
      </c>
      <c r="D16" s="8">
        <f t="shared" si="0"/>
        <v>3.4522712143931042</v>
      </c>
    </row>
    <row r="17" spans="2:4" x14ac:dyDescent="0.25">
      <c r="B17">
        <v>15</v>
      </c>
      <c r="C17">
        <v>0.1</v>
      </c>
      <c r="D17" s="8">
        <f t="shared" si="0"/>
        <v>3.7974983358324148</v>
      </c>
    </row>
    <row r="18" spans="2:4" x14ac:dyDescent="0.25">
      <c r="B18">
        <v>16</v>
      </c>
      <c r="C18">
        <v>0.1</v>
      </c>
      <c r="D18" s="8">
        <f t="shared" si="0"/>
        <v>4.1772481694156562</v>
      </c>
    </row>
    <row r="19" spans="2:4" x14ac:dyDescent="0.25">
      <c r="B19">
        <v>17</v>
      </c>
      <c r="C19">
        <v>0.1</v>
      </c>
      <c r="D19" s="8">
        <f t="shared" si="0"/>
        <v>4.594972986357222</v>
      </c>
    </row>
    <row r="20" spans="2:4" x14ac:dyDescent="0.25">
      <c r="B20">
        <v>18</v>
      </c>
      <c r="C20">
        <v>0.1</v>
      </c>
      <c r="D20" s="8">
        <f>D19*(C20+1)</f>
        <v>5.0544702849929442</v>
      </c>
    </row>
    <row r="21" spans="2:4" x14ac:dyDescent="0.25">
      <c r="B21">
        <v>19</v>
      </c>
      <c r="C21">
        <v>0.1</v>
      </c>
      <c r="D21" s="8">
        <f t="shared" ref="D21:D26" si="1">D20*(C21+1)</f>
        <v>5.5599173134922388</v>
      </c>
    </row>
    <row r="22" spans="2:4" x14ac:dyDescent="0.25">
      <c r="B22">
        <v>20</v>
      </c>
      <c r="C22">
        <v>0.1</v>
      </c>
      <c r="D22" s="8">
        <f t="shared" si="1"/>
        <v>6.1159090448414632</v>
      </c>
    </row>
    <row r="23" spans="2:4" x14ac:dyDescent="0.25">
      <c r="B23">
        <v>21</v>
      </c>
      <c r="C23">
        <v>0.1</v>
      </c>
      <c r="D23" s="8">
        <f t="shared" si="1"/>
        <v>6.72749994932561</v>
      </c>
    </row>
    <row r="24" spans="2:4" x14ac:dyDescent="0.25">
      <c r="B24">
        <v>22</v>
      </c>
      <c r="C24">
        <v>0.1</v>
      </c>
      <c r="D24" s="8">
        <f t="shared" si="1"/>
        <v>7.4002499442581717</v>
      </c>
    </row>
    <row r="25" spans="2:4" x14ac:dyDescent="0.25">
      <c r="B25">
        <v>23</v>
      </c>
      <c r="C25">
        <v>0.1</v>
      </c>
      <c r="D25" s="8">
        <f t="shared" si="1"/>
        <v>8.140274938683989</v>
      </c>
    </row>
    <row r="26" spans="2:4" x14ac:dyDescent="0.25">
      <c r="B26">
        <v>24</v>
      </c>
      <c r="C26">
        <v>0.1</v>
      </c>
      <c r="D26" s="8">
        <f t="shared" si="1"/>
        <v>8.9543024325523888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B010-FE49-43A6-94AC-7C86BD67F247}">
  <dimension ref="B8:S43"/>
  <sheetViews>
    <sheetView topLeftCell="H4" zoomScale="130" zoomScaleNormal="130" workbookViewId="0">
      <selection activeCell="K12" sqref="K12"/>
    </sheetView>
  </sheetViews>
  <sheetFormatPr defaultRowHeight="15" x14ac:dyDescent="0.25"/>
  <cols>
    <col min="2" max="19" width="21.85546875" customWidth="1"/>
  </cols>
  <sheetData>
    <row r="8" spans="2:19" ht="15.75" thickBot="1" x14ac:dyDescent="0.3"/>
    <row r="9" spans="2:19" ht="27" customHeight="1" thickBot="1" x14ac:dyDescent="0.3">
      <c r="B9" s="6" t="s">
        <v>100</v>
      </c>
      <c r="C9" s="6" t="s">
        <v>90</v>
      </c>
      <c r="D9" s="6" t="s">
        <v>91</v>
      </c>
      <c r="E9" s="6" t="s">
        <v>92</v>
      </c>
      <c r="F9" s="6" t="s">
        <v>93</v>
      </c>
      <c r="G9" s="6" t="s">
        <v>95</v>
      </c>
      <c r="H9" s="6" t="s">
        <v>96</v>
      </c>
      <c r="I9" s="6" t="s">
        <v>97</v>
      </c>
      <c r="J9" s="6" t="s">
        <v>98</v>
      </c>
      <c r="K9" s="6" t="s">
        <v>99</v>
      </c>
      <c r="L9" s="6" t="s">
        <v>106</v>
      </c>
      <c r="M9" s="48" t="s">
        <v>161</v>
      </c>
      <c r="N9" s="6" t="s">
        <v>107</v>
      </c>
      <c r="O9" s="6" t="s">
        <v>108</v>
      </c>
      <c r="P9" s="6" t="s">
        <v>109</v>
      </c>
      <c r="Q9" s="6" t="s">
        <v>110</v>
      </c>
      <c r="R9" s="6" t="s">
        <v>109</v>
      </c>
      <c r="S9" s="6" t="s">
        <v>110</v>
      </c>
    </row>
    <row r="10" spans="2:19" ht="15.75" thickBot="1" x14ac:dyDescent="0.3">
      <c r="B10">
        <v>1</v>
      </c>
      <c r="C10">
        <v>500</v>
      </c>
      <c r="D10">
        <v>1000</v>
      </c>
      <c r="E10">
        <v>9000</v>
      </c>
      <c r="F10" s="60">
        <v>205</v>
      </c>
      <c r="G10" s="61">
        <v>127.49263253538</v>
      </c>
      <c r="H10" s="61">
        <v>0.35</v>
      </c>
      <c r="I10" s="61">
        <v>5.5000998294272101</v>
      </c>
      <c r="J10" s="61">
        <v>24.024199973159099</v>
      </c>
      <c r="K10" s="61">
        <v>145262.987709045</v>
      </c>
      <c r="L10" s="62">
        <v>32764</v>
      </c>
      <c r="M10" s="63">
        <v>43592</v>
      </c>
      <c r="P10" s="1"/>
      <c r="Q10" s="1"/>
      <c r="R10" s="23"/>
      <c r="S10" s="23"/>
    </row>
    <row r="11" spans="2:19" ht="15.75" thickBot="1" x14ac:dyDescent="0.3">
      <c r="B11">
        <v>2</v>
      </c>
      <c r="C11">
        <v>500</v>
      </c>
      <c r="D11">
        <v>1000</v>
      </c>
      <c r="E11">
        <v>9000</v>
      </c>
      <c r="F11" s="60">
        <v>245</v>
      </c>
      <c r="G11" s="61">
        <v>131.00302467751601</v>
      </c>
      <c r="H11" s="61">
        <v>0.35</v>
      </c>
      <c r="I11" s="61">
        <v>6.1387133315494697</v>
      </c>
      <c r="J11" s="61">
        <v>5.9279759132419603</v>
      </c>
      <c r="K11" s="61">
        <v>145001.44756549699</v>
      </c>
      <c r="L11" s="62">
        <v>34282</v>
      </c>
      <c r="M11" s="64">
        <v>44471</v>
      </c>
      <c r="P11" s="1"/>
      <c r="Q11" s="1"/>
      <c r="R11" s="23"/>
      <c r="S11" s="23"/>
    </row>
    <row r="12" spans="2:19" ht="15.75" thickBot="1" x14ac:dyDescent="0.3">
      <c r="B12">
        <v>3</v>
      </c>
      <c r="C12">
        <v>500</v>
      </c>
      <c r="D12">
        <v>1000</v>
      </c>
      <c r="E12">
        <v>9000</v>
      </c>
      <c r="F12" s="60">
        <v>285</v>
      </c>
      <c r="G12" s="61">
        <v>125.80348459963599</v>
      </c>
      <c r="H12" s="61">
        <v>0.35</v>
      </c>
      <c r="I12" s="61">
        <v>5.5903128729072602</v>
      </c>
      <c r="J12" s="61">
        <v>1.7587565831894301</v>
      </c>
      <c r="K12" s="61">
        <v>150292.16298521301</v>
      </c>
      <c r="L12" s="62">
        <v>35739.847086685397</v>
      </c>
      <c r="M12" s="64">
        <v>46440</v>
      </c>
      <c r="P12" s="1"/>
      <c r="Q12" s="1"/>
      <c r="R12" s="23"/>
      <c r="S12" s="23"/>
    </row>
    <row r="13" spans="2:19" ht="15.75" thickBot="1" x14ac:dyDescent="0.3">
      <c r="B13">
        <v>4</v>
      </c>
      <c r="C13">
        <v>500</v>
      </c>
      <c r="D13">
        <v>1000</v>
      </c>
      <c r="E13">
        <v>9000</v>
      </c>
      <c r="F13" s="60">
        <v>330</v>
      </c>
      <c r="G13" s="61">
        <v>131.99201568219399</v>
      </c>
      <c r="H13" s="61">
        <v>0.35</v>
      </c>
      <c r="I13" s="61">
        <v>5.9415409860540498</v>
      </c>
      <c r="J13" s="61">
        <v>24.843830762343</v>
      </c>
      <c r="K13" s="61">
        <v>159057.31509379399</v>
      </c>
      <c r="L13" s="62">
        <v>38830.419770181397</v>
      </c>
      <c r="M13" s="64">
        <v>49748</v>
      </c>
      <c r="P13" s="1"/>
      <c r="Q13" s="1"/>
      <c r="R13" s="23"/>
      <c r="S13" s="23"/>
    </row>
    <row r="14" spans="2:19" ht="15.75" thickBot="1" x14ac:dyDescent="0.3">
      <c r="B14">
        <v>5</v>
      </c>
      <c r="C14">
        <v>500</v>
      </c>
      <c r="D14">
        <v>1000</v>
      </c>
      <c r="E14">
        <v>9000</v>
      </c>
      <c r="F14" s="60">
        <v>415</v>
      </c>
      <c r="G14" s="61">
        <v>129.29386415250201</v>
      </c>
      <c r="H14" s="61">
        <v>0.34988047970679598</v>
      </c>
      <c r="I14" s="61">
        <v>5.5550251737406304</v>
      </c>
      <c r="J14" s="61">
        <v>23.581627538637399</v>
      </c>
      <c r="K14" s="61">
        <v>172801.52310771999</v>
      </c>
      <c r="L14" s="62">
        <v>43402</v>
      </c>
      <c r="M14" s="64">
        <v>55284</v>
      </c>
      <c r="P14" s="1"/>
      <c r="Q14" s="1"/>
      <c r="R14" s="23"/>
      <c r="S14" s="23"/>
    </row>
    <row r="15" spans="2:19" ht="15.75" thickBot="1" x14ac:dyDescent="0.3">
      <c r="B15">
        <v>6</v>
      </c>
      <c r="C15">
        <v>500</v>
      </c>
      <c r="D15">
        <v>1000</v>
      </c>
      <c r="E15">
        <v>9000</v>
      </c>
      <c r="F15" s="60">
        <v>9000</v>
      </c>
      <c r="G15" s="61">
        <v>106.52149830043901</v>
      </c>
      <c r="H15" s="61">
        <v>0.35</v>
      </c>
      <c r="I15" s="61">
        <v>10.1</v>
      </c>
      <c r="J15" s="61">
        <v>8.6795932936797104E-2</v>
      </c>
      <c r="K15" s="61">
        <v>209078.25688241</v>
      </c>
      <c r="L15" s="62">
        <v>69407</v>
      </c>
      <c r="M15" s="64">
        <v>78180</v>
      </c>
      <c r="P15" s="1"/>
      <c r="Q15" s="1"/>
      <c r="R15" s="23"/>
      <c r="S15" s="23"/>
    </row>
    <row r="22" spans="3:8" x14ac:dyDescent="0.25">
      <c r="C22">
        <v>114.171376028688</v>
      </c>
      <c r="H22" s="30"/>
    </row>
    <row r="25" spans="3:8" x14ac:dyDescent="0.25">
      <c r="C25">
        <v>94.484887186666299</v>
      </c>
      <c r="H25" s="9"/>
    </row>
    <row r="36" spans="2:12" x14ac:dyDescent="0.25">
      <c r="B36" t="s">
        <v>129</v>
      </c>
      <c r="C36">
        <v>20</v>
      </c>
      <c r="D36" t="s">
        <v>130</v>
      </c>
    </row>
    <row r="37" spans="2:12" ht="30" x14ac:dyDescent="0.25">
      <c r="B37" s="6" t="s">
        <v>100</v>
      </c>
      <c r="C37" s="6" t="s">
        <v>90</v>
      </c>
      <c r="D37" s="6" t="s">
        <v>91</v>
      </c>
      <c r="E37" s="6" t="s">
        <v>92</v>
      </c>
      <c r="F37" s="6" t="s">
        <v>93</v>
      </c>
      <c r="G37" s="6" t="s">
        <v>95</v>
      </c>
      <c r="H37" s="6" t="s">
        <v>96</v>
      </c>
      <c r="I37" s="6" t="s">
        <v>97</v>
      </c>
      <c r="J37" s="6" t="s">
        <v>98</v>
      </c>
      <c r="K37" s="6" t="s">
        <v>99</v>
      </c>
      <c r="L37" s="6" t="s">
        <v>106</v>
      </c>
    </row>
    <row r="38" spans="2:12" x14ac:dyDescent="0.25">
      <c r="B38">
        <v>1</v>
      </c>
      <c r="C38">
        <v>500</v>
      </c>
      <c r="D38">
        <v>1000</v>
      </c>
      <c r="E38">
        <v>9000</v>
      </c>
      <c r="F38">
        <v>205</v>
      </c>
      <c r="G38" s="8">
        <v>121.970431503181</v>
      </c>
      <c r="H38" s="7">
        <v>0.34999731580911803</v>
      </c>
      <c r="I38" s="8">
        <v>8.9275275374121108</v>
      </c>
      <c r="J38" s="8">
        <v>12.831238496676299</v>
      </c>
      <c r="K38" s="1">
        <v>104289.285690523</v>
      </c>
      <c r="L38" s="8">
        <v>26940</v>
      </c>
    </row>
    <row r="39" spans="2:12" x14ac:dyDescent="0.25">
      <c r="B39">
        <v>2</v>
      </c>
      <c r="C39">
        <v>500</v>
      </c>
      <c r="D39">
        <v>1000</v>
      </c>
      <c r="E39">
        <v>9000</v>
      </c>
      <c r="F39">
        <v>245</v>
      </c>
      <c r="G39" s="8">
        <v>122.373677533061</v>
      </c>
      <c r="H39" s="7">
        <v>0.35000106838642903</v>
      </c>
      <c r="I39" s="8">
        <v>9.4623693543378007</v>
      </c>
      <c r="J39" s="8">
        <v>4.4400615126466301</v>
      </c>
      <c r="K39" s="1">
        <v>103774.31979691199</v>
      </c>
      <c r="L39" s="8">
        <v>27406</v>
      </c>
    </row>
    <row r="40" spans="2:12" x14ac:dyDescent="0.25">
      <c r="B40">
        <v>3</v>
      </c>
      <c r="C40">
        <v>500</v>
      </c>
      <c r="D40">
        <v>1000</v>
      </c>
      <c r="E40">
        <v>9000</v>
      </c>
      <c r="F40">
        <v>285</v>
      </c>
      <c r="G40" s="8">
        <v>131.55443986097299</v>
      </c>
      <c r="H40" s="7">
        <v>0.35000108539304298</v>
      </c>
      <c r="I40" s="8">
        <v>10.100000989088301</v>
      </c>
      <c r="J40" s="8">
        <v>8.2670516497566808</v>
      </c>
      <c r="K40" s="1">
        <v>108800.288124118</v>
      </c>
      <c r="L40" s="8">
        <v>28677</v>
      </c>
    </row>
    <row r="41" spans="2:12" x14ac:dyDescent="0.25">
      <c r="B41">
        <v>4</v>
      </c>
      <c r="C41">
        <v>500</v>
      </c>
      <c r="D41">
        <v>1000</v>
      </c>
      <c r="E41">
        <v>9000</v>
      </c>
      <c r="F41">
        <v>330</v>
      </c>
      <c r="G41" s="8">
        <v>131.10856723159699</v>
      </c>
      <c r="H41" s="7">
        <v>0.35000193523939999</v>
      </c>
      <c r="I41" s="8">
        <v>8.4992642368641196</v>
      </c>
      <c r="J41" s="8">
        <v>8.5365554534727606E-3</v>
      </c>
      <c r="K41" s="1">
        <v>126540.531814374</v>
      </c>
      <c r="L41" s="8">
        <v>33273</v>
      </c>
    </row>
    <row r="42" spans="2:12" x14ac:dyDescent="0.25">
      <c r="B42">
        <v>5</v>
      </c>
      <c r="C42">
        <v>500</v>
      </c>
      <c r="D42">
        <v>1000</v>
      </c>
      <c r="E42">
        <v>9000</v>
      </c>
      <c r="F42">
        <v>415</v>
      </c>
      <c r="G42" s="8">
        <v>131.10856723159699</v>
      </c>
      <c r="H42" s="7">
        <v>0.35000193523939999</v>
      </c>
      <c r="I42" s="8">
        <v>8.4992642368641196</v>
      </c>
      <c r="J42" s="8">
        <v>8.5365554534727606E-3</v>
      </c>
      <c r="K42" s="1">
        <v>126540.531814374</v>
      </c>
      <c r="L42" s="8">
        <v>33273</v>
      </c>
    </row>
    <row r="43" spans="2:12" x14ac:dyDescent="0.25">
      <c r="B43">
        <v>6</v>
      </c>
      <c r="C43">
        <v>500</v>
      </c>
      <c r="D43">
        <v>1000</v>
      </c>
      <c r="E43">
        <v>9000</v>
      </c>
      <c r="F43">
        <v>9000</v>
      </c>
      <c r="G43" s="8">
        <v>96.415844349938894</v>
      </c>
      <c r="H43" s="7">
        <v>0.35000737679077998</v>
      </c>
      <c r="I43" s="8">
        <v>9.4599263413506005</v>
      </c>
      <c r="J43" s="8">
        <v>16.450757640702101</v>
      </c>
      <c r="K43" s="1">
        <v>182341.64911803699</v>
      </c>
      <c r="L43" s="8">
        <v>59371</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B5EFC-2026-42A8-877D-BEDF45AF425E}">
  <dimension ref="A6:I30"/>
  <sheetViews>
    <sheetView topLeftCell="F1" zoomScale="115" zoomScaleNormal="115" workbookViewId="0">
      <selection activeCell="I23" sqref="I23"/>
    </sheetView>
  </sheetViews>
  <sheetFormatPr defaultRowHeight="15" x14ac:dyDescent="0.25"/>
  <cols>
    <col min="1" max="1" width="14.28515625" customWidth="1"/>
    <col min="2" max="2" width="18.85546875" bestFit="1" customWidth="1"/>
    <col min="3" max="3" width="23.28515625" bestFit="1" customWidth="1"/>
    <col min="4" max="4" width="16.5703125" bestFit="1" customWidth="1"/>
    <col min="5" max="5" width="35.7109375" customWidth="1"/>
    <col min="6" max="6" width="22.140625" bestFit="1" customWidth="1"/>
    <col min="7" max="7" width="20.42578125" bestFit="1" customWidth="1"/>
    <col min="8" max="8" width="20.7109375" customWidth="1"/>
    <col min="9" max="9" width="23.140625" bestFit="1" customWidth="1"/>
  </cols>
  <sheetData>
    <row r="6" spans="1:8" ht="27.75" customHeight="1" x14ac:dyDescent="0.25">
      <c r="A6" s="31" t="s">
        <v>0</v>
      </c>
      <c r="B6" s="6" t="s">
        <v>95</v>
      </c>
      <c r="C6" s="6" t="s">
        <v>96</v>
      </c>
      <c r="D6" s="6" t="s">
        <v>97</v>
      </c>
      <c r="E6" s="6" t="s">
        <v>98</v>
      </c>
      <c r="F6" s="6" t="s">
        <v>99</v>
      </c>
      <c r="G6" s="6" t="s">
        <v>163</v>
      </c>
      <c r="H6" s="6" t="s">
        <v>164</v>
      </c>
    </row>
    <row r="7" spans="1:8" x14ac:dyDescent="0.25">
      <c r="A7">
        <v>205</v>
      </c>
      <c r="B7" s="32">
        <v>132</v>
      </c>
      <c r="C7" s="32">
        <v>0.35</v>
      </c>
      <c r="D7" s="32">
        <v>7.5978205647112498</v>
      </c>
      <c r="E7" s="32">
        <v>0</v>
      </c>
      <c r="F7" s="55">
        <v>124379.187033336</v>
      </c>
      <c r="G7" s="1">
        <v>28177.410656146199</v>
      </c>
      <c r="H7" s="1">
        <v>38604.133073176803</v>
      </c>
    </row>
    <row r="8" spans="1:8" x14ac:dyDescent="0.25">
      <c r="A8">
        <v>245</v>
      </c>
      <c r="B8" s="58">
        <v>132</v>
      </c>
      <c r="C8" s="58">
        <v>0.349999999857179</v>
      </c>
      <c r="D8" s="58">
        <v>7.5315866741593602</v>
      </c>
      <c r="E8" s="58">
        <v>7.4135839025440595E-4</v>
      </c>
      <c r="F8" s="57">
        <v>128209.150600077</v>
      </c>
      <c r="G8" s="1">
        <v>29514.0111087691</v>
      </c>
      <c r="H8" s="1">
        <v>40126.656265641803</v>
      </c>
    </row>
    <row r="9" spans="1:8" x14ac:dyDescent="0.25">
      <c r="A9">
        <v>285</v>
      </c>
      <c r="B9" s="58">
        <v>131.99999750822101</v>
      </c>
      <c r="C9" s="58">
        <v>0.349999998781092</v>
      </c>
      <c r="D9" s="58">
        <v>7.1832114921047099</v>
      </c>
      <c r="E9" s="58">
        <v>9.69338628374082E-5</v>
      </c>
      <c r="F9" s="57">
        <v>134309.82533346501</v>
      </c>
      <c r="G9" s="59">
        <v>30919.397087125599</v>
      </c>
      <c r="H9" s="1">
        <v>42112.563285090997</v>
      </c>
    </row>
    <row r="10" spans="1:8" x14ac:dyDescent="0.25">
      <c r="A10">
        <v>330</v>
      </c>
      <c r="B10" s="32">
        <v>131.99999956758799</v>
      </c>
      <c r="C10" s="32">
        <v>0.35</v>
      </c>
      <c r="D10" s="32">
        <v>6.6707154495746099</v>
      </c>
      <c r="E10" s="32">
        <v>4.0956269663768403E-3</v>
      </c>
      <c r="F10" s="31">
        <v>142826.39988135599</v>
      </c>
      <c r="G10" s="1">
        <v>32601.9855367122</v>
      </c>
      <c r="H10" s="1">
        <v>44719.721693849002</v>
      </c>
    </row>
    <row r="11" spans="1:8" x14ac:dyDescent="0.25">
      <c r="A11">
        <v>415</v>
      </c>
      <c r="B11" s="32">
        <v>131.999999788758</v>
      </c>
      <c r="C11" s="32">
        <v>0.35</v>
      </c>
      <c r="D11" s="32">
        <v>6.0124123144260597</v>
      </c>
      <c r="E11" s="32">
        <v>6.5216607980414804E-3</v>
      </c>
      <c r="F11" s="31">
        <v>158304.07985856599</v>
      </c>
      <c r="G11" s="1">
        <v>36092.614500778996</v>
      </c>
      <c r="H11" s="1">
        <v>49737.737403379797</v>
      </c>
    </row>
    <row r="12" spans="1:8" x14ac:dyDescent="0.25">
      <c r="A12">
        <v>9000</v>
      </c>
      <c r="B12" s="32">
        <v>111.869617547768</v>
      </c>
      <c r="C12" s="32">
        <v>0.35</v>
      </c>
      <c r="D12" s="32">
        <v>10.1</v>
      </c>
      <c r="E12" s="32">
        <v>0.46327827302212898</v>
      </c>
      <c r="F12" s="55">
        <v>250000</v>
      </c>
      <c r="G12" s="1">
        <v>81829.606228558405</v>
      </c>
      <c r="H12" s="1">
        <v>94888.508979482707</v>
      </c>
    </row>
    <row r="13" spans="1:8" x14ac:dyDescent="0.25">
      <c r="F13" s="55">
        <v>284800</v>
      </c>
    </row>
    <row r="17" spans="2:9" x14ac:dyDescent="0.25">
      <c r="H17">
        <f>F7*(-0.0656*LOG10(F7)+0.8267)</f>
        <v>61254.827951899868</v>
      </c>
    </row>
    <row r="18" spans="2:9" x14ac:dyDescent="0.25">
      <c r="B18">
        <v>65</v>
      </c>
      <c r="C18">
        <v>132</v>
      </c>
      <c r="D18">
        <v>104.472013125422</v>
      </c>
      <c r="E18">
        <v>104.61108323496499</v>
      </c>
      <c r="F18">
        <v>88.669171526401797</v>
      </c>
      <c r="H18">
        <f t="shared" ref="H18:H23" si="0">F8*(-0.0656*LOG10(F8)+0.8267)</f>
        <v>63030.248273238212</v>
      </c>
    </row>
    <row r="19" spans="2:9" x14ac:dyDescent="0.25">
      <c r="B19">
        <v>0.2</v>
      </c>
      <c r="C19">
        <v>0.349999999857179</v>
      </c>
      <c r="D19">
        <v>0.34573421557148998</v>
      </c>
      <c r="E19">
        <v>0.33362425834943399</v>
      </c>
      <c r="F19">
        <v>0.24794473157007901</v>
      </c>
      <c r="H19">
        <f t="shared" si="0"/>
        <v>65851.587494534208</v>
      </c>
    </row>
    <row r="20" spans="2:9" x14ac:dyDescent="0.25">
      <c r="B20">
        <v>5.5615161818586403</v>
      </c>
      <c r="C20">
        <v>7.5315866741593602</v>
      </c>
      <c r="D20">
        <v>10.1</v>
      </c>
      <c r="E20">
        <v>10.1</v>
      </c>
      <c r="F20">
        <v>9.2574164633504008</v>
      </c>
      <c r="H20">
        <f t="shared" si="0"/>
        <v>69777.061128569723</v>
      </c>
    </row>
    <row r="21" spans="2:9" x14ac:dyDescent="0.25">
      <c r="B21">
        <v>0</v>
      </c>
      <c r="C21">
        <v>7.4135839025440595E-4</v>
      </c>
      <c r="D21">
        <v>0</v>
      </c>
      <c r="E21">
        <v>25</v>
      </c>
      <c r="F21">
        <v>14.427435952830599</v>
      </c>
      <c r="H21">
        <f>F11*(-0.0656*LOG10(F11)+0.8267)</f>
        <v>76874.569430361997</v>
      </c>
    </row>
    <row r="22" spans="2:9" x14ac:dyDescent="0.25">
      <c r="B22">
        <v>54359.069857886701</v>
      </c>
      <c r="C22">
        <v>128209.150600077</v>
      </c>
      <c r="D22">
        <v>40000</v>
      </c>
      <c r="E22">
        <v>41275.328727551103</v>
      </c>
      <c r="F22">
        <v>42091.5107243124</v>
      </c>
      <c r="H22">
        <f>F12*(-0.0656*LOG10(F12)+0.8267)</f>
        <v>118148.78385777857</v>
      </c>
    </row>
    <row r="23" spans="2:9" x14ac:dyDescent="0.25">
      <c r="G23">
        <f>101300-88300</f>
        <v>13000</v>
      </c>
      <c r="H23">
        <f t="shared" si="0"/>
        <v>133537.64400570048</v>
      </c>
      <c r="I23">
        <f>G23/H23</f>
        <v>9.735082640401424E-2</v>
      </c>
    </row>
    <row r="26" spans="2:9" x14ac:dyDescent="0.25">
      <c r="C26" s="56">
        <v>131.99999956758799</v>
      </c>
      <c r="E26" s="56">
        <v>131.99999956758799</v>
      </c>
      <c r="F26" s="56">
        <v>0.35</v>
      </c>
      <c r="G26" s="56">
        <v>6.6707154495746099</v>
      </c>
      <c r="H26" s="56">
        <v>4.0956269663768403E-3</v>
      </c>
      <c r="I26" s="56">
        <v>142826.39988135599</v>
      </c>
    </row>
    <row r="27" spans="2:9" x14ac:dyDescent="0.25">
      <c r="C27" s="56">
        <v>0.35</v>
      </c>
    </row>
    <row r="28" spans="2:9" x14ac:dyDescent="0.25">
      <c r="C28" s="56">
        <v>6.6707154495746099</v>
      </c>
    </row>
    <row r="29" spans="2:9" x14ac:dyDescent="0.25">
      <c r="C29" s="56">
        <v>4.0956269663768403E-3</v>
      </c>
    </row>
    <row r="30" spans="2:9" x14ac:dyDescent="0.25">
      <c r="C30" s="56">
        <v>142826.39988135599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Ship</vt:lpstr>
      <vt:lpstr>Aircraft_main_affect</vt:lpstr>
      <vt:lpstr>Refueling_aircraft</vt:lpstr>
      <vt:lpstr>maxCl_aspect_ratio</vt:lpstr>
      <vt:lpstr>Stakeholder and needs</vt:lpstr>
      <vt:lpstr>Branchmark Airplane</vt:lpstr>
      <vt:lpstr>Exponential growth</vt:lpstr>
      <vt:lpstr>Simulated Annealling_OLD</vt:lpstr>
      <vt:lpstr>PSO</vt:lpstr>
      <vt:lpstr>Refueling+Ship</vt:lpstr>
      <vt:lpstr>Optimal design</vt:lpstr>
      <vt:lpstr>Refueling+Ship (unit)</vt:lpstr>
      <vt:lpstr>Refueling strategies</vt:lpstr>
      <vt:lpstr>sensetivity study</vt:lpstr>
      <vt:lpstr>Cost</vt:lpstr>
      <vt:lpstr>Ship_Cost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Keran Rong</dc:creator>
  <cp:lastModifiedBy>Keran Rong</cp:lastModifiedBy>
  <dcterms:created xsi:type="dcterms:W3CDTF">2015-06-05T18:17:20Z</dcterms:created>
  <dcterms:modified xsi:type="dcterms:W3CDTF">2020-05-09T00:22:56Z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9367d733-98b5-46c7-a9d7-6351f074e2bc</vt:lpwstr>
  </property>
</Properties>
</file>