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moor\OneDrive\Documents\Career Principle Courses\Other Company Valuations\"/>
    </mc:Choice>
  </mc:AlternateContent>
  <xr:revisionPtr revIDLastSave="0" documentId="13_ncr:1_{5790DF81-8032-4544-80C2-4E2EB5A39279}" xr6:coauthVersionLast="47" xr6:coauthVersionMax="47" xr10:uidLastSave="{00000000-0000-0000-0000-000000000000}"/>
  <bookViews>
    <workbookView xWindow="-120" yWindow="-120" windowWidth="29040" windowHeight="15840" tabRatio="713" activeTab="1" xr2:uid="{0B00714C-9462-4A58-8865-E60B8DFBA8CE}"/>
  </bookViews>
  <sheets>
    <sheet name="Cash Flow Statement" sheetId="6" r:id="rId1"/>
    <sheet name="Income Statement" sheetId="4" r:id="rId2"/>
    <sheet name="Balance Sheet" sheetId="5" r:id="rId3"/>
    <sheet name="Fixed Assets" sheetId="7" r:id="rId4"/>
    <sheet name="Retained Earnings" sheetId="9" r:id="rId5"/>
    <sheet name="Data Source --&gt;" sheetId="3" r:id="rId6"/>
    <sheet name="Income Statement - Data" sheetId="2" r:id="rId7"/>
    <sheet name="Balance Sheet - Data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4" l="1" a="1"/>
  <c r="C14" i="4" s="1"/>
  <c r="F11" i="5"/>
  <c r="E11" i="5"/>
  <c r="G21" i="4"/>
  <c r="F21" i="4"/>
  <c r="E32" i="5"/>
  <c r="D22" i="6" l="1"/>
  <c r="C22" i="6"/>
  <c r="D21" i="6"/>
  <c r="C21" i="6"/>
  <c r="D20" i="6"/>
  <c r="C20" i="6"/>
  <c r="G6" i="9"/>
  <c r="F6" i="9"/>
  <c r="E9" i="9"/>
  <c r="F4" i="9" s="1"/>
  <c r="D9" i="9"/>
  <c r="E4" i="9" s="1"/>
  <c r="D5" i="9"/>
  <c r="E5" i="9"/>
  <c r="C5" i="9"/>
  <c r="E3" i="9"/>
  <c r="F3" i="9" s="1"/>
  <c r="G3" i="9" s="1"/>
  <c r="E20" i="7"/>
  <c r="E19" i="7"/>
  <c r="F18" i="7"/>
  <c r="E18" i="7"/>
  <c r="E21" i="7"/>
  <c r="D21" i="7"/>
  <c r="G14" i="7"/>
  <c r="F14" i="7"/>
  <c r="D14" i="7"/>
  <c r="E14" i="7"/>
  <c r="C14" i="7"/>
  <c r="D13" i="7"/>
  <c r="E13" i="7"/>
  <c r="C13" i="7"/>
  <c r="D15" i="7"/>
  <c r="E15" i="7"/>
  <c r="C15" i="7"/>
  <c r="G10" i="7"/>
  <c r="F10" i="7"/>
  <c r="D10" i="7"/>
  <c r="E10" i="7"/>
  <c r="C10" i="7"/>
  <c r="F4" i="7"/>
  <c r="E7" i="7"/>
  <c r="D7" i="7"/>
  <c r="F3" i="7"/>
  <c r="G3" i="7" s="1"/>
  <c r="E3" i="7"/>
  <c r="D23" i="6" l="1"/>
  <c r="D24" i="6" s="1"/>
  <c r="C23" i="6"/>
  <c r="C24" i="6" s="1"/>
  <c r="D7" i="6"/>
  <c r="C7" i="6"/>
  <c r="D9" i="6"/>
  <c r="C9" i="6"/>
  <c r="B11" i="6"/>
  <c r="B12" i="6"/>
  <c r="B10" i="6"/>
  <c r="B8" i="6"/>
  <c r="B9" i="6"/>
  <c r="B7" i="6"/>
  <c r="F34" i="5"/>
  <c r="E34" i="5"/>
  <c r="F32" i="5"/>
  <c r="F26" i="5"/>
  <c r="E26" i="5"/>
  <c r="F3" i="5"/>
  <c r="E3" i="5"/>
  <c r="G28" i="4"/>
  <c r="F28" i="4"/>
  <c r="G31" i="4"/>
  <c r="F31" i="4"/>
  <c r="G29" i="4"/>
  <c r="F29" i="4"/>
  <c r="C5" i="5" a="1"/>
  <c r="C5" i="5" s="1"/>
  <c r="C6" i="5" a="1"/>
  <c r="C6" i="5" s="1"/>
  <c r="C7" i="5" a="1"/>
  <c r="C7" i="5" s="1"/>
  <c r="C8" i="5" a="1"/>
  <c r="C8" i="5" s="1"/>
  <c r="C9" i="5" a="1"/>
  <c r="C9" i="5" s="1"/>
  <c r="C11" i="5" a="1"/>
  <c r="C11" i="5" s="1"/>
  <c r="C12" i="5" a="1"/>
  <c r="C12" i="5" s="1"/>
  <c r="C13" i="5" a="1"/>
  <c r="C13" i="5" s="1"/>
  <c r="C14" i="5" a="1"/>
  <c r="C14" i="5" s="1"/>
  <c r="C15" i="5" a="1"/>
  <c r="C15" i="5" s="1"/>
  <c r="C17" i="5" a="1"/>
  <c r="C17" i="5" s="1"/>
  <c r="C19" i="5" a="1"/>
  <c r="C19" i="5" s="1"/>
  <c r="C20" i="5" a="1"/>
  <c r="C20" i="5" s="1"/>
  <c r="C21" i="5" a="1"/>
  <c r="C21" i="5" s="1"/>
  <c r="C22" i="5" a="1"/>
  <c r="C22" i="5" s="1"/>
  <c r="C23" i="5" a="1"/>
  <c r="C23" i="5" s="1"/>
  <c r="C25" i="5" a="1"/>
  <c r="C25" i="5" s="1"/>
  <c r="C26" i="5" a="1"/>
  <c r="C26" i="5" s="1"/>
  <c r="C27" i="5" a="1"/>
  <c r="C27" i="5" s="1"/>
  <c r="C28" i="5" a="1"/>
  <c r="C28" i="5" s="1"/>
  <c r="C30" i="5" a="1"/>
  <c r="C30" i="5" s="1"/>
  <c r="C31" i="5" a="1"/>
  <c r="C31" i="5" s="1"/>
  <c r="C32" i="5" a="1"/>
  <c r="C32" i="5" s="1"/>
  <c r="C33" i="5" a="1"/>
  <c r="C33" i="5" s="1"/>
  <c r="C34" i="5" a="1"/>
  <c r="C34" i="5" s="1"/>
  <c r="C35" i="5" a="1"/>
  <c r="C35" i="5" s="1"/>
  <c r="C36" i="5" a="1"/>
  <c r="C36" i="5" s="1"/>
  <c r="C37" i="5" a="1"/>
  <c r="C37" i="5" s="1"/>
  <c r="C4" i="5" a="1"/>
  <c r="C4" i="5" s="1"/>
  <c r="D11" i="4"/>
  <c r="E11" i="4" s="1"/>
  <c r="F11" i="4" s="1"/>
  <c r="G11" i="4" s="1"/>
  <c r="C25" i="2"/>
  <c r="D25" i="2"/>
  <c r="B25" i="2"/>
  <c r="B2" i="4"/>
  <c r="E25" i="5" l="1"/>
  <c r="F5" i="7"/>
  <c r="E42" i="5"/>
  <c r="E28" i="5"/>
  <c r="E14" i="5"/>
  <c r="F14" i="5" s="1"/>
  <c r="E13" i="5"/>
  <c r="F13" i="5" s="1"/>
  <c r="E15" i="5"/>
  <c r="E22" i="5"/>
  <c r="E21" i="5"/>
  <c r="C29" i="5"/>
  <c r="E6" i="5"/>
  <c r="F6" i="5" s="1"/>
  <c r="E8" i="5"/>
  <c r="F8" i="5" s="1"/>
  <c r="C39" i="5"/>
  <c r="E7" i="5"/>
  <c r="C16" i="5"/>
  <c r="D29" i="5"/>
  <c r="D39" i="5"/>
  <c r="D16" i="5"/>
  <c r="C16" i="4" a="1"/>
  <c r="C17" i="4" a="1"/>
  <c r="C17" i="4" s="1"/>
  <c r="C21" i="4" a="1"/>
  <c r="C21" i="4" s="1"/>
  <c r="C23" i="4" a="1"/>
  <c r="C23" i="4" s="1"/>
  <c r="C24" i="4" a="1"/>
  <c r="C24" i="4" s="1"/>
  <c r="C12" i="4" a="1"/>
  <c r="F12" i="4" s="1"/>
  <c r="C15" i="4" a="1"/>
  <c r="C35" i="4" l="1"/>
  <c r="C36" i="4"/>
  <c r="C34" i="4"/>
  <c r="F28" i="5"/>
  <c r="F25" i="5"/>
  <c r="F13" i="7"/>
  <c r="F19" i="7" s="1"/>
  <c r="C6" i="6"/>
  <c r="E33" i="5"/>
  <c r="F15" i="5"/>
  <c r="F21" i="7"/>
  <c r="C17" i="6"/>
  <c r="C18" i="6" s="1"/>
  <c r="G5" i="7"/>
  <c r="D17" i="6" s="1"/>
  <c r="F6" i="7"/>
  <c r="F7" i="7" s="1"/>
  <c r="F22" i="5"/>
  <c r="D12" i="6" s="1"/>
  <c r="C12" i="6"/>
  <c r="F21" i="5"/>
  <c r="D11" i="6" s="1"/>
  <c r="C11" i="6"/>
  <c r="C8" i="6"/>
  <c r="F7" i="5"/>
  <c r="F42" i="5"/>
  <c r="D6" i="6" s="1"/>
  <c r="G12" i="4"/>
  <c r="E29" i="4"/>
  <c r="E30" i="4"/>
  <c r="E31" i="4"/>
  <c r="C15" i="4"/>
  <c r="C16" i="4"/>
  <c r="E20" i="4"/>
  <c r="E22" i="4" s="1"/>
  <c r="E48" i="4" s="1"/>
  <c r="D20" i="4"/>
  <c r="C12" i="4"/>
  <c r="C20" i="4" s="1"/>
  <c r="D45" i="4" l="1"/>
  <c r="D44" i="4"/>
  <c r="D46" i="4"/>
  <c r="D39" i="4"/>
  <c r="D40" i="4"/>
  <c r="D41" i="4"/>
  <c r="D34" i="4"/>
  <c r="D35" i="4"/>
  <c r="D36" i="4"/>
  <c r="D8" i="6"/>
  <c r="G21" i="7"/>
  <c r="G18" i="7"/>
  <c r="F20" i="7"/>
  <c r="C13" i="6" s="1"/>
  <c r="F15" i="7"/>
  <c r="G13" i="7"/>
  <c r="G19" i="7" s="1"/>
  <c r="G6" i="7"/>
  <c r="D18" i="6"/>
  <c r="G4" i="7"/>
  <c r="E12" i="5"/>
  <c r="F33" i="5"/>
  <c r="C41" i="4"/>
  <c r="C39" i="4"/>
  <c r="C40" i="4"/>
  <c r="C44" i="4"/>
  <c r="C45" i="4"/>
  <c r="C46" i="4"/>
  <c r="D29" i="4"/>
  <c r="D31" i="4"/>
  <c r="D30" i="4"/>
  <c r="C22" i="4"/>
  <c r="C48" i="4" s="1"/>
  <c r="C18" i="4"/>
  <c r="D22" i="4"/>
  <c r="D48" i="4" s="1"/>
  <c r="D18" i="4"/>
  <c r="E18" i="4"/>
  <c r="E40" i="4" l="1"/>
  <c r="F40" i="4" s="1"/>
  <c r="E39" i="4"/>
  <c r="E41" i="4"/>
  <c r="E36" i="4"/>
  <c r="E34" i="4"/>
  <c r="E35" i="4"/>
  <c r="F35" i="4" s="1"/>
  <c r="E44" i="4"/>
  <c r="E45" i="4"/>
  <c r="F45" i="4" s="1"/>
  <c r="E46" i="4"/>
  <c r="E16" i="5"/>
  <c r="G20" i="7"/>
  <c r="D13" i="6" s="1"/>
  <c r="C5" i="6"/>
  <c r="F19" i="4"/>
  <c r="G15" i="7"/>
  <c r="G7" i="7"/>
  <c r="F12" i="5" s="1"/>
  <c r="F43" i="4" l="1"/>
  <c r="F16" i="4" s="1"/>
  <c r="F46" i="4"/>
  <c r="G45" i="4"/>
  <c r="F44" i="4"/>
  <c r="F34" i="4"/>
  <c r="G35" i="4"/>
  <c r="F33" i="4"/>
  <c r="F14" i="4" s="1"/>
  <c r="F36" i="4"/>
  <c r="F38" i="4"/>
  <c r="F15" i="4" s="1"/>
  <c r="G40" i="4"/>
  <c r="F39" i="4"/>
  <c r="F41" i="4"/>
  <c r="F16" i="5"/>
  <c r="D5" i="6"/>
  <c r="G19" i="4"/>
  <c r="E20" i="5" l="1"/>
  <c r="F17" i="4"/>
  <c r="F20" i="4" s="1"/>
  <c r="G33" i="4"/>
  <c r="G14" i="4" s="1"/>
  <c r="G36" i="4"/>
  <c r="G34" i="4"/>
  <c r="G38" i="4"/>
  <c r="G15" i="4" s="1"/>
  <c r="G39" i="4"/>
  <c r="G41" i="4"/>
  <c r="G43" i="4"/>
  <c r="G16" i="4" s="1"/>
  <c r="G46" i="4"/>
  <c r="G44" i="4"/>
  <c r="F20" i="5" l="1"/>
  <c r="G17" i="4"/>
  <c r="G20" i="4" s="1"/>
  <c r="F22" i="4"/>
  <c r="F23" i="4" s="1"/>
  <c r="F24" i="4" s="1"/>
  <c r="F18" i="4"/>
  <c r="E23" i="5"/>
  <c r="C10" i="6"/>
  <c r="D10" i="6" l="1"/>
  <c r="F23" i="5"/>
  <c r="C4" i="6"/>
  <c r="F5" i="9"/>
  <c r="F9" i="9" s="1"/>
  <c r="E35" i="5" s="1"/>
  <c r="E36" i="5" s="1"/>
  <c r="E27" i="5"/>
  <c r="G22" i="4"/>
  <c r="G23" i="4" s="1"/>
  <c r="G24" i="4" s="1"/>
  <c r="G18" i="4"/>
  <c r="D4" i="6" l="1"/>
  <c r="G5" i="9"/>
  <c r="E29" i="5"/>
  <c r="F27" i="5"/>
  <c r="F29" i="5" s="1"/>
  <c r="G4" i="9"/>
  <c r="G9" i="9" l="1"/>
  <c r="F35" i="5" s="1"/>
  <c r="F36" i="5" s="1"/>
  <c r="F30" i="5"/>
  <c r="D14" i="6"/>
  <c r="D15" i="6" s="1"/>
  <c r="D25" i="6" s="1"/>
  <c r="C14" i="6"/>
  <c r="C15" i="6" s="1"/>
  <c r="C25" i="6" s="1"/>
  <c r="E5" i="5" s="1"/>
  <c r="E9" i="5" s="1"/>
  <c r="E17" i="5" s="1"/>
  <c r="E30" i="5"/>
  <c r="E37" i="5" s="1"/>
  <c r="F37" i="5" l="1"/>
  <c r="E39" i="5"/>
  <c r="F5" i="5"/>
  <c r="F9" i="5" s="1"/>
  <c r="F17" i="5" s="1"/>
  <c r="F39" i="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Kerry Moore</author>
  </authors>
  <commentList>
    <comment ref="C19" authorId="0" shapeId="0" xr:uid="{4D0E97E6-6B9F-428E-88E6-C9B0397F2C73}">
      <text>
        <r>
          <rPr>
            <b/>
            <sz val="9"/>
            <color indexed="81"/>
            <rFont val="Tahoma"/>
            <family val="2"/>
          </rPr>
          <t>Kerry Moore:</t>
        </r>
        <r>
          <rPr>
            <sz val="9"/>
            <color indexed="81"/>
            <rFont val="Tahoma"/>
            <family val="2"/>
          </rPr>
          <t xml:space="preserve">
Figures from CFS 10K</t>
        </r>
      </text>
    </comment>
    <comment ref="B20" authorId="0" shapeId="0" xr:uid="{645765DA-FF90-4E93-98FD-B4E5EEEFD7A1}">
      <text>
        <r>
          <rPr>
            <b/>
            <sz val="9"/>
            <color indexed="81"/>
            <rFont val="Tahoma"/>
            <family val="2"/>
          </rPr>
          <t>Kerry Moore:</t>
        </r>
        <r>
          <rPr>
            <sz val="9"/>
            <color indexed="81"/>
            <rFont val="Tahoma"/>
            <family val="2"/>
          </rPr>
          <t xml:space="preserve">
operating income</t>
        </r>
      </text>
    </comment>
    <comment ref="F30" authorId="0" shapeId="0" xr:uid="{B7A160A5-897A-4A47-B6DC-2ECEB4DE2E90}">
      <text>
        <r>
          <rPr>
            <b/>
            <sz val="9"/>
            <color indexed="81"/>
            <rFont val="Tahoma"/>
            <family val="2"/>
          </rPr>
          <t>Kerry Moore:</t>
        </r>
        <r>
          <rPr>
            <sz val="9"/>
            <color indexed="81"/>
            <rFont val="Tahoma"/>
            <family val="2"/>
          </rPr>
          <t xml:space="preserve">
Yahoo Finance Analyst Consensus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Kerry Moore</author>
  </authors>
  <commentList>
    <comment ref="B7" authorId="0" shapeId="0" xr:uid="{6A3067F7-5486-4E94-8AB3-891DB63F0D9B}">
      <text>
        <r>
          <rPr>
            <b/>
            <sz val="9"/>
            <color indexed="81"/>
            <rFont val="Tahoma"/>
            <family val="2"/>
          </rPr>
          <t>Kerry Moore:</t>
        </r>
        <r>
          <rPr>
            <sz val="9"/>
            <color indexed="81"/>
            <rFont val="Tahoma"/>
            <family val="2"/>
          </rPr>
          <t xml:space="preserve">
When revenue grows, this should grow in line with revenue</t>
        </r>
      </text>
    </comment>
    <comment ref="B11" authorId="0" shapeId="0" xr:uid="{54A5EEE5-2632-4F9F-9AFC-7B9B9A92A409}">
      <text>
        <r>
          <rPr>
            <b/>
            <sz val="9"/>
            <color indexed="81"/>
            <rFont val="Tahoma"/>
            <family val="2"/>
          </rPr>
          <t>Kerry Moore:</t>
        </r>
        <r>
          <rPr>
            <sz val="9"/>
            <color indexed="81"/>
            <rFont val="Tahoma"/>
            <family val="2"/>
          </rPr>
          <t xml:space="preserve">
does not grow with revenue, more closely related to investment activities</t>
        </r>
      </text>
    </comment>
    <comment ref="C42" authorId="0" shapeId="0" xr:uid="{E971403D-A994-4482-817E-76FA57A1D792}">
      <text>
        <r>
          <rPr>
            <b/>
            <sz val="9"/>
            <color indexed="81"/>
            <rFont val="Tahoma"/>
            <family val="2"/>
          </rPr>
          <t>Kerry Moore:</t>
        </r>
        <r>
          <rPr>
            <sz val="9"/>
            <color indexed="81"/>
            <rFont val="Tahoma"/>
            <family val="2"/>
          </rPr>
          <t xml:space="preserve">
Based on CFS 10K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Kerry Moore</author>
  </authors>
  <commentList>
    <comment ref="B5" authorId="0" shapeId="0" xr:uid="{E46C55FA-27BA-47DF-BDA4-7DF73EA38F86}">
      <text>
        <r>
          <rPr>
            <b/>
            <sz val="9"/>
            <color indexed="81"/>
            <rFont val="Tahoma"/>
            <family val="2"/>
          </rPr>
          <t>Kerry Moore:</t>
        </r>
        <r>
          <rPr>
            <sz val="9"/>
            <color indexed="81"/>
            <rFont val="Tahoma"/>
            <family val="2"/>
          </rPr>
          <t xml:space="preserve">
As revenue grows, so would CapEx, we can also get analyst estimates for forecast</t>
        </r>
      </text>
    </comment>
    <comment ref="C5" authorId="0" shapeId="0" xr:uid="{E64DC56F-83CF-4FE4-94DC-B4DFA0EB7733}">
      <text>
        <r>
          <rPr>
            <b/>
            <sz val="9"/>
            <color indexed="81"/>
            <rFont val="Tahoma"/>
            <family val="2"/>
          </rPr>
          <t>Kerry Moore:</t>
        </r>
        <r>
          <rPr>
            <sz val="9"/>
            <color indexed="81"/>
            <rFont val="Tahoma"/>
            <family val="2"/>
          </rPr>
          <t xml:space="preserve">
Figures from Property and Equipment (CFS) 10K
</t>
        </r>
      </text>
    </comment>
    <comment ref="C6" authorId="0" shapeId="0" xr:uid="{6E83D042-9069-4B8C-9ED7-AF5F341006B4}">
      <text>
        <r>
          <rPr>
            <b/>
            <sz val="9"/>
            <color indexed="81"/>
            <rFont val="Tahoma"/>
            <family val="2"/>
          </rPr>
          <t>Kerry Moore:</t>
        </r>
        <r>
          <rPr>
            <sz val="9"/>
            <color indexed="81"/>
            <rFont val="Tahoma"/>
            <family val="2"/>
          </rPr>
          <t xml:space="preserve">
Figures from Property and Equipment (CFS) 10K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Kerry Moore</author>
  </authors>
  <commentList>
    <comment ref="B6" authorId="0" shapeId="0" xr:uid="{1ABCA0C7-27BB-45F1-AD12-0A2C6E7FD892}">
      <text>
        <r>
          <rPr>
            <b/>
            <sz val="9"/>
            <color indexed="81"/>
            <rFont val="Tahoma"/>
            <family val="2"/>
          </rPr>
          <t xml:space="preserve">Kerry Moore
</t>
        </r>
        <r>
          <rPr>
            <sz val="9"/>
            <color indexed="81"/>
            <rFont val="Tahoma"/>
            <family val="2"/>
          </rPr>
          <t xml:space="preserve">Started dividend program in first quarter of 2024
</t>
        </r>
      </text>
    </comment>
    <comment ref="D7" authorId="0" shapeId="0" xr:uid="{FA4E0BA6-0778-46AC-8079-215BA1BBD738}">
      <text>
        <r>
          <rPr>
            <b/>
            <sz val="9"/>
            <color indexed="81"/>
            <rFont val="Tahoma"/>
            <family val="2"/>
          </rPr>
          <t>Kerry Moore:</t>
        </r>
        <r>
          <rPr>
            <sz val="9"/>
            <color indexed="81"/>
            <rFont val="Tahoma"/>
            <family val="2"/>
          </rPr>
          <t xml:space="preserve">
From Consolidated Statement of Shareholders' Equity 10K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<sst xmlns="http://schemas.openxmlformats.org/spreadsheetml/2006/main" count="217" uniqueCount="129">
  <si>
    <t>CONSOLIDATED BALANCE SHEETS - USD ($) $ in Millions</t>
  </si>
  <si>
    <t>Dec. 31, 2024</t>
  </si>
  <si>
    <t>Dec. 31, 2023</t>
  </si>
  <si>
    <t>Current assets:</t>
  </si>
  <si>
    <t> </t>
  </si>
  <si>
    <t>Cash and cash equivalents</t>
  </si>
  <si>
    <t>Marketable securities</t>
  </si>
  <si>
    <t>Accounts receivable, net</t>
  </si>
  <si>
    <t>Prepaid expenses and other current assets</t>
  </si>
  <si>
    <t>Total current assets</t>
  </si>
  <si>
    <t>Non-marketable equity securities</t>
  </si>
  <si>
    <t>Property and equipment, net</t>
  </si>
  <si>
    <t>Operating lease right-of-use assets</t>
  </si>
  <si>
    <t>Goodwill</t>
  </si>
  <si>
    <t>Other assets</t>
  </si>
  <si>
    <t>Total assets</t>
  </si>
  <si>
    <t>Current liabilities:</t>
  </si>
  <si>
    <t>Accounts payable</t>
  </si>
  <si>
    <t>Operating lease liabilities, current</t>
  </si>
  <si>
    <t>Accrued expenses and other current liabilities</t>
  </si>
  <si>
    <t>Total current liabilities</t>
  </si>
  <si>
    <t>Operating lease liabilities, non-current</t>
  </si>
  <si>
    <t>Long-term debt</t>
  </si>
  <si>
    <t>Long-term income taxes</t>
  </si>
  <si>
    <t>Other liabilities</t>
  </si>
  <si>
    <t>Total liabilities</t>
  </si>
  <si>
    <t>Commitments and contingencies</t>
  </si>
  <si>
    <t xml:space="preserve"> </t>
  </si>
  <si>
    <t>Stockholders' equity:</t>
  </si>
  <si>
    <t>Additional paid-in capital</t>
  </si>
  <si>
    <t>Accumulated other comprehensive loss</t>
  </si>
  <si>
    <t>Retained earnings</t>
  </si>
  <si>
    <t>Total stockholders' equity</t>
  </si>
  <si>
    <t>Total liabilities and stockholders' equity</t>
  </si>
  <si>
    <t>CONSOLIDATED STATEMENTS OF INCOME - USD ($) shares in Millions, $ in Millions</t>
  </si>
  <si>
    <t>12 Months Ended</t>
  </si>
  <si>
    <t>Dec. 31, 2022</t>
  </si>
  <si>
    <t>Revenue</t>
  </si>
  <si>
    <t>Costs and expenses:</t>
  </si>
  <si>
    <t>Cost of revenue</t>
  </si>
  <si>
    <t>Research and development</t>
  </si>
  <si>
    <t>Marketing and sales</t>
  </si>
  <si>
    <t>General and administrative</t>
  </si>
  <si>
    <t>Total costs and expenses</t>
  </si>
  <si>
    <t>Income (loss) from operations</t>
  </si>
  <si>
    <t>Interest and other income (expense), net</t>
  </si>
  <si>
    <t>Income before provision for income taxes</t>
  </si>
  <si>
    <t>Provision for income taxes</t>
  </si>
  <si>
    <t>Net income</t>
  </si>
  <si>
    <t>Earnings per share:</t>
  </si>
  <si>
    <t>Basic (in dollars per share)</t>
  </si>
  <si>
    <t>Diluted (in dollars per share)</t>
  </si>
  <si>
    <t>Weighted-average shares used to compute earnings per share:</t>
  </si>
  <si>
    <t>Basic (in shares)</t>
  </si>
  <si>
    <t>Diluted (in shares)</t>
  </si>
  <si>
    <t>Company</t>
  </si>
  <si>
    <t>Ticker</t>
  </si>
  <si>
    <t xml:space="preserve">META </t>
  </si>
  <si>
    <t>Meta Platforms, Inc.</t>
  </si>
  <si>
    <t>Income Statement</t>
  </si>
  <si>
    <t>Income Statement (Re-formatted)</t>
  </si>
  <si>
    <t>Gross Margin</t>
  </si>
  <si>
    <t>Operating Expenses</t>
  </si>
  <si>
    <t>Research and Development</t>
  </si>
  <si>
    <t>Selling, general and administrative</t>
  </si>
  <si>
    <t>Total operating expenses</t>
  </si>
  <si>
    <t>Net Income</t>
  </si>
  <si>
    <t>Cost of Revenue</t>
  </si>
  <si>
    <t>$ in millions</t>
  </si>
  <si>
    <t>EBITDA</t>
  </si>
  <si>
    <t>Depreciation and Amortization</t>
  </si>
  <si>
    <t xml:space="preserve">EBIT </t>
  </si>
  <si>
    <t>EBT</t>
  </si>
  <si>
    <t>Balance Sheet</t>
  </si>
  <si>
    <t>Common Stock</t>
  </si>
  <si>
    <t>Total non-current liabilities</t>
  </si>
  <si>
    <t>Total non-current assets</t>
  </si>
  <si>
    <t>Check</t>
  </si>
  <si>
    <t>Scenario Assumptions</t>
  </si>
  <si>
    <t>Revenue Growth</t>
  </si>
  <si>
    <t>Best Case</t>
  </si>
  <si>
    <t>Base Case</t>
  </si>
  <si>
    <t>Worst Case</t>
  </si>
  <si>
    <t>Selected Case</t>
  </si>
  <si>
    <t>R&amp;D as a % of Revenue</t>
  </si>
  <si>
    <t>SG&amp;A as a % of Revenue</t>
  </si>
  <si>
    <t>Fiscal Year End Date</t>
  </si>
  <si>
    <t>Variance</t>
  </si>
  <si>
    <t>Scenario</t>
  </si>
  <si>
    <t>Cost of Revenue as a % of Revenue</t>
  </si>
  <si>
    <t>Non-current assets:</t>
  </si>
  <si>
    <t>Non-current liabilities:</t>
  </si>
  <si>
    <t>Balance Sheet Assumptions</t>
  </si>
  <si>
    <t>Share based compensation</t>
  </si>
  <si>
    <t>Cash Flow Statement</t>
  </si>
  <si>
    <t>Forecast</t>
  </si>
  <si>
    <t>Share-based compensation</t>
  </si>
  <si>
    <t>Change in Other (non-current) assets</t>
  </si>
  <si>
    <t>Change in Other (non-current) liabilities</t>
  </si>
  <si>
    <t>Operating Cash Flow</t>
  </si>
  <si>
    <t>Capital Expenditures</t>
  </si>
  <si>
    <t>Investing Cash Flow</t>
  </si>
  <si>
    <t>Dividends</t>
  </si>
  <si>
    <t>Term debt</t>
  </si>
  <si>
    <t>Financing Cash Flow</t>
  </si>
  <si>
    <t>Net Cash Flow</t>
  </si>
  <si>
    <t>Fixed Assets Schedule</t>
  </si>
  <si>
    <t>Actuals</t>
  </si>
  <si>
    <t>Beginning PP&amp;E</t>
  </si>
  <si>
    <t>Depreciation related to PPE</t>
  </si>
  <si>
    <t>Ending PP&amp;E</t>
  </si>
  <si>
    <t>Fixed Assets Metrics:</t>
  </si>
  <si>
    <t>D&amp;A related to PP&amp;E as % of CapEx</t>
  </si>
  <si>
    <t>Total Depreciation &amp; Amortization</t>
  </si>
  <si>
    <t>D&amp;A not related to PPE</t>
  </si>
  <si>
    <t>D&amp;A not related to PPE as % of Revenue</t>
  </si>
  <si>
    <t>Total D&amp;A</t>
  </si>
  <si>
    <t>Other non-current assets</t>
  </si>
  <si>
    <t>Beginning Other non-current assets</t>
  </si>
  <si>
    <t>Less D&amp;A not related to PP&amp;E</t>
  </si>
  <si>
    <t>Additions</t>
  </si>
  <si>
    <t>Ending Other non-current assets</t>
  </si>
  <si>
    <t>Retained Earnings</t>
  </si>
  <si>
    <t>Beginning RE</t>
  </si>
  <si>
    <t>Ending RE</t>
  </si>
  <si>
    <t>Share Repurchases</t>
  </si>
  <si>
    <t>Shares withheld related to net share settlement</t>
  </si>
  <si>
    <t>Effective Tax Rate</t>
  </si>
  <si>
    <t>Circuit Break (0=off,1=on)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</si>
</sst>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(&quot;$ &quot;#,##0_);_(&quot;$ &quot;\(#,##0\)"/>
    <numFmt numFmtId="165" formatCode="_(&quot;$ &quot;#,##0.00_);_(&quot;$ &quot;\(#,##0.00\)"/>
    <numFmt numFmtId="168" formatCode="m/d/yy;@"/>
    <numFmt numFmtId="170" formatCode="mm/dd/yy;@"/>
    <numFmt numFmtId="172" formatCode="0.0%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</font>
    <font>
      <sz val="11"/>
      <name val="Calibri"/>
    </font>
    <font>
      <b/>
      <sz val="20"/>
      <color theme="1"/>
      <name val="Aptos Narrow"/>
      <family val="2"/>
      <scheme val="minor"/>
    </font>
    <font>
      <sz val="11"/>
      <name val="Calibri"/>
      <family val="2"/>
    </font>
    <font>
      <u/>
      <sz val="11"/>
      <name val="Calibri"/>
      <family val="2"/>
    </font>
    <font>
      <b/>
      <sz val="11"/>
      <name val="Calibri"/>
      <family val="2"/>
    </font>
    <font>
      <sz val="11"/>
      <color rgb="FF0432FF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0432FF"/>
      <name val="Aptos Narrow"/>
      <family val="2"/>
      <scheme val="minor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7367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73">
    <xf numFmtId="0" fontId="0" fillId="0" borderId="0" xfId="0"/>
    <xf numFmtId="164" fontId="5" fillId="0" borderId="0" xfId="0" applyNumberFormat="1" applyFont="1" applyAlignment="1">
      <alignment horizontal="right" vertical="top"/>
    </xf>
    <xf numFmtId="37" fontId="5" fillId="0" borderId="0" xfId="0" applyNumberFormat="1" applyFont="1" applyAlignment="1">
      <alignment horizontal="right"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165" fontId="5" fillId="0" borderId="0" xfId="0" applyNumberFormat="1" applyFont="1" applyAlignment="1">
      <alignment horizontal="right" vertical="top"/>
    </xf>
    <xf numFmtId="0" fontId="5" fillId="0" borderId="0" xfId="0" applyFont="1" applyAlignment="1">
      <alignment horizontal="center" vertical="center"/>
    </xf>
    <xf numFmtId="0" fontId="0" fillId="0" borderId="0" xfId="0" applyAlignment="1"/>
    <xf numFmtId="168" fontId="5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0" fillId="0" borderId="2" xfId="0" applyBorder="1"/>
    <xf numFmtId="0" fontId="0" fillId="0" borderId="0" xfId="0" applyAlignment="1"/>
    <xf numFmtId="0" fontId="4" fillId="0" borderId="0" xfId="0" applyFont="1" applyAlignment="1">
      <alignment vertical="center"/>
    </xf>
    <xf numFmtId="0" fontId="7" fillId="0" borderId="0" xfId="0" applyFont="1" applyAlignment="1">
      <alignment vertical="top"/>
    </xf>
    <xf numFmtId="0" fontId="8" fillId="0" borderId="2" xfId="0" applyFont="1" applyBorder="1" applyAlignment="1">
      <alignment vertical="top"/>
    </xf>
    <xf numFmtId="37" fontId="8" fillId="0" borderId="2" xfId="0" applyNumberFormat="1" applyFont="1" applyBorder="1" applyAlignment="1">
      <alignment horizontal="right" vertical="top"/>
    </xf>
    <xf numFmtId="37" fontId="7" fillId="0" borderId="0" xfId="0" applyNumberFormat="1" applyFont="1" applyBorder="1" applyAlignment="1">
      <alignment horizontal="right" vertical="top"/>
    </xf>
    <xf numFmtId="164" fontId="0" fillId="0" borderId="0" xfId="0" applyNumberFormat="1"/>
    <xf numFmtId="37" fontId="0" fillId="0" borderId="0" xfId="0" applyNumberFormat="1"/>
    <xf numFmtId="0" fontId="0" fillId="3" borderId="0" xfId="0" applyFill="1"/>
    <xf numFmtId="0" fontId="2" fillId="3" borderId="0" xfId="0" applyFont="1" applyFill="1"/>
    <xf numFmtId="0" fontId="3" fillId="0" borderId="0" xfId="0" applyFont="1"/>
    <xf numFmtId="0" fontId="9" fillId="0" borderId="3" xfId="0" applyFont="1" applyBorder="1" applyAlignment="1">
      <alignment vertical="top"/>
    </xf>
    <xf numFmtId="0" fontId="3" fillId="0" borderId="3" xfId="0" applyFont="1" applyBorder="1"/>
    <xf numFmtId="0" fontId="9" fillId="0" borderId="4" xfId="0" applyFont="1" applyBorder="1" applyAlignment="1">
      <alignment vertical="top"/>
    </xf>
    <xf numFmtId="0" fontId="3" fillId="0" borderId="4" xfId="0" applyFont="1" applyBorder="1"/>
    <xf numFmtId="0" fontId="9" fillId="2" borderId="4" xfId="0" applyFont="1" applyFill="1" applyBorder="1" applyAlignment="1">
      <alignment vertical="top"/>
    </xf>
    <xf numFmtId="0" fontId="3" fillId="2" borderId="4" xfId="0" applyFont="1" applyFill="1" applyBorder="1"/>
    <xf numFmtId="3" fontId="0" fillId="0" borderId="0" xfId="0" applyNumberFormat="1"/>
    <xf numFmtId="3" fontId="0" fillId="0" borderId="3" xfId="0" applyNumberFormat="1" applyBorder="1"/>
    <xf numFmtId="3" fontId="3" fillId="0" borderId="3" xfId="0" applyNumberFormat="1" applyFont="1" applyBorder="1"/>
    <xf numFmtId="0" fontId="7" fillId="0" borderId="3" xfId="0" applyFont="1" applyBorder="1" applyAlignment="1">
      <alignment vertical="top"/>
    </xf>
    <xf numFmtId="3" fontId="3" fillId="2" borderId="4" xfId="0" applyNumberFormat="1" applyFont="1" applyFill="1" applyBorder="1"/>
    <xf numFmtId="3" fontId="10" fillId="0" borderId="0" xfId="0" applyNumberFormat="1" applyFont="1"/>
    <xf numFmtId="0" fontId="7" fillId="0" borderId="0" xfId="0" applyFont="1" applyAlignment="1">
      <alignment horizontal="left" vertical="top" indent="1"/>
    </xf>
    <xf numFmtId="0" fontId="7" fillId="0" borderId="0" xfId="0" applyFont="1" applyBorder="1" applyAlignment="1">
      <alignment vertical="top"/>
    </xf>
    <xf numFmtId="170" fontId="2" fillId="3" borderId="0" xfId="0" applyNumberFormat="1" applyFont="1" applyFill="1"/>
    <xf numFmtId="0" fontId="2" fillId="3" borderId="0" xfId="0" applyNumberFormat="1" applyFont="1" applyFill="1"/>
    <xf numFmtId="14" fontId="2" fillId="3" borderId="0" xfId="0" applyNumberFormat="1" applyFont="1" applyFill="1"/>
    <xf numFmtId="0" fontId="9" fillId="0" borderId="0" xfId="0" applyFont="1" applyBorder="1" applyAlignment="1">
      <alignment vertical="top"/>
    </xf>
    <xf numFmtId="0" fontId="5" fillId="0" borderId="0" xfId="0" applyFont="1" applyAlignment="1">
      <alignment horizontal="left" vertical="top" indent="1"/>
    </xf>
    <xf numFmtId="0" fontId="7" fillId="0" borderId="0" xfId="0" applyFont="1" applyAlignment="1">
      <alignment horizontal="left" vertical="top"/>
    </xf>
    <xf numFmtId="3" fontId="3" fillId="0" borderId="4" xfId="0" applyNumberFormat="1" applyFont="1" applyBorder="1"/>
    <xf numFmtId="10" fontId="0" fillId="0" borderId="0" xfId="0" applyNumberFormat="1"/>
    <xf numFmtId="0" fontId="3" fillId="4" borderId="0" xfId="0" applyFont="1" applyFill="1"/>
    <xf numFmtId="3" fontId="0" fillId="4" borderId="0" xfId="0" applyNumberFormat="1" applyFill="1"/>
    <xf numFmtId="0" fontId="0" fillId="4" borderId="0" xfId="0" applyFill="1"/>
    <xf numFmtId="10" fontId="0" fillId="4" borderId="0" xfId="0" applyNumberFormat="1" applyFill="1"/>
    <xf numFmtId="10" fontId="10" fillId="4" borderId="0" xfId="0" applyNumberFormat="1" applyFont="1" applyFill="1"/>
    <xf numFmtId="9" fontId="10" fillId="4" borderId="0" xfId="0" applyNumberFormat="1" applyFont="1" applyFill="1"/>
    <xf numFmtId="0" fontId="10" fillId="4" borderId="0" xfId="0" applyFont="1" applyFill="1"/>
    <xf numFmtId="0" fontId="13" fillId="4" borderId="0" xfId="0" applyFont="1" applyFill="1"/>
    <xf numFmtId="10" fontId="3" fillId="4" borderId="0" xfId="0" applyNumberFormat="1" applyFont="1" applyFill="1"/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horizontal="right"/>
    </xf>
    <xf numFmtId="0" fontId="3" fillId="4" borderId="4" xfId="0" applyFont="1" applyFill="1" applyBorder="1"/>
    <xf numFmtId="10" fontId="3" fillId="4" borderId="4" xfId="0" applyNumberFormat="1" applyFont="1" applyFill="1" applyBorder="1"/>
    <xf numFmtId="9" fontId="13" fillId="4" borderId="4" xfId="0" applyNumberFormat="1" applyFont="1" applyFill="1" applyBorder="1"/>
    <xf numFmtId="0" fontId="13" fillId="4" borderId="4" xfId="0" applyFont="1" applyFill="1" applyBorder="1"/>
    <xf numFmtId="3" fontId="0" fillId="0" borderId="0" xfId="0" applyNumberFormat="1" applyBorder="1"/>
    <xf numFmtId="3" fontId="10" fillId="4" borderId="0" xfId="0" applyNumberFormat="1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Continuous"/>
    </xf>
    <xf numFmtId="0" fontId="3" fillId="5" borderId="0" xfId="0" applyFont="1" applyFill="1"/>
    <xf numFmtId="0" fontId="0" fillId="5" borderId="0" xfId="0" applyFill="1"/>
    <xf numFmtId="172" fontId="0" fillId="5" borderId="0" xfId="1" applyNumberFormat="1" applyFont="1" applyFill="1"/>
    <xf numFmtId="3" fontId="3" fillId="2" borderId="4" xfId="2" applyNumberFormat="1" applyFont="1" applyFill="1" applyBorder="1"/>
    <xf numFmtId="3" fontId="14" fillId="0" borderId="0" xfId="0" applyNumberFormat="1" applyFont="1"/>
    <xf numFmtId="3" fontId="0" fillId="0" borderId="0" xfId="0" applyNumberFormat="1" applyFill="1"/>
  </cellXfs>
  <cellStyles count="3">
    <cellStyle name="Comma 3" xfId="2" xr:uid="{C9FFE869-A103-432A-A631-D1E90612CC7D}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73673"/>
      <color rgb="FFFFFF99"/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481FE-B0A4-4488-9780-EB28054B742D}">
  <dimension ref="B2:D25"/>
  <sheetViews>
    <sheetView workbookViewId="0">
      <selection activeCell="C4" sqref="C4"/>
    </sheetView>
  </sheetViews>
  <sheetFormatPr defaultRowHeight="15" x14ac:dyDescent="0.25"/>
  <cols>
    <col min="2" max="2" width="51.5703125" bestFit="1" customWidth="1"/>
    <col min="3" max="3" width="29.42578125" customWidth="1"/>
    <col min="4" max="4" width="33" customWidth="1"/>
  </cols>
  <sheetData>
    <row r="2" spans="2:4" x14ac:dyDescent="0.25">
      <c r="B2" s="24" t="s">
        <v>94</v>
      </c>
      <c r="C2" s="65" t="s">
        <v>95</v>
      </c>
      <c r="D2" s="65"/>
    </row>
    <row r="3" spans="2:4" x14ac:dyDescent="0.25">
      <c r="B3" s="24" t="s">
        <v>68</v>
      </c>
      <c r="C3" s="41">
        <v>2025</v>
      </c>
      <c r="D3" s="41">
        <v>2026</v>
      </c>
    </row>
    <row r="4" spans="2:4" x14ac:dyDescent="0.25">
      <c r="B4" t="s">
        <v>66</v>
      </c>
      <c r="C4" s="32">
        <f ca="1">IF('Income Statement'!$C$6=1,'Income Statement'!F24,0)</f>
        <v>67644.355439149091</v>
      </c>
      <c r="D4" s="32">
        <f ca="1">IF('Income Statement'!$C$6=1,'Income Statement'!G24,0)</f>
        <v>76815.35757938445</v>
      </c>
    </row>
    <row r="5" spans="2:4" x14ac:dyDescent="0.25">
      <c r="B5" t="s">
        <v>70</v>
      </c>
      <c r="C5" s="32">
        <f ca="1">'Fixed Assets'!F15</f>
        <v>17759.940547473871</v>
      </c>
      <c r="D5" s="32">
        <f ca="1">'Fixed Assets'!G15</f>
        <v>20206.631205889324</v>
      </c>
    </row>
    <row r="6" spans="2:4" x14ac:dyDescent="0.25">
      <c r="B6" t="s">
        <v>96</v>
      </c>
      <c r="C6" s="32">
        <f ca="1">'Balance Sheet'!E42</f>
        <v>19125.913520282549</v>
      </c>
      <c r="D6" s="32">
        <f ca="1">'Balance Sheet'!F42</f>
        <v>21760.786864517537</v>
      </c>
    </row>
    <row r="7" spans="2:4" x14ac:dyDescent="0.25">
      <c r="B7" t="str">
        <f>"Change in "&amp;'Balance Sheet'!B6</f>
        <v>Change in Marketable securities</v>
      </c>
      <c r="C7" s="32">
        <f>'Balance Sheet'!E6-'Balance Sheet'!D6</f>
        <v>0</v>
      </c>
      <c r="D7" s="32">
        <f>'Balance Sheet'!F6-'Balance Sheet'!E6</f>
        <v>0</v>
      </c>
    </row>
    <row r="8" spans="2:4" x14ac:dyDescent="0.25">
      <c r="B8" t="str">
        <f>"Change in "&amp;'Balance Sheet'!B7</f>
        <v>Change in Accounts receivable, net</v>
      </c>
      <c r="C8" s="32">
        <f ca="1">'Balance Sheet'!D7-'Balance Sheet'!E7</f>
        <v>-2480.2824663679858</v>
      </c>
      <c r="D8" s="32">
        <f ca="1">'Balance Sheet'!E7-'Balance Sheet'!F7</f>
        <v>-2682.8662439742002</v>
      </c>
    </row>
    <row r="9" spans="2:4" x14ac:dyDescent="0.25">
      <c r="B9" t="str">
        <f>"Change in "&amp;'Balance Sheet'!B8</f>
        <v>Change in Prepaid expenses and other current assets</v>
      </c>
      <c r="C9" s="32">
        <f>'Balance Sheet'!E8-'Balance Sheet'!D8</f>
        <v>0</v>
      </c>
      <c r="D9" s="32">
        <f>'Balance Sheet'!F8-'Balance Sheet'!E8</f>
        <v>0</v>
      </c>
    </row>
    <row r="10" spans="2:4" x14ac:dyDescent="0.25">
      <c r="B10" t="str">
        <f>"Change in "&amp;'Balance Sheet'!B20</f>
        <v>Change in Accounts payable</v>
      </c>
      <c r="C10" s="32">
        <f ca="1">'Balance Sheet'!E20-'Balance Sheet'!D20</f>
        <v>1121.9213439431969</v>
      </c>
      <c r="D10" s="32">
        <f ca="1">'Balance Sheet'!F20-'Balance Sheet'!E20</f>
        <v>1213.5573036030164</v>
      </c>
    </row>
    <row r="11" spans="2:4" x14ac:dyDescent="0.25">
      <c r="B11" t="str">
        <f>"Change in "&amp;'Balance Sheet'!B21</f>
        <v>Change in Operating lease liabilities, current</v>
      </c>
      <c r="C11" s="32">
        <f ca="1">'Balance Sheet'!E21-'Balance Sheet'!D21</f>
        <v>283.43583321681899</v>
      </c>
      <c r="D11" s="32">
        <f ca="1">'Balance Sheet'!F21-'Balance Sheet'!E21</f>
        <v>306.58622136035638</v>
      </c>
    </row>
    <row r="12" spans="2:4" x14ac:dyDescent="0.25">
      <c r="B12" t="str">
        <f>"Change in "&amp;'Balance Sheet'!B22</f>
        <v>Change in Accrued expenses and other current liabilities</v>
      </c>
      <c r="C12" s="32">
        <f ca="1">'Balance Sheet'!E22-'Balance Sheet'!D22</f>
        <v>3497.9951672026291</v>
      </c>
      <c r="D12" s="32">
        <f ca="1">'Balance Sheet'!F22-'Balance Sheet'!E22</f>
        <v>3783.703381742358</v>
      </c>
    </row>
    <row r="13" spans="2:4" x14ac:dyDescent="0.25">
      <c r="B13" t="s">
        <v>97</v>
      </c>
      <c r="C13" s="32">
        <f ca="1">-'Fixed Assets'!F20</f>
        <v>-2138.1951051969272</v>
      </c>
      <c r="D13" s="32">
        <f ca="1">-'Fixed Assets'!G20</f>
        <v>-2326.2067099896035</v>
      </c>
    </row>
    <row r="14" spans="2:4" x14ac:dyDescent="0.25">
      <c r="B14" t="s">
        <v>98</v>
      </c>
      <c r="C14" s="32">
        <f ca="1">'Balance Sheet'!E29-'Balance Sheet'!D29</f>
        <v>3912.4211168692491</v>
      </c>
      <c r="D14" s="32">
        <f ca="1">'Balance Sheet'!F29-'Balance Sheet'!E29</f>
        <v>4785.3047239585503</v>
      </c>
    </row>
    <row r="15" spans="2:4" x14ac:dyDescent="0.25">
      <c r="B15" s="27" t="s">
        <v>99</v>
      </c>
      <c r="C15" s="34">
        <f ca="1">SUM(C4:C14)</f>
        <v>108727.50539657249</v>
      </c>
      <c r="D15" s="34">
        <f ca="1">SUM(D4:D14)</f>
        <v>123862.85432649177</v>
      </c>
    </row>
    <row r="17" spans="2:4" x14ac:dyDescent="0.25">
      <c r="B17" t="s">
        <v>100</v>
      </c>
      <c r="C17" s="32">
        <f ca="1">-'Fixed Assets'!F5</f>
        <v>-42693.531103154382</v>
      </c>
      <c r="D17" s="32">
        <f ca="1">-'Fixed Assets'!G5</f>
        <v>-48575.187263299304</v>
      </c>
    </row>
    <row r="18" spans="2:4" x14ac:dyDescent="0.25">
      <c r="B18" s="27" t="s">
        <v>101</v>
      </c>
      <c r="C18" s="34">
        <f ca="1">C17</f>
        <v>-42693.531103154382</v>
      </c>
      <c r="D18" s="34">
        <f ca="1">D17</f>
        <v>-48575.187263299304</v>
      </c>
    </row>
    <row r="20" spans="2:4" x14ac:dyDescent="0.25">
      <c r="B20" t="s">
        <v>102</v>
      </c>
      <c r="C20" s="32">
        <f>'Retained Earnings'!F6</f>
        <v>-5121</v>
      </c>
      <c r="D20" s="32">
        <f>'Retained Earnings'!G6</f>
        <v>-5121</v>
      </c>
    </row>
    <row r="21" spans="2:4" x14ac:dyDescent="0.25">
      <c r="B21" t="s">
        <v>125</v>
      </c>
      <c r="C21" s="32">
        <f>'Retained Earnings'!F7</f>
        <v>-29754</v>
      </c>
      <c r="D21" s="32">
        <f>'Retained Earnings'!G7</f>
        <v>-29754</v>
      </c>
    </row>
    <row r="22" spans="2:4" x14ac:dyDescent="0.25">
      <c r="B22" t="s">
        <v>126</v>
      </c>
      <c r="C22" s="32">
        <f>'Retained Earnings'!F8</f>
        <v>-7049</v>
      </c>
      <c r="D22" s="32">
        <f>'Retained Earnings'!G8</f>
        <v>-7049</v>
      </c>
    </row>
    <row r="23" spans="2:4" x14ac:dyDescent="0.25">
      <c r="B23" t="s">
        <v>103</v>
      </c>
      <c r="C23" s="32">
        <f>'Balance Sheet'!E26-'Balance Sheet'!D26</f>
        <v>0</v>
      </c>
      <c r="D23" s="32">
        <f>'Balance Sheet'!F26-'Balance Sheet'!E26</f>
        <v>0</v>
      </c>
    </row>
    <row r="24" spans="2:4" x14ac:dyDescent="0.25">
      <c r="B24" s="29" t="s">
        <v>104</v>
      </c>
      <c r="C24" s="29">
        <f>SUM(C20:C23)</f>
        <v>-41924</v>
      </c>
      <c r="D24" s="29">
        <f>SUM(D20:D23)</f>
        <v>-41924</v>
      </c>
    </row>
    <row r="25" spans="2:4" x14ac:dyDescent="0.25">
      <c r="B25" s="31" t="s">
        <v>105</v>
      </c>
      <c r="C25" s="36">
        <f ca="1">C15+C18+C24</f>
        <v>24109.974293418112</v>
      </c>
      <c r="D25" s="36">
        <f ca="1">D15+D18+D24</f>
        <v>33363.667063192464</v>
      </c>
    </row>
  </sheetData>
  <mergeCells count="1">
    <mergeCell ref="C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B1418-9C8F-4178-8879-87E0F18E5005}">
  <dimension ref="B2:L48"/>
  <sheetViews>
    <sheetView tabSelected="1" workbookViewId="0">
      <selection activeCell="D18" sqref="D18"/>
    </sheetView>
  </sheetViews>
  <sheetFormatPr defaultRowHeight="15" x14ac:dyDescent="0.25"/>
  <cols>
    <col min="2" max="2" width="38.85546875" bestFit="1" customWidth="1"/>
    <col min="3" max="3" width="18.85546875" bestFit="1" customWidth="1"/>
    <col min="8" max="8" width="10.28515625" bestFit="1" customWidth="1"/>
  </cols>
  <sheetData>
    <row r="2" spans="2:12" ht="26.25" x14ac:dyDescent="0.4">
      <c r="B2" s="13" t="str">
        <f>"Three Statement Model "&amp;C4</f>
        <v>Three Statement Model Meta Platforms, Inc.</v>
      </c>
      <c r="C2" s="13"/>
      <c r="D2" s="13"/>
      <c r="E2" s="13"/>
      <c r="F2" s="13"/>
      <c r="G2" s="14"/>
      <c r="H2" s="14"/>
      <c r="I2" s="14"/>
      <c r="J2" s="14"/>
      <c r="K2" s="14"/>
      <c r="L2" s="14"/>
    </row>
    <row r="4" spans="2:12" x14ac:dyDescent="0.25">
      <c r="B4" s="57" t="s">
        <v>55</v>
      </c>
      <c r="C4" s="12" t="s">
        <v>58</v>
      </c>
    </row>
    <row r="5" spans="2:12" x14ac:dyDescent="0.25">
      <c r="B5" s="57" t="s">
        <v>56</v>
      </c>
      <c r="C5" s="12" t="s">
        <v>57</v>
      </c>
    </row>
    <row r="6" spans="2:12" x14ac:dyDescent="0.25">
      <c r="B6" s="57" t="s">
        <v>128</v>
      </c>
      <c r="C6" s="12">
        <v>1</v>
      </c>
    </row>
    <row r="7" spans="2:12" x14ac:dyDescent="0.25">
      <c r="B7" s="57" t="s">
        <v>86</v>
      </c>
      <c r="C7" s="12" t="s">
        <v>1</v>
      </c>
    </row>
    <row r="8" spans="2:12" x14ac:dyDescent="0.25">
      <c r="B8" s="58" t="s">
        <v>88</v>
      </c>
      <c r="C8" s="12" t="s">
        <v>81</v>
      </c>
    </row>
    <row r="10" spans="2:12" x14ac:dyDescent="0.25">
      <c r="B10" s="24" t="s">
        <v>59</v>
      </c>
      <c r="C10" s="24"/>
      <c r="D10" s="24"/>
      <c r="E10" s="24"/>
      <c r="F10" s="24"/>
      <c r="G10" s="24"/>
    </row>
    <row r="11" spans="2:12" x14ac:dyDescent="0.25">
      <c r="B11" s="24" t="s">
        <v>68</v>
      </c>
      <c r="C11" s="24">
        <v>2022</v>
      </c>
      <c r="D11" s="24">
        <f>C11+1</f>
        <v>2023</v>
      </c>
      <c r="E11" s="24">
        <f>D11+1</f>
        <v>2024</v>
      </c>
      <c r="F11" s="24">
        <f>E11+1</f>
        <v>2025</v>
      </c>
      <c r="G11" s="24">
        <f>F11+1</f>
        <v>2026</v>
      </c>
    </row>
    <row r="12" spans="2:12" x14ac:dyDescent="0.25">
      <c r="B12" s="17" t="s">
        <v>37</v>
      </c>
      <c r="C12" s="32" cm="1">
        <f t="array" ref="C12:E12">INDEX('Income Statement - Data'!$B$23:$D$36,MATCH('Income Statement'!B12,'Income Statement - Data'!$A$23:$A$36,0),MATCH('Income Statement'!$C$11:$E$11,'Income Statement - Data'!$B$22:$D$22,0))</f>
        <v>116609</v>
      </c>
      <c r="D12" s="32">
        <v>134902</v>
      </c>
      <c r="E12" s="32">
        <v>164501</v>
      </c>
      <c r="F12" s="32">
        <f ca="1">E12*(1+F28)</f>
        <v>188509.99999999997</v>
      </c>
      <c r="G12" s="32">
        <f ca="1">F12*(1+G28)</f>
        <v>214479.99999999994</v>
      </c>
      <c r="I12" s="32"/>
    </row>
    <row r="13" spans="2:12" x14ac:dyDescent="0.25">
      <c r="B13" s="35" t="s">
        <v>62</v>
      </c>
      <c r="C13" s="33"/>
      <c r="D13" s="33"/>
      <c r="E13" s="33"/>
      <c r="F13" s="33"/>
      <c r="G13" s="33"/>
    </row>
    <row r="14" spans="2:12" x14ac:dyDescent="0.25">
      <c r="B14" s="17" t="s">
        <v>67</v>
      </c>
      <c r="C14" s="32" cm="1">
        <f t="array" ref="C14:E14">IF($C$6=1,INDEX('Income Statement - Data'!$B$23:$D$36,MATCH('Income Statement'!B14,'Income Statement - Data'!$A$23:$A$36,0),MATCH('Income Statement'!$C$11:$E$11,'Income Statement - Data'!$B$22:$D$22,0)),0)</f>
        <v>25249</v>
      </c>
      <c r="D14" s="32">
        <v>25959</v>
      </c>
      <c r="E14" s="32">
        <v>30161</v>
      </c>
      <c r="F14" s="32">
        <f ca="1">F12*F33</f>
        <v>34563.012443693347</v>
      </c>
      <c r="G14" s="32">
        <f ca="1">G12*G33</f>
        <v>39324.571157622137</v>
      </c>
    </row>
    <row r="15" spans="2:12" x14ac:dyDescent="0.25">
      <c r="B15" s="17" t="s">
        <v>63</v>
      </c>
      <c r="C15" s="32" cm="1">
        <f t="array" ref="C15:E15">INDEX('Income Statement - Data'!$B$23:$D$36,MATCH('Income Statement'!B15,'Income Statement - Data'!$A$23:$A$36,0),MATCH('Income Statement'!$C$11:$E$11,'Income Statement - Data'!$B$22:$D$22,0))</f>
        <v>35338</v>
      </c>
      <c r="D15" s="32">
        <v>38483</v>
      </c>
      <c r="E15" s="32">
        <v>43873</v>
      </c>
      <c r="F15" s="32">
        <f ca="1">F12*F38</f>
        <v>50276.285432915298</v>
      </c>
      <c r="G15" s="32">
        <f ca="1">G12*G38</f>
        <v>57202.576519291666</v>
      </c>
    </row>
    <row r="16" spans="2:12" x14ac:dyDescent="0.25">
      <c r="B16" s="17" t="s">
        <v>64</v>
      </c>
      <c r="C16" s="32" cm="1">
        <f t="array" ref="C16:E16">INDEX('Income Statement - Data'!$B$23:$D$36,MATCH('Income Statement'!B16,'Income Statement - Data'!$A$23:$A$36,0),MATCH('Income Statement'!$C$11:$E$11,'Income Statement - Data'!$B$22:$D$22,0))</f>
        <v>27078</v>
      </c>
      <c r="D16" s="32">
        <v>23709</v>
      </c>
      <c r="E16" s="32">
        <v>21087</v>
      </c>
      <c r="F16" s="32">
        <f ca="1">F43*F12</f>
        <v>24164.657783235358</v>
      </c>
      <c r="G16" s="32">
        <f ca="1">G43*G12</f>
        <v>27493.691588500973</v>
      </c>
    </row>
    <row r="17" spans="2:8" x14ac:dyDescent="0.25">
      <c r="B17" s="17" t="s">
        <v>65</v>
      </c>
      <c r="C17" s="32" cm="1">
        <f t="array" ref="C17:E17">INDEX('Income Statement - Data'!$B$23:$D$36,MATCH('Income Statement'!B17,'Income Statement - Data'!$A$23:$A$36,0),MATCH('Income Statement'!$C$11:$E$11,'Income Statement - Data'!$B$22:$D$22,0))</f>
        <v>87665</v>
      </c>
      <c r="D17" s="32">
        <v>88151</v>
      </c>
      <c r="E17" s="32">
        <v>95121</v>
      </c>
      <c r="F17" s="32">
        <f ca="1">SUM(F14:F16)</f>
        <v>109003.95565984401</v>
      </c>
      <c r="G17" s="32">
        <f ca="1">SUM(G14:G16)</f>
        <v>124020.83926541478</v>
      </c>
    </row>
    <row r="18" spans="2:8" x14ac:dyDescent="0.25">
      <c r="B18" s="26" t="s">
        <v>69</v>
      </c>
      <c r="C18" s="34">
        <f>C20+C19</f>
        <v>37630</v>
      </c>
      <c r="D18" s="34">
        <f t="shared" ref="D18:E18" si="0">D20+D19</f>
        <v>57929</v>
      </c>
      <c r="E18" s="34">
        <f t="shared" si="0"/>
        <v>84878</v>
      </c>
      <c r="F18" s="34">
        <f t="shared" ref="F18" ca="1" si="1">F20+F19</f>
        <v>97265.984887629835</v>
      </c>
      <c r="G18" s="34">
        <f t="shared" ref="G18" ca="1" si="2">G20+G19</f>
        <v>110665.79194047449</v>
      </c>
    </row>
    <row r="19" spans="2:8" x14ac:dyDescent="0.25">
      <c r="B19" s="17" t="s">
        <v>70</v>
      </c>
      <c r="C19" s="37">
        <v>8686</v>
      </c>
      <c r="D19" s="37">
        <v>11178</v>
      </c>
      <c r="E19" s="37">
        <v>15498</v>
      </c>
      <c r="F19" s="37">
        <f ca="1">'Fixed Assets'!F15</f>
        <v>17759.940547473871</v>
      </c>
      <c r="G19" s="37">
        <f ca="1">'Fixed Assets'!G15</f>
        <v>20206.631205889324</v>
      </c>
    </row>
    <row r="20" spans="2:8" x14ac:dyDescent="0.25">
      <c r="B20" s="26" t="s">
        <v>71</v>
      </c>
      <c r="C20" s="34">
        <f>C12-C17</f>
        <v>28944</v>
      </c>
      <c r="D20" s="34">
        <f t="shared" ref="D20:E20" si="3">D12-D17</f>
        <v>46751</v>
      </c>
      <c r="E20" s="34">
        <f t="shared" si="3"/>
        <v>69380</v>
      </c>
      <c r="F20" s="34">
        <f ca="1">F12-F17</f>
        <v>79506.044340155961</v>
      </c>
      <c r="G20" s="34">
        <f ca="1">G12-G17</f>
        <v>90459.160734585166</v>
      </c>
    </row>
    <row r="21" spans="2:8" x14ac:dyDescent="0.25">
      <c r="B21" s="5" t="s">
        <v>45</v>
      </c>
      <c r="C21" s="32" cm="1">
        <f t="array" ref="C21:E21">INDEX('Income Statement - Data'!$B$23:$D$36,MATCH('Income Statement'!B21,'Income Statement - Data'!$A$23:$A$36,0),MATCH('Income Statement'!$C$11:$E$11,'Income Statement - Data'!$B$22:$D$22,0))</f>
        <v>-125</v>
      </c>
      <c r="D21" s="32">
        <v>677</v>
      </c>
      <c r="E21" s="32">
        <v>1283</v>
      </c>
      <c r="F21" s="32">
        <f>E21</f>
        <v>1283</v>
      </c>
      <c r="G21" s="32">
        <f>F21</f>
        <v>1283</v>
      </c>
    </row>
    <row r="22" spans="2:8" x14ac:dyDescent="0.25">
      <c r="B22" s="26" t="s">
        <v>72</v>
      </c>
      <c r="C22" s="34">
        <f>C20+C21</f>
        <v>28819</v>
      </c>
      <c r="D22" s="34">
        <f t="shared" ref="D22:E22" si="4">D20+D21</f>
        <v>47428</v>
      </c>
      <c r="E22" s="34">
        <f>E20+E21</f>
        <v>70663</v>
      </c>
      <c r="F22" s="34">
        <f ca="1">F20+F21</f>
        <v>80789.044340155961</v>
      </c>
      <c r="G22" s="34">
        <f ca="1">G20+G21</f>
        <v>91742.160734585166</v>
      </c>
    </row>
    <row r="23" spans="2:8" x14ac:dyDescent="0.25">
      <c r="B23" s="17" t="s">
        <v>47</v>
      </c>
      <c r="C23" s="32" cm="1">
        <f t="array" ref="C23:E23">INDEX('Income Statement - Data'!$B$23:$D$36,MATCH('Income Statement'!B23,'Income Statement - Data'!$A$23:$A$36,0),MATCH('Income Statement'!$C$11:$E$11,'Income Statement - Data'!$B$22:$D$22,0))</f>
        <v>5619</v>
      </c>
      <c r="D23" s="32">
        <v>8330</v>
      </c>
      <c r="E23" s="32">
        <v>8303</v>
      </c>
      <c r="F23" s="32">
        <f ca="1">F22*F48</f>
        <v>13144.688901006875</v>
      </c>
      <c r="G23" s="32">
        <f ca="1">G22*G48</f>
        <v>14926.803155200716</v>
      </c>
    </row>
    <row r="24" spans="2:8" x14ac:dyDescent="0.25">
      <c r="B24" s="30" t="s">
        <v>66</v>
      </c>
      <c r="C24" s="36" cm="1">
        <f t="array" ref="C24:E24">INDEX('Income Statement - Data'!$B$23:$D$36,MATCH('Income Statement'!B24,'Income Statement - Data'!$A$23:$A$36,0),MATCH('Income Statement'!$C$11:$E$11,'Income Statement - Data'!$B$22:$D$22,0))</f>
        <v>23200</v>
      </c>
      <c r="D24" s="36">
        <v>39098</v>
      </c>
      <c r="E24" s="36">
        <v>62360</v>
      </c>
      <c r="F24" s="36">
        <f ca="1">F22-F23</f>
        <v>67644.355439149091</v>
      </c>
      <c r="G24" s="36">
        <f ca="1">G22-G23</f>
        <v>76815.35757938445</v>
      </c>
    </row>
    <row r="26" spans="2:8" x14ac:dyDescent="0.25">
      <c r="B26" s="48" t="s">
        <v>78</v>
      </c>
      <c r="C26" s="49"/>
      <c r="D26" s="49"/>
      <c r="E26" s="49"/>
      <c r="F26" s="49"/>
      <c r="G26" s="49"/>
      <c r="H26" s="48" t="s">
        <v>81</v>
      </c>
    </row>
    <row r="27" spans="2:8" x14ac:dyDescent="0.25">
      <c r="B27" s="59" t="s">
        <v>79</v>
      </c>
      <c r="C27" s="59"/>
      <c r="D27" s="59"/>
      <c r="E27" s="59"/>
      <c r="F27" s="59"/>
      <c r="G27" s="59"/>
      <c r="H27" s="59" t="s">
        <v>87</v>
      </c>
    </row>
    <row r="28" spans="2:8" s="25" customFormat="1" x14ac:dyDescent="0.25">
      <c r="B28" s="48" t="s">
        <v>83</v>
      </c>
      <c r="C28" s="48"/>
      <c r="D28" s="48"/>
      <c r="E28" s="48"/>
      <c r="F28" s="56">
        <f ca="1">OFFSET(F28,MATCH($C$8,$B29:$B31,0),)</f>
        <v>0.14595048054419113</v>
      </c>
      <c r="G28" s="56">
        <f ca="1">OFFSET(G28,MATCH($C$8,$B29:$B31,0),)</f>
        <v>0.1377645748236167</v>
      </c>
      <c r="H28" s="48"/>
    </row>
    <row r="29" spans="2:8" x14ac:dyDescent="0.25">
      <c r="B29" s="50" t="s">
        <v>80</v>
      </c>
      <c r="C29" s="50"/>
      <c r="D29" s="51">
        <f>D$12/C$12-1</f>
        <v>0.15687468377226454</v>
      </c>
      <c r="E29" s="51">
        <f>E$12/D$12-1</f>
        <v>0.21941112807816054</v>
      </c>
      <c r="F29" s="51">
        <f>F30+$H$29</f>
        <v>0.17595048054419113</v>
      </c>
      <c r="G29" s="51">
        <f>G30+$H$29</f>
        <v>0.1677645748236167</v>
      </c>
      <c r="H29" s="53">
        <v>0.03</v>
      </c>
    </row>
    <row r="30" spans="2:8" x14ac:dyDescent="0.25">
      <c r="B30" s="50" t="s">
        <v>81</v>
      </c>
      <c r="C30" s="50"/>
      <c r="D30" s="51">
        <f t="shared" ref="D30:E31" si="5">D$12/C$12-1</f>
        <v>0.15687468377226454</v>
      </c>
      <c r="E30" s="51">
        <f t="shared" si="5"/>
        <v>0.21941112807816054</v>
      </c>
      <c r="F30" s="52">
        <v>0.14595048054419113</v>
      </c>
      <c r="G30" s="52">
        <v>0.1377645748236167</v>
      </c>
      <c r="H30" s="54"/>
    </row>
    <row r="31" spans="2:8" x14ac:dyDescent="0.25">
      <c r="B31" s="50" t="s">
        <v>82</v>
      </c>
      <c r="C31" s="50"/>
      <c r="D31" s="51">
        <f t="shared" si="5"/>
        <v>0.15687468377226454</v>
      </c>
      <c r="E31" s="51">
        <f t="shared" si="5"/>
        <v>0.21941112807816054</v>
      </c>
      <c r="F31" s="51">
        <f>F30+$H$31</f>
        <v>0.11595048054419113</v>
      </c>
      <c r="G31" s="51">
        <f>G30+$H$31</f>
        <v>0.1077645748236167</v>
      </c>
      <c r="H31" s="53">
        <v>-0.03</v>
      </c>
    </row>
    <row r="32" spans="2:8" x14ac:dyDescent="0.25">
      <c r="B32" s="59" t="s">
        <v>89</v>
      </c>
      <c r="C32" s="59"/>
      <c r="D32" s="60"/>
      <c r="E32" s="60"/>
      <c r="F32" s="60"/>
      <c r="G32" s="60"/>
      <c r="H32" s="61"/>
    </row>
    <row r="33" spans="2:8" x14ac:dyDescent="0.25">
      <c r="B33" s="48" t="s">
        <v>83</v>
      </c>
      <c r="C33" s="50"/>
      <c r="D33" s="51"/>
      <c r="E33" s="51"/>
      <c r="F33" s="56">
        <f ca="1">OFFSET(F33,MATCH($C$8,$B34:$B36,0),)</f>
        <v>0.18334842949282984</v>
      </c>
      <c r="G33" s="56">
        <f ca="1">OFFSET(G33,MATCH($C$8,$B34:$B36,0),)</f>
        <v>0.18334842949282984</v>
      </c>
      <c r="H33" s="53"/>
    </row>
    <row r="34" spans="2:8" x14ac:dyDescent="0.25">
      <c r="B34" s="50" t="s">
        <v>80</v>
      </c>
      <c r="C34" s="51">
        <f>C$14/C$12</f>
        <v>0.21652702621581524</v>
      </c>
      <c r="D34" s="51">
        <f t="shared" ref="D34:E34" si="6">D$14/D$12</f>
        <v>0.19242857778239017</v>
      </c>
      <c r="E34" s="51">
        <f t="shared" si="6"/>
        <v>0.18334842949282984</v>
      </c>
      <c r="F34" s="51">
        <f>F35+$H$34</f>
        <v>0.15334842949282984</v>
      </c>
      <c r="G34" s="51">
        <f>G35+$H$34</f>
        <v>0.15334842949282984</v>
      </c>
      <c r="H34" s="53">
        <v>-0.03</v>
      </c>
    </row>
    <row r="35" spans="2:8" x14ac:dyDescent="0.25">
      <c r="B35" s="50" t="s">
        <v>81</v>
      </c>
      <c r="C35" s="51">
        <f t="shared" ref="C35:E36" si="7">C$14/C$12</f>
        <v>0.21652702621581524</v>
      </c>
      <c r="D35" s="51">
        <f t="shared" si="7"/>
        <v>0.19242857778239017</v>
      </c>
      <c r="E35" s="51">
        <f t="shared" si="7"/>
        <v>0.18334842949282984</v>
      </c>
      <c r="F35" s="51">
        <f>E35</f>
        <v>0.18334842949282984</v>
      </c>
      <c r="G35" s="51">
        <f>F35</f>
        <v>0.18334842949282984</v>
      </c>
      <c r="H35" s="53"/>
    </row>
    <row r="36" spans="2:8" x14ac:dyDescent="0.25">
      <c r="B36" s="50" t="s">
        <v>82</v>
      </c>
      <c r="C36" s="51">
        <f t="shared" si="7"/>
        <v>0.21652702621581524</v>
      </c>
      <c r="D36" s="51">
        <f t="shared" si="7"/>
        <v>0.19242857778239017</v>
      </c>
      <c r="E36" s="51">
        <f t="shared" si="7"/>
        <v>0.18334842949282984</v>
      </c>
      <c r="F36" s="51">
        <f>F35+$H$36</f>
        <v>0.21334842949282984</v>
      </c>
      <c r="G36" s="51">
        <f>G35+$H$36</f>
        <v>0.21334842949282984</v>
      </c>
      <c r="H36" s="53">
        <v>0.03</v>
      </c>
    </row>
    <row r="37" spans="2:8" x14ac:dyDescent="0.25">
      <c r="B37" s="59" t="s">
        <v>84</v>
      </c>
      <c r="C37" s="59"/>
      <c r="D37" s="59"/>
      <c r="E37" s="59"/>
      <c r="F37" s="60"/>
      <c r="G37" s="60"/>
      <c r="H37" s="62"/>
    </row>
    <row r="38" spans="2:8" s="25" customFormat="1" x14ac:dyDescent="0.25">
      <c r="B38" s="48" t="s">
        <v>83</v>
      </c>
      <c r="C38" s="48"/>
      <c r="D38" s="48"/>
      <c r="E38" s="48"/>
      <c r="F38" s="56">
        <f ca="1">OFFSET(F38,MATCH($C$8,$B39:$B41,0),)</f>
        <v>0.26670354587510109</v>
      </c>
      <c r="G38" s="56">
        <f ca="1">OFFSET(G38,MATCH($C$8,$B39:$B41,0),)</f>
        <v>0.26670354587510109</v>
      </c>
      <c r="H38" s="55"/>
    </row>
    <row r="39" spans="2:8" x14ac:dyDescent="0.25">
      <c r="B39" s="50" t="s">
        <v>80</v>
      </c>
      <c r="C39" s="51">
        <f>C$15/C$12</f>
        <v>0.30304693462768739</v>
      </c>
      <c r="D39" s="51">
        <f t="shared" ref="D39:E39" si="8">D$15/D$12</f>
        <v>0.28526634149234259</v>
      </c>
      <c r="E39" s="51">
        <f t="shared" si="8"/>
        <v>0.26670354587510109</v>
      </c>
      <c r="F39" s="51">
        <f>F40+$H$39</f>
        <v>0.23670354587510109</v>
      </c>
      <c r="G39" s="51">
        <f>G40+$H$39</f>
        <v>0.23670354587510109</v>
      </c>
      <c r="H39" s="53">
        <v>-0.03</v>
      </c>
    </row>
    <row r="40" spans="2:8" x14ac:dyDescent="0.25">
      <c r="B40" s="50" t="s">
        <v>81</v>
      </c>
      <c r="C40" s="51">
        <f t="shared" ref="C40:E41" si="9">C$15/C$12</f>
        <v>0.30304693462768739</v>
      </c>
      <c r="D40" s="51">
        <f t="shared" si="9"/>
        <v>0.28526634149234259</v>
      </c>
      <c r="E40" s="51">
        <f t="shared" si="9"/>
        <v>0.26670354587510109</v>
      </c>
      <c r="F40" s="51">
        <f>E40</f>
        <v>0.26670354587510109</v>
      </c>
      <c r="G40" s="51">
        <f>F40</f>
        <v>0.26670354587510109</v>
      </c>
      <c r="H40" s="54"/>
    </row>
    <row r="41" spans="2:8" x14ac:dyDescent="0.25">
      <c r="B41" s="50" t="s">
        <v>82</v>
      </c>
      <c r="C41" s="51">
        <f t="shared" si="9"/>
        <v>0.30304693462768739</v>
      </c>
      <c r="D41" s="51">
        <f t="shared" si="9"/>
        <v>0.28526634149234259</v>
      </c>
      <c r="E41" s="51">
        <f t="shared" si="9"/>
        <v>0.26670354587510109</v>
      </c>
      <c r="F41" s="51">
        <f>F40+$H$41</f>
        <v>0.29670354587510106</v>
      </c>
      <c r="G41" s="51">
        <f>G40+$H$41</f>
        <v>0.29670354587510106</v>
      </c>
      <c r="H41" s="53">
        <v>0.03</v>
      </c>
    </row>
    <row r="42" spans="2:8" x14ac:dyDescent="0.25">
      <c r="B42" s="59" t="s">
        <v>85</v>
      </c>
      <c r="C42" s="59"/>
      <c r="D42" s="59"/>
      <c r="E42" s="59"/>
      <c r="F42" s="60"/>
      <c r="G42" s="60"/>
      <c r="H42" s="62"/>
    </row>
    <row r="43" spans="2:8" s="25" customFormat="1" x14ac:dyDescent="0.25">
      <c r="B43" s="48" t="s">
        <v>83</v>
      </c>
      <c r="C43" s="48"/>
      <c r="D43" s="48"/>
      <c r="E43" s="48"/>
      <c r="F43" s="56">
        <f ca="1">OFFSET(F43,MATCH($C$8,$B44:$B46,0),)</f>
        <v>0.12818767059166813</v>
      </c>
      <c r="G43" s="56">
        <f ca="1">OFFSET(G43,MATCH($C$8,$B44:$B46,0),)</f>
        <v>0.12818767059166813</v>
      </c>
      <c r="H43" s="55"/>
    </row>
    <row r="44" spans="2:8" x14ac:dyDescent="0.25">
      <c r="B44" s="50" t="s">
        <v>80</v>
      </c>
      <c r="C44" s="51">
        <f>C$16/C$12</f>
        <v>0.2322119218928213</v>
      </c>
      <c r="D44" s="51">
        <f t="shared" ref="D44:E44" si="10">D$16/D$12</f>
        <v>0.17574980356110362</v>
      </c>
      <c r="E44" s="51">
        <f t="shared" si="10"/>
        <v>0.12818767059166813</v>
      </c>
      <c r="F44" s="51">
        <f>F45+$H$44</f>
        <v>9.8187670591668136E-2</v>
      </c>
      <c r="G44" s="51">
        <f>G45+$H$44</f>
        <v>9.8187670591668136E-2</v>
      </c>
      <c r="H44" s="53">
        <v>-0.03</v>
      </c>
    </row>
    <row r="45" spans="2:8" x14ac:dyDescent="0.25">
      <c r="B45" s="50" t="s">
        <v>81</v>
      </c>
      <c r="C45" s="51">
        <f t="shared" ref="C45:E46" si="11">C$16/C$12</f>
        <v>0.2322119218928213</v>
      </c>
      <c r="D45" s="51">
        <f t="shared" si="11"/>
        <v>0.17574980356110362</v>
      </c>
      <c r="E45" s="51">
        <f t="shared" si="11"/>
        <v>0.12818767059166813</v>
      </c>
      <c r="F45" s="51">
        <f>E45</f>
        <v>0.12818767059166813</v>
      </c>
      <c r="G45" s="51">
        <f>F45</f>
        <v>0.12818767059166813</v>
      </c>
      <c r="H45" s="54"/>
    </row>
    <row r="46" spans="2:8" x14ac:dyDescent="0.25">
      <c r="B46" s="50" t="s">
        <v>82</v>
      </c>
      <c r="C46" s="51">
        <f t="shared" si="11"/>
        <v>0.2322119218928213</v>
      </c>
      <c r="D46" s="51">
        <f t="shared" si="11"/>
        <v>0.17574980356110362</v>
      </c>
      <c r="E46" s="51">
        <f t="shared" si="11"/>
        <v>0.12818767059166813</v>
      </c>
      <c r="F46" s="51">
        <f>F45+$H$46</f>
        <v>0.15818767059166813</v>
      </c>
      <c r="G46" s="51">
        <f>G45+$H$46</f>
        <v>0.15818767059166813</v>
      </c>
      <c r="H46" s="53">
        <v>0.03</v>
      </c>
    </row>
    <row r="47" spans="2:8" x14ac:dyDescent="0.25">
      <c r="B47" s="50"/>
      <c r="C47" s="50"/>
      <c r="D47" s="50"/>
      <c r="E47" s="50"/>
      <c r="F47" s="50"/>
      <c r="G47" s="50"/>
      <c r="H47" s="50"/>
    </row>
    <row r="48" spans="2:8" x14ac:dyDescent="0.25">
      <c r="B48" s="48" t="s">
        <v>127</v>
      </c>
      <c r="C48" s="56">
        <f>C23/C22</f>
        <v>0.19497553697213643</v>
      </c>
      <c r="D48" s="56">
        <f t="shared" ref="D48:E48" si="12">D23/D22</f>
        <v>0.17563464620055663</v>
      </c>
      <c r="E48" s="56">
        <f t="shared" si="12"/>
        <v>0.11750137978857393</v>
      </c>
      <c r="F48" s="56">
        <v>0.16270385432042234</v>
      </c>
      <c r="G48" s="56">
        <v>0.16270385432042234</v>
      </c>
      <c r="H48" s="56"/>
    </row>
  </sheetData>
  <mergeCells count="1">
    <mergeCell ref="B2:F2"/>
  </mergeCells>
  <dataValidations count="2">
    <dataValidation type="list" allowBlank="1" showInputMessage="1" showErrorMessage="1" sqref="C8" xr:uid="{84358B6C-8F7C-4E76-8249-39C80275E69A}">
      <formula1>"Best Case,Base Case,Worst Case"</formula1>
    </dataValidation>
    <dataValidation type="list" allowBlank="1" showInputMessage="1" showErrorMessage="1" sqref="C6" xr:uid="{C86A87A1-55EE-4B55-A3E9-69A2F88E4F88}">
      <formula1>"0,1"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370B2-C3EA-4031-A660-935425A6C473}">
  <dimension ref="B2:H43"/>
  <sheetViews>
    <sheetView workbookViewId="0">
      <selection activeCell="E11" sqref="E11:F11"/>
    </sheetView>
  </sheetViews>
  <sheetFormatPr defaultRowHeight="15" x14ac:dyDescent="0.25"/>
  <cols>
    <col min="2" max="2" width="46.85546875" customWidth="1"/>
    <col min="3" max="4" width="12.5703125" bestFit="1" customWidth="1"/>
  </cols>
  <sheetData>
    <row r="2" spans="2:8" x14ac:dyDescent="0.25">
      <c r="B2" s="24" t="s">
        <v>73</v>
      </c>
      <c r="C2" s="24"/>
      <c r="D2" s="24"/>
      <c r="E2" s="24"/>
      <c r="F2" s="24"/>
    </row>
    <row r="3" spans="2:8" x14ac:dyDescent="0.25">
      <c r="B3" s="24" t="s">
        <v>68</v>
      </c>
      <c r="C3" s="40">
        <v>45291</v>
      </c>
      <c r="D3" s="42">
        <v>45657</v>
      </c>
      <c r="E3" s="42">
        <f>EDATE(D3,12)</f>
        <v>46022</v>
      </c>
      <c r="F3" s="42">
        <f>EDATE(E3,12)</f>
        <v>46387</v>
      </c>
    </row>
    <row r="4" spans="2:8" x14ac:dyDescent="0.25">
      <c r="B4" t="s">
        <v>3</v>
      </c>
      <c r="C4" s="32" t="str" cm="1">
        <f t="array" ref="C4:D4">INDEX('Balance Sheet - Data'!$B$2:$C$31,MATCH('Balance Sheet'!B4,'Balance Sheet - Data'!$A$2:$A$31,0),MATCH('Balance Sheet'!$C$3:$D$3,'Balance Sheet - Data'!$B$1:$C$1,0))</f>
        <v> </v>
      </c>
      <c r="D4" s="32" t="str">
        <v> </v>
      </c>
      <c r="E4" s="32"/>
      <c r="F4" s="32"/>
    </row>
    <row r="5" spans="2:8" x14ac:dyDescent="0.25">
      <c r="B5" s="44" t="s">
        <v>5</v>
      </c>
      <c r="C5" s="32" cm="1">
        <f t="array" ref="C5:D5">INDEX('Balance Sheet - Data'!$B$2:$C$31,MATCH('Balance Sheet'!B5,'Balance Sheet - Data'!$A$2:$A$31,0),MATCH('Balance Sheet'!$C$3:$D$3,'Balance Sheet - Data'!$B$1:$C$1,0))</f>
        <v>41862</v>
      </c>
      <c r="D5" s="32">
        <v>43889</v>
      </c>
      <c r="E5" s="32">
        <f ca="1">D5+'Cash Flow Statement'!C25</f>
        <v>67998.974293418112</v>
      </c>
      <c r="F5" s="32">
        <f ca="1">E5+'Cash Flow Statement'!D25</f>
        <v>101362.64135661058</v>
      </c>
      <c r="G5" s="32"/>
      <c r="H5" s="32"/>
    </row>
    <row r="6" spans="2:8" x14ac:dyDescent="0.25">
      <c r="B6" s="44" t="s">
        <v>6</v>
      </c>
      <c r="C6" s="32" cm="1">
        <f t="array" ref="C6:D6">INDEX('Balance Sheet - Data'!$B$2:$C$31,MATCH('Balance Sheet'!B6,'Balance Sheet - Data'!$A$2:$A$31,0),MATCH('Balance Sheet'!$C$3:$D$3,'Balance Sheet - Data'!$B$1:$C$1,0))</f>
        <v>23541</v>
      </c>
      <c r="D6" s="32">
        <v>33926</v>
      </c>
      <c r="E6" s="32">
        <f>D6</f>
        <v>33926</v>
      </c>
      <c r="F6" s="32">
        <f>E6</f>
        <v>33926</v>
      </c>
      <c r="G6" s="32"/>
      <c r="H6" s="32"/>
    </row>
    <row r="7" spans="2:8" x14ac:dyDescent="0.25">
      <c r="B7" s="44" t="s">
        <v>7</v>
      </c>
      <c r="C7" s="32" cm="1">
        <f t="array" ref="C7:D7">INDEX('Balance Sheet - Data'!$B$2:$C$31,MATCH('Balance Sheet'!B7,'Balance Sheet - Data'!$A$2:$A$31,0),MATCH('Balance Sheet'!$C$3:$D$3,'Balance Sheet - Data'!$B$1:$C$1,0))</f>
        <v>16169</v>
      </c>
      <c r="D7" s="32">
        <v>16994</v>
      </c>
      <c r="E7" s="32">
        <f ca="1">D7*(1+'Income Statement'!F28)</f>
        <v>19474.282466367986</v>
      </c>
      <c r="F7" s="32">
        <f ca="1">E7*(1+'Income Statement'!G28)</f>
        <v>22157.148710342186</v>
      </c>
      <c r="G7" s="32"/>
      <c r="H7" s="32"/>
    </row>
    <row r="8" spans="2:8" x14ac:dyDescent="0.25">
      <c r="B8" s="44" t="s">
        <v>8</v>
      </c>
      <c r="C8" s="32" cm="1">
        <f t="array" ref="C8:D8">INDEX('Balance Sheet - Data'!$B$2:$C$31,MATCH('Balance Sheet'!B8,'Balance Sheet - Data'!$A$2:$A$31,0),MATCH('Balance Sheet'!$C$3:$D$3,'Balance Sheet - Data'!$B$1:$C$1,0))</f>
        <v>3793</v>
      </c>
      <c r="D8" s="32">
        <v>5236</v>
      </c>
      <c r="E8" s="32">
        <f>D8</f>
        <v>5236</v>
      </c>
      <c r="F8" s="32">
        <f>E8</f>
        <v>5236</v>
      </c>
      <c r="G8" s="32"/>
      <c r="H8" s="32"/>
    </row>
    <row r="9" spans="2:8" x14ac:dyDescent="0.25">
      <c r="B9" s="35" t="s">
        <v>9</v>
      </c>
      <c r="C9" s="33" cm="1">
        <f t="array" ref="C9:D9">INDEX('Balance Sheet - Data'!$B$2:$C$31,MATCH('Balance Sheet'!B9,'Balance Sheet - Data'!$A$2:$A$31,0),MATCH('Balance Sheet'!$C$3:$D$3,'Balance Sheet - Data'!$B$1:$C$1,0))</f>
        <v>85365</v>
      </c>
      <c r="D9" s="33">
        <v>100045</v>
      </c>
      <c r="E9" s="33">
        <f ca="1">SUM(E5:E8)</f>
        <v>126635.25675978611</v>
      </c>
      <c r="F9" s="33">
        <f ca="1">SUM(F5:F8)</f>
        <v>162681.79006695276</v>
      </c>
      <c r="G9" s="32"/>
      <c r="H9" s="32"/>
    </row>
    <row r="10" spans="2:8" x14ac:dyDescent="0.25">
      <c r="B10" s="39" t="s">
        <v>90</v>
      </c>
      <c r="C10" s="63"/>
      <c r="D10" s="63"/>
      <c r="E10" s="63"/>
      <c r="F10" s="63"/>
      <c r="G10" s="32"/>
      <c r="H10" s="32"/>
    </row>
    <row r="11" spans="2:8" x14ac:dyDescent="0.25">
      <c r="B11" s="44" t="s">
        <v>10</v>
      </c>
      <c r="C11" s="72" cm="1">
        <f t="array" ref="C11:D11">INDEX('Balance Sheet - Data'!$B$2:$C$31,MATCH('Balance Sheet'!B11,'Balance Sheet - Data'!$A$2:$A$31,0),MATCH('Balance Sheet'!$C$3:$D$3,'Balance Sheet - Data'!$B$1:$C$1,0))</f>
        <v>6141</v>
      </c>
      <c r="D11" s="72">
        <v>6070</v>
      </c>
      <c r="E11" s="72">
        <f>D11</f>
        <v>6070</v>
      </c>
      <c r="F11" s="72">
        <f>E11</f>
        <v>6070</v>
      </c>
      <c r="G11" s="32"/>
      <c r="H11" s="32"/>
    </row>
    <row r="12" spans="2:8" x14ac:dyDescent="0.25">
      <c r="B12" s="44" t="s">
        <v>11</v>
      </c>
      <c r="C12" s="32" cm="1">
        <f t="array" ref="C12:D12">INDEX('Balance Sheet - Data'!$B$2:$C$31,MATCH('Balance Sheet'!B12,'Balance Sheet - Data'!$A$2:$A$31,0),MATCH('Balance Sheet'!$C$3:$D$3,'Balance Sheet - Data'!$B$1:$C$1,0))</f>
        <v>96587</v>
      </c>
      <c r="D12" s="32">
        <v>121346</v>
      </c>
      <c r="E12" s="32">
        <f ca="1">'Fixed Assets'!F7</f>
        <v>146517.9482556337</v>
      </c>
      <c r="F12" s="32">
        <f ca="1">'Fixed Assets'!G7</f>
        <v>175157.69926018687</v>
      </c>
      <c r="G12" s="32"/>
      <c r="H12" s="32"/>
    </row>
    <row r="13" spans="2:8" x14ac:dyDescent="0.25">
      <c r="B13" s="44" t="s">
        <v>12</v>
      </c>
      <c r="C13" s="32" cm="1">
        <f t="array" ref="C13:D13">INDEX('Balance Sheet - Data'!$B$2:$C$31,MATCH('Balance Sheet'!B13,'Balance Sheet - Data'!$A$2:$A$31,0),MATCH('Balance Sheet'!$C$3:$D$3,'Balance Sheet - Data'!$B$1:$C$1,0))</f>
        <v>13294</v>
      </c>
      <c r="D13" s="32">
        <v>14922</v>
      </c>
      <c r="E13" s="32">
        <f>D13</f>
        <v>14922</v>
      </c>
      <c r="F13" s="32">
        <f>E13</f>
        <v>14922</v>
      </c>
      <c r="G13" s="32"/>
      <c r="H13" s="32"/>
    </row>
    <row r="14" spans="2:8" x14ac:dyDescent="0.25">
      <c r="B14" s="44" t="s">
        <v>13</v>
      </c>
      <c r="C14" s="32" cm="1">
        <f t="array" ref="C14:D14">INDEX('Balance Sheet - Data'!$B$2:$C$31,MATCH('Balance Sheet'!B14,'Balance Sheet - Data'!$A$2:$A$31,0),MATCH('Balance Sheet'!$C$3:$D$3,'Balance Sheet - Data'!$B$1:$C$1,0))</f>
        <v>20654</v>
      </c>
      <c r="D14" s="32">
        <v>20654</v>
      </c>
      <c r="E14" s="32">
        <f>D14</f>
        <v>20654</v>
      </c>
      <c r="F14" s="32">
        <f>E14</f>
        <v>20654</v>
      </c>
      <c r="G14" s="32"/>
      <c r="H14" s="32"/>
    </row>
    <row r="15" spans="2:8" x14ac:dyDescent="0.25">
      <c r="B15" s="44" t="s">
        <v>14</v>
      </c>
      <c r="C15" s="32" cm="1">
        <f t="array" ref="C15:D15">INDEX('Balance Sheet - Data'!$B$2:$C$31,MATCH('Balance Sheet'!B15,'Balance Sheet - Data'!$A$2:$A$31,0),MATCH('Balance Sheet'!$C$3:$D$3,'Balance Sheet - Data'!$B$1:$C$1,0))</f>
        <v>7582</v>
      </c>
      <c r="D15" s="32">
        <v>13017</v>
      </c>
      <c r="E15" s="32">
        <f ca="1">D15*(1+'Income Statement'!F28)</f>
        <v>14916.837405243736</v>
      </c>
      <c r="F15" s="32">
        <f ca="1">E15*(1+'Income Statement'!G28)</f>
        <v>16971.849168090161</v>
      </c>
      <c r="G15" s="32"/>
      <c r="H15" s="32"/>
    </row>
    <row r="16" spans="2:8" x14ac:dyDescent="0.25">
      <c r="B16" s="45" t="s">
        <v>76</v>
      </c>
      <c r="C16" s="32">
        <f>SUM(C11:C15)</f>
        <v>144258</v>
      </c>
      <c r="D16" s="32">
        <f>SUM(D11:D15)</f>
        <v>176009</v>
      </c>
      <c r="E16" s="32">
        <f ca="1">SUM(E11:E15)</f>
        <v>203080.78566087745</v>
      </c>
      <c r="F16" s="32">
        <f ca="1">SUM(F11:F15)</f>
        <v>233775.54842827702</v>
      </c>
      <c r="G16" s="32"/>
      <c r="H16" s="32"/>
    </row>
    <row r="17" spans="2:8" x14ac:dyDescent="0.25">
      <c r="B17" s="30" t="s">
        <v>15</v>
      </c>
      <c r="C17" s="36" cm="1">
        <f t="array" ref="C17:D17">INDEX('Balance Sheet - Data'!$B$2:$C$31,MATCH('Balance Sheet'!B17,'Balance Sheet - Data'!$A$2:$A$31,0),MATCH('Balance Sheet'!$C$3:$D$3,'Balance Sheet - Data'!$B$1:$C$1,0))</f>
        <v>229623</v>
      </c>
      <c r="D17" s="36">
        <v>276054</v>
      </c>
      <c r="E17" s="36">
        <f ca="1">E16+E9</f>
        <v>329716.04242066352</v>
      </c>
      <c r="F17" s="36">
        <f ca="1">F16+F9</f>
        <v>396457.33849522978</v>
      </c>
      <c r="G17" s="32"/>
      <c r="H17" s="32"/>
    </row>
    <row r="18" spans="2:8" x14ac:dyDescent="0.25">
      <c r="B18" s="43"/>
      <c r="C18" s="32"/>
      <c r="D18" s="32"/>
      <c r="E18" s="32"/>
      <c r="F18" s="32"/>
    </row>
    <row r="19" spans="2:8" x14ac:dyDescent="0.25">
      <c r="B19" s="17" t="s">
        <v>16</v>
      </c>
      <c r="C19" s="32" t="str" cm="1">
        <f t="array" ref="C19:D19">INDEX('Balance Sheet - Data'!$B$2:$C$31,MATCH('Balance Sheet'!B19,'Balance Sheet - Data'!$A$2:$A$31,0),MATCH('Balance Sheet'!$C$3:$D$3,'Balance Sheet - Data'!$B$1:$C$1,0))</f>
        <v> </v>
      </c>
      <c r="D19" s="32" t="str">
        <v> </v>
      </c>
      <c r="E19" s="32"/>
      <c r="F19" s="32"/>
    </row>
    <row r="20" spans="2:8" x14ac:dyDescent="0.25">
      <c r="B20" s="44" t="s">
        <v>17</v>
      </c>
      <c r="C20" s="32" cm="1">
        <f t="array" ref="C20:D20">INDEX('Balance Sheet - Data'!$B$2:$C$31,MATCH('Balance Sheet'!B20,'Balance Sheet - Data'!$A$2:$A$31,0),MATCH('Balance Sheet'!$C$3:$D$3,'Balance Sheet - Data'!$B$1:$C$1,0))</f>
        <v>4849</v>
      </c>
      <c r="D20" s="32">
        <v>7687</v>
      </c>
      <c r="E20" s="32">
        <f ca="1">D20*('Income Statement'!F14/'Income Statement'!E14)</f>
        <v>8808.9213439431969</v>
      </c>
      <c r="F20" s="32">
        <f ca="1">E20*('Income Statement'!G14/'Income Statement'!F14)</f>
        <v>10022.478647546213</v>
      </c>
      <c r="G20" s="32"/>
    </row>
    <row r="21" spans="2:8" x14ac:dyDescent="0.25">
      <c r="B21" s="44" t="s">
        <v>18</v>
      </c>
      <c r="C21" s="32" cm="1">
        <f t="array" ref="C21:D21">INDEX('Balance Sheet - Data'!$B$2:$C$31,MATCH('Balance Sheet'!B21,'Balance Sheet - Data'!$A$2:$A$31,0),MATCH('Balance Sheet'!$C$3:$D$3,'Balance Sheet - Data'!$B$1:$C$1,0))</f>
        <v>1623</v>
      </c>
      <c r="D21" s="32">
        <v>1942</v>
      </c>
      <c r="E21" s="32">
        <f ca="1">D21*(1+'Income Statement'!F28)</f>
        <v>2225.435833216819</v>
      </c>
      <c r="F21" s="32">
        <f ca="1">E21*(1+'Income Statement'!G28)</f>
        <v>2532.0220545771754</v>
      </c>
      <c r="G21" s="32"/>
    </row>
    <row r="22" spans="2:8" x14ac:dyDescent="0.25">
      <c r="B22" s="44" t="s">
        <v>19</v>
      </c>
      <c r="C22" s="32" cm="1">
        <f t="array" ref="C22:D22">INDEX('Balance Sheet - Data'!$B$2:$C$31,MATCH('Balance Sheet'!B22,'Balance Sheet - Data'!$A$2:$A$31,0),MATCH('Balance Sheet'!$C$3:$D$3,'Balance Sheet - Data'!$B$1:$C$1,0))</f>
        <v>25488</v>
      </c>
      <c r="D22" s="32">
        <v>23967</v>
      </c>
      <c r="E22" s="32">
        <f ca="1">D22*(1+'Income Statement'!F28)</f>
        <v>27464.995167202629</v>
      </c>
      <c r="F22" s="32">
        <f ca="1">E22*(1+'Income Statement'!G28)</f>
        <v>31248.698548944987</v>
      </c>
      <c r="G22" s="32"/>
    </row>
    <row r="23" spans="2:8" x14ac:dyDescent="0.25">
      <c r="B23" s="35" t="s">
        <v>20</v>
      </c>
      <c r="C23" s="33" cm="1">
        <f t="array" ref="C23:D23">INDEX('Balance Sheet - Data'!$B$2:$C$31,MATCH('Balance Sheet'!B23,'Balance Sheet - Data'!$A$2:$A$31,0),MATCH('Balance Sheet'!$C$3:$D$3,'Balance Sheet - Data'!$B$1:$C$1,0))</f>
        <v>31960</v>
      </c>
      <c r="D23" s="33">
        <v>33596</v>
      </c>
      <c r="E23" s="33">
        <f ca="1">SUM(E20:E22)</f>
        <v>38499.352344362647</v>
      </c>
      <c r="F23" s="33">
        <f ca="1">SUM(F20:F22)</f>
        <v>43803.199251068378</v>
      </c>
      <c r="G23" s="32"/>
    </row>
    <row r="24" spans="2:8" x14ac:dyDescent="0.25">
      <c r="B24" s="39" t="s">
        <v>91</v>
      </c>
      <c r="C24" s="63"/>
      <c r="D24" s="63"/>
      <c r="E24" s="63"/>
      <c r="F24" s="63"/>
      <c r="G24" s="32"/>
    </row>
    <row r="25" spans="2:8" x14ac:dyDescent="0.25">
      <c r="B25" s="44" t="s">
        <v>21</v>
      </c>
      <c r="C25" s="32" cm="1">
        <f t="array" ref="C25:D25">INDEX('Balance Sheet - Data'!$B$2:$C$31,MATCH('Balance Sheet'!B25,'Balance Sheet - Data'!$A$2:$A$31,0),MATCH('Balance Sheet'!$C$3:$D$3,'Balance Sheet - Data'!$B$1:$C$1,0))</f>
        <v>17226</v>
      </c>
      <c r="D25" s="32">
        <v>18292</v>
      </c>
      <c r="E25" s="32">
        <f ca="1">D25*(1+'Income Statement'!F28)</f>
        <v>20961.726190114343</v>
      </c>
      <c r="F25" s="32">
        <f ca="1">E25*(1+'Income Statement'!G28)</f>
        <v>23849.509486264516</v>
      </c>
      <c r="G25" s="32"/>
    </row>
    <row r="26" spans="2:8" x14ac:dyDescent="0.25">
      <c r="B26" s="44" t="s">
        <v>22</v>
      </c>
      <c r="C26" s="32" cm="1">
        <f t="array" ref="C26:D26">INDEX('Balance Sheet - Data'!$B$2:$C$31,MATCH('Balance Sheet'!B26,'Balance Sheet - Data'!$A$2:$A$31,0),MATCH('Balance Sheet'!$C$3:$D$3,'Balance Sheet - Data'!$B$1:$C$1,0))</f>
        <v>18385</v>
      </c>
      <c r="D26" s="32">
        <v>28826</v>
      </c>
      <c r="E26" s="32">
        <f>D26</f>
        <v>28826</v>
      </c>
      <c r="F26" s="32">
        <f>E26</f>
        <v>28826</v>
      </c>
      <c r="G26" s="32"/>
    </row>
    <row r="27" spans="2:8" x14ac:dyDescent="0.25">
      <c r="B27" s="44" t="s">
        <v>23</v>
      </c>
      <c r="C27" s="32" cm="1">
        <f t="array" ref="C27:D27">INDEX('Balance Sheet - Data'!$B$2:$C$31,MATCH('Balance Sheet'!B27,'Balance Sheet - Data'!$A$2:$A$31,0),MATCH('Balance Sheet'!$C$3:$D$3,'Balance Sheet - Data'!$B$1:$C$1,0))</f>
        <v>7514</v>
      </c>
      <c r="D27" s="32">
        <v>9987</v>
      </c>
      <c r="E27" s="32">
        <f ca="1">D27*('Income Statement'!F24/'Income Statement'!E24)</f>
        <v>10833.293421596887</v>
      </c>
      <c r="F27" s="32">
        <f ca="1">E27*('Income Statement'!G24/'Income Statement'!F24)</f>
        <v>12302.03617936678</v>
      </c>
      <c r="G27" s="32"/>
    </row>
    <row r="28" spans="2:8" x14ac:dyDescent="0.25">
      <c r="B28" s="44" t="s">
        <v>24</v>
      </c>
      <c r="C28" s="32" cm="1">
        <f t="array" ref="C28:D28">INDEX('Balance Sheet - Data'!$B$2:$C$31,MATCH('Balance Sheet'!B28,'Balance Sheet - Data'!$A$2:$A$31,0),MATCH('Balance Sheet'!$C$3:$D$3,'Balance Sheet - Data'!$B$1:$C$1,0))</f>
        <v>1370</v>
      </c>
      <c r="D28" s="32">
        <v>2716</v>
      </c>
      <c r="E28" s="32">
        <f ca="1">D28*(1+'Income Statement'!F28)</f>
        <v>3112.4015051580232</v>
      </c>
      <c r="F28" s="32">
        <f ca="1">E28*(1+'Income Statement'!G28)</f>
        <v>3541.1801751965027</v>
      </c>
      <c r="G28" s="32"/>
    </row>
    <row r="29" spans="2:8" x14ac:dyDescent="0.25">
      <c r="B29" s="45" t="s">
        <v>75</v>
      </c>
      <c r="C29" s="32">
        <f>SUM(C25:C28)</f>
        <v>44495</v>
      </c>
      <c r="D29" s="32">
        <f>SUM(D25:D28)</f>
        <v>59821</v>
      </c>
      <c r="E29" s="32">
        <f ca="1">SUM(E25:E28)</f>
        <v>63733.421116869249</v>
      </c>
      <c r="F29" s="32">
        <f ca="1">SUM(F25:F28)</f>
        <v>68518.725840827799</v>
      </c>
      <c r="G29" s="32"/>
    </row>
    <row r="30" spans="2:8" x14ac:dyDescent="0.25">
      <c r="B30" s="26" t="s">
        <v>25</v>
      </c>
      <c r="C30" s="34" cm="1">
        <f t="array" ref="C30:D30">INDEX('Balance Sheet - Data'!$B$2:$C$31,MATCH('Balance Sheet'!B30,'Balance Sheet - Data'!$A$2:$A$31,0),MATCH('Balance Sheet'!$C$3:$D$3,'Balance Sheet - Data'!$B$1:$C$1,0))</f>
        <v>76455</v>
      </c>
      <c r="D30" s="34">
        <v>93417</v>
      </c>
      <c r="E30" s="34">
        <f ca="1">E29+E23</f>
        <v>102232.7734612319</v>
      </c>
      <c r="F30" s="34">
        <f ca="1">F29+F23</f>
        <v>112321.92509189618</v>
      </c>
      <c r="G30" s="32"/>
    </row>
    <row r="31" spans="2:8" x14ac:dyDescent="0.25">
      <c r="B31" s="17" t="s">
        <v>28</v>
      </c>
      <c r="C31" s="32" t="str" cm="1">
        <f t="array" ref="C31:D31">INDEX('Balance Sheet - Data'!$B$2:$C$31,MATCH('Balance Sheet'!B31,'Balance Sheet - Data'!$A$2:$A$31,0),MATCH('Balance Sheet'!$C$3:$D$3,'Balance Sheet - Data'!$B$1:$C$1,0))</f>
        <v> </v>
      </c>
      <c r="D31" s="32" t="str">
        <v> </v>
      </c>
      <c r="E31" s="32"/>
      <c r="F31" s="32"/>
      <c r="G31" s="32"/>
    </row>
    <row r="32" spans="2:8" x14ac:dyDescent="0.25">
      <c r="B32" s="38" t="s">
        <v>74</v>
      </c>
      <c r="C32" s="32" cm="1">
        <f t="array" ref="C32:D32">INDEX('Balance Sheet - Data'!$B$2:$C$31,MATCH('Balance Sheet'!B32,'Balance Sheet - Data'!$A$2:$A$31,0),MATCH('Balance Sheet'!$C$3:$D$3,'Balance Sheet - Data'!$B$1:$C$1,0))</f>
        <v>0</v>
      </c>
      <c r="D32" s="32">
        <v>0</v>
      </c>
      <c r="E32" s="32">
        <f>D32</f>
        <v>0</v>
      </c>
      <c r="F32" s="32">
        <f>E32</f>
        <v>0</v>
      </c>
      <c r="G32" s="32"/>
    </row>
    <row r="33" spans="2:7" x14ac:dyDescent="0.25">
      <c r="B33" s="44" t="s">
        <v>29</v>
      </c>
      <c r="C33" s="32" cm="1">
        <f t="array" ref="C33:D33">INDEX('Balance Sheet - Data'!$B$2:$C$31,MATCH('Balance Sheet'!B33,'Balance Sheet - Data'!$A$2:$A$31,0),MATCH('Balance Sheet'!$C$3:$D$3,'Balance Sheet - Data'!$B$1:$C$1,0))</f>
        <v>73253</v>
      </c>
      <c r="D33" s="32">
        <v>83228</v>
      </c>
      <c r="E33" s="32">
        <f ca="1">D33+E42</f>
        <v>102353.91352028254</v>
      </c>
      <c r="F33" s="32">
        <f ca="1">E33+F42</f>
        <v>124114.70038480007</v>
      </c>
      <c r="G33" s="32"/>
    </row>
    <row r="34" spans="2:7" x14ac:dyDescent="0.25">
      <c r="B34" s="44" t="s">
        <v>30</v>
      </c>
      <c r="C34" s="32" cm="1">
        <f t="array" ref="C34:D34">INDEX('Balance Sheet - Data'!$B$2:$C$31,MATCH('Balance Sheet'!B34,'Balance Sheet - Data'!$A$2:$A$31,0),MATCH('Balance Sheet'!$C$3:$D$3,'Balance Sheet - Data'!$B$1:$C$1,0))</f>
        <v>-2155</v>
      </c>
      <c r="D34" s="32">
        <v>-3097</v>
      </c>
      <c r="E34" s="32">
        <f>D34</f>
        <v>-3097</v>
      </c>
      <c r="F34" s="32">
        <f>E34</f>
        <v>-3097</v>
      </c>
      <c r="G34" s="32"/>
    </row>
    <row r="35" spans="2:7" x14ac:dyDescent="0.25">
      <c r="B35" s="44" t="s">
        <v>31</v>
      </c>
      <c r="C35" s="32" cm="1">
        <f t="array" ref="C35:D35">INDEX('Balance Sheet - Data'!$B$2:$C$31,MATCH('Balance Sheet'!B35,'Balance Sheet - Data'!$A$2:$A$31,0),MATCH('Balance Sheet'!$C$3:$D$3,'Balance Sheet - Data'!$B$1:$C$1,0))</f>
        <v>82070</v>
      </c>
      <c r="D35" s="32">
        <v>102506</v>
      </c>
      <c r="E35" s="32">
        <f ca="1">'Retained Earnings'!F9</f>
        <v>128226.35543914908</v>
      </c>
      <c r="F35" s="32">
        <f ca="1">'Retained Earnings'!G9</f>
        <v>163117.71301853354</v>
      </c>
      <c r="G35" s="32"/>
    </row>
    <row r="36" spans="2:7" x14ac:dyDescent="0.25">
      <c r="B36" s="28" t="s">
        <v>32</v>
      </c>
      <c r="C36" s="46" cm="1">
        <f t="array" ref="C36:D36">INDEX('Balance Sheet - Data'!$B$2:$C$31,MATCH('Balance Sheet'!B36,'Balance Sheet - Data'!$A$2:$A$31,0),MATCH('Balance Sheet'!$C$3:$D$3,'Balance Sheet - Data'!$B$1:$C$1,0))</f>
        <v>153168</v>
      </c>
      <c r="D36" s="46">
        <v>182637</v>
      </c>
      <c r="E36" s="46">
        <f ca="1">SUM(E32:E35)</f>
        <v>227483.26895943162</v>
      </c>
      <c r="F36" s="46">
        <f ca="1">SUM(F32:F35)</f>
        <v>284135.41340333363</v>
      </c>
      <c r="G36" s="32"/>
    </row>
    <row r="37" spans="2:7" x14ac:dyDescent="0.25">
      <c r="B37" s="30" t="s">
        <v>33</v>
      </c>
      <c r="C37" s="36" cm="1">
        <f t="array" ref="C37:D37">INDEX('Balance Sheet - Data'!$B$2:$C$31,MATCH('Balance Sheet'!B37,'Balance Sheet - Data'!$A$2:$A$31,0),MATCH('Balance Sheet'!$C$3:$D$3,'Balance Sheet - Data'!$B$1:$C$1,0))</f>
        <v>229623</v>
      </c>
      <c r="D37" s="36">
        <v>276054</v>
      </c>
      <c r="E37" s="36">
        <f ca="1">E36+E30</f>
        <v>329716.04242066352</v>
      </c>
      <c r="F37" s="36">
        <f ca="1">F36+F30</f>
        <v>396457.33849522984</v>
      </c>
      <c r="G37" s="32"/>
    </row>
    <row r="39" spans="2:7" x14ac:dyDescent="0.25">
      <c r="B39" t="s">
        <v>77</v>
      </c>
      <c r="C39" s="32">
        <f>C37-C17</f>
        <v>0</v>
      </c>
      <c r="D39" s="32">
        <f>D37-D17</f>
        <v>0</v>
      </c>
      <c r="E39" s="32">
        <f ca="1">E37-E17</f>
        <v>0</v>
      </c>
      <c r="F39" s="32">
        <f t="shared" ref="E39:F39" ca="1" si="0">F37-F17</f>
        <v>0</v>
      </c>
    </row>
    <row r="41" spans="2:7" x14ac:dyDescent="0.25">
      <c r="B41" s="48" t="s">
        <v>92</v>
      </c>
      <c r="C41" s="50"/>
      <c r="D41" s="50"/>
      <c r="E41" s="50"/>
      <c r="F41" s="50"/>
    </row>
    <row r="42" spans="2:7" x14ac:dyDescent="0.25">
      <c r="B42" s="50" t="s">
        <v>93</v>
      </c>
      <c r="C42" s="64">
        <v>14027</v>
      </c>
      <c r="D42" s="64">
        <v>16690</v>
      </c>
      <c r="E42" s="49">
        <f ca="1">D42*(1+'Income Statement'!F28)</f>
        <v>19125.913520282549</v>
      </c>
      <c r="F42" s="49">
        <f ca="1">E42*(1+'Income Statement'!G28)</f>
        <v>21760.786864517537</v>
      </c>
    </row>
    <row r="43" spans="2:7" x14ac:dyDescent="0.25">
      <c r="B43" s="50"/>
      <c r="C43" s="50"/>
      <c r="D43" s="50"/>
      <c r="E43" s="50"/>
      <c r="F43" s="50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651DC-1C25-4694-9DB6-67ACC355E489}">
  <dimension ref="B2:G22"/>
  <sheetViews>
    <sheetView workbookViewId="0">
      <selection activeCell="F21" sqref="F21"/>
    </sheetView>
  </sheetViews>
  <sheetFormatPr defaultRowHeight="15" x14ac:dyDescent="0.25"/>
  <cols>
    <col min="2" max="2" width="35.7109375" bestFit="1" customWidth="1"/>
    <col min="3" max="3" width="15.85546875" customWidth="1"/>
    <col min="4" max="4" width="17.5703125" customWidth="1"/>
    <col min="5" max="5" width="14" customWidth="1"/>
    <col min="6" max="6" width="13.5703125" customWidth="1"/>
    <col min="7" max="7" width="16.85546875" customWidth="1"/>
  </cols>
  <sheetData>
    <row r="2" spans="2:7" x14ac:dyDescent="0.25">
      <c r="B2" s="24" t="s">
        <v>106</v>
      </c>
      <c r="C2" s="66" t="s">
        <v>107</v>
      </c>
      <c r="D2" s="66"/>
      <c r="E2" s="66"/>
      <c r="F2" s="66" t="s">
        <v>95</v>
      </c>
      <c r="G2" s="66"/>
    </row>
    <row r="3" spans="2:7" x14ac:dyDescent="0.25">
      <c r="B3" s="24" t="s">
        <v>68</v>
      </c>
      <c r="C3" s="42">
        <v>44926</v>
      </c>
      <c r="D3" s="42">
        <v>45291</v>
      </c>
      <c r="E3" s="42">
        <f>EDATE(D3,12)</f>
        <v>45657</v>
      </c>
      <c r="F3" s="42">
        <f t="shared" ref="F3:G3" si="0">EDATE(E3,12)</f>
        <v>46022</v>
      </c>
      <c r="G3" s="42">
        <f t="shared" si="0"/>
        <v>46387</v>
      </c>
    </row>
    <row r="4" spans="2:7" x14ac:dyDescent="0.25">
      <c r="B4" t="s">
        <v>108</v>
      </c>
      <c r="C4" s="32"/>
      <c r="D4" s="32"/>
      <c r="E4" s="32"/>
      <c r="F4" s="32">
        <f>E7</f>
        <v>121346</v>
      </c>
      <c r="G4" s="32">
        <f ca="1">F7</f>
        <v>146517.9482556337</v>
      </c>
    </row>
    <row r="5" spans="2:7" x14ac:dyDescent="0.25">
      <c r="B5" t="s">
        <v>100</v>
      </c>
      <c r="C5" s="37">
        <v>31186</v>
      </c>
      <c r="D5" s="37">
        <v>27045</v>
      </c>
      <c r="E5" s="37">
        <v>37256</v>
      </c>
      <c r="F5" s="32">
        <f ca="1">E5*(1+'Income Statement'!F28)</f>
        <v>42693.531103154382</v>
      </c>
      <c r="G5" s="32">
        <f ca="1">F5*(1+'Income Statement'!G28)</f>
        <v>48575.187263299304</v>
      </c>
    </row>
    <row r="6" spans="2:7" x14ac:dyDescent="0.25">
      <c r="B6" t="s">
        <v>109</v>
      </c>
      <c r="C6" s="37">
        <v>-8500</v>
      </c>
      <c r="D6" s="37">
        <v>-11020</v>
      </c>
      <c r="E6" s="37">
        <v>-15290</v>
      </c>
      <c r="F6" s="32">
        <f ca="1">F5*F10</f>
        <v>-17521.58284752068</v>
      </c>
      <c r="G6" s="32">
        <f ca="1">G5*G10</f>
        <v>-19935.436258746144</v>
      </c>
    </row>
    <row r="7" spans="2:7" x14ac:dyDescent="0.25">
      <c r="B7" s="31" t="s">
        <v>110</v>
      </c>
      <c r="C7" s="36"/>
      <c r="D7" s="36">
        <f>'Balance Sheet'!C12</f>
        <v>96587</v>
      </c>
      <c r="E7" s="36">
        <f>'Balance Sheet'!D12</f>
        <v>121346</v>
      </c>
      <c r="F7" s="70">
        <f ca="1">SUM(F4:F6)</f>
        <v>146517.9482556337</v>
      </c>
      <c r="G7" s="70">
        <f ca="1">SUM(G4:G6)</f>
        <v>175157.69926018687</v>
      </c>
    </row>
    <row r="9" spans="2:7" x14ac:dyDescent="0.25">
      <c r="B9" s="67" t="s">
        <v>111</v>
      </c>
      <c r="C9" s="68"/>
      <c r="D9" s="68"/>
      <c r="E9" s="68"/>
      <c r="F9" s="68"/>
      <c r="G9" s="68"/>
    </row>
    <row r="10" spans="2:7" x14ac:dyDescent="0.25">
      <c r="B10" s="68" t="s">
        <v>112</v>
      </c>
      <c r="C10" s="69">
        <f>C6/C5</f>
        <v>-0.27255819919194513</v>
      </c>
      <c r="D10" s="69">
        <f t="shared" ref="D10:E10" si="1">D6/D5</f>
        <v>-0.40746903309299315</v>
      </c>
      <c r="E10" s="69">
        <f t="shared" si="1"/>
        <v>-0.41040369336482713</v>
      </c>
      <c r="F10" s="69">
        <f>E10</f>
        <v>-0.41040369336482713</v>
      </c>
      <c r="G10" s="69">
        <f>F10</f>
        <v>-0.41040369336482713</v>
      </c>
    </row>
    <row r="12" spans="2:7" x14ac:dyDescent="0.25">
      <c r="B12" s="24" t="s">
        <v>113</v>
      </c>
      <c r="C12" s="23"/>
      <c r="D12" s="23"/>
      <c r="E12" s="23"/>
      <c r="F12" s="23"/>
      <c r="G12" s="23"/>
    </row>
    <row r="13" spans="2:7" x14ac:dyDescent="0.25">
      <c r="B13" t="s">
        <v>114</v>
      </c>
      <c r="C13" s="32">
        <f>C15+C6</f>
        <v>186</v>
      </c>
      <c r="D13" s="32">
        <f t="shared" ref="D13:E13" si="2">D15+D6</f>
        <v>158</v>
      </c>
      <c r="E13" s="32">
        <f t="shared" si="2"/>
        <v>208</v>
      </c>
      <c r="F13" s="32">
        <f ca="1">F14*'Income Statement'!F12</f>
        <v>238.35769995319171</v>
      </c>
      <c r="G13" s="32">
        <f ca="1">G14*'Income Statement'!G12</f>
        <v>271.19494714317835</v>
      </c>
    </row>
    <row r="14" spans="2:7" x14ac:dyDescent="0.25">
      <c r="B14" t="s">
        <v>115</v>
      </c>
      <c r="C14" s="47">
        <f>C13/'Income Statement'!C12</f>
        <v>1.5950741366446844E-3</v>
      </c>
      <c r="D14" s="47">
        <f>D13/'Income Statement'!D12</f>
        <v>1.1712205897614564E-3</v>
      </c>
      <c r="E14" s="47">
        <f>E13/'Income Statement'!E12</f>
        <v>1.2644300034650245E-3</v>
      </c>
      <c r="F14" s="47">
        <f>E14</f>
        <v>1.2644300034650245E-3</v>
      </c>
      <c r="G14" s="47">
        <f>F14</f>
        <v>1.2644300034650245E-3</v>
      </c>
    </row>
    <row r="15" spans="2:7" x14ac:dyDescent="0.25">
      <c r="B15" s="27" t="s">
        <v>116</v>
      </c>
      <c r="C15" s="34">
        <f>'Income Statement'!C19</f>
        <v>8686</v>
      </c>
      <c r="D15" s="34">
        <f>'Income Statement'!D19</f>
        <v>11178</v>
      </c>
      <c r="E15" s="34">
        <f>'Income Statement'!E19</f>
        <v>15498</v>
      </c>
      <c r="F15" s="34">
        <f ca="1">F13-F6</f>
        <v>17759.940547473871</v>
      </c>
      <c r="G15" s="34">
        <f ca="1">G13-G6</f>
        <v>20206.631205889324</v>
      </c>
    </row>
    <row r="17" spans="2:7" x14ac:dyDescent="0.25">
      <c r="B17" s="24" t="s">
        <v>117</v>
      </c>
      <c r="C17" s="24"/>
      <c r="D17" s="24"/>
      <c r="E17" s="24"/>
      <c r="F17" s="24"/>
      <c r="G17" s="24"/>
    </row>
    <row r="18" spans="2:7" x14ac:dyDescent="0.25">
      <c r="B18" t="s">
        <v>118</v>
      </c>
      <c r="C18" s="32"/>
      <c r="D18" s="32"/>
      <c r="E18" s="32">
        <f>D21</f>
        <v>7582</v>
      </c>
      <c r="F18" s="32">
        <f t="shared" ref="F18:G18" si="3">E21</f>
        <v>13017</v>
      </c>
      <c r="G18" s="32">
        <f t="shared" ca="1" si="3"/>
        <v>14916.837405243736</v>
      </c>
    </row>
    <row r="19" spans="2:7" x14ac:dyDescent="0.25">
      <c r="B19" t="s">
        <v>119</v>
      </c>
      <c r="C19" s="32"/>
      <c r="D19" s="32"/>
      <c r="E19" s="32">
        <f>-E13</f>
        <v>-208</v>
      </c>
      <c r="F19" s="32">
        <f t="shared" ref="F19:G19" ca="1" si="4">-F13</f>
        <v>-238.35769995319171</v>
      </c>
      <c r="G19" s="32">
        <f t="shared" ca="1" si="4"/>
        <v>-271.19494714317835</v>
      </c>
    </row>
    <row r="20" spans="2:7" x14ac:dyDescent="0.25">
      <c r="B20" t="s">
        <v>120</v>
      </c>
      <c r="C20" s="32"/>
      <c r="D20" s="32"/>
      <c r="E20" s="32">
        <f>E21-E18-E19</f>
        <v>5643</v>
      </c>
      <c r="F20" s="32">
        <f t="shared" ref="F20:G20" ca="1" si="5">F21-F18-F19</f>
        <v>2138.1951051969272</v>
      </c>
      <c r="G20" s="32">
        <f t="shared" ca="1" si="5"/>
        <v>2326.2067099896035</v>
      </c>
    </row>
    <row r="21" spans="2:7" x14ac:dyDescent="0.25">
      <c r="B21" s="31" t="s">
        <v>121</v>
      </c>
      <c r="C21" s="36"/>
      <c r="D21" s="36">
        <f>'Balance Sheet'!C15</f>
        <v>7582</v>
      </c>
      <c r="E21" s="36">
        <f>'Balance Sheet'!D15</f>
        <v>13017</v>
      </c>
      <c r="F21" s="36">
        <f ca="1">'Balance Sheet'!E15</f>
        <v>14916.837405243736</v>
      </c>
      <c r="G21" s="36">
        <f ca="1">'Balance Sheet'!F15</f>
        <v>16971.849168090161</v>
      </c>
    </row>
    <row r="22" spans="2:7" x14ac:dyDescent="0.25">
      <c r="E22" s="32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7AACE-855E-4CE6-8074-65CC8026D1E9}">
  <dimension ref="B2:G24"/>
  <sheetViews>
    <sheetView workbookViewId="0">
      <selection activeCell="F5" sqref="F5"/>
    </sheetView>
  </sheetViews>
  <sheetFormatPr defaultRowHeight="15" x14ac:dyDescent="0.25"/>
  <cols>
    <col min="2" max="2" width="43" bestFit="1" customWidth="1"/>
    <col min="3" max="3" width="15.85546875" customWidth="1"/>
    <col min="4" max="4" width="17.5703125" customWidth="1"/>
    <col min="5" max="5" width="14" customWidth="1"/>
    <col min="6" max="6" width="13.5703125" customWidth="1"/>
    <col min="7" max="7" width="16.85546875" customWidth="1"/>
  </cols>
  <sheetData>
    <row r="2" spans="2:7" x14ac:dyDescent="0.25">
      <c r="B2" s="24" t="s">
        <v>122</v>
      </c>
      <c r="C2" s="66" t="s">
        <v>107</v>
      </c>
      <c r="D2" s="66"/>
      <c r="E2" s="66"/>
      <c r="F2" s="66" t="s">
        <v>95</v>
      </c>
      <c r="G2" s="66"/>
    </row>
    <row r="3" spans="2:7" x14ac:dyDescent="0.25">
      <c r="B3" s="24" t="s">
        <v>68</v>
      </c>
      <c r="C3" s="42">
        <v>44926</v>
      </c>
      <c r="D3" s="42">
        <v>45291</v>
      </c>
      <c r="E3" s="42">
        <f>EDATE(D3,12)</f>
        <v>45657</v>
      </c>
      <c r="F3" s="42">
        <f t="shared" ref="F3:G3" si="0">EDATE(E3,12)</f>
        <v>46022</v>
      </c>
      <c r="G3" s="42">
        <f t="shared" si="0"/>
        <v>46387</v>
      </c>
    </row>
    <row r="4" spans="2:7" x14ac:dyDescent="0.25">
      <c r="B4" t="s">
        <v>123</v>
      </c>
      <c r="C4" s="32"/>
      <c r="D4" s="32">
        <v>64799</v>
      </c>
      <c r="E4" s="32">
        <f>D9</f>
        <v>82070</v>
      </c>
      <c r="F4" s="32">
        <f t="shared" ref="F4:G4" si="1">E9</f>
        <v>102506</v>
      </c>
      <c r="G4" s="32">
        <f t="shared" ca="1" si="1"/>
        <v>128226.35543914908</v>
      </c>
    </row>
    <row r="5" spans="2:7" x14ac:dyDescent="0.25">
      <c r="B5" t="s">
        <v>66</v>
      </c>
      <c r="C5" s="71">
        <f>'Income Statement'!C24</f>
        <v>23200</v>
      </c>
      <c r="D5" s="71">
        <f>'Income Statement'!D24</f>
        <v>39098</v>
      </c>
      <c r="E5" s="71">
        <f>'Income Statement'!E24</f>
        <v>62360</v>
      </c>
      <c r="F5" s="71">
        <f ca="1">'Income Statement'!F24</f>
        <v>67644.355439149091</v>
      </c>
      <c r="G5" s="71">
        <f ca="1">'Income Statement'!G24</f>
        <v>76815.35757938445</v>
      </c>
    </row>
    <row r="6" spans="2:7" x14ac:dyDescent="0.25">
      <c r="B6" t="s">
        <v>102</v>
      </c>
      <c r="C6" s="37"/>
      <c r="D6" s="37">
        <v>0</v>
      </c>
      <c r="E6" s="37">
        <v>-5121</v>
      </c>
      <c r="F6" s="32">
        <f>E6</f>
        <v>-5121</v>
      </c>
      <c r="G6" s="32">
        <f>F6</f>
        <v>-5121</v>
      </c>
    </row>
    <row r="7" spans="2:7" x14ac:dyDescent="0.25">
      <c r="B7" t="s">
        <v>125</v>
      </c>
      <c r="C7" s="37"/>
      <c r="D7" s="37">
        <v>-20033</v>
      </c>
      <c r="E7" s="37">
        <v>-29754</v>
      </c>
      <c r="F7" s="71">
        <v>-29754</v>
      </c>
      <c r="G7" s="71">
        <v>-29754</v>
      </c>
    </row>
    <row r="8" spans="2:7" x14ac:dyDescent="0.25">
      <c r="B8" t="s">
        <v>126</v>
      </c>
      <c r="C8" s="37"/>
      <c r="D8" s="37">
        <v>-1794</v>
      </c>
      <c r="E8" s="37">
        <v>-7049</v>
      </c>
      <c r="F8" s="71">
        <v>-7049</v>
      </c>
      <c r="G8" s="71">
        <v>-7049</v>
      </c>
    </row>
    <row r="9" spans="2:7" x14ac:dyDescent="0.25">
      <c r="B9" s="31" t="s">
        <v>124</v>
      </c>
      <c r="C9" s="36"/>
      <c r="D9" s="36">
        <f>'Balance Sheet'!C35</f>
        <v>82070</v>
      </c>
      <c r="E9" s="36">
        <f>'Balance Sheet'!D35</f>
        <v>102506</v>
      </c>
      <c r="F9" s="70">
        <f ca="1">F4+F5+F6+F7+F8</f>
        <v>128226.35543914908</v>
      </c>
      <c r="G9" s="70">
        <f ca="1">G4+G5+G6+G7+G8</f>
        <v>163117.71301853354</v>
      </c>
    </row>
    <row r="10" spans="2:7" x14ac:dyDescent="0.25">
      <c r="D10" s="32"/>
      <c r="E10" s="32"/>
      <c r="F10" s="32"/>
    </row>
    <row r="11" spans="2:7" x14ac:dyDescent="0.25">
      <c r="E11" s="32"/>
    </row>
    <row r="24" spans="5:5" x14ac:dyDescent="0.25">
      <c r="E24" s="32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7E5E7-A124-4F22-8502-2D31E5D412B0}">
  <dimension ref="A1"/>
  <sheetViews>
    <sheetView workbookViewId="0">
      <selection activeCell="B4" sqref="B4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43C9-B65C-4B24-B68B-F1445E9CB9DC}">
  <dimension ref="A1:G36"/>
  <sheetViews>
    <sheetView workbookViewId="0">
      <selection sqref="A1:XFD1048576"/>
    </sheetView>
  </sheetViews>
  <sheetFormatPr defaultRowHeight="15" x14ac:dyDescent="0.25"/>
  <cols>
    <col min="1" max="1" width="75.7109375" bestFit="1" customWidth="1"/>
    <col min="2" max="4" width="12.28515625" bestFit="1" customWidth="1"/>
    <col min="6" max="6" width="9.42578125" bestFit="1" customWidth="1"/>
  </cols>
  <sheetData>
    <row r="1" spans="1:7" x14ac:dyDescent="0.25">
      <c r="A1" s="16" t="s">
        <v>34</v>
      </c>
      <c r="B1" s="7" t="s">
        <v>35</v>
      </c>
      <c r="C1" s="8"/>
      <c r="D1" s="8"/>
    </row>
    <row r="2" spans="1:7" x14ac:dyDescent="0.25">
      <c r="A2" s="15" t="s">
        <v>59</v>
      </c>
      <c r="B2" s="11" t="s">
        <v>1</v>
      </c>
      <c r="C2" s="11" t="s">
        <v>2</v>
      </c>
      <c r="D2" s="11" t="s">
        <v>36</v>
      </c>
    </row>
    <row r="3" spans="1:7" x14ac:dyDescent="0.25">
      <c r="A3" s="5" t="s">
        <v>37</v>
      </c>
      <c r="B3" s="1">
        <v>164501</v>
      </c>
      <c r="C3" s="1">
        <v>134902</v>
      </c>
      <c r="D3" s="1">
        <v>116609</v>
      </c>
    </row>
    <row r="4" spans="1:7" x14ac:dyDescent="0.25">
      <c r="A4" s="4" t="s">
        <v>38</v>
      </c>
      <c r="B4" s="5" t="s">
        <v>4</v>
      </c>
      <c r="C4" s="5" t="s">
        <v>4</v>
      </c>
      <c r="D4" s="5" t="s">
        <v>4</v>
      </c>
    </row>
    <row r="5" spans="1:7" x14ac:dyDescent="0.25">
      <c r="A5" s="39" t="s">
        <v>39</v>
      </c>
      <c r="B5" s="20">
        <v>30161</v>
      </c>
      <c r="C5" s="20">
        <v>25959</v>
      </c>
      <c r="D5" s="20">
        <v>25249</v>
      </c>
      <c r="F5" s="21"/>
    </row>
    <row r="6" spans="1:7" x14ac:dyDescent="0.25">
      <c r="A6" s="5" t="s">
        <v>40</v>
      </c>
      <c r="B6" s="2">
        <v>43873</v>
      </c>
      <c r="C6" s="2">
        <v>38483</v>
      </c>
      <c r="D6" s="2">
        <v>35338</v>
      </c>
    </row>
    <row r="7" spans="1:7" x14ac:dyDescent="0.25">
      <c r="A7" s="5" t="s">
        <v>41</v>
      </c>
      <c r="B7" s="2">
        <v>11347</v>
      </c>
      <c r="C7" s="2">
        <v>12301</v>
      </c>
      <c r="D7" s="2">
        <v>15262</v>
      </c>
    </row>
    <row r="8" spans="1:7" x14ac:dyDescent="0.25">
      <c r="A8" s="5" t="s">
        <v>42</v>
      </c>
      <c r="B8" s="2">
        <v>9740</v>
      </c>
      <c r="C8" s="2">
        <v>11408</v>
      </c>
      <c r="D8" s="2">
        <v>11816</v>
      </c>
      <c r="E8" s="22"/>
      <c r="F8" s="22"/>
      <c r="G8" s="22"/>
    </row>
    <row r="9" spans="1:7" x14ac:dyDescent="0.25">
      <c r="A9" s="5" t="s">
        <v>43</v>
      </c>
      <c r="B9" s="2">
        <v>95121</v>
      </c>
      <c r="C9" s="2">
        <v>88151</v>
      </c>
      <c r="D9" s="2">
        <v>87665</v>
      </c>
    </row>
    <row r="10" spans="1:7" x14ac:dyDescent="0.25">
      <c r="A10" s="18" t="s">
        <v>44</v>
      </c>
      <c r="B10" s="19">
        <v>69380</v>
      </c>
      <c r="C10" s="19">
        <v>46751</v>
      </c>
      <c r="D10" s="19">
        <v>28944</v>
      </c>
    </row>
    <row r="11" spans="1:7" x14ac:dyDescent="0.25">
      <c r="A11" s="5" t="s">
        <v>45</v>
      </c>
      <c r="B11" s="2">
        <v>1283</v>
      </c>
      <c r="C11" s="2">
        <v>677</v>
      </c>
      <c r="D11" s="2">
        <v>-125</v>
      </c>
    </row>
    <row r="12" spans="1:7" x14ac:dyDescent="0.25">
      <c r="A12" s="5" t="s">
        <v>46</v>
      </c>
      <c r="B12" s="2">
        <v>70663</v>
      </c>
      <c r="C12" s="2">
        <v>47428</v>
      </c>
      <c r="D12" s="2">
        <v>28819</v>
      </c>
    </row>
    <row r="13" spans="1:7" x14ac:dyDescent="0.25">
      <c r="A13" s="5" t="s">
        <v>47</v>
      </c>
      <c r="B13" s="2">
        <v>8303</v>
      </c>
      <c r="C13" s="2">
        <v>8330</v>
      </c>
      <c r="D13" s="2">
        <v>5619</v>
      </c>
    </row>
    <row r="14" spans="1:7" x14ac:dyDescent="0.25">
      <c r="A14" s="5" t="s">
        <v>48</v>
      </c>
      <c r="B14" s="1">
        <v>62360</v>
      </c>
      <c r="C14" s="1">
        <v>39098</v>
      </c>
      <c r="D14" s="1">
        <v>23200</v>
      </c>
    </row>
    <row r="15" spans="1:7" x14ac:dyDescent="0.25">
      <c r="A15" s="4" t="s">
        <v>49</v>
      </c>
      <c r="B15" s="5" t="s">
        <v>4</v>
      </c>
      <c r="C15" s="5" t="s">
        <v>4</v>
      </c>
      <c r="D15" s="5" t="s">
        <v>4</v>
      </c>
    </row>
    <row r="16" spans="1:7" x14ac:dyDescent="0.25">
      <c r="A16" s="5" t="s">
        <v>50</v>
      </c>
      <c r="B16" s="6">
        <v>24.61</v>
      </c>
      <c r="C16" s="6">
        <v>15.19</v>
      </c>
      <c r="D16" s="6">
        <v>8.6300000000000008</v>
      </c>
    </row>
    <row r="17" spans="1:4" x14ac:dyDescent="0.25">
      <c r="A17" s="5" t="s">
        <v>51</v>
      </c>
      <c r="B17" s="6">
        <v>23.86</v>
      </c>
      <c r="C17" s="6">
        <v>14.87</v>
      </c>
      <c r="D17" s="6">
        <v>8.59</v>
      </c>
    </row>
    <row r="18" spans="1:4" x14ac:dyDescent="0.25">
      <c r="A18" s="4" t="s">
        <v>52</v>
      </c>
      <c r="B18" s="5" t="s">
        <v>4</v>
      </c>
      <c r="C18" s="5" t="s">
        <v>4</v>
      </c>
      <c r="D18" s="5" t="s">
        <v>4</v>
      </c>
    </row>
    <row r="19" spans="1:4" x14ac:dyDescent="0.25">
      <c r="A19" s="5" t="s">
        <v>53</v>
      </c>
      <c r="B19" s="2">
        <v>2534</v>
      </c>
      <c r="C19" s="2">
        <v>2574</v>
      </c>
      <c r="D19" s="2">
        <v>2687</v>
      </c>
    </row>
    <row r="20" spans="1:4" x14ac:dyDescent="0.25">
      <c r="A20" s="5" t="s">
        <v>54</v>
      </c>
      <c r="B20" s="2">
        <v>2614</v>
      </c>
      <c r="C20" s="2">
        <v>2629</v>
      </c>
      <c r="D20" s="2">
        <v>2702</v>
      </c>
    </row>
    <row r="22" spans="1:4" x14ac:dyDescent="0.25">
      <c r="A22" s="17" t="s">
        <v>60</v>
      </c>
      <c r="B22" s="10">
        <v>2024</v>
      </c>
      <c r="C22" s="10">
        <v>2023</v>
      </c>
      <c r="D22" s="10">
        <v>2022</v>
      </c>
    </row>
    <row r="23" spans="1:4" x14ac:dyDescent="0.25">
      <c r="A23" s="17" t="s">
        <v>37</v>
      </c>
      <c r="B23" s="1">
        <v>164501</v>
      </c>
      <c r="C23" s="1">
        <v>134902</v>
      </c>
      <c r="D23" s="1">
        <v>116609</v>
      </c>
    </row>
    <row r="24" spans="1:4" x14ac:dyDescent="0.25">
      <c r="A24" s="17" t="s">
        <v>67</v>
      </c>
      <c r="B24" s="1">
        <v>30161</v>
      </c>
      <c r="C24" s="1">
        <v>25959</v>
      </c>
      <c r="D24" s="1">
        <v>25249</v>
      </c>
    </row>
    <row r="25" spans="1:4" x14ac:dyDescent="0.25">
      <c r="A25" s="17" t="s">
        <v>61</v>
      </c>
      <c r="B25" s="1">
        <f>B23-B24</f>
        <v>134340</v>
      </c>
      <c r="C25" s="1">
        <f t="shared" ref="C25:D25" si="0">C23-C24</f>
        <v>108943</v>
      </c>
      <c r="D25" s="1">
        <f t="shared" si="0"/>
        <v>91360</v>
      </c>
    </row>
    <row r="26" spans="1:4" x14ac:dyDescent="0.25">
      <c r="B26" s="1"/>
      <c r="C26" s="1"/>
      <c r="D26" s="1"/>
    </row>
    <row r="27" spans="1:4" x14ac:dyDescent="0.25">
      <c r="A27" s="17" t="s">
        <v>62</v>
      </c>
      <c r="B27" s="1"/>
      <c r="C27" s="1"/>
      <c r="D27" s="1"/>
    </row>
    <row r="28" spans="1:4" x14ac:dyDescent="0.25">
      <c r="A28" s="17" t="s">
        <v>63</v>
      </c>
      <c r="B28" s="1">
        <v>43873</v>
      </c>
      <c r="C28" s="1">
        <v>38483</v>
      </c>
      <c r="D28" s="1">
        <v>35338</v>
      </c>
    </row>
    <row r="29" spans="1:4" x14ac:dyDescent="0.25">
      <c r="A29" s="17" t="s">
        <v>64</v>
      </c>
      <c r="B29" s="1">
        <v>21087</v>
      </c>
      <c r="C29" s="1">
        <v>23709</v>
      </c>
      <c r="D29" s="1">
        <v>27078</v>
      </c>
    </row>
    <row r="30" spans="1:4" x14ac:dyDescent="0.25">
      <c r="A30" s="17" t="s">
        <v>65</v>
      </c>
      <c r="B30" s="1">
        <v>95121</v>
      </c>
      <c r="C30" s="1">
        <v>88151</v>
      </c>
      <c r="D30" s="1">
        <v>87665</v>
      </c>
    </row>
    <row r="31" spans="1:4" x14ac:dyDescent="0.25">
      <c r="A31" s="17" t="s">
        <v>44</v>
      </c>
      <c r="B31" s="1">
        <v>69380</v>
      </c>
      <c r="C31" s="1">
        <v>46751</v>
      </c>
      <c r="D31" s="1">
        <v>28944</v>
      </c>
    </row>
    <row r="32" spans="1:4" x14ac:dyDescent="0.25">
      <c r="B32" s="1"/>
      <c r="C32" s="1"/>
      <c r="D32" s="1"/>
    </row>
    <row r="33" spans="1:4" x14ac:dyDescent="0.25">
      <c r="A33" s="5" t="s">
        <v>45</v>
      </c>
      <c r="B33" s="1">
        <v>1283</v>
      </c>
      <c r="C33" s="1">
        <v>677</v>
      </c>
      <c r="D33" s="1">
        <v>-125</v>
      </c>
    </row>
    <row r="34" spans="1:4" x14ac:dyDescent="0.25">
      <c r="A34" s="5" t="s">
        <v>46</v>
      </c>
      <c r="B34" s="1">
        <v>70663</v>
      </c>
      <c r="C34" s="1">
        <v>47428</v>
      </c>
      <c r="D34" s="1">
        <v>28819</v>
      </c>
    </row>
    <row r="35" spans="1:4" x14ac:dyDescent="0.25">
      <c r="A35" s="17" t="s">
        <v>47</v>
      </c>
      <c r="B35" s="1">
        <v>8303</v>
      </c>
      <c r="C35" s="1">
        <v>8330</v>
      </c>
      <c r="D35" s="1">
        <v>5619</v>
      </c>
    </row>
    <row r="36" spans="1:4" x14ac:dyDescent="0.25">
      <c r="A36" s="17" t="s">
        <v>66</v>
      </c>
      <c r="B36" s="1">
        <v>62360</v>
      </c>
      <c r="C36" s="1">
        <v>39098</v>
      </c>
      <c r="D36" s="1">
        <v>23200</v>
      </c>
    </row>
  </sheetData>
  <mergeCells count="1">
    <mergeCell ref="B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BD222-B1C0-4255-AF7B-5C40339B4648}">
  <dimension ref="A1:C31"/>
  <sheetViews>
    <sheetView workbookViewId="0">
      <selection sqref="A1:XFD1048576"/>
    </sheetView>
  </sheetViews>
  <sheetFormatPr defaultRowHeight="15" x14ac:dyDescent="0.25"/>
  <cols>
    <col min="1" max="1" width="150.28515625" customWidth="1"/>
    <col min="2" max="3" width="12.28515625" bestFit="1" customWidth="1"/>
  </cols>
  <sheetData>
    <row r="1" spans="1:3" x14ac:dyDescent="0.25">
      <c r="A1" s="3" t="s">
        <v>0</v>
      </c>
      <c r="B1" s="9">
        <v>45657</v>
      </c>
      <c r="C1" s="9">
        <v>45291</v>
      </c>
    </row>
    <row r="2" spans="1:3" x14ac:dyDescent="0.25">
      <c r="A2" s="4" t="s">
        <v>3</v>
      </c>
      <c r="B2" s="5" t="s">
        <v>4</v>
      </c>
      <c r="C2" s="5" t="s">
        <v>4</v>
      </c>
    </row>
    <row r="3" spans="1:3" x14ac:dyDescent="0.25">
      <c r="A3" s="5" t="s">
        <v>5</v>
      </c>
      <c r="B3" s="1">
        <v>43889</v>
      </c>
      <c r="C3" s="1">
        <v>41862</v>
      </c>
    </row>
    <row r="4" spans="1:3" x14ac:dyDescent="0.25">
      <c r="A4" s="5" t="s">
        <v>6</v>
      </c>
      <c r="B4" s="2">
        <v>33926</v>
      </c>
      <c r="C4" s="2">
        <v>23541</v>
      </c>
    </row>
    <row r="5" spans="1:3" x14ac:dyDescent="0.25">
      <c r="A5" s="5" t="s">
        <v>7</v>
      </c>
      <c r="B5" s="2">
        <v>16994</v>
      </c>
      <c r="C5" s="2">
        <v>16169</v>
      </c>
    </row>
    <row r="6" spans="1:3" x14ac:dyDescent="0.25">
      <c r="A6" s="5" t="s">
        <v>8</v>
      </c>
      <c r="B6" s="2">
        <v>5236</v>
      </c>
      <c r="C6" s="2">
        <v>3793</v>
      </c>
    </row>
    <row r="7" spans="1:3" x14ac:dyDescent="0.25">
      <c r="A7" s="5" t="s">
        <v>9</v>
      </c>
      <c r="B7" s="2">
        <v>100045</v>
      </c>
      <c r="C7" s="2">
        <v>85365</v>
      </c>
    </row>
    <row r="8" spans="1:3" x14ac:dyDescent="0.25">
      <c r="A8" s="5" t="s">
        <v>10</v>
      </c>
      <c r="B8" s="2">
        <v>6070</v>
      </c>
      <c r="C8" s="2">
        <v>6141</v>
      </c>
    </row>
    <row r="9" spans="1:3" x14ac:dyDescent="0.25">
      <c r="A9" s="5" t="s">
        <v>11</v>
      </c>
      <c r="B9" s="2">
        <v>121346</v>
      </c>
      <c r="C9" s="2">
        <v>96587</v>
      </c>
    </row>
    <row r="10" spans="1:3" x14ac:dyDescent="0.25">
      <c r="A10" s="5" t="s">
        <v>12</v>
      </c>
      <c r="B10" s="2">
        <v>14922</v>
      </c>
      <c r="C10" s="2">
        <v>13294</v>
      </c>
    </row>
    <row r="11" spans="1:3" x14ac:dyDescent="0.25">
      <c r="A11" s="5" t="s">
        <v>13</v>
      </c>
      <c r="B11" s="2">
        <v>20654</v>
      </c>
      <c r="C11" s="2">
        <v>20654</v>
      </c>
    </row>
    <row r="12" spans="1:3" x14ac:dyDescent="0.25">
      <c r="A12" s="5" t="s">
        <v>14</v>
      </c>
      <c r="B12" s="2">
        <v>13017</v>
      </c>
      <c r="C12" s="2">
        <v>7582</v>
      </c>
    </row>
    <row r="13" spans="1:3" x14ac:dyDescent="0.25">
      <c r="A13" s="5" t="s">
        <v>15</v>
      </c>
      <c r="B13" s="2">
        <v>276054</v>
      </c>
      <c r="C13" s="2">
        <v>229623</v>
      </c>
    </row>
    <row r="14" spans="1:3" x14ac:dyDescent="0.25">
      <c r="A14" s="4" t="s">
        <v>16</v>
      </c>
      <c r="B14" s="5" t="s">
        <v>4</v>
      </c>
      <c r="C14" s="5" t="s">
        <v>4</v>
      </c>
    </row>
    <row r="15" spans="1:3" x14ac:dyDescent="0.25">
      <c r="A15" s="5" t="s">
        <v>17</v>
      </c>
      <c r="B15" s="2">
        <v>7687</v>
      </c>
      <c r="C15" s="2">
        <v>4849</v>
      </c>
    </row>
    <row r="16" spans="1:3" x14ac:dyDescent="0.25">
      <c r="A16" s="5" t="s">
        <v>18</v>
      </c>
      <c r="B16" s="2">
        <v>1942</v>
      </c>
      <c r="C16" s="2">
        <v>1623</v>
      </c>
    </row>
    <row r="17" spans="1:3" x14ac:dyDescent="0.25">
      <c r="A17" s="5" t="s">
        <v>19</v>
      </c>
      <c r="B17" s="2">
        <v>23967</v>
      </c>
      <c r="C17" s="2">
        <v>25488</v>
      </c>
    </row>
    <row r="18" spans="1:3" x14ac:dyDescent="0.25">
      <c r="A18" s="5" t="s">
        <v>20</v>
      </c>
      <c r="B18" s="2">
        <v>33596</v>
      </c>
      <c r="C18" s="2">
        <v>31960</v>
      </c>
    </row>
    <row r="19" spans="1:3" x14ac:dyDescent="0.25">
      <c r="A19" s="5" t="s">
        <v>21</v>
      </c>
      <c r="B19" s="2">
        <v>18292</v>
      </c>
      <c r="C19" s="2">
        <v>17226</v>
      </c>
    </row>
    <row r="20" spans="1:3" x14ac:dyDescent="0.25">
      <c r="A20" s="5" t="s">
        <v>22</v>
      </c>
      <c r="B20" s="2">
        <v>28826</v>
      </c>
      <c r="C20" s="2">
        <v>18385</v>
      </c>
    </row>
    <row r="21" spans="1:3" x14ac:dyDescent="0.25">
      <c r="A21" s="5" t="s">
        <v>23</v>
      </c>
      <c r="B21" s="2">
        <v>9987</v>
      </c>
      <c r="C21" s="2">
        <v>7514</v>
      </c>
    </row>
    <row r="22" spans="1:3" x14ac:dyDescent="0.25">
      <c r="A22" s="5" t="s">
        <v>24</v>
      </c>
      <c r="B22" s="2">
        <v>2716</v>
      </c>
      <c r="C22" s="2">
        <v>1370</v>
      </c>
    </row>
    <row r="23" spans="1:3" x14ac:dyDescent="0.25">
      <c r="A23" s="5" t="s">
        <v>25</v>
      </c>
      <c r="B23" s="2">
        <v>93417</v>
      </c>
      <c r="C23" s="2">
        <v>76455</v>
      </c>
    </row>
    <row r="24" spans="1:3" x14ac:dyDescent="0.25">
      <c r="A24" s="5" t="s">
        <v>26</v>
      </c>
      <c r="B24" s="5" t="s">
        <v>27</v>
      </c>
      <c r="C24" s="5" t="s">
        <v>27</v>
      </c>
    </row>
    <row r="25" spans="1:3" x14ac:dyDescent="0.25">
      <c r="A25" s="4" t="s">
        <v>28</v>
      </c>
      <c r="B25" s="5" t="s">
        <v>4</v>
      </c>
      <c r="C25" s="5" t="s">
        <v>4</v>
      </c>
    </row>
    <row r="26" spans="1:3" x14ac:dyDescent="0.25">
      <c r="A26" s="17" t="s">
        <v>74</v>
      </c>
      <c r="B26" s="2">
        <v>0</v>
      </c>
      <c r="C26" s="2">
        <v>0</v>
      </c>
    </row>
    <row r="27" spans="1:3" x14ac:dyDescent="0.25">
      <c r="A27" s="5" t="s">
        <v>29</v>
      </c>
      <c r="B27" s="2">
        <v>83228</v>
      </c>
      <c r="C27" s="2">
        <v>73253</v>
      </c>
    </row>
    <row r="28" spans="1:3" x14ac:dyDescent="0.25">
      <c r="A28" s="5" t="s">
        <v>30</v>
      </c>
      <c r="B28" s="2">
        <v>-3097</v>
      </c>
      <c r="C28" s="2">
        <v>-2155</v>
      </c>
    </row>
    <row r="29" spans="1:3" x14ac:dyDescent="0.25">
      <c r="A29" s="5" t="s">
        <v>31</v>
      </c>
      <c r="B29" s="2">
        <v>102506</v>
      </c>
      <c r="C29" s="2">
        <v>82070</v>
      </c>
    </row>
    <row r="30" spans="1:3" x14ac:dyDescent="0.25">
      <c r="A30" s="5" t="s">
        <v>32</v>
      </c>
      <c r="B30" s="2">
        <v>182637</v>
      </c>
      <c r="C30" s="2">
        <v>153168</v>
      </c>
    </row>
    <row r="31" spans="1:3" x14ac:dyDescent="0.25">
      <c r="A31" s="5" t="s">
        <v>33</v>
      </c>
      <c r="B31" s="1">
        <v>276054</v>
      </c>
      <c r="C31" s="1">
        <v>229623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Cash Flow Statement</vt:lpstr>
      <vt:lpstr>Income Statement</vt:lpstr>
      <vt:lpstr>Balance Sheet</vt:lpstr>
      <vt:lpstr>Fixed Assets</vt:lpstr>
      <vt:lpstr>Retained Earnings</vt:lpstr>
      <vt:lpstr>Data Source --&gt;</vt:lpstr>
      <vt:lpstr>Income Statement - Data</vt:lpstr>
      <vt:lpstr>Balance Sheet -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 Moore</dc:creator>
  <cp:lastModifiedBy>Kerry Moore</cp:lastModifiedBy>
  <dcterms:created xsi:type="dcterms:W3CDTF">2025-03-18T20:29:44Z</dcterms:created>
  <dcterms:modified xsi:type="dcterms:W3CDTF">2025-03-20T02:50:19Z</dcterms:modified>
</cp:coreProperties>
</file>