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rry\repos\mgmt675-2025\"/>
    </mc:Choice>
  </mc:AlternateContent>
  <xr:revisionPtr revIDLastSave="0" documentId="8_{557AB67E-AC09-46E5-9F86-6FCCDAC68995}" xr6:coauthVersionLast="47" xr6:coauthVersionMax="47" xr10:uidLastSave="{00000000-0000-0000-0000-000000000000}"/>
  <bookViews>
    <workbookView xWindow="-98" yWindow="-98" windowWidth="21795" windowHeight="13875" tabRatio="954" activeTab="2" xr2:uid="{F4D3A485-DBFB-4649-9D39-F3ACD68684C4}"/>
  </bookViews>
  <sheets>
    <sheet name="1a Income Statements" sheetId="2" r:id="rId1"/>
    <sheet name="1b Balance Sheets" sheetId="1" r:id="rId2"/>
    <sheet name="1c Cash Flows" sheetId="3" r:id="rId3"/>
    <sheet name="2 Stock Price" sheetId="22" r:id="rId4"/>
    <sheet name="3 Earnings and Dividends" sheetId="17" r:id="rId5"/>
    <sheet name="4 DDM Example" sheetId="19" r:id="rId6"/>
    <sheet name="5 Beta" sheetId="26" r:id="rId7"/>
    <sheet name="6 P-Es" sheetId="12" r:id="rId8"/>
    <sheet name="7 Other Comparable Data" sheetId="1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9" l="1"/>
  <c r="N11" i="19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D11" i="19"/>
  <c r="D14" i="19" s="1"/>
  <c r="D22" i="19"/>
  <c r="C26" i="19"/>
  <c r="F9" i="18"/>
  <c r="F8" i="18"/>
  <c r="E11" i="18"/>
  <c r="F11" i="18"/>
  <c r="E10" i="18"/>
  <c r="F10" i="18"/>
  <c r="L10" i="18"/>
  <c r="L11" i="18"/>
  <c r="L38" i="12"/>
  <c r="L25" i="12"/>
  <c r="K38" i="12"/>
  <c r="K25" i="12"/>
  <c r="J38" i="12"/>
  <c r="J25" i="12"/>
  <c r="I38" i="12"/>
  <c r="I25" i="12"/>
  <c r="H38" i="12"/>
  <c r="H25" i="12"/>
  <c r="G38" i="12"/>
  <c r="G25" i="12"/>
  <c r="F38" i="12"/>
  <c r="F25" i="12"/>
  <c r="E38" i="12"/>
  <c r="E25" i="12"/>
  <c r="D38" i="12"/>
  <c r="D25" i="12"/>
  <c r="C38" i="12"/>
  <c r="C25" i="12"/>
  <c r="L37" i="12"/>
  <c r="L20" i="12"/>
  <c r="K37" i="12"/>
  <c r="K20" i="12"/>
  <c r="J37" i="12"/>
  <c r="J20" i="12"/>
  <c r="I37" i="12"/>
  <c r="I20" i="12"/>
  <c r="H37" i="12"/>
  <c r="H20" i="12"/>
  <c r="G37" i="12"/>
  <c r="G20" i="12"/>
  <c r="G23" i="12"/>
  <c r="F37" i="12"/>
  <c r="F20" i="12"/>
  <c r="F23" i="12"/>
  <c r="E37" i="12"/>
  <c r="E20" i="12"/>
  <c r="D37" i="12"/>
  <c r="D20" i="12"/>
  <c r="C37" i="12"/>
  <c r="C20" i="12"/>
  <c r="B38" i="12"/>
  <c r="B25" i="12"/>
  <c r="B37" i="12"/>
  <c r="B20" i="12"/>
  <c r="M21" i="12"/>
  <c r="D28" i="19"/>
  <c r="D27" i="19"/>
  <c r="A27" i="19"/>
  <c r="C27" i="19" s="1"/>
  <c r="F27" i="19" s="1"/>
  <c r="I27" i="19" s="1"/>
  <c r="D26" i="19"/>
  <c r="D20" i="19"/>
  <c r="D18" i="19"/>
  <c r="G28" i="19"/>
  <c r="G29" i="19"/>
  <c r="K10" i="18"/>
  <c r="K11" i="18"/>
  <c r="F41" i="17"/>
  <c r="E41" i="17"/>
  <c r="D41" i="17"/>
  <c r="F40" i="17"/>
  <c r="E40" i="17"/>
  <c r="D40" i="17"/>
  <c r="F39" i="17"/>
  <c r="E39" i="17"/>
  <c r="D39" i="17"/>
  <c r="F38" i="17"/>
  <c r="E38" i="17"/>
  <c r="D38" i="17"/>
  <c r="F37" i="17"/>
  <c r="E37" i="17"/>
  <c r="D37" i="17"/>
  <c r="B23" i="3"/>
  <c r="C23" i="3"/>
  <c r="B19" i="3"/>
  <c r="C19" i="3"/>
  <c r="C24" i="3"/>
  <c r="B14" i="3"/>
  <c r="B16" i="3" s="1"/>
  <c r="B7" i="3"/>
  <c r="B9" i="3" s="1"/>
  <c r="B29" i="3" s="1"/>
  <c r="B31" i="3" s="1"/>
  <c r="C7" i="3"/>
  <c r="C9" i="3" s="1"/>
  <c r="C29" i="3" s="1"/>
  <c r="C31" i="3" s="1"/>
  <c r="B24" i="1"/>
  <c r="B28" i="1"/>
  <c r="B34" i="1"/>
  <c r="C24" i="1"/>
  <c r="B12" i="1"/>
  <c r="B14" i="1" s="1"/>
  <c r="C12" i="1"/>
  <c r="C14" i="1"/>
  <c r="C9" i="1"/>
  <c r="C18" i="1" s="1"/>
  <c r="B5" i="17"/>
  <c r="C5" i="17"/>
  <c r="E44" i="17"/>
  <c r="B6" i="17"/>
  <c r="D6" i="17" s="1"/>
  <c r="C6" i="17"/>
  <c r="F6" i="17" s="1"/>
  <c r="B7" i="17"/>
  <c r="F7" i="17" s="1"/>
  <c r="C7" i="17"/>
  <c r="B8" i="17"/>
  <c r="D8" i="17" s="1"/>
  <c r="C8" i="17"/>
  <c r="E8" i="17" s="1"/>
  <c r="B9" i="17"/>
  <c r="C9" i="17"/>
  <c r="F9" i="17" s="1"/>
  <c r="B10" i="17"/>
  <c r="C10" i="17"/>
  <c r="F10" i="17" s="1"/>
  <c r="B11" i="17"/>
  <c r="D11" i="17" s="1"/>
  <c r="C11" i="17"/>
  <c r="E12" i="17" s="1"/>
  <c r="B12" i="17"/>
  <c r="D12" i="17" s="1"/>
  <c r="C12" i="17"/>
  <c r="F12" i="17"/>
  <c r="B13" i="17"/>
  <c r="D13" i="17" s="1"/>
  <c r="C13" i="17"/>
  <c r="B14" i="17"/>
  <c r="D15" i="17"/>
  <c r="C14" i="17"/>
  <c r="F14" i="17"/>
  <c r="B15" i="17"/>
  <c r="C15" i="17"/>
  <c r="F15" i="17" s="1"/>
  <c r="B16" i="17"/>
  <c r="C16" i="17"/>
  <c r="F16" i="17"/>
  <c r="B17" i="17"/>
  <c r="F17" i="17" s="1"/>
  <c r="C17" i="17"/>
  <c r="B18" i="17"/>
  <c r="D18" i="17" s="1"/>
  <c r="C18" i="17"/>
  <c r="E18" i="17"/>
  <c r="B19" i="17"/>
  <c r="D19" i="17" s="1"/>
  <c r="C19" i="17"/>
  <c r="E19" i="17"/>
  <c r="B20" i="17"/>
  <c r="D20" i="17" s="1"/>
  <c r="C20" i="17"/>
  <c r="F20" i="17"/>
  <c r="B21" i="17"/>
  <c r="D21" i="17" s="1"/>
  <c r="C21" i="17"/>
  <c r="F21" i="17" s="1"/>
  <c r="B22" i="17"/>
  <c r="C22" i="17"/>
  <c r="F22" i="17" s="1"/>
  <c r="B23" i="17"/>
  <c r="C23" i="17"/>
  <c r="F23" i="17"/>
  <c r="B24" i="17"/>
  <c r="C24" i="17"/>
  <c r="F24" i="17" s="1"/>
  <c r="A25" i="17"/>
  <c r="A24" i="17"/>
  <c r="A23" i="17" s="1"/>
  <c r="A22" i="17" s="1"/>
  <c r="A21" i="17" s="1"/>
  <c r="A20" i="17" s="1"/>
  <c r="A19" i="17" s="1"/>
  <c r="A18" i="17" s="1"/>
  <c r="A17" i="17" s="1"/>
  <c r="A16" i="17" s="1"/>
  <c r="A15" i="17" s="1"/>
  <c r="A14" i="17" s="1"/>
  <c r="A13" i="17" s="1"/>
  <c r="A12" i="17" s="1"/>
  <c r="A11" i="17" s="1"/>
  <c r="A10" i="17" s="1"/>
  <c r="A9" i="17" s="1"/>
  <c r="A8" i="17" s="1"/>
  <c r="A7" i="17" s="1"/>
  <c r="A6" i="17" s="1"/>
  <c r="A5" i="17" s="1"/>
  <c r="B25" i="17"/>
  <c r="D25" i="17"/>
  <c r="C25" i="17"/>
  <c r="F25" i="17" s="1"/>
  <c r="B26" i="17"/>
  <c r="F26" i="17" s="1"/>
  <c r="C26" i="17"/>
  <c r="A27" i="17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B27" i="17"/>
  <c r="E28" i="17"/>
  <c r="F28" i="17"/>
  <c r="D29" i="17"/>
  <c r="E29" i="17"/>
  <c r="F29" i="17"/>
  <c r="D30" i="17"/>
  <c r="E30" i="17"/>
  <c r="F30" i="17"/>
  <c r="D31" i="17"/>
  <c r="E31" i="17"/>
  <c r="F31" i="17"/>
  <c r="D32" i="17"/>
  <c r="E32" i="17"/>
  <c r="F32" i="17"/>
  <c r="D33" i="17"/>
  <c r="E33" i="17"/>
  <c r="F33" i="17"/>
  <c r="D34" i="17"/>
  <c r="E34" i="17"/>
  <c r="F34" i="17"/>
  <c r="D35" i="17"/>
  <c r="E35" i="17"/>
  <c r="F35" i="17"/>
  <c r="D36" i="17"/>
  <c r="E36" i="17"/>
  <c r="F36" i="17"/>
  <c r="M11" i="12"/>
  <c r="M22" i="12" s="1"/>
  <c r="M15" i="12"/>
  <c r="M14" i="12"/>
  <c r="M13" i="12"/>
  <c r="M12" i="12"/>
  <c r="M10" i="12"/>
  <c r="M9" i="12"/>
  <c r="M23" i="12" s="1"/>
  <c r="M8" i="12"/>
  <c r="M7" i="12"/>
  <c r="M6" i="12"/>
  <c r="M5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B9" i="1"/>
  <c r="C16" i="3"/>
  <c r="D28" i="17"/>
  <c r="D24" i="17"/>
  <c r="D16" i="17"/>
  <c r="F11" i="17"/>
  <c r="D7" i="17"/>
  <c r="F5" i="17"/>
  <c r="E16" i="17"/>
  <c r="F13" i="17"/>
  <c r="D10" i="17"/>
  <c r="B24" i="3"/>
  <c r="E21" i="17"/>
  <c r="E17" i="17"/>
  <c r="E13" i="17"/>
  <c r="E9" i="17"/>
  <c r="E7" i="17"/>
  <c r="C28" i="1"/>
  <c r="C34" i="1" s="1"/>
  <c r="G27" i="19"/>
  <c r="A28" i="19"/>
  <c r="C28" i="19" s="1"/>
  <c r="F28" i="19" s="1"/>
  <c r="I28" i="19" s="1"/>
  <c r="B21" i="12"/>
  <c r="B23" i="12"/>
  <c r="B22" i="12"/>
  <c r="C22" i="12"/>
  <c r="C23" i="12"/>
  <c r="C21" i="12"/>
  <c r="F22" i="12"/>
  <c r="K23" i="12"/>
  <c r="K22" i="12"/>
  <c r="K21" i="12"/>
  <c r="I21" i="12"/>
  <c r="I23" i="12"/>
  <c r="I22" i="12"/>
  <c r="G21" i="12"/>
  <c r="F21" i="12"/>
  <c r="D29" i="19"/>
  <c r="B29" i="19" s="1"/>
  <c r="D30" i="19"/>
  <c r="B31" i="19" s="1"/>
  <c r="D31" i="19"/>
  <c r="D32" i="19"/>
  <c r="B32" i="19" s="1"/>
  <c r="D19" i="19"/>
  <c r="D21" i="19" s="1"/>
  <c r="G26" i="19"/>
  <c r="F26" i="19" s="1"/>
  <c r="I26" i="19" s="1"/>
  <c r="D43" i="19"/>
  <c r="G30" i="19"/>
  <c r="B27" i="19"/>
  <c r="B28" i="19"/>
  <c r="G31" i="19"/>
  <c r="G32" i="19"/>
  <c r="E22" i="12"/>
  <c r="E23" i="12"/>
  <c r="E21" i="12"/>
  <c r="L22" i="12"/>
  <c r="L23" i="12"/>
  <c r="L21" i="12"/>
  <c r="J23" i="12"/>
  <c r="J22" i="12"/>
  <c r="J21" i="12"/>
  <c r="H21" i="12"/>
  <c r="H23" i="12"/>
  <c r="H22" i="12"/>
  <c r="D23" i="12"/>
  <c r="D21" i="12"/>
  <c r="D22" i="12"/>
  <c r="E24" i="17"/>
  <c r="E14" i="17"/>
  <c r="F19" i="17"/>
  <c r="E27" i="17"/>
  <c r="E25" i="17"/>
  <c r="F18" i="17"/>
  <c r="D14" i="17"/>
  <c r="E20" i="17"/>
  <c r="F27" i="17"/>
  <c r="E26" i="17"/>
  <c r="D44" i="17"/>
  <c r="D23" i="17"/>
  <c r="E6" i="17"/>
  <c r="G22" i="12"/>
  <c r="E11" i="17"/>
  <c r="B18" i="1" l="1"/>
  <c r="G33" i="19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E22" i="17"/>
  <c r="D17" i="17"/>
  <c r="D33" i="19"/>
  <c r="D9" i="17"/>
  <c r="D43" i="17" s="1"/>
  <c r="D27" i="17"/>
  <c r="F8" i="17"/>
  <c r="F43" i="17" s="1"/>
  <c r="B30" i="19"/>
  <c r="E23" i="17"/>
  <c r="E15" i="17"/>
  <c r="A29" i="19"/>
  <c r="D26" i="17"/>
  <c r="E10" i="17"/>
  <c r="E43" i="17" s="1"/>
  <c r="D22" i="17"/>
  <c r="A30" i="19" l="1"/>
  <c r="C29" i="19"/>
  <c r="F29" i="19" s="1"/>
  <c r="I29" i="19" s="1"/>
  <c r="B33" i="19"/>
  <c r="D34" i="19"/>
  <c r="B34" i="19" l="1"/>
  <c r="D35" i="19"/>
  <c r="A31" i="19"/>
  <c r="C30" i="19"/>
  <c r="F30" i="19" s="1"/>
  <c r="I30" i="19" s="1"/>
  <c r="A32" i="19" l="1"/>
  <c r="C31" i="19"/>
  <c r="F31" i="19" s="1"/>
  <c r="I31" i="19" s="1"/>
  <c r="B35" i="19"/>
  <c r="D36" i="19"/>
  <c r="D37" i="19" l="1"/>
  <c r="B36" i="19"/>
  <c r="A33" i="19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B43" i="19" s="1"/>
  <c r="C32" i="19"/>
  <c r="C33" i="19" l="1"/>
  <c r="F32" i="19"/>
  <c r="I32" i="19" s="1"/>
  <c r="D38" i="19"/>
  <c r="B37" i="19"/>
  <c r="B38" i="19" l="1"/>
  <c r="D39" i="19"/>
  <c r="C34" i="19"/>
  <c r="F33" i="19"/>
  <c r="I33" i="19" s="1"/>
  <c r="F34" i="19" l="1"/>
  <c r="I34" i="19" s="1"/>
  <c r="C35" i="19"/>
  <c r="B39" i="19"/>
  <c r="D40" i="19"/>
  <c r="B40" i="19" l="1"/>
  <c r="D41" i="19"/>
  <c r="C36" i="19"/>
  <c r="F35" i="19"/>
  <c r="I35" i="19" s="1"/>
  <c r="F36" i="19" l="1"/>
  <c r="I36" i="19" s="1"/>
  <c r="C37" i="19"/>
  <c r="D42" i="19"/>
  <c r="B42" i="19" s="1"/>
  <c r="B41" i="19"/>
  <c r="F37" i="19" l="1"/>
  <c r="I37" i="19" s="1"/>
  <c r="C38" i="19"/>
  <c r="F38" i="19" l="1"/>
  <c r="I38" i="19" s="1"/>
  <c r="C39" i="19"/>
  <c r="C40" i="19" l="1"/>
  <c r="F39" i="19"/>
  <c r="I39" i="19" s="1"/>
  <c r="F40" i="19" l="1"/>
  <c r="I40" i="19" s="1"/>
  <c r="C41" i="19"/>
  <c r="C42" i="19" l="1"/>
  <c r="F41" i="19"/>
  <c r="I41" i="19" s="1"/>
  <c r="C43" i="19" l="1"/>
  <c r="F43" i="19" s="1"/>
  <c r="H42" i="19" s="1"/>
  <c r="F42" i="19"/>
  <c r="I42" i="19" s="1"/>
  <c r="I44" i="19" s="1"/>
</calcChain>
</file>

<file path=xl/sharedStrings.xml><?xml version="1.0" encoding="utf-8"?>
<sst xmlns="http://schemas.openxmlformats.org/spreadsheetml/2006/main" count="194" uniqueCount="167">
  <si>
    <t xml:space="preserve">ASSETS </t>
  </si>
  <si>
    <t>Current assets:</t>
  </si>
  <si>
    <t xml:space="preserve">  Accounts receivable</t>
  </si>
  <si>
    <t xml:space="preserve">  Inventories</t>
  </si>
  <si>
    <t xml:space="preserve">    Total current assets</t>
  </si>
  <si>
    <t xml:space="preserve">    Less: accumulated depreciation</t>
  </si>
  <si>
    <t>Other assets</t>
  </si>
  <si>
    <t>Total assets</t>
  </si>
  <si>
    <t>LIABILITIES AND EQUITY</t>
  </si>
  <si>
    <t>Current liabilities:</t>
  </si>
  <si>
    <t xml:space="preserve">  Accounts payable</t>
  </si>
  <si>
    <t xml:space="preserve">  Current maturities of long-term debt</t>
  </si>
  <si>
    <t xml:space="preserve">    Total current liabilities</t>
  </si>
  <si>
    <t>Long-term debt</t>
  </si>
  <si>
    <t>Deferred income taxes</t>
  </si>
  <si>
    <t>Shareholders’ equity</t>
  </si>
  <si>
    <t>Total liabilities and equity</t>
  </si>
  <si>
    <t>Revenues:</t>
  </si>
  <si>
    <t xml:space="preserve">    Total revenues</t>
  </si>
  <si>
    <t>Cost of goods sold</t>
  </si>
  <si>
    <t>Gross profit</t>
  </si>
  <si>
    <t>Expenses:</t>
  </si>
  <si>
    <t xml:space="preserve">    Total expenses</t>
  </si>
  <si>
    <t>Income tax</t>
  </si>
  <si>
    <t>Average number of shares outstanding (millions)</t>
  </si>
  <si>
    <t>Net income per share</t>
  </si>
  <si>
    <t>Operating activities:</t>
  </si>
  <si>
    <t>Depreciation and amortization</t>
  </si>
  <si>
    <t>Deferred taxes</t>
  </si>
  <si>
    <t>Net change in operating assets and liabilities</t>
  </si>
  <si>
    <t>Other (net)</t>
  </si>
  <si>
    <t xml:space="preserve">   Net cash provided by operating activities</t>
  </si>
  <si>
    <t>Investing activities:</t>
  </si>
  <si>
    <t>Purchases of property, plant and equipment (PPE)</t>
  </si>
  <si>
    <t>Other investing activities</t>
  </si>
  <si>
    <t xml:space="preserve">  Net cash used in investing activities</t>
  </si>
  <si>
    <t>Financing activities:</t>
  </si>
  <si>
    <t>Payments of debt</t>
  </si>
  <si>
    <t>Dividends</t>
  </si>
  <si>
    <t xml:space="preserve">  Net cash used in financing activities</t>
  </si>
  <si>
    <t>Effect of exchange rate changes</t>
  </si>
  <si>
    <t>Cash:</t>
  </si>
  <si>
    <t>Net increase during year</t>
  </si>
  <si>
    <t>Balance at beginning of year</t>
  </si>
  <si>
    <t>Balance at end of year</t>
  </si>
  <si>
    <t>Earnings after tax (net income)</t>
  </si>
  <si>
    <t xml:space="preserve">  Cash and cash equivalents</t>
  </si>
  <si>
    <t xml:space="preserve">  Prepaid expenses and other</t>
  </si>
  <si>
    <t xml:space="preserve">  Land (property)</t>
  </si>
  <si>
    <t xml:space="preserve">  Plant and equipment (PE)</t>
  </si>
  <si>
    <t>Net PPE</t>
  </si>
  <si>
    <t xml:space="preserve">  Accrued liabilities and income tax</t>
  </si>
  <si>
    <t>Minority interest</t>
  </si>
  <si>
    <t xml:space="preserve">  Net sales</t>
  </si>
  <si>
    <t xml:space="preserve">  Operating, selling, and general and administrative expenses</t>
  </si>
  <si>
    <t xml:space="preserve">  Interest expenses -- net</t>
  </si>
  <si>
    <t xml:space="preserve">  Other income -- net</t>
  </si>
  <si>
    <t>Earnings (income) before taxes and minority interest</t>
  </si>
  <si>
    <t>Earnings (income) before minority interest</t>
  </si>
  <si>
    <t>Investment in international operations</t>
  </si>
  <si>
    <t>-</t>
  </si>
  <si>
    <t>Issuance of debt</t>
  </si>
  <si>
    <t>Purchases of stock</t>
  </si>
  <si>
    <t>Other financing activities</t>
  </si>
  <si>
    <t>Earnings from discontinued operations (net of tax)</t>
  </si>
  <si>
    <t>Goodwill</t>
  </si>
  <si>
    <t>Proceeds from sales and disposals</t>
  </si>
  <si>
    <t>Net income (continuing operations)</t>
  </si>
  <si>
    <t>Property, plant and equipment (PPE):</t>
  </si>
  <si>
    <t>S&amp;P 500</t>
  </si>
  <si>
    <t>Dividend</t>
  </si>
  <si>
    <t>Year</t>
  </si>
  <si>
    <t>Dividend Payout %</t>
  </si>
  <si>
    <t>Earnings/ Share $</t>
  </si>
  <si>
    <t>Dividends/ Share $</t>
  </si>
  <si>
    <t>n/a</t>
  </si>
  <si>
    <t>Arithmetic average</t>
  </si>
  <si>
    <t>Geometric average</t>
  </si>
  <si>
    <t>Note: Per share information based on dilution; rounded; after adjusting for splits</t>
  </si>
  <si>
    <t>Projected</t>
  </si>
  <si>
    <t>Wal-Mart</t>
  </si>
  <si>
    <t>Target</t>
  </si>
  <si>
    <t>The Gap</t>
  </si>
  <si>
    <t>Dillard's</t>
  </si>
  <si>
    <t>Kroger</t>
  </si>
  <si>
    <t>Safeway</t>
  </si>
  <si>
    <t>J.C. Penney</t>
  </si>
  <si>
    <t>Ltd. Brands</t>
  </si>
  <si>
    <t>Costco</t>
  </si>
  <si>
    <t>NMF</t>
  </si>
  <si>
    <t>Growth years</t>
  </si>
  <si>
    <t>Payout at maturity</t>
  </si>
  <si>
    <t>Retention rate at maturity (retent)</t>
  </si>
  <si>
    <t>Transition period:</t>
  </si>
  <si>
    <t>Transition years</t>
  </si>
  <si>
    <t>Growth rate of EPS (incremental)</t>
  </si>
  <si>
    <t>Other information:</t>
  </si>
  <si>
    <t>Growth years payout = current</t>
  </si>
  <si>
    <t>Transition years payout (incremental)</t>
  </si>
  <si>
    <t>Terminal value (TV) = div1/(r-g)</t>
  </si>
  <si>
    <t>Assumption</t>
  </si>
  <si>
    <t>EPS</t>
  </si>
  <si>
    <t>growth</t>
  </si>
  <si>
    <t>payout</t>
  </si>
  <si>
    <t>TV</t>
  </si>
  <si>
    <t>Growth year EPS</t>
  </si>
  <si>
    <t>Theoretical price</t>
  </si>
  <si>
    <t>Growth period (g1):</t>
  </si>
  <si>
    <t>Maturity period (g2):</t>
  </si>
  <si>
    <t>Current payout (p1)</t>
  </si>
  <si>
    <t>Maturity payout (p2)</t>
  </si>
  <si>
    <t>PV (div+TV)</t>
  </si>
  <si>
    <t>DIVIDEND DISCOUNT MODEL: THREE-STAGE EXAMPLE</t>
  </si>
  <si>
    <t>Growth rate at maturity: r x retent</t>
  </si>
  <si>
    <t>Discount rate (r):</t>
  </si>
  <si>
    <t>WAL-MART SELECTED EARNINGS AND DIVIDENDS INFORMATION</t>
  </si>
  <si>
    <t>Annual Earnings Growth (%)</t>
  </si>
  <si>
    <t>Annual Dividends Growth (%)</t>
  </si>
  <si>
    <t>Year*</t>
  </si>
  <si>
    <t>* Fiscal year ended January 31</t>
  </si>
  <si>
    <t>SELECTED HISTORICAL PRICE/EARNINGS INFORMATION</t>
  </si>
  <si>
    <t xml:space="preserve">  Current assets of discontinued operations</t>
  </si>
  <si>
    <t>Net property under capital leases</t>
  </si>
  <si>
    <t xml:space="preserve">  Short-term borrowings</t>
  </si>
  <si>
    <t xml:space="preserve">  Obligations under capital leases due within one year</t>
  </si>
  <si>
    <t xml:space="preserve">  Current liabilities of discontinued operations</t>
  </si>
  <si>
    <t>Long-term obligations under capital leases</t>
  </si>
  <si>
    <t>Source: Wal-Mart Annual Reports: 1979, 1987, 1996, 2005, 2010</t>
  </si>
  <si>
    <t>Macy's</t>
  </si>
  <si>
    <t>Supervalu</t>
  </si>
  <si>
    <t>Industry</t>
  </si>
  <si>
    <t>Past 5 Years Earnings Growth</t>
  </si>
  <si>
    <t>Current fiscal year EPS</t>
  </si>
  <si>
    <t>Current calendar year dividend</t>
  </si>
  <si>
    <t>Date</t>
  </si>
  <si>
    <t>WMT</t>
  </si>
  <si>
    <t>SPX</t>
  </si>
  <si>
    <t>Total Avg</t>
  </si>
  <si>
    <t>5-Year Avg</t>
  </si>
  <si>
    <t>Share Price</t>
  </si>
  <si>
    <t>FY09 EPS</t>
  </si>
  <si>
    <t>Trailing</t>
  </si>
  <si>
    <t>Forward</t>
  </si>
  <si>
    <t>10-Year Avg</t>
  </si>
  <si>
    <t>FY10 EPS</t>
  </si>
  <si>
    <t>Source: Value Line, Yahoo! Finance, Bloomberg</t>
  </si>
  <si>
    <t xml:space="preserve">* Calendar year </t>
  </si>
  <si>
    <t>SELECTED COMPARABLE DATA</t>
  </si>
  <si>
    <t>Trailing P/E</t>
  </si>
  <si>
    <t>Projected P/E</t>
  </si>
  <si>
    <t>Notes: Trailing company multiples are based on the February 1, 2010 share price and past four quarter's earnings (fiscal year 2010 earnings);</t>
  </si>
  <si>
    <t xml:space="preserve">           Projected company multiples are based on February 1, 2010 share price and projected fiscal year 2011 earnings (i.e. through January 31, 2011);</t>
  </si>
  <si>
    <t xml:space="preserve">           Trailing and projected S&amp;P 500 multiples are based on 2009 and 2010 calendar years, respectively</t>
  </si>
  <si>
    <t>Notes: NMF = "not meaningful"; 2009 trailing company multiples are based on the February 1, 2010 share price and past four quarter's earnings (fiscal 2010 earnings);</t>
  </si>
  <si>
    <t>Source: Yahoo! Finance</t>
  </si>
  <si>
    <t>* Fiscal year</t>
  </si>
  <si>
    <t>2010 Net Profit Margin*</t>
  </si>
  <si>
    <t>Next 5 Years Projected Earnings Growth</t>
  </si>
  <si>
    <t>2015 Projected Net Profit Margin*</t>
  </si>
  <si>
    <t>2010 Long-Term Debt to Equity*</t>
  </si>
  <si>
    <t>Comparable</t>
  </si>
  <si>
    <t>2010 Return on Common Equity*</t>
  </si>
  <si>
    <t>2015 Projected Return on Common Equity*</t>
  </si>
  <si>
    <t>2015 Projected Long-Term Debt to Equity*</t>
  </si>
  <si>
    <t>PEG Ratio (Trailing P/E / Projected Growth)</t>
  </si>
  <si>
    <t>Initial growth rate of EPS</t>
  </si>
  <si>
    <t>Growth + Transition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</si>
</sst>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0" formatCode="_-&quot;$&quot;* #,##0.00_-;\-&quot;$&quot;* #,##0.00_-;_-&quot;$&quot;* &quot;-&quot;??_-;_-@_-"/>
    <numFmt numFmtId="171" formatCode="_-* #,##0.00_-;\-* #,##0.00_-;_-* &quot;-&quot;??_-;_-@_-"/>
    <numFmt numFmtId="176" formatCode="0.000"/>
    <numFmt numFmtId="177" formatCode="0.0"/>
    <numFmt numFmtId="179" formatCode="_-* #,##0_-;\-* #,##0_-;_-* &quot;-&quot;??_-;_-@_-"/>
    <numFmt numFmtId="180" formatCode="0.0000"/>
    <numFmt numFmtId="185" formatCode="0.0000%"/>
    <numFmt numFmtId="198" formatCode="0.0000000"/>
  </numFmts>
  <fonts count="14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2"/>
      <name val="Arial"/>
      <family val="2"/>
    </font>
    <font>
      <u val="double"/>
      <sz val="12"/>
      <name val="Arial"/>
      <family val="2"/>
    </font>
    <font>
      <sz val="10"/>
      <color theme="1"/>
      <name val="Arial"/>
      <family val="2"/>
    </font>
    <font>
      <u val="singleAccounting"/>
      <sz val="10"/>
      <color theme="1"/>
      <name val="Arial"/>
      <family val="2"/>
    </font>
    <font>
      <u val="doubleAccounting"/>
      <sz val="10"/>
      <color theme="1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8">
    <xf numFmtId="0" fontId="0" fillId="0" borderId="0" xfId="0"/>
    <xf numFmtId="0" fontId="4" fillId="0" borderId="0" xfId="0" applyFont="1"/>
    <xf numFmtId="179" fontId="10" fillId="0" borderId="1" xfId="1" applyNumberFormat="1" applyFont="1" applyBorder="1"/>
    <xf numFmtId="179" fontId="11" fillId="0" borderId="1" xfId="1" applyNumberFormat="1" applyFont="1" applyBorder="1"/>
    <xf numFmtId="179" fontId="10" fillId="0" borderId="2" xfId="1" applyNumberFormat="1" applyFont="1" applyBorder="1"/>
    <xf numFmtId="179" fontId="12" fillId="0" borderId="1" xfId="1" applyNumberFormat="1" applyFont="1" applyBorder="1"/>
    <xf numFmtId="170" fontId="10" fillId="0" borderId="1" xfId="2" applyFont="1" applyBorder="1"/>
    <xf numFmtId="179" fontId="10" fillId="0" borderId="3" xfId="1" applyNumberFormat="1" applyFont="1" applyBorder="1"/>
    <xf numFmtId="179" fontId="11" fillId="0" borderId="3" xfId="1" applyNumberFormat="1" applyFont="1" applyBorder="1"/>
    <xf numFmtId="179" fontId="10" fillId="0" borderId="4" xfId="1" applyNumberFormat="1" applyFont="1" applyBorder="1"/>
    <xf numFmtId="179" fontId="12" fillId="0" borderId="3" xfId="1" applyNumberFormat="1" applyFont="1" applyBorder="1"/>
    <xf numFmtId="170" fontId="10" fillId="0" borderId="3" xfId="2" applyFont="1" applyBorder="1"/>
    <xf numFmtId="0" fontId="2" fillId="0" borderId="0" xfId="0" applyFont="1" applyAlignment="1">
      <alignment horizontal="left"/>
    </xf>
    <xf numFmtId="0" fontId="0" fillId="0" borderId="5" xfId="0" applyBorder="1"/>
    <xf numFmtId="0" fontId="2" fillId="0" borderId="5" xfId="0" applyFont="1" applyBorder="1"/>
    <xf numFmtId="14" fontId="0" fillId="0" borderId="5" xfId="0" applyNumberFormat="1" applyBorder="1"/>
    <xf numFmtId="170" fontId="0" fillId="0" borderId="5" xfId="2" applyFont="1" applyBorder="1"/>
    <xf numFmtId="179" fontId="0" fillId="0" borderId="5" xfId="1" applyNumberFormat="1" applyFont="1" applyBorder="1"/>
    <xf numFmtId="0" fontId="2" fillId="0" borderId="0" xfId="0" applyFont="1"/>
    <xf numFmtId="0" fontId="5" fillId="0" borderId="0" xfId="0" applyFo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77" fontId="2" fillId="0" borderId="0" xfId="0" applyNumberFormat="1" applyFon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7" fontId="2" fillId="0" borderId="0" xfId="0" applyNumberFormat="1" applyFont="1" applyFill="1" applyBorder="1" applyAlignment="1">
      <alignment horizontal="center"/>
    </xf>
    <xf numFmtId="177" fontId="2" fillId="0" borderId="1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77" fontId="2" fillId="0" borderId="11" xfId="0" applyNumberFormat="1" applyFont="1" applyBorder="1" applyAlignment="1">
      <alignment horizontal="center"/>
    </xf>
    <xf numFmtId="177" fontId="2" fillId="0" borderId="2" xfId="0" applyNumberFormat="1" applyFont="1" applyFill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/>
    <xf numFmtId="0" fontId="2" fillId="0" borderId="12" xfId="0" applyFont="1" applyBorder="1"/>
    <xf numFmtId="0" fontId="5" fillId="0" borderId="13" xfId="0" applyFont="1" applyBorder="1" applyAlignment="1">
      <alignment horizontal="right" vertical="top" wrapText="1"/>
    </xf>
    <xf numFmtId="0" fontId="5" fillId="0" borderId="14" xfId="0" applyFont="1" applyBorder="1" applyAlignment="1">
      <alignment horizontal="right" vertical="top" wrapText="1"/>
    </xf>
    <xf numFmtId="0" fontId="5" fillId="0" borderId="9" xfId="0" applyFont="1" applyBorder="1" applyAlignment="1">
      <alignment horizontal="justify" vertical="top" wrapText="1"/>
    </xf>
    <xf numFmtId="0" fontId="5" fillId="0" borderId="3" xfId="0" applyFont="1" applyBorder="1" applyAlignment="1">
      <alignment horizontal="right" vertical="top" wrapText="1"/>
    </xf>
    <xf numFmtId="0" fontId="5" fillId="0" borderId="1" xfId="0" applyFont="1" applyBorder="1" applyAlignment="1">
      <alignment horizontal="right" vertical="top" wrapText="1"/>
    </xf>
    <xf numFmtId="37" fontId="2" fillId="0" borderId="0" xfId="0" applyNumberFormat="1" applyFont="1"/>
    <xf numFmtId="0" fontId="7" fillId="0" borderId="10" xfId="0" applyFont="1" applyBorder="1" applyAlignment="1">
      <alignment horizontal="justify" vertical="top" wrapText="1"/>
    </xf>
    <xf numFmtId="0" fontId="5" fillId="0" borderId="4" xfId="0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7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horizontal="justify" vertical="top" wrapText="1"/>
    </xf>
    <xf numFmtId="0" fontId="5" fillId="0" borderId="15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3" fontId="5" fillId="0" borderId="0" xfId="0" applyNumberFormat="1" applyFont="1" applyBorder="1" applyAlignment="1">
      <alignment vertical="top" wrapText="1"/>
    </xf>
    <xf numFmtId="3" fontId="5" fillId="0" borderId="1" xfId="0" applyNumberFormat="1" applyFont="1" applyBorder="1" applyAlignment="1">
      <alignment vertical="top" wrapText="1"/>
    </xf>
    <xf numFmtId="3" fontId="5" fillId="0" borderId="0" xfId="1" applyNumberFormat="1" applyFont="1" applyBorder="1" applyAlignment="1">
      <alignment vertical="top" wrapText="1"/>
    </xf>
    <xf numFmtId="3" fontId="5" fillId="0" borderId="1" xfId="1" applyNumberFormat="1" applyFont="1" applyBorder="1" applyAlignment="1">
      <alignment vertical="top" wrapText="1"/>
    </xf>
    <xf numFmtId="3" fontId="8" fillId="0" borderId="0" xfId="0" applyNumberFormat="1" applyFont="1" applyBorder="1" applyAlignment="1">
      <alignment vertical="top" wrapText="1"/>
    </xf>
    <xf numFmtId="3" fontId="8" fillId="0" borderId="1" xfId="0" applyNumberFormat="1" applyFont="1" applyBorder="1" applyAlignment="1">
      <alignment vertical="top" wrapText="1"/>
    </xf>
    <xf numFmtId="3" fontId="5" fillId="0" borderId="0" xfId="0" applyNumberFormat="1" applyFont="1" applyBorder="1" applyAlignment="1">
      <alignment horizontal="right" vertical="top" wrapText="1"/>
    </xf>
    <xf numFmtId="3" fontId="5" fillId="0" borderId="1" xfId="0" applyNumberFormat="1" applyFont="1" applyBorder="1" applyAlignment="1">
      <alignment horizontal="right" vertical="top" wrapText="1"/>
    </xf>
    <xf numFmtId="3" fontId="2" fillId="0" borderId="0" xfId="0" applyNumberFormat="1" applyFont="1"/>
    <xf numFmtId="3" fontId="8" fillId="0" borderId="0" xfId="0" applyNumberFormat="1" applyFont="1" applyBorder="1" applyAlignment="1">
      <alignment horizontal="right" vertical="top" wrapText="1"/>
    </xf>
    <xf numFmtId="3" fontId="8" fillId="0" borderId="1" xfId="0" applyNumberFormat="1" applyFont="1" applyBorder="1" applyAlignment="1">
      <alignment horizontal="right" vertical="top" wrapText="1"/>
    </xf>
    <xf numFmtId="3" fontId="9" fillId="0" borderId="0" xfId="0" applyNumberFormat="1" applyFont="1" applyBorder="1" applyAlignment="1">
      <alignment horizontal="right" vertical="top" wrapText="1"/>
    </xf>
    <xf numFmtId="3" fontId="9" fillId="0" borderId="1" xfId="0" applyNumberFormat="1" applyFont="1" applyBorder="1" applyAlignment="1">
      <alignment horizontal="right" vertical="top" wrapText="1"/>
    </xf>
    <xf numFmtId="0" fontId="5" fillId="0" borderId="11" xfId="0" applyFont="1" applyBorder="1" applyAlignment="1">
      <alignment horizontal="right" vertical="top" wrapText="1"/>
    </xf>
    <xf numFmtId="0" fontId="7" fillId="0" borderId="0" xfId="0" applyFont="1" applyBorder="1" applyAlignment="1">
      <alignment horizontal="left" vertical="top"/>
    </xf>
    <xf numFmtId="37" fontId="5" fillId="0" borderId="3" xfId="0" applyNumberFormat="1" applyFont="1" applyBorder="1" applyAlignment="1">
      <alignment horizontal="right" vertical="top" wrapText="1"/>
    </xf>
    <xf numFmtId="37" fontId="5" fillId="0" borderId="1" xfId="0" applyNumberFormat="1" applyFont="1" applyBorder="1" applyAlignment="1">
      <alignment horizontal="right" vertical="top" wrapText="1"/>
    </xf>
    <xf numFmtId="37" fontId="8" fillId="0" borderId="3" xfId="0" applyNumberFormat="1" applyFont="1" applyBorder="1" applyAlignment="1">
      <alignment horizontal="right" vertical="top" wrapText="1"/>
    </xf>
    <xf numFmtId="37" fontId="8" fillId="0" borderId="1" xfId="0" applyNumberFormat="1" applyFont="1" applyBorder="1" applyAlignment="1">
      <alignment horizontal="right" vertical="top" wrapText="1"/>
    </xf>
    <xf numFmtId="37" fontId="9" fillId="0" borderId="3" xfId="0" applyNumberFormat="1" applyFont="1" applyBorder="1" applyAlignment="1">
      <alignment horizontal="right" vertical="top" wrapText="1"/>
    </xf>
    <xf numFmtId="37" fontId="9" fillId="0" borderId="1" xfId="0" applyNumberFormat="1" applyFont="1" applyBorder="1" applyAlignment="1">
      <alignment horizontal="right" vertical="top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76" fontId="2" fillId="0" borderId="0" xfId="0" applyNumberFormat="1" applyFont="1" applyBorder="1" applyAlignment="1">
      <alignment horizontal="center" wrapText="1"/>
    </xf>
    <xf numFmtId="180" fontId="2" fillId="0" borderId="0" xfId="0" applyNumberFormat="1" applyFont="1" applyBorder="1" applyAlignment="1">
      <alignment horizontal="center" wrapText="1"/>
    </xf>
    <xf numFmtId="180" fontId="2" fillId="0" borderId="0" xfId="0" applyNumberFormat="1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176" fontId="2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70" fontId="2" fillId="0" borderId="15" xfId="2" applyFont="1" applyBorder="1"/>
    <xf numFmtId="170" fontId="2" fillId="0" borderId="14" xfId="2" applyFont="1" applyBorder="1"/>
    <xf numFmtId="0" fontId="2" fillId="0" borderId="9" xfId="0" applyFont="1" applyBorder="1"/>
    <xf numFmtId="170" fontId="2" fillId="0" borderId="0" xfId="2" applyFont="1" applyBorder="1"/>
    <xf numFmtId="170" fontId="2" fillId="0" borderId="1" xfId="2" applyFont="1" applyBorder="1"/>
    <xf numFmtId="2" fontId="2" fillId="0" borderId="0" xfId="0" applyNumberFormat="1" applyFont="1" applyBorder="1"/>
    <xf numFmtId="2" fontId="2" fillId="0" borderId="1" xfId="0" applyNumberFormat="1" applyFont="1" applyBorder="1"/>
    <xf numFmtId="0" fontId="2" fillId="0" borderId="10" xfId="0" applyFont="1" applyBorder="1"/>
    <xf numFmtId="2" fontId="2" fillId="0" borderId="11" xfId="0" applyNumberFormat="1" applyFont="1" applyBorder="1"/>
    <xf numFmtId="2" fontId="2" fillId="0" borderId="2" xfId="0" applyNumberFormat="1" applyFont="1" applyBorder="1"/>
    <xf numFmtId="2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0" fontId="2" fillId="0" borderId="5" xfId="0" applyNumberFormat="1" applyFont="1" applyBorder="1" applyAlignment="1">
      <alignment horizontal="right"/>
    </xf>
    <xf numFmtId="10" fontId="2" fillId="0" borderId="5" xfId="4" applyNumberFormat="1" applyFont="1" applyBorder="1" applyAlignment="1">
      <alignment horizontal="right"/>
    </xf>
    <xf numFmtId="0" fontId="2" fillId="0" borderId="0" xfId="0" applyFont="1" applyFill="1" applyBorder="1"/>
    <xf numFmtId="2" fontId="2" fillId="0" borderId="5" xfId="0" applyNumberFormat="1" applyFont="1" applyFill="1" applyBorder="1" applyAlignment="1">
      <alignment horizontal="right"/>
    </xf>
    <xf numFmtId="171" fontId="2" fillId="0" borderId="5" xfId="1" applyFont="1" applyBorder="1" applyAlignment="1">
      <alignment horizontal="right"/>
    </xf>
    <xf numFmtId="9" fontId="2" fillId="2" borderId="0" xfId="3" applyNumberFormat="1" applyFont="1" applyFill="1" applyProtection="1"/>
    <xf numFmtId="0" fontId="4" fillId="0" borderId="0" xfId="3" applyFont="1" applyProtection="1">
      <protection locked="0"/>
    </xf>
    <xf numFmtId="0" fontId="2" fillId="0" borderId="0" xfId="3" applyFont="1" applyProtection="1">
      <protection locked="0"/>
    </xf>
    <xf numFmtId="0" fontId="13" fillId="0" borderId="0" xfId="3" applyFont="1" applyProtection="1">
      <protection locked="0"/>
    </xf>
    <xf numFmtId="0" fontId="4" fillId="0" borderId="0" xfId="3" applyFont="1" applyBorder="1" applyProtection="1">
      <protection locked="0"/>
    </xf>
    <xf numFmtId="0" fontId="2" fillId="0" borderId="0" xfId="3" applyFont="1" applyBorder="1" applyProtection="1">
      <protection locked="0"/>
    </xf>
    <xf numFmtId="10" fontId="2" fillId="3" borderId="16" xfId="3" applyNumberFormat="1" applyFont="1" applyFill="1" applyBorder="1" applyProtection="1">
      <protection locked="0"/>
    </xf>
    <xf numFmtId="0" fontId="2" fillId="0" borderId="0" xfId="3" quotePrefix="1" applyFont="1" applyBorder="1" applyProtection="1">
      <protection locked="0"/>
    </xf>
    <xf numFmtId="1" fontId="2" fillId="0" borderId="0" xfId="3" applyNumberFormat="1" applyFont="1" applyBorder="1" applyProtection="1">
      <protection locked="0"/>
    </xf>
    <xf numFmtId="2" fontId="2" fillId="0" borderId="0" xfId="3" applyNumberFormat="1" applyFont="1" applyBorder="1" applyProtection="1">
      <protection locked="0"/>
    </xf>
    <xf numFmtId="1" fontId="2" fillId="3" borderId="16" xfId="3" applyNumberFormat="1" applyFont="1" applyFill="1" applyBorder="1" applyProtection="1">
      <protection locked="0"/>
    </xf>
    <xf numFmtId="0" fontId="6" fillId="0" borderId="0" xfId="3" quotePrefix="1" applyFont="1" applyBorder="1" applyProtection="1">
      <protection locked="0"/>
    </xf>
    <xf numFmtId="9" fontId="2" fillId="3" borderId="16" xfId="3" applyNumberFormat="1" applyFont="1" applyFill="1" applyBorder="1" applyProtection="1">
      <protection locked="0"/>
    </xf>
    <xf numFmtId="0" fontId="2" fillId="3" borderId="16" xfId="3" applyFont="1" applyFill="1" applyBorder="1" applyProtection="1">
      <protection locked="0"/>
    </xf>
    <xf numFmtId="198" fontId="2" fillId="0" borderId="0" xfId="3" applyNumberFormat="1" applyFont="1" applyBorder="1" applyProtection="1">
      <protection locked="0"/>
    </xf>
    <xf numFmtId="2" fontId="2" fillId="3" borderId="16" xfId="3" applyNumberFormat="1" applyFont="1" applyFill="1" applyBorder="1" applyProtection="1">
      <protection locked="0"/>
    </xf>
    <xf numFmtId="0" fontId="6" fillId="0" borderId="0" xfId="3" applyFont="1" applyBorder="1" applyProtection="1">
      <protection locked="0"/>
    </xf>
    <xf numFmtId="0" fontId="6" fillId="0" borderId="0" xfId="3" applyFont="1" applyBorder="1" applyAlignment="1" applyProtection="1">
      <alignment horizontal="center"/>
      <protection locked="0"/>
    </xf>
    <xf numFmtId="185" fontId="2" fillId="0" borderId="0" xfId="5" applyNumberFormat="1" applyFont="1" applyProtection="1">
      <protection locked="0"/>
    </xf>
    <xf numFmtId="10" fontId="2" fillId="2" borderId="0" xfId="3" applyNumberFormat="1" applyFont="1" applyFill="1" applyProtection="1"/>
    <xf numFmtId="10" fontId="2" fillId="2" borderId="0" xfId="5" applyNumberFormat="1" applyFont="1" applyFill="1" applyProtection="1"/>
    <xf numFmtId="0" fontId="2" fillId="2" borderId="0" xfId="1" applyNumberFormat="1" applyFont="1" applyFill="1" applyProtection="1"/>
    <xf numFmtId="0" fontId="4" fillId="0" borderId="11" xfId="3" applyFont="1" applyBorder="1" applyAlignment="1" applyProtection="1">
      <alignment horizontal="right"/>
    </xf>
    <xf numFmtId="0" fontId="4" fillId="0" borderId="11" xfId="3" applyFont="1" applyBorder="1" applyAlignment="1" applyProtection="1">
      <alignment horizontal="left"/>
    </xf>
    <xf numFmtId="0" fontId="6" fillId="0" borderId="11" xfId="3" applyFont="1" applyBorder="1" applyAlignment="1" applyProtection="1">
      <alignment horizontal="right"/>
    </xf>
    <xf numFmtId="0" fontId="2" fillId="0" borderId="0" xfId="3" applyFont="1" applyProtection="1"/>
    <xf numFmtId="2" fontId="2" fillId="0" borderId="0" xfId="3" applyNumberFormat="1" applyFont="1" applyProtection="1"/>
    <xf numFmtId="10" fontId="2" fillId="0" borderId="0" xfId="3" applyNumberFormat="1" applyFont="1" applyProtection="1"/>
    <xf numFmtId="177" fontId="2" fillId="0" borderId="0" xfId="3" applyNumberFormat="1" applyFont="1" applyProtection="1"/>
    <xf numFmtId="0" fontId="4" fillId="0" borderId="0" xfId="3" applyFont="1" applyProtection="1"/>
    <xf numFmtId="2" fontId="4" fillId="0" borderId="0" xfId="3" applyNumberFormat="1" applyFont="1" applyProtection="1"/>
    <xf numFmtId="9" fontId="2" fillId="0" borderId="0" xfId="3" applyNumberFormat="1" applyFont="1" applyProtection="1">
      <protection locked="0"/>
    </xf>
    <xf numFmtId="9" fontId="13" fillId="0" borderId="0" xfId="3" applyNumberFormat="1" applyFont="1" applyProtection="1">
      <protection locked="0"/>
    </xf>
    <xf numFmtId="0" fontId="4" fillId="0" borderId="13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</cellXfs>
  <cellStyles count="6">
    <cellStyle name="Comma" xfId="1" builtinId="3"/>
    <cellStyle name="Currency" xfId="2" builtinId="4"/>
    <cellStyle name="Normal" xfId="0" builtinId="0"/>
    <cellStyle name="Normal 2" xfId="3" xr:uid="{339D6A76-F8F3-4866-A705-20583546F140}"/>
    <cellStyle name="Percent" xfId="4" builtinId="5"/>
    <cellStyle name="Percent 2" xfId="5" xr:uid="{D8699031-0DE3-4417-94AF-8022ABD29450}"/>
  </cellStyles>
  <dxfs count="2">
    <dxf>
      <fill>
        <patternFill>
          <bgColor theme="1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Stock Price'!$B$1</c:f>
              <c:strCache>
                <c:ptCount val="1"/>
                <c:pt idx="0">
                  <c:v>WMT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'2 Stock Price'!$A$2:$A$133</c:f>
              <c:numCache>
                <c:formatCode>m/d/yyyy</c:formatCode>
                <c:ptCount val="132"/>
                <c:pt idx="0">
                  <c:v>38686</c:v>
                </c:pt>
                <c:pt idx="1">
                  <c:v>38657</c:v>
                </c:pt>
                <c:pt idx="2">
                  <c:v>38625</c:v>
                </c:pt>
                <c:pt idx="3">
                  <c:v>38595</c:v>
                </c:pt>
                <c:pt idx="4">
                  <c:v>38566</c:v>
                </c:pt>
                <c:pt idx="5">
                  <c:v>38533</c:v>
                </c:pt>
                <c:pt idx="6">
                  <c:v>38503</c:v>
                </c:pt>
                <c:pt idx="7">
                  <c:v>38472</c:v>
                </c:pt>
                <c:pt idx="8">
                  <c:v>38442</c:v>
                </c:pt>
                <c:pt idx="9">
                  <c:v>38412</c:v>
                </c:pt>
                <c:pt idx="10">
                  <c:v>38384</c:v>
                </c:pt>
                <c:pt idx="11">
                  <c:v>38353</c:v>
                </c:pt>
                <c:pt idx="12">
                  <c:v>38321</c:v>
                </c:pt>
                <c:pt idx="13">
                  <c:v>38293</c:v>
                </c:pt>
                <c:pt idx="14">
                  <c:v>38260</c:v>
                </c:pt>
                <c:pt idx="15">
                  <c:v>38231</c:v>
                </c:pt>
                <c:pt idx="16">
                  <c:v>38199</c:v>
                </c:pt>
                <c:pt idx="17">
                  <c:v>38168</c:v>
                </c:pt>
                <c:pt idx="18">
                  <c:v>38139</c:v>
                </c:pt>
                <c:pt idx="19">
                  <c:v>38107</c:v>
                </c:pt>
                <c:pt idx="20">
                  <c:v>38077</c:v>
                </c:pt>
                <c:pt idx="21">
                  <c:v>38048</c:v>
                </c:pt>
                <c:pt idx="22">
                  <c:v>38017</c:v>
                </c:pt>
                <c:pt idx="23">
                  <c:v>37987</c:v>
                </c:pt>
                <c:pt idx="24">
                  <c:v>37957</c:v>
                </c:pt>
                <c:pt idx="25">
                  <c:v>37925</c:v>
                </c:pt>
                <c:pt idx="26">
                  <c:v>37894</c:v>
                </c:pt>
                <c:pt idx="27">
                  <c:v>37867</c:v>
                </c:pt>
                <c:pt idx="28">
                  <c:v>37833</c:v>
                </c:pt>
                <c:pt idx="29">
                  <c:v>37803</c:v>
                </c:pt>
                <c:pt idx="30">
                  <c:v>37772</c:v>
                </c:pt>
                <c:pt idx="31">
                  <c:v>37741</c:v>
                </c:pt>
                <c:pt idx="32">
                  <c:v>37712</c:v>
                </c:pt>
                <c:pt idx="33">
                  <c:v>37680</c:v>
                </c:pt>
                <c:pt idx="34">
                  <c:v>37652</c:v>
                </c:pt>
                <c:pt idx="35">
                  <c:v>37623</c:v>
                </c:pt>
                <c:pt idx="36">
                  <c:v>37590</c:v>
                </c:pt>
                <c:pt idx="37">
                  <c:v>37560</c:v>
                </c:pt>
                <c:pt idx="38">
                  <c:v>37530</c:v>
                </c:pt>
                <c:pt idx="39">
                  <c:v>37499</c:v>
                </c:pt>
                <c:pt idx="40">
                  <c:v>37468</c:v>
                </c:pt>
                <c:pt idx="41">
                  <c:v>37439</c:v>
                </c:pt>
                <c:pt idx="42">
                  <c:v>37407</c:v>
                </c:pt>
                <c:pt idx="43">
                  <c:v>37376</c:v>
                </c:pt>
                <c:pt idx="44">
                  <c:v>37348</c:v>
                </c:pt>
                <c:pt idx="45">
                  <c:v>37315</c:v>
                </c:pt>
                <c:pt idx="46">
                  <c:v>37287</c:v>
                </c:pt>
                <c:pt idx="47">
                  <c:v>37258</c:v>
                </c:pt>
                <c:pt idx="48">
                  <c:v>37225</c:v>
                </c:pt>
                <c:pt idx="49">
                  <c:v>37195</c:v>
                </c:pt>
                <c:pt idx="50">
                  <c:v>37166</c:v>
                </c:pt>
                <c:pt idx="51">
                  <c:v>37134</c:v>
                </c:pt>
                <c:pt idx="52">
                  <c:v>37103</c:v>
                </c:pt>
                <c:pt idx="53">
                  <c:v>37072</c:v>
                </c:pt>
                <c:pt idx="54">
                  <c:v>37042</c:v>
                </c:pt>
                <c:pt idx="55">
                  <c:v>37012</c:v>
                </c:pt>
                <c:pt idx="56">
                  <c:v>36981</c:v>
                </c:pt>
                <c:pt idx="57">
                  <c:v>36950</c:v>
                </c:pt>
                <c:pt idx="58">
                  <c:v>36922</c:v>
                </c:pt>
                <c:pt idx="59">
                  <c:v>36893</c:v>
                </c:pt>
                <c:pt idx="60">
                  <c:v>36860</c:v>
                </c:pt>
                <c:pt idx="61">
                  <c:v>36830</c:v>
                </c:pt>
                <c:pt idx="62">
                  <c:v>36799</c:v>
                </c:pt>
                <c:pt idx="63">
                  <c:v>36769</c:v>
                </c:pt>
                <c:pt idx="64">
                  <c:v>36739</c:v>
                </c:pt>
                <c:pt idx="65">
                  <c:v>36707</c:v>
                </c:pt>
                <c:pt idx="66">
                  <c:v>36677</c:v>
                </c:pt>
                <c:pt idx="67">
                  <c:v>36648</c:v>
                </c:pt>
                <c:pt idx="68">
                  <c:v>36616</c:v>
                </c:pt>
                <c:pt idx="69">
                  <c:v>36585</c:v>
                </c:pt>
                <c:pt idx="70">
                  <c:v>36557</c:v>
                </c:pt>
                <c:pt idx="71">
                  <c:v>36526</c:v>
                </c:pt>
                <c:pt idx="72">
                  <c:v>36494</c:v>
                </c:pt>
                <c:pt idx="73">
                  <c:v>36466</c:v>
                </c:pt>
                <c:pt idx="74">
                  <c:v>36433</c:v>
                </c:pt>
                <c:pt idx="75">
                  <c:v>36404</c:v>
                </c:pt>
                <c:pt idx="76">
                  <c:v>36372</c:v>
                </c:pt>
                <c:pt idx="77">
                  <c:v>36341</c:v>
                </c:pt>
                <c:pt idx="78">
                  <c:v>36312</c:v>
                </c:pt>
                <c:pt idx="79">
                  <c:v>36280</c:v>
                </c:pt>
                <c:pt idx="80">
                  <c:v>36250</c:v>
                </c:pt>
                <c:pt idx="81">
                  <c:v>36221</c:v>
                </c:pt>
                <c:pt idx="82">
                  <c:v>36193</c:v>
                </c:pt>
                <c:pt idx="83">
                  <c:v>36161</c:v>
                </c:pt>
                <c:pt idx="84">
                  <c:v>36130</c:v>
                </c:pt>
                <c:pt idx="85">
                  <c:v>36099</c:v>
                </c:pt>
                <c:pt idx="86">
                  <c:v>36068</c:v>
                </c:pt>
                <c:pt idx="87">
                  <c:v>36040</c:v>
                </c:pt>
                <c:pt idx="88">
                  <c:v>36007</c:v>
                </c:pt>
                <c:pt idx="89">
                  <c:v>35976</c:v>
                </c:pt>
                <c:pt idx="90">
                  <c:v>35948</c:v>
                </c:pt>
                <c:pt idx="91">
                  <c:v>35915</c:v>
                </c:pt>
                <c:pt idx="92">
                  <c:v>35885</c:v>
                </c:pt>
                <c:pt idx="93">
                  <c:v>35854</c:v>
                </c:pt>
                <c:pt idx="94">
                  <c:v>35826</c:v>
                </c:pt>
                <c:pt idx="95">
                  <c:v>35796</c:v>
                </c:pt>
                <c:pt idx="96">
                  <c:v>35766</c:v>
                </c:pt>
                <c:pt idx="97">
                  <c:v>35734</c:v>
                </c:pt>
                <c:pt idx="98">
                  <c:v>35703</c:v>
                </c:pt>
                <c:pt idx="99">
                  <c:v>35676</c:v>
                </c:pt>
                <c:pt idx="100">
                  <c:v>35642</c:v>
                </c:pt>
                <c:pt idx="101">
                  <c:v>35612</c:v>
                </c:pt>
                <c:pt idx="102">
                  <c:v>35581</c:v>
                </c:pt>
                <c:pt idx="103">
                  <c:v>35550</c:v>
                </c:pt>
                <c:pt idx="104">
                  <c:v>35521</c:v>
                </c:pt>
                <c:pt idx="105">
                  <c:v>35489</c:v>
                </c:pt>
                <c:pt idx="106">
                  <c:v>35461</c:v>
                </c:pt>
                <c:pt idx="107">
                  <c:v>35431</c:v>
                </c:pt>
                <c:pt idx="108">
                  <c:v>35399</c:v>
                </c:pt>
                <c:pt idx="109">
                  <c:v>35369</c:v>
                </c:pt>
                <c:pt idx="110">
                  <c:v>35339</c:v>
                </c:pt>
                <c:pt idx="111">
                  <c:v>35308</c:v>
                </c:pt>
                <c:pt idx="112">
                  <c:v>35277</c:v>
                </c:pt>
                <c:pt idx="113">
                  <c:v>35248</c:v>
                </c:pt>
                <c:pt idx="114">
                  <c:v>35216</c:v>
                </c:pt>
                <c:pt idx="115">
                  <c:v>35185</c:v>
                </c:pt>
                <c:pt idx="116">
                  <c:v>35157</c:v>
                </c:pt>
                <c:pt idx="117">
                  <c:v>35124</c:v>
                </c:pt>
                <c:pt idx="118">
                  <c:v>35095</c:v>
                </c:pt>
                <c:pt idx="119">
                  <c:v>35066</c:v>
                </c:pt>
                <c:pt idx="120">
                  <c:v>35033</c:v>
                </c:pt>
                <c:pt idx="121">
                  <c:v>35003</c:v>
                </c:pt>
                <c:pt idx="122">
                  <c:v>34972</c:v>
                </c:pt>
                <c:pt idx="123">
                  <c:v>34942</c:v>
                </c:pt>
                <c:pt idx="124">
                  <c:v>34912</c:v>
                </c:pt>
                <c:pt idx="125">
                  <c:v>34880</c:v>
                </c:pt>
                <c:pt idx="126">
                  <c:v>34850</c:v>
                </c:pt>
                <c:pt idx="127">
                  <c:v>34821</c:v>
                </c:pt>
                <c:pt idx="128">
                  <c:v>34789</c:v>
                </c:pt>
                <c:pt idx="129">
                  <c:v>34758</c:v>
                </c:pt>
                <c:pt idx="130">
                  <c:v>34730</c:v>
                </c:pt>
                <c:pt idx="131">
                  <c:v>34702</c:v>
                </c:pt>
              </c:numCache>
            </c:numRef>
          </c:cat>
          <c:val>
            <c:numRef>
              <c:f>'2 Stock Price'!$B$2:$B$133</c:f>
              <c:numCache>
                <c:formatCode>_-"$"* #,##0.00_-;\-"$"* #,##0.00_-;_-"$"* "-"??_-;_-@_-</c:formatCode>
                <c:ptCount val="132"/>
                <c:pt idx="0">
                  <c:v>53.45</c:v>
                </c:pt>
                <c:pt idx="1">
                  <c:v>54.55</c:v>
                </c:pt>
                <c:pt idx="2">
                  <c:v>49.68</c:v>
                </c:pt>
                <c:pt idx="3">
                  <c:v>49.09</c:v>
                </c:pt>
                <c:pt idx="4">
                  <c:v>50.87</c:v>
                </c:pt>
                <c:pt idx="5">
                  <c:v>49.88</c:v>
                </c:pt>
                <c:pt idx="6">
                  <c:v>48.44</c:v>
                </c:pt>
                <c:pt idx="7">
                  <c:v>49.74</c:v>
                </c:pt>
                <c:pt idx="8">
                  <c:v>50.4</c:v>
                </c:pt>
                <c:pt idx="9">
                  <c:v>52.1</c:v>
                </c:pt>
                <c:pt idx="10">
                  <c:v>49.24</c:v>
                </c:pt>
                <c:pt idx="11">
                  <c:v>47.12</c:v>
                </c:pt>
                <c:pt idx="12">
                  <c:v>56.06</c:v>
                </c:pt>
                <c:pt idx="13">
                  <c:v>55.88</c:v>
                </c:pt>
                <c:pt idx="14">
                  <c:v>55.81</c:v>
                </c:pt>
                <c:pt idx="15">
                  <c:v>59.89</c:v>
                </c:pt>
                <c:pt idx="16">
                  <c:v>59.07</c:v>
                </c:pt>
                <c:pt idx="17">
                  <c:v>58.62</c:v>
                </c:pt>
                <c:pt idx="18">
                  <c:v>56.2</c:v>
                </c:pt>
                <c:pt idx="19">
                  <c:v>57.74</c:v>
                </c:pt>
                <c:pt idx="20">
                  <c:v>57.98</c:v>
                </c:pt>
                <c:pt idx="21">
                  <c:v>52.68</c:v>
                </c:pt>
                <c:pt idx="22">
                  <c:v>49.59</c:v>
                </c:pt>
                <c:pt idx="23">
                  <c:v>50.74</c:v>
                </c:pt>
                <c:pt idx="24">
                  <c:v>47.53</c:v>
                </c:pt>
                <c:pt idx="25">
                  <c:v>47.9</c:v>
                </c:pt>
                <c:pt idx="26">
                  <c:v>45.21</c:v>
                </c:pt>
                <c:pt idx="27">
                  <c:v>43.65</c:v>
                </c:pt>
                <c:pt idx="28">
                  <c:v>43.63</c:v>
                </c:pt>
                <c:pt idx="29">
                  <c:v>45.95</c:v>
                </c:pt>
                <c:pt idx="30">
                  <c:v>48.11</c:v>
                </c:pt>
                <c:pt idx="31">
                  <c:v>47.6</c:v>
                </c:pt>
                <c:pt idx="32">
                  <c:v>47.92</c:v>
                </c:pt>
                <c:pt idx="33">
                  <c:v>46.95</c:v>
                </c:pt>
                <c:pt idx="34">
                  <c:v>48.31</c:v>
                </c:pt>
                <c:pt idx="35">
                  <c:v>47.69</c:v>
                </c:pt>
                <c:pt idx="36">
                  <c:v>46.18</c:v>
                </c:pt>
                <c:pt idx="37">
                  <c:v>46.1</c:v>
                </c:pt>
                <c:pt idx="38">
                  <c:v>49.28</c:v>
                </c:pt>
                <c:pt idx="39">
                  <c:v>49.32</c:v>
                </c:pt>
                <c:pt idx="40">
                  <c:v>44.72</c:v>
                </c:pt>
                <c:pt idx="41">
                  <c:v>44.5</c:v>
                </c:pt>
                <c:pt idx="42">
                  <c:v>48.17</c:v>
                </c:pt>
                <c:pt idx="43">
                  <c:v>48.45</c:v>
                </c:pt>
                <c:pt idx="44">
                  <c:v>45.03</c:v>
                </c:pt>
                <c:pt idx="45">
                  <c:v>47.24</c:v>
                </c:pt>
                <c:pt idx="46">
                  <c:v>45.36</c:v>
                </c:pt>
                <c:pt idx="47">
                  <c:v>46.11</c:v>
                </c:pt>
                <c:pt idx="48">
                  <c:v>46.8</c:v>
                </c:pt>
                <c:pt idx="49">
                  <c:v>48.56</c:v>
                </c:pt>
                <c:pt idx="50">
                  <c:v>47.31</c:v>
                </c:pt>
                <c:pt idx="51">
                  <c:v>43.82</c:v>
                </c:pt>
                <c:pt idx="52">
                  <c:v>44.96</c:v>
                </c:pt>
                <c:pt idx="53">
                  <c:v>49.35</c:v>
                </c:pt>
                <c:pt idx="54">
                  <c:v>48.2</c:v>
                </c:pt>
                <c:pt idx="55">
                  <c:v>47.23</c:v>
                </c:pt>
                <c:pt idx="56">
                  <c:v>47.14</c:v>
                </c:pt>
                <c:pt idx="57">
                  <c:v>50.11</c:v>
                </c:pt>
                <c:pt idx="58">
                  <c:v>51.61</c:v>
                </c:pt>
                <c:pt idx="59">
                  <c:v>52.4</c:v>
                </c:pt>
                <c:pt idx="60">
                  <c:v>52.82</c:v>
                </c:pt>
                <c:pt idx="61">
                  <c:v>52.06</c:v>
                </c:pt>
                <c:pt idx="62">
                  <c:v>53.92</c:v>
                </c:pt>
                <c:pt idx="63">
                  <c:v>53.2</c:v>
                </c:pt>
                <c:pt idx="64">
                  <c:v>52.67</c:v>
                </c:pt>
                <c:pt idx="65">
                  <c:v>53.01</c:v>
                </c:pt>
                <c:pt idx="66">
                  <c:v>52.5</c:v>
                </c:pt>
                <c:pt idx="67">
                  <c:v>55.73</c:v>
                </c:pt>
                <c:pt idx="68">
                  <c:v>57</c:v>
                </c:pt>
                <c:pt idx="69">
                  <c:v>59.69</c:v>
                </c:pt>
                <c:pt idx="70">
                  <c:v>59.56</c:v>
                </c:pt>
                <c:pt idx="71">
                  <c:v>53.85</c:v>
                </c:pt>
                <c:pt idx="72">
                  <c:v>53.05</c:v>
                </c:pt>
                <c:pt idx="73">
                  <c:v>55.64</c:v>
                </c:pt>
                <c:pt idx="74">
                  <c:v>58.95</c:v>
                </c:pt>
                <c:pt idx="75">
                  <c:v>55.85</c:v>
                </c:pt>
                <c:pt idx="76">
                  <c:v>59.17</c:v>
                </c:pt>
                <c:pt idx="77">
                  <c:v>55.91</c:v>
                </c:pt>
                <c:pt idx="78">
                  <c:v>53.67</c:v>
                </c:pt>
                <c:pt idx="79">
                  <c:v>52.61</c:v>
                </c:pt>
                <c:pt idx="80">
                  <c:v>56.32</c:v>
                </c:pt>
                <c:pt idx="81">
                  <c:v>52.03</c:v>
                </c:pt>
                <c:pt idx="82">
                  <c:v>48.06</c:v>
                </c:pt>
                <c:pt idx="83">
                  <c:v>47.8</c:v>
                </c:pt>
                <c:pt idx="84">
                  <c:v>50.51</c:v>
                </c:pt>
                <c:pt idx="85">
                  <c:v>53.9</c:v>
                </c:pt>
                <c:pt idx="86">
                  <c:v>53.55</c:v>
                </c:pt>
                <c:pt idx="87">
                  <c:v>49.24</c:v>
                </c:pt>
                <c:pt idx="88">
                  <c:v>53.48</c:v>
                </c:pt>
                <c:pt idx="89">
                  <c:v>49.18</c:v>
                </c:pt>
                <c:pt idx="90">
                  <c:v>55.01</c:v>
                </c:pt>
                <c:pt idx="91">
                  <c:v>54.1</c:v>
                </c:pt>
                <c:pt idx="92">
                  <c:v>55.86</c:v>
                </c:pt>
                <c:pt idx="93">
                  <c:v>61.3</c:v>
                </c:pt>
                <c:pt idx="94">
                  <c:v>62.01</c:v>
                </c:pt>
                <c:pt idx="95">
                  <c:v>59.98</c:v>
                </c:pt>
                <c:pt idx="96">
                  <c:v>57.55</c:v>
                </c:pt>
                <c:pt idx="97">
                  <c:v>55.15</c:v>
                </c:pt>
                <c:pt idx="98">
                  <c:v>51.4</c:v>
                </c:pt>
                <c:pt idx="99">
                  <c:v>49.5</c:v>
                </c:pt>
                <c:pt idx="100">
                  <c:v>48.05</c:v>
                </c:pt>
                <c:pt idx="101">
                  <c:v>55.9</c:v>
                </c:pt>
                <c:pt idx="102">
                  <c:v>48.8</c:v>
                </c:pt>
                <c:pt idx="103">
                  <c:v>51.75</c:v>
                </c:pt>
                <c:pt idx="104">
                  <c:v>51.74</c:v>
                </c:pt>
                <c:pt idx="105">
                  <c:v>50.5</c:v>
                </c:pt>
                <c:pt idx="106">
                  <c:v>50.09</c:v>
                </c:pt>
                <c:pt idx="107">
                  <c:v>56.8</c:v>
                </c:pt>
                <c:pt idx="108">
                  <c:v>53.13</c:v>
                </c:pt>
                <c:pt idx="109">
                  <c:v>52.19</c:v>
                </c:pt>
                <c:pt idx="110">
                  <c:v>45.38</c:v>
                </c:pt>
                <c:pt idx="111">
                  <c:v>48.13</c:v>
                </c:pt>
                <c:pt idx="112">
                  <c:v>47.63</c:v>
                </c:pt>
                <c:pt idx="113">
                  <c:v>55.25</c:v>
                </c:pt>
                <c:pt idx="114">
                  <c:v>57.63</c:v>
                </c:pt>
                <c:pt idx="115">
                  <c:v>57.63</c:v>
                </c:pt>
                <c:pt idx="116">
                  <c:v>55.38</c:v>
                </c:pt>
                <c:pt idx="117">
                  <c:v>56.5</c:v>
                </c:pt>
                <c:pt idx="118">
                  <c:v>48.75</c:v>
                </c:pt>
                <c:pt idx="119">
                  <c:v>54.75</c:v>
                </c:pt>
                <c:pt idx="120">
                  <c:v>69.12</c:v>
                </c:pt>
                <c:pt idx="121">
                  <c:v>57.63</c:v>
                </c:pt>
                <c:pt idx="122">
                  <c:v>56.31</c:v>
                </c:pt>
                <c:pt idx="123">
                  <c:v>47.56</c:v>
                </c:pt>
                <c:pt idx="124">
                  <c:v>44.31</c:v>
                </c:pt>
                <c:pt idx="125">
                  <c:v>42.25</c:v>
                </c:pt>
                <c:pt idx="126">
                  <c:v>48.25</c:v>
                </c:pt>
                <c:pt idx="127">
                  <c:v>42.63</c:v>
                </c:pt>
                <c:pt idx="128">
                  <c:v>46</c:v>
                </c:pt>
                <c:pt idx="129">
                  <c:v>92.19</c:v>
                </c:pt>
                <c:pt idx="130">
                  <c:v>86.12</c:v>
                </c:pt>
                <c:pt idx="13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5-4AEF-9950-21D933988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99936"/>
        <c:axId val="1"/>
      </c:lineChart>
      <c:lineChart>
        <c:grouping val="standard"/>
        <c:varyColors val="0"/>
        <c:ser>
          <c:idx val="1"/>
          <c:order val="1"/>
          <c:tx>
            <c:v>S&amp;P 500</c:v>
          </c:tx>
          <c:spPr>
            <a:ln w="31750">
              <a:prstDash val="sysDash"/>
            </a:ln>
          </c:spPr>
          <c:marker>
            <c:symbol val="none"/>
          </c:marker>
          <c:cat>
            <c:numRef>
              <c:f>'2 Stock Price'!$A$2:$A$133</c:f>
              <c:numCache>
                <c:formatCode>m/d/yyyy</c:formatCode>
                <c:ptCount val="132"/>
                <c:pt idx="0">
                  <c:v>38686</c:v>
                </c:pt>
                <c:pt idx="1">
                  <c:v>38657</c:v>
                </c:pt>
                <c:pt idx="2">
                  <c:v>38625</c:v>
                </c:pt>
                <c:pt idx="3">
                  <c:v>38595</c:v>
                </c:pt>
                <c:pt idx="4">
                  <c:v>38566</c:v>
                </c:pt>
                <c:pt idx="5">
                  <c:v>38533</c:v>
                </c:pt>
                <c:pt idx="6">
                  <c:v>38503</c:v>
                </c:pt>
                <c:pt idx="7">
                  <c:v>38472</c:v>
                </c:pt>
                <c:pt idx="8">
                  <c:v>38442</c:v>
                </c:pt>
                <c:pt idx="9">
                  <c:v>38412</c:v>
                </c:pt>
                <c:pt idx="10">
                  <c:v>38384</c:v>
                </c:pt>
                <c:pt idx="11">
                  <c:v>38353</c:v>
                </c:pt>
                <c:pt idx="12">
                  <c:v>38321</c:v>
                </c:pt>
                <c:pt idx="13">
                  <c:v>38293</c:v>
                </c:pt>
                <c:pt idx="14">
                  <c:v>38260</c:v>
                </c:pt>
                <c:pt idx="15">
                  <c:v>38231</c:v>
                </c:pt>
                <c:pt idx="16">
                  <c:v>38199</c:v>
                </c:pt>
                <c:pt idx="17">
                  <c:v>38168</c:v>
                </c:pt>
                <c:pt idx="18">
                  <c:v>38139</c:v>
                </c:pt>
                <c:pt idx="19">
                  <c:v>38107</c:v>
                </c:pt>
                <c:pt idx="20">
                  <c:v>38077</c:v>
                </c:pt>
                <c:pt idx="21">
                  <c:v>38048</c:v>
                </c:pt>
                <c:pt idx="22">
                  <c:v>38017</c:v>
                </c:pt>
                <c:pt idx="23">
                  <c:v>37987</c:v>
                </c:pt>
                <c:pt idx="24">
                  <c:v>37957</c:v>
                </c:pt>
                <c:pt idx="25">
                  <c:v>37925</c:v>
                </c:pt>
                <c:pt idx="26">
                  <c:v>37894</c:v>
                </c:pt>
                <c:pt idx="27">
                  <c:v>37867</c:v>
                </c:pt>
                <c:pt idx="28">
                  <c:v>37833</c:v>
                </c:pt>
                <c:pt idx="29">
                  <c:v>37803</c:v>
                </c:pt>
                <c:pt idx="30">
                  <c:v>37772</c:v>
                </c:pt>
                <c:pt idx="31">
                  <c:v>37741</c:v>
                </c:pt>
                <c:pt idx="32">
                  <c:v>37712</c:v>
                </c:pt>
                <c:pt idx="33">
                  <c:v>37680</c:v>
                </c:pt>
                <c:pt idx="34">
                  <c:v>37652</c:v>
                </c:pt>
                <c:pt idx="35">
                  <c:v>37623</c:v>
                </c:pt>
                <c:pt idx="36">
                  <c:v>37590</c:v>
                </c:pt>
                <c:pt idx="37">
                  <c:v>37560</c:v>
                </c:pt>
                <c:pt idx="38">
                  <c:v>37530</c:v>
                </c:pt>
                <c:pt idx="39">
                  <c:v>37499</c:v>
                </c:pt>
                <c:pt idx="40">
                  <c:v>37468</c:v>
                </c:pt>
                <c:pt idx="41">
                  <c:v>37439</c:v>
                </c:pt>
                <c:pt idx="42">
                  <c:v>37407</c:v>
                </c:pt>
                <c:pt idx="43">
                  <c:v>37376</c:v>
                </c:pt>
                <c:pt idx="44">
                  <c:v>37348</c:v>
                </c:pt>
                <c:pt idx="45">
                  <c:v>37315</c:v>
                </c:pt>
                <c:pt idx="46">
                  <c:v>37287</c:v>
                </c:pt>
                <c:pt idx="47">
                  <c:v>37258</c:v>
                </c:pt>
                <c:pt idx="48">
                  <c:v>37225</c:v>
                </c:pt>
                <c:pt idx="49">
                  <c:v>37195</c:v>
                </c:pt>
                <c:pt idx="50">
                  <c:v>37166</c:v>
                </c:pt>
                <c:pt idx="51">
                  <c:v>37134</c:v>
                </c:pt>
                <c:pt idx="52">
                  <c:v>37103</c:v>
                </c:pt>
                <c:pt idx="53">
                  <c:v>37072</c:v>
                </c:pt>
                <c:pt idx="54">
                  <c:v>37042</c:v>
                </c:pt>
                <c:pt idx="55">
                  <c:v>37012</c:v>
                </c:pt>
                <c:pt idx="56">
                  <c:v>36981</c:v>
                </c:pt>
                <c:pt idx="57">
                  <c:v>36950</c:v>
                </c:pt>
                <c:pt idx="58">
                  <c:v>36922</c:v>
                </c:pt>
                <c:pt idx="59">
                  <c:v>36893</c:v>
                </c:pt>
                <c:pt idx="60">
                  <c:v>36860</c:v>
                </c:pt>
                <c:pt idx="61">
                  <c:v>36830</c:v>
                </c:pt>
                <c:pt idx="62">
                  <c:v>36799</c:v>
                </c:pt>
                <c:pt idx="63">
                  <c:v>36769</c:v>
                </c:pt>
                <c:pt idx="64">
                  <c:v>36739</c:v>
                </c:pt>
                <c:pt idx="65">
                  <c:v>36707</c:v>
                </c:pt>
                <c:pt idx="66">
                  <c:v>36677</c:v>
                </c:pt>
                <c:pt idx="67">
                  <c:v>36648</c:v>
                </c:pt>
                <c:pt idx="68">
                  <c:v>36616</c:v>
                </c:pt>
                <c:pt idx="69">
                  <c:v>36585</c:v>
                </c:pt>
                <c:pt idx="70">
                  <c:v>36557</c:v>
                </c:pt>
                <c:pt idx="71">
                  <c:v>36526</c:v>
                </c:pt>
                <c:pt idx="72">
                  <c:v>36494</c:v>
                </c:pt>
                <c:pt idx="73">
                  <c:v>36466</c:v>
                </c:pt>
                <c:pt idx="74">
                  <c:v>36433</c:v>
                </c:pt>
                <c:pt idx="75">
                  <c:v>36404</c:v>
                </c:pt>
                <c:pt idx="76">
                  <c:v>36372</c:v>
                </c:pt>
                <c:pt idx="77">
                  <c:v>36341</c:v>
                </c:pt>
                <c:pt idx="78">
                  <c:v>36312</c:v>
                </c:pt>
                <c:pt idx="79">
                  <c:v>36280</c:v>
                </c:pt>
                <c:pt idx="80">
                  <c:v>36250</c:v>
                </c:pt>
                <c:pt idx="81">
                  <c:v>36221</c:v>
                </c:pt>
                <c:pt idx="82">
                  <c:v>36193</c:v>
                </c:pt>
                <c:pt idx="83">
                  <c:v>36161</c:v>
                </c:pt>
                <c:pt idx="84">
                  <c:v>36130</c:v>
                </c:pt>
                <c:pt idx="85">
                  <c:v>36099</c:v>
                </c:pt>
                <c:pt idx="86">
                  <c:v>36068</c:v>
                </c:pt>
                <c:pt idx="87">
                  <c:v>36040</c:v>
                </c:pt>
                <c:pt idx="88">
                  <c:v>36007</c:v>
                </c:pt>
                <c:pt idx="89">
                  <c:v>35976</c:v>
                </c:pt>
                <c:pt idx="90">
                  <c:v>35948</c:v>
                </c:pt>
                <c:pt idx="91">
                  <c:v>35915</c:v>
                </c:pt>
                <c:pt idx="92">
                  <c:v>35885</c:v>
                </c:pt>
                <c:pt idx="93">
                  <c:v>35854</c:v>
                </c:pt>
                <c:pt idx="94">
                  <c:v>35826</c:v>
                </c:pt>
                <c:pt idx="95">
                  <c:v>35796</c:v>
                </c:pt>
                <c:pt idx="96">
                  <c:v>35766</c:v>
                </c:pt>
                <c:pt idx="97">
                  <c:v>35734</c:v>
                </c:pt>
                <c:pt idx="98">
                  <c:v>35703</c:v>
                </c:pt>
                <c:pt idx="99">
                  <c:v>35676</c:v>
                </c:pt>
                <c:pt idx="100">
                  <c:v>35642</c:v>
                </c:pt>
                <c:pt idx="101">
                  <c:v>35612</c:v>
                </c:pt>
                <c:pt idx="102">
                  <c:v>35581</c:v>
                </c:pt>
                <c:pt idx="103">
                  <c:v>35550</c:v>
                </c:pt>
                <c:pt idx="104">
                  <c:v>35521</c:v>
                </c:pt>
                <c:pt idx="105">
                  <c:v>35489</c:v>
                </c:pt>
                <c:pt idx="106">
                  <c:v>35461</c:v>
                </c:pt>
                <c:pt idx="107">
                  <c:v>35431</c:v>
                </c:pt>
                <c:pt idx="108">
                  <c:v>35399</c:v>
                </c:pt>
                <c:pt idx="109">
                  <c:v>35369</c:v>
                </c:pt>
                <c:pt idx="110">
                  <c:v>35339</c:v>
                </c:pt>
                <c:pt idx="111">
                  <c:v>35308</c:v>
                </c:pt>
                <c:pt idx="112">
                  <c:v>35277</c:v>
                </c:pt>
                <c:pt idx="113">
                  <c:v>35248</c:v>
                </c:pt>
                <c:pt idx="114">
                  <c:v>35216</c:v>
                </c:pt>
                <c:pt idx="115">
                  <c:v>35185</c:v>
                </c:pt>
                <c:pt idx="116">
                  <c:v>35157</c:v>
                </c:pt>
                <c:pt idx="117">
                  <c:v>35124</c:v>
                </c:pt>
                <c:pt idx="118">
                  <c:v>35095</c:v>
                </c:pt>
                <c:pt idx="119">
                  <c:v>35066</c:v>
                </c:pt>
                <c:pt idx="120">
                  <c:v>35033</c:v>
                </c:pt>
                <c:pt idx="121">
                  <c:v>35003</c:v>
                </c:pt>
                <c:pt idx="122">
                  <c:v>34972</c:v>
                </c:pt>
                <c:pt idx="123">
                  <c:v>34942</c:v>
                </c:pt>
                <c:pt idx="124">
                  <c:v>34912</c:v>
                </c:pt>
                <c:pt idx="125">
                  <c:v>34880</c:v>
                </c:pt>
                <c:pt idx="126">
                  <c:v>34850</c:v>
                </c:pt>
                <c:pt idx="127">
                  <c:v>34821</c:v>
                </c:pt>
                <c:pt idx="128">
                  <c:v>34789</c:v>
                </c:pt>
                <c:pt idx="129">
                  <c:v>34758</c:v>
                </c:pt>
                <c:pt idx="130">
                  <c:v>34730</c:v>
                </c:pt>
                <c:pt idx="131">
                  <c:v>34702</c:v>
                </c:pt>
              </c:numCache>
            </c:numRef>
          </c:cat>
          <c:val>
            <c:numRef>
              <c:f>'2 Stock Price'!$C$2:$C$133</c:f>
              <c:numCache>
                <c:formatCode>_-* #,##0_-;\-* #,##0_-;_-* "-"??_-;_-@_-</c:formatCode>
                <c:ptCount val="132"/>
                <c:pt idx="0">
                  <c:v>1115.0999999999999</c:v>
                </c:pt>
                <c:pt idx="1">
                  <c:v>1095.6300000000001</c:v>
                </c:pt>
                <c:pt idx="2">
                  <c:v>1036.19</c:v>
                </c:pt>
                <c:pt idx="3">
                  <c:v>1057.08</c:v>
                </c:pt>
                <c:pt idx="4">
                  <c:v>1020.62</c:v>
                </c:pt>
                <c:pt idx="5">
                  <c:v>987.48</c:v>
                </c:pt>
                <c:pt idx="6">
                  <c:v>919.32</c:v>
                </c:pt>
                <c:pt idx="7">
                  <c:v>919.14</c:v>
                </c:pt>
                <c:pt idx="8">
                  <c:v>872.81</c:v>
                </c:pt>
                <c:pt idx="9">
                  <c:v>797.87</c:v>
                </c:pt>
                <c:pt idx="10">
                  <c:v>735.09</c:v>
                </c:pt>
                <c:pt idx="11">
                  <c:v>825.88</c:v>
                </c:pt>
                <c:pt idx="12">
                  <c:v>903.25</c:v>
                </c:pt>
                <c:pt idx="13">
                  <c:v>896.24</c:v>
                </c:pt>
                <c:pt idx="14">
                  <c:v>968.75</c:v>
                </c:pt>
                <c:pt idx="15">
                  <c:v>1166.3599999999999</c:v>
                </c:pt>
                <c:pt idx="16">
                  <c:v>1282.83</c:v>
                </c:pt>
                <c:pt idx="17">
                  <c:v>1267.3800000000001</c:v>
                </c:pt>
                <c:pt idx="18">
                  <c:v>1280</c:v>
                </c:pt>
                <c:pt idx="19">
                  <c:v>1400.38</c:v>
                </c:pt>
                <c:pt idx="20">
                  <c:v>1385.59</c:v>
                </c:pt>
                <c:pt idx="21">
                  <c:v>1322.7</c:v>
                </c:pt>
                <c:pt idx="22">
                  <c:v>1330.63</c:v>
                </c:pt>
                <c:pt idx="23">
                  <c:v>1378.55</c:v>
                </c:pt>
                <c:pt idx="24">
                  <c:v>1468.36</c:v>
                </c:pt>
                <c:pt idx="25">
                  <c:v>1481.14</c:v>
                </c:pt>
                <c:pt idx="26">
                  <c:v>1549.38</c:v>
                </c:pt>
                <c:pt idx="27">
                  <c:v>1526.75</c:v>
                </c:pt>
                <c:pt idx="28">
                  <c:v>1473.99</c:v>
                </c:pt>
                <c:pt idx="29">
                  <c:v>1455.27</c:v>
                </c:pt>
                <c:pt idx="30">
                  <c:v>1503.35</c:v>
                </c:pt>
                <c:pt idx="31">
                  <c:v>1530.62</c:v>
                </c:pt>
                <c:pt idx="32">
                  <c:v>1482.37</c:v>
                </c:pt>
                <c:pt idx="33">
                  <c:v>1420.86</c:v>
                </c:pt>
                <c:pt idx="34">
                  <c:v>1406.82</c:v>
                </c:pt>
                <c:pt idx="35">
                  <c:v>1438.24</c:v>
                </c:pt>
                <c:pt idx="36">
                  <c:v>1418.3</c:v>
                </c:pt>
                <c:pt idx="37">
                  <c:v>1400.63</c:v>
                </c:pt>
                <c:pt idx="38">
                  <c:v>1377.94</c:v>
                </c:pt>
                <c:pt idx="39">
                  <c:v>1335.85</c:v>
                </c:pt>
                <c:pt idx="40">
                  <c:v>1303.82</c:v>
                </c:pt>
                <c:pt idx="41">
                  <c:v>1276.6600000000001</c:v>
                </c:pt>
                <c:pt idx="42">
                  <c:v>1270.2</c:v>
                </c:pt>
                <c:pt idx="43">
                  <c:v>1270.0899999999999</c:v>
                </c:pt>
                <c:pt idx="44">
                  <c:v>1310.6099999999999</c:v>
                </c:pt>
                <c:pt idx="45">
                  <c:v>1294.8699999999999</c:v>
                </c:pt>
                <c:pt idx="46">
                  <c:v>1280.6600000000001</c:v>
                </c:pt>
                <c:pt idx="47">
                  <c:v>1280.08</c:v>
                </c:pt>
                <c:pt idx="48">
                  <c:v>1248.29</c:v>
                </c:pt>
                <c:pt idx="49">
                  <c:v>1249.48</c:v>
                </c:pt>
                <c:pt idx="50">
                  <c:v>1207.01</c:v>
                </c:pt>
                <c:pt idx="51">
                  <c:v>1228.81</c:v>
                </c:pt>
                <c:pt idx="52">
                  <c:v>1220.33</c:v>
                </c:pt>
                <c:pt idx="53">
                  <c:v>1234.18</c:v>
                </c:pt>
                <c:pt idx="54">
                  <c:v>1191.33</c:v>
                </c:pt>
                <c:pt idx="55">
                  <c:v>1191.5</c:v>
                </c:pt>
                <c:pt idx="56">
                  <c:v>1156.8499999999999</c:v>
                </c:pt>
                <c:pt idx="57">
                  <c:v>1180.5899999999999</c:v>
                </c:pt>
                <c:pt idx="58">
                  <c:v>1203.5999999999999</c:v>
                </c:pt>
                <c:pt idx="59">
                  <c:v>1181.27</c:v>
                </c:pt>
                <c:pt idx="60">
                  <c:v>1211.92</c:v>
                </c:pt>
                <c:pt idx="61">
                  <c:v>1173.82</c:v>
                </c:pt>
                <c:pt idx="62">
                  <c:v>1130.2</c:v>
                </c:pt>
                <c:pt idx="63">
                  <c:v>1114.58</c:v>
                </c:pt>
                <c:pt idx="64">
                  <c:v>1104.24</c:v>
                </c:pt>
                <c:pt idx="65">
                  <c:v>1101.72</c:v>
                </c:pt>
                <c:pt idx="66">
                  <c:v>1140.8399999999999</c:v>
                </c:pt>
                <c:pt idx="67">
                  <c:v>1120.68</c:v>
                </c:pt>
                <c:pt idx="68">
                  <c:v>1107.3</c:v>
                </c:pt>
                <c:pt idx="69">
                  <c:v>1126.21</c:v>
                </c:pt>
                <c:pt idx="70">
                  <c:v>1144.94</c:v>
                </c:pt>
                <c:pt idx="71">
                  <c:v>1131.1300000000001</c:v>
                </c:pt>
                <c:pt idx="72">
                  <c:v>1111.92</c:v>
                </c:pt>
                <c:pt idx="73">
                  <c:v>1058.2</c:v>
                </c:pt>
                <c:pt idx="74">
                  <c:v>1050.71</c:v>
                </c:pt>
                <c:pt idx="75">
                  <c:v>995.97</c:v>
                </c:pt>
                <c:pt idx="76">
                  <c:v>1008.01</c:v>
                </c:pt>
                <c:pt idx="77">
                  <c:v>990.31</c:v>
                </c:pt>
                <c:pt idx="78">
                  <c:v>974.5</c:v>
                </c:pt>
                <c:pt idx="79">
                  <c:v>963.59</c:v>
                </c:pt>
                <c:pt idx="80">
                  <c:v>916.92</c:v>
                </c:pt>
                <c:pt idx="81">
                  <c:v>848.18</c:v>
                </c:pt>
                <c:pt idx="82">
                  <c:v>841.15</c:v>
                </c:pt>
                <c:pt idx="83">
                  <c:v>855.7</c:v>
                </c:pt>
                <c:pt idx="84">
                  <c:v>879.82</c:v>
                </c:pt>
                <c:pt idx="85">
                  <c:v>936.31</c:v>
                </c:pt>
                <c:pt idx="86">
                  <c:v>885.76</c:v>
                </c:pt>
                <c:pt idx="87">
                  <c:v>815.28</c:v>
                </c:pt>
                <c:pt idx="88">
                  <c:v>916.07</c:v>
                </c:pt>
                <c:pt idx="89">
                  <c:v>911.62</c:v>
                </c:pt>
                <c:pt idx="90">
                  <c:v>989.82</c:v>
                </c:pt>
                <c:pt idx="91">
                  <c:v>1067.1400000000001</c:v>
                </c:pt>
                <c:pt idx="92">
                  <c:v>1076.92</c:v>
                </c:pt>
                <c:pt idx="93">
                  <c:v>1147.3900000000001</c:v>
                </c:pt>
                <c:pt idx="94">
                  <c:v>1106.73</c:v>
                </c:pt>
                <c:pt idx="95">
                  <c:v>1130.2</c:v>
                </c:pt>
                <c:pt idx="96">
                  <c:v>1148.08</c:v>
                </c:pt>
                <c:pt idx="97">
                  <c:v>1139.45</c:v>
                </c:pt>
                <c:pt idx="98">
                  <c:v>1059.78</c:v>
                </c:pt>
                <c:pt idx="99">
                  <c:v>1040.94</c:v>
                </c:pt>
                <c:pt idx="100">
                  <c:v>1133.58</c:v>
                </c:pt>
                <c:pt idx="101">
                  <c:v>1211.23</c:v>
                </c:pt>
                <c:pt idx="102">
                  <c:v>1224.3800000000001</c:v>
                </c:pt>
                <c:pt idx="103">
                  <c:v>1255.82</c:v>
                </c:pt>
                <c:pt idx="104">
                  <c:v>1249.46</c:v>
                </c:pt>
                <c:pt idx="105">
                  <c:v>1160.33</c:v>
                </c:pt>
                <c:pt idx="106">
                  <c:v>1239.94</c:v>
                </c:pt>
                <c:pt idx="107">
                  <c:v>1366.01</c:v>
                </c:pt>
                <c:pt idx="108">
                  <c:v>1320.28</c:v>
                </c:pt>
                <c:pt idx="109">
                  <c:v>1314.95</c:v>
                </c:pt>
                <c:pt idx="110">
                  <c:v>1429.4</c:v>
                </c:pt>
                <c:pt idx="111">
                  <c:v>1436.51</c:v>
                </c:pt>
                <c:pt idx="112">
                  <c:v>1517.68</c:v>
                </c:pt>
                <c:pt idx="113">
                  <c:v>1430.83</c:v>
                </c:pt>
                <c:pt idx="114">
                  <c:v>1454.6</c:v>
                </c:pt>
                <c:pt idx="115">
                  <c:v>1420.6</c:v>
                </c:pt>
                <c:pt idx="116">
                  <c:v>1452.43</c:v>
                </c:pt>
                <c:pt idx="117">
                  <c:v>1498.58</c:v>
                </c:pt>
                <c:pt idx="118">
                  <c:v>1366.42</c:v>
                </c:pt>
                <c:pt idx="119">
                  <c:v>1394.46</c:v>
                </c:pt>
                <c:pt idx="120">
                  <c:v>1469.25</c:v>
                </c:pt>
                <c:pt idx="121">
                  <c:v>1388.91</c:v>
                </c:pt>
                <c:pt idx="122">
                  <c:v>1362.93</c:v>
                </c:pt>
                <c:pt idx="123">
                  <c:v>1282.71</c:v>
                </c:pt>
                <c:pt idx="124">
                  <c:v>1320.41</c:v>
                </c:pt>
                <c:pt idx="125">
                  <c:v>1328.72</c:v>
                </c:pt>
                <c:pt idx="126">
                  <c:v>1372.71</c:v>
                </c:pt>
                <c:pt idx="127">
                  <c:v>1301.8399999999999</c:v>
                </c:pt>
                <c:pt idx="128">
                  <c:v>1335.18</c:v>
                </c:pt>
                <c:pt idx="129">
                  <c:v>1286.3699999999999</c:v>
                </c:pt>
                <c:pt idx="130">
                  <c:v>1238.33</c:v>
                </c:pt>
                <c:pt idx="131">
                  <c:v>1279.6400000000001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5-4AEF-9950-21D933988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78599936"/>
        <c:scaling>
          <c:orientation val="minMax"/>
        </c:scaling>
        <c:delete val="0"/>
        <c:axPos val="b"/>
        <c:numFmt formatCode="[$-1009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6"/>
        <c:majorTimeUnit val="months"/>
      </c:dateAx>
      <c:valAx>
        <c:axId val="1"/>
        <c:scaling>
          <c:orientation val="minMax"/>
        </c:scaling>
        <c:delete val="0"/>
        <c:axPos val="l"/>
        <c:majorGridlines/>
        <c:numFmt formatCode="\$#,##0" sourceLinked="0"/>
        <c:majorTickMark val="out"/>
        <c:minorTickMark val="none"/>
        <c:tickLblPos val="nextTo"/>
        <c:crossAx val="178599936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36231067975847825"/>
          <c:y val="0.91812341748538739"/>
          <c:w val="0.27073030498557876"/>
          <c:h val="5.379151846785226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161925</xdr:rowOff>
    </xdr:from>
    <xdr:to>
      <xdr:col>15</xdr:col>
      <xdr:colOff>9525</xdr:colOff>
      <xdr:row>25</xdr:row>
      <xdr:rowOff>9525</xdr:rowOff>
    </xdr:to>
    <xdr:graphicFrame macro="">
      <xdr:nvGraphicFramePr>
        <xdr:cNvPr id="31938" name="Chart 1">
          <a:extLst>
            <a:ext uri="{FF2B5EF4-FFF2-40B4-BE49-F238E27FC236}">
              <a16:creationId xmlns:a16="http://schemas.microsoft.com/office/drawing/2014/main" id="{74A36DA6-079F-C702-B52E-E781989CC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3</xdr:row>
      <xdr:rowOff>31432</xdr:rowOff>
    </xdr:from>
    <xdr:to>
      <xdr:col>8</xdr:col>
      <xdr:colOff>834849</xdr:colOff>
      <xdr:row>5</xdr:row>
      <xdr:rowOff>102869</xdr:rowOff>
    </xdr:to>
    <xdr:sp macro="[0]!Macro1" textlink="">
      <xdr:nvSpPr>
        <xdr:cNvPr id="2" name="Rounded Rectangle 1">
          <a:extLst>
            <a:ext uri="{FF2B5EF4-FFF2-40B4-BE49-F238E27FC236}">
              <a16:creationId xmlns:a16="http://schemas.microsoft.com/office/drawing/2014/main" id="{43D0D168-EF31-9921-1620-C73DFD7CBB73}"/>
            </a:ext>
          </a:extLst>
        </xdr:cNvPr>
        <xdr:cNvSpPr/>
      </xdr:nvSpPr>
      <xdr:spPr>
        <a:xfrm>
          <a:off x="3536156" y="523875"/>
          <a:ext cx="2571750" cy="404812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000">
              <a:latin typeface="Arial" pitchFamily="34" charset="0"/>
              <a:cs typeface="Arial" pitchFamily="34" charset="0"/>
            </a:rPr>
            <a:t>Calculate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323850</xdr:colOff>
      <xdr:row>31</xdr:row>
      <xdr:rowOff>0</xdr:rowOff>
    </xdr:to>
    <xdr:pic>
      <xdr:nvPicPr>
        <xdr:cNvPr id="50361" name="Picture 1" descr="wal-martbetascreenshot.gif">
          <a:extLst>
            <a:ext uri="{FF2B5EF4-FFF2-40B4-BE49-F238E27FC236}">
              <a16:creationId xmlns:a16="http://schemas.microsoft.com/office/drawing/2014/main" id="{00D14CAD-7DFF-05BA-E97A-395D47F9D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48550" cy="501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BDDD5-BB01-47D4-9092-CC3D4B5D8B84}">
  <sheetPr codeName="Sheet1"/>
  <dimension ref="A1:D25"/>
  <sheetViews>
    <sheetView workbookViewId="0">
      <selection activeCell="G19" sqref="G19"/>
    </sheetView>
  </sheetViews>
  <sheetFormatPr defaultColWidth="9.1328125" defaultRowHeight="12.75" x14ac:dyDescent="0.35"/>
  <cols>
    <col min="1" max="1" width="54" style="18" customWidth="1"/>
    <col min="2" max="16384" width="9.1328125" style="18"/>
  </cols>
  <sheetData>
    <row r="1" spans="1:4" ht="15" x14ac:dyDescent="0.35">
      <c r="A1" s="35"/>
      <c r="B1" s="36">
        <v>2009</v>
      </c>
      <c r="C1" s="37">
        <v>2010</v>
      </c>
    </row>
    <row r="2" spans="1:4" ht="15" x14ac:dyDescent="0.35">
      <c r="A2" s="38"/>
      <c r="B2" s="39"/>
      <c r="C2" s="40"/>
    </row>
    <row r="3" spans="1:4" ht="15" x14ac:dyDescent="0.35">
      <c r="A3" s="38" t="s">
        <v>17</v>
      </c>
      <c r="B3" s="39"/>
      <c r="C3" s="40"/>
    </row>
    <row r="4" spans="1:4" ht="15" x14ac:dyDescent="0.35">
      <c r="A4" s="38" t="s">
        <v>53</v>
      </c>
      <c r="B4" s="7">
        <v>401087</v>
      </c>
      <c r="C4" s="2">
        <v>405046</v>
      </c>
    </row>
    <row r="5" spans="1:4" ht="15" x14ac:dyDescent="0.65">
      <c r="A5" s="38" t="s">
        <v>56</v>
      </c>
      <c r="B5" s="8">
        <v>3287</v>
      </c>
      <c r="C5" s="3">
        <v>3168</v>
      </c>
    </row>
    <row r="6" spans="1:4" ht="15" x14ac:dyDescent="0.35">
      <c r="A6" s="38" t="s">
        <v>18</v>
      </c>
      <c r="B6" s="7">
        <v>404374</v>
      </c>
      <c r="C6" s="2">
        <v>408214</v>
      </c>
    </row>
    <row r="7" spans="1:4" ht="15" x14ac:dyDescent="0.35">
      <c r="A7" s="38" t="s">
        <v>19</v>
      </c>
      <c r="B7" s="9">
        <v>304056</v>
      </c>
      <c r="C7" s="4">
        <v>304657</v>
      </c>
    </row>
    <row r="8" spans="1:4" ht="15" x14ac:dyDescent="0.35">
      <c r="A8" s="38" t="s">
        <v>20</v>
      </c>
      <c r="B8" s="7">
        <v>100318</v>
      </c>
      <c r="C8" s="2">
        <v>103557</v>
      </c>
    </row>
    <row r="9" spans="1:4" ht="15" x14ac:dyDescent="0.35">
      <c r="A9" s="38" t="s">
        <v>21</v>
      </c>
      <c r="B9" s="7"/>
      <c r="C9" s="2"/>
    </row>
    <row r="10" spans="1:4" ht="30" x14ac:dyDescent="0.35">
      <c r="A10" s="38" t="s">
        <v>54</v>
      </c>
      <c r="B10" s="7">
        <v>77520</v>
      </c>
      <c r="C10" s="2">
        <v>79607</v>
      </c>
    </row>
    <row r="11" spans="1:4" ht="15" x14ac:dyDescent="0.65">
      <c r="A11" s="38" t="s">
        <v>55</v>
      </c>
      <c r="B11" s="8">
        <v>1900</v>
      </c>
      <c r="C11" s="3">
        <v>1884</v>
      </c>
    </row>
    <row r="12" spans="1:4" ht="15" x14ac:dyDescent="0.65">
      <c r="A12" s="38" t="s">
        <v>22</v>
      </c>
      <c r="B12" s="8">
        <v>79420</v>
      </c>
      <c r="C12" s="3">
        <v>81491</v>
      </c>
    </row>
    <row r="13" spans="1:4" ht="15" x14ac:dyDescent="0.35">
      <c r="A13" s="38" t="s">
        <v>57</v>
      </c>
      <c r="B13" s="7">
        <v>20898</v>
      </c>
      <c r="C13" s="2">
        <v>22066</v>
      </c>
      <c r="D13" s="41"/>
    </row>
    <row r="14" spans="1:4" ht="15" x14ac:dyDescent="0.65">
      <c r="A14" s="38" t="s">
        <v>23</v>
      </c>
      <c r="B14" s="8">
        <v>7145</v>
      </c>
      <c r="C14" s="3">
        <v>7139</v>
      </c>
    </row>
    <row r="15" spans="1:4" ht="15" x14ac:dyDescent="0.35">
      <c r="A15" s="38" t="s">
        <v>58</v>
      </c>
      <c r="B15" s="7">
        <v>13753</v>
      </c>
      <c r="C15" s="2">
        <v>14927</v>
      </c>
    </row>
    <row r="16" spans="1:4" ht="15" x14ac:dyDescent="0.35">
      <c r="A16" s="38" t="s">
        <v>52</v>
      </c>
      <c r="B16" s="7">
        <v>-499</v>
      </c>
      <c r="C16" s="2">
        <v>-513</v>
      </c>
    </row>
    <row r="17" spans="1:3" ht="15" x14ac:dyDescent="0.65">
      <c r="A17" s="38" t="s">
        <v>64</v>
      </c>
      <c r="B17" s="8">
        <v>146</v>
      </c>
      <c r="C17" s="3">
        <v>-79</v>
      </c>
    </row>
    <row r="18" spans="1:3" ht="15" x14ac:dyDescent="0.5">
      <c r="A18" s="38" t="s">
        <v>45</v>
      </c>
      <c r="B18" s="10">
        <v>13400</v>
      </c>
      <c r="C18" s="5">
        <v>14335</v>
      </c>
    </row>
    <row r="19" spans="1:3" ht="15" x14ac:dyDescent="0.35">
      <c r="A19" s="38"/>
      <c r="B19" s="7"/>
      <c r="C19" s="2"/>
    </row>
    <row r="20" spans="1:3" ht="15" x14ac:dyDescent="0.35">
      <c r="A20" s="38" t="s">
        <v>24</v>
      </c>
      <c r="B20" s="7">
        <v>3939</v>
      </c>
      <c r="C20" s="2">
        <v>3866</v>
      </c>
    </row>
    <row r="21" spans="1:3" ht="15" x14ac:dyDescent="0.35">
      <c r="A21" s="38"/>
      <c r="B21" s="7"/>
      <c r="C21" s="2"/>
    </row>
    <row r="22" spans="1:3" ht="15" x14ac:dyDescent="0.35">
      <c r="A22" s="38" t="s">
        <v>25</v>
      </c>
      <c r="B22" s="11">
        <v>3.4018786494034017</v>
      </c>
      <c r="C22" s="6">
        <v>3.7079668908432488</v>
      </c>
    </row>
    <row r="23" spans="1:3" ht="15" x14ac:dyDescent="0.35">
      <c r="A23" s="42"/>
      <c r="B23" s="43"/>
      <c r="C23" s="44"/>
    </row>
    <row r="24" spans="1:3" x14ac:dyDescent="0.35">
      <c r="C24" s="34"/>
    </row>
    <row r="25" spans="1:3" x14ac:dyDescent="0.35">
      <c r="A25" s="4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3B2E7-397B-48BD-977C-D3B175A80E0D}">
  <sheetPr codeName="Sheet2"/>
  <dimension ref="A1:E37"/>
  <sheetViews>
    <sheetView topLeftCell="A13" workbookViewId="0">
      <selection activeCell="C40" sqref="C40"/>
    </sheetView>
  </sheetViews>
  <sheetFormatPr defaultColWidth="9.6640625" defaultRowHeight="15.75" customHeight="1" x14ac:dyDescent="0.35"/>
  <cols>
    <col min="1" max="1" width="44.53125" style="18" bestFit="1" customWidth="1"/>
    <col min="2" max="16384" width="9.6640625" style="18"/>
  </cols>
  <sheetData>
    <row r="1" spans="1:4" ht="15.75" customHeight="1" x14ac:dyDescent="0.35">
      <c r="A1" s="46"/>
      <c r="B1" s="47">
        <v>2009</v>
      </c>
      <c r="C1" s="37">
        <v>2010</v>
      </c>
    </row>
    <row r="2" spans="1:4" ht="15.75" customHeight="1" x14ac:dyDescent="0.35">
      <c r="A2" s="38" t="s">
        <v>0</v>
      </c>
      <c r="B2" s="48"/>
      <c r="C2" s="40"/>
    </row>
    <row r="3" spans="1:4" ht="15.75" customHeight="1" x14ac:dyDescent="0.35">
      <c r="A3" s="38" t="s">
        <v>1</v>
      </c>
      <c r="B3" s="48"/>
      <c r="C3" s="40"/>
    </row>
    <row r="4" spans="1:4" ht="15.75" customHeight="1" x14ac:dyDescent="0.35">
      <c r="A4" s="38" t="s">
        <v>46</v>
      </c>
      <c r="B4" s="49">
        <v>7275</v>
      </c>
      <c r="C4" s="50">
        <v>7907</v>
      </c>
    </row>
    <row r="5" spans="1:4" ht="15.75" customHeight="1" x14ac:dyDescent="0.35">
      <c r="A5" s="38" t="s">
        <v>2</v>
      </c>
      <c r="B5" s="49">
        <v>3905</v>
      </c>
      <c r="C5" s="50">
        <v>4144</v>
      </c>
    </row>
    <row r="6" spans="1:4" ht="15.75" customHeight="1" x14ac:dyDescent="0.35">
      <c r="A6" s="38" t="s">
        <v>3</v>
      </c>
      <c r="B6" s="51">
        <v>34511</v>
      </c>
      <c r="C6" s="52">
        <v>33160</v>
      </c>
    </row>
    <row r="7" spans="1:4" ht="15.75" customHeight="1" x14ac:dyDescent="0.35">
      <c r="A7" s="38" t="s">
        <v>47</v>
      </c>
      <c r="B7" s="49">
        <v>3063</v>
      </c>
      <c r="C7" s="50">
        <v>2980</v>
      </c>
    </row>
    <row r="8" spans="1:4" ht="15.75" customHeight="1" x14ac:dyDescent="0.35">
      <c r="A8" s="38" t="s">
        <v>121</v>
      </c>
      <c r="B8" s="53">
        <v>195</v>
      </c>
      <c r="C8" s="54">
        <v>140</v>
      </c>
    </row>
    <row r="9" spans="1:4" ht="15.75" customHeight="1" x14ac:dyDescent="0.35">
      <c r="A9" s="38" t="s">
        <v>4</v>
      </c>
      <c r="B9" s="55">
        <f>SUM(B4:B8)</f>
        <v>48949</v>
      </c>
      <c r="C9" s="56">
        <f>SUM(C4:C8)</f>
        <v>48331</v>
      </c>
    </row>
    <row r="10" spans="1:4" ht="15.75" customHeight="1" x14ac:dyDescent="0.35">
      <c r="A10" s="38" t="s">
        <v>68</v>
      </c>
      <c r="B10" s="55"/>
      <c r="C10" s="56"/>
    </row>
    <row r="11" spans="1:4" ht="15.75" customHeight="1" x14ac:dyDescent="0.35">
      <c r="A11" s="38" t="s">
        <v>48</v>
      </c>
      <c r="B11" s="55">
        <v>19852</v>
      </c>
      <c r="C11" s="56">
        <v>22591</v>
      </c>
    </row>
    <row r="12" spans="1:4" ht="15.75" customHeight="1" x14ac:dyDescent="0.35">
      <c r="A12" s="38" t="s">
        <v>49</v>
      </c>
      <c r="B12" s="49">
        <f>73810+29851+2307</f>
        <v>105968</v>
      </c>
      <c r="C12" s="50">
        <f>77452+35450+2355</f>
        <v>115257</v>
      </c>
    </row>
    <row r="13" spans="1:4" ht="15.75" customHeight="1" x14ac:dyDescent="0.35">
      <c r="A13" s="38" t="s">
        <v>5</v>
      </c>
      <c r="B13" s="53">
        <v>32964</v>
      </c>
      <c r="C13" s="54">
        <v>38304</v>
      </c>
      <c r="D13" s="57"/>
    </row>
    <row r="14" spans="1:4" ht="15.75" customHeight="1" x14ac:dyDescent="0.35">
      <c r="A14" s="38" t="s">
        <v>50</v>
      </c>
      <c r="B14" s="55">
        <f>B11+B12-B13</f>
        <v>92856</v>
      </c>
      <c r="C14" s="56">
        <f>C11+C12-C13</f>
        <v>99544</v>
      </c>
    </row>
    <row r="15" spans="1:4" ht="15.75" customHeight="1" x14ac:dyDescent="0.35">
      <c r="A15" s="38" t="s">
        <v>122</v>
      </c>
      <c r="B15" s="55">
        <v>2797</v>
      </c>
      <c r="C15" s="56">
        <v>2763</v>
      </c>
    </row>
    <row r="16" spans="1:4" ht="15.75" customHeight="1" x14ac:dyDescent="0.35">
      <c r="A16" s="38" t="s">
        <v>65</v>
      </c>
      <c r="B16" s="55">
        <v>15260</v>
      </c>
      <c r="C16" s="56">
        <v>16126</v>
      </c>
    </row>
    <row r="17" spans="1:5" ht="15.75" customHeight="1" x14ac:dyDescent="0.35">
      <c r="A17" s="38" t="s">
        <v>6</v>
      </c>
      <c r="B17" s="58">
        <v>3567</v>
      </c>
      <c r="C17" s="59">
        <v>3942</v>
      </c>
    </row>
    <row r="18" spans="1:5" ht="15.75" customHeight="1" x14ac:dyDescent="0.35">
      <c r="A18" s="38" t="s">
        <v>7</v>
      </c>
      <c r="B18" s="60">
        <f>SUM(B14:B17)+B9</f>
        <v>163429</v>
      </c>
      <c r="C18" s="61">
        <f>SUM(C14:C17)+C9</f>
        <v>170706</v>
      </c>
    </row>
    <row r="19" spans="1:5" ht="15.75" customHeight="1" x14ac:dyDescent="0.35">
      <c r="A19" s="38"/>
      <c r="B19" s="55"/>
      <c r="C19" s="56"/>
    </row>
    <row r="20" spans="1:5" ht="15.75" customHeight="1" x14ac:dyDescent="0.35">
      <c r="A20" s="38" t="s">
        <v>8</v>
      </c>
      <c r="B20" s="55"/>
      <c r="C20" s="56"/>
    </row>
    <row r="21" spans="1:5" ht="15.75" customHeight="1" x14ac:dyDescent="0.35">
      <c r="A21" s="38" t="s">
        <v>9</v>
      </c>
      <c r="B21" s="55"/>
      <c r="C21" s="56"/>
    </row>
    <row r="22" spans="1:5" ht="15.75" customHeight="1" x14ac:dyDescent="0.35">
      <c r="A22" s="38" t="s">
        <v>123</v>
      </c>
      <c r="B22" s="49">
        <v>1506</v>
      </c>
      <c r="C22" s="50">
        <v>523</v>
      </c>
    </row>
    <row r="23" spans="1:5" ht="15.75" customHeight="1" x14ac:dyDescent="0.35">
      <c r="A23" s="38" t="s">
        <v>10</v>
      </c>
      <c r="B23" s="49">
        <v>28849</v>
      </c>
      <c r="C23" s="50">
        <v>30451</v>
      </c>
    </row>
    <row r="24" spans="1:5" ht="15.75" customHeight="1" x14ac:dyDescent="0.35">
      <c r="A24" s="38" t="s">
        <v>51</v>
      </c>
      <c r="B24" s="49">
        <f>18112+677</f>
        <v>18789</v>
      </c>
      <c r="C24" s="50">
        <f>18734+1365</f>
        <v>20099</v>
      </c>
    </row>
    <row r="25" spans="1:5" ht="15.75" customHeight="1" x14ac:dyDescent="0.35">
      <c r="A25" s="38" t="s">
        <v>11</v>
      </c>
      <c r="B25" s="49">
        <v>5848</v>
      </c>
      <c r="C25" s="50">
        <v>4050</v>
      </c>
    </row>
    <row r="26" spans="1:5" ht="15.75" customHeight="1" x14ac:dyDescent="0.35">
      <c r="A26" s="38" t="s">
        <v>124</v>
      </c>
      <c r="B26" s="49">
        <v>315</v>
      </c>
      <c r="C26" s="50">
        <v>346</v>
      </c>
    </row>
    <row r="27" spans="1:5" ht="15.75" customHeight="1" x14ac:dyDescent="0.35">
      <c r="A27" s="38" t="s">
        <v>125</v>
      </c>
      <c r="B27" s="53">
        <v>83</v>
      </c>
      <c r="C27" s="54">
        <v>92</v>
      </c>
    </row>
    <row r="28" spans="1:5" ht="15.75" customHeight="1" x14ac:dyDescent="0.35">
      <c r="A28" s="38" t="s">
        <v>12</v>
      </c>
      <c r="B28" s="55">
        <f>SUM(B22:B27)</f>
        <v>55390</v>
      </c>
      <c r="C28" s="56">
        <f>SUM(C22:C27)</f>
        <v>55561</v>
      </c>
      <c r="D28" s="57"/>
      <c r="E28" s="57"/>
    </row>
    <row r="29" spans="1:5" ht="15.75" customHeight="1" x14ac:dyDescent="0.35">
      <c r="A29" s="38" t="s">
        <v>13</v>
      </c>
      <c r="B29" s="55">
        <v>31349</v>
      </c>
      <c r="C29" s="56">
        <v>33231</v>
      </c>
      <c r="D29" s="41"/>
      <c r="E29" s="41"/>
    </row>
    <row r="30" spans="1:5" ht="15.75" customHeight="1" x14ac:dyDescent="0.35">
      <c r="A30" s="38" t="s">
        <v>126</v>
      </c>
      <c r="B30" s="55">
        <v>3200</v>
      </c>
      <c r="C30" s="56">
        <v>3170</v>
      </c>
      <c r="D30" s="41"/>
      <c r="E30" s="41"/>
    </row>
    <row r="31" spans="1:5" ht="15.75" customHeight="1" x14ac:dyDescent="0.35">
      <c r="A31" s="38" t="s">
        <v>14</v>
      </c>
      <c r="B31" s="55">
        <v>6014</v>
      </c>
      <c r="C31" s="56">
        <v>5508</v>
      </c>
    </row>
    <row r="32" spans="1:5" ht="15.75" customHeight="1" x14ac:dyDescent="0.35">
      <c r="A32" s="38" t="s">
        <v>52</v>
      </c>
      <c r="B32" s="55">
        <v>397</v>
      </c>
      <c r="C32" s="56">
        <v>307</v>
      </c>
    </row>
    <row r="33" spans="1:4" ht="15.75" customHeight="1" x14ac:dyDescent="0.35">
      <c r="A33" s="38" t="s">
        <v>15</v>
      </c>
      <c r="B33" s="58">
        <v>67079</v>
      </c>
      <c r="C33" s="59">
        <v>72929</v>
      </c>
    </row>
    <row r="34" spans="1:4" ht="15.75" customHeight="1" x14ac:dyDescent="0.35">
      <c r="A34" s="38" t="s">
        <v>16</v>
      </c>
      <c r="B34" s="60">
        <f>SUM(B28:B33)</f>
        <v>163429</v>
      </c>
      <c r="C34" s="61">
        <f>SUM(C28:C33)</f>
        <v>170706</v>
      </c>
      <c r="D34" s="57"/>
    </row>
    <row r="35" spans="1:4" ht="15.75" customHeight="1" x14ac:dyDescent="0.35">
      <c r="A35" s="42"/>
      <c r="B35" s="62"/>
      <c r="C35" s="44"/>
    </row>
    <row r="37" spans="1:4" ht="15.75" customHeight="1" x14ac:dyDescent="0.35">
      <c r="A37" s="6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EC70-1288-4941-8350-5EBB2D6834D3}">
  <sheetPr codeName="Sheet3"/>
  <dimension ref="A1:E34"/>
  <sheetViews>
    <sheetView tabSelected="1" topLeftCell="A9" workbookViewId="0">
      <selection activeCell="G30" sqref="G30"/>
    </sheetView>
  </sheetViews>
  <sheetFormatPr defaultColWidth="9.1328125" defaultRowHeight="12.75" x14ac:dyDescent="0.35"/>
  <cols>
    <col min="1" max="1" width="47.33203125" style="18" customWidth="1"/>
    <col min="2" max="16384" width="9.1328125" style="18"/>
  </cols>
  <sheetData>
    <row r="1" spans="1:5" ht="15" x14ac:dyDescent="0.35">
      <c r="A1" s="46"/>
      <c r="B1" s="37">
        <v>2009</v>
      </c>
      <c r="C1" s="36">
        <v>2010</v>
      </c>
    </row>
    <row r="2" spans="1:5" ht="15" x14ac:dyDescent="0.35">
      <c r="A2" s="38"/>
      <c r="B2" s="40"/>
      <c r="C2" s="39"/>
    </row>
    <row r="3" spans="1:5" ht="15" x14ac:dyDescent="0.35">
      <c r="A3" s="38" t="s">
        <v>26</v>
      </c>
      <c r="B3" s="40"/>
      <c r="C3" s="39"/>
    </row>
    <row r="4" spans="1:5" ht="15" x14ac:dyDescent="0.35">
      <c r="A4" s="38" t="s">
        <v>67</v>
      </c>
      <c r="B4" s="65">
        <v>13753</v>
      </c>
      <c r="C4" s="64">
        <v>14927</v>
      </c>
    </row>
    <row r="5" spans="1:5" ht="15" x14ac:dyDescent="0.35">
      <c r="A5" s="38" t="s">
        <v>27</v>
      </c>
      <c r="B5" s="65">
        <v>6739</v>
      </c>
      <c r="C5" s="64">
        <v>7157</v>
      </c>
    </row>
    <row r="6" spans="1:5" ht="15" x14ac:dyDescent="0.35">
      <c r="A6" s="38" t="s">
        <v>28</v>
      </c>
      <c r="B6" s="65">
        <v>581</v>
      </c>
      <c r="C6" s="64">
        <v>-504</v>
      </c>
    </row>
    <row r="7" spans="1:5" ht="15" x14ac:dyDescent="0.35">
      <c r="A7" s="38" t="s">
        <v>29</v>
      </c>
      <c r="B7" s="65">
        <f>-101-220-410+2036</f>
        <v>1305</v>
      </c>
      <c r="C7" s="64">
        <f>-297+2265+1052+1348</f>
        <v>4368</v>
      </c>
    </row>
    <row r="8" spans="1:5" ht="15" x14ac:dyDescent="0.35">
      <c r="A8" s="38" t="s">
        <v>30</v>
      </c>
      <c r="B8" s="67">
        <v>769</v>
      </c>
      <c r="C8" s="66">
        <v>301</v>
      </c>
    </row>
    <row r="9" spans="1:5" ht="15" x14ac:dyDescent="0.35">
      <c r="A9" s="38" t="s">
        <v>31</v>
      </c>
      <c r="B9" s="65">
        <f>SUM(B4:B8)</f>
        <v>23147</v>
      </c>
      <c r="C9" s="64">
        <f>SUM(C4:C8)</f>
        <v>26249</v>
      </c>
      <c r="E9" s="41"/>
    </row>
    <row r="10" spans="1:5" ht="15" x14ac:dyDescent="0.35">
      <c r="A10" s="38"/>
      <c r="B10" s="65"/>
      <c r="C10" s="64"/>
    </row>
    <row r="11" spans="1:5" ht="15" x14ac:dyDescent="0.35">
      <c r="A11" s="38" t="s">
        <v>32</v>
      </c>
      <c r="B11" s="65"/>
      <c r="C11" s="64"/>
    </row>
    <row r="12" spans="1:5" ht="30" x14ac:dyDescent="0.35">
      <c r="A12" s="38" t="s">
        <v>33</v>
      </c>
      <c r="B12" s="65">
        <v>-11499</v>
      </c>
      <c r="C12" s="64">
        <v>-12184</v>
      </c>
    </row>
    <row r="13" spans="1:5" ht="15" x14ac:dyDescent="0.35">
      <c r="A13" s="38" t="s">
        <v>59</v>
      </c>
      <c r="B13" s="65">
        <v>-1576</v>
      </c>
      <c r="C13" s="64">
        <v>0</v>
      </c>
    </row>
    <row r="14" spans="1:5" ht="15" x14ac:dyDescent="0.35">
      <c r="A14" s="38" t="s">
        <v>66</v>
      </c>
      <c r="B14" s="65">
        <f>714+838</f>
        <v>1552</v>
      </c>
      <c r="C14" s="64">
        <v>1002</v>
      </c>
    </row>
    <row r="15" spans="1:5" ht="15" x14ac:dyDescent="0.35">
      <c r="A15" s="38" t="s">
        <v>34</v>
      </c>
      <c r="B15" s="67">
        <v>781</v>
      </c>
      <c r="C15" s="66">
        <v>-438</v>
      </c>
    </row>
    <row r="16" spans="1:5" ht="15" x14ac:dyDescent="0.35">
      <c r="A16" s="38" t="s">
        <v>35</v>
      </c>
      <c r="B16" s="65">
        <f>SUM(B12:B15)</f>
        <v>-10742</v>
      </c>
      <c r="C16" s="64">
        <f>SUM(C12:C15)</f>
        <v>-11620</v>
      </c>
      <c r="E16" s="41"/>
    </row>
    <row r="17" spans="1:5" ht="15" x14ac:dyDescent="0.35">
      <c r="A17" s="38"/>
      <c r="B17" s="65"/>
      <c r="C17" s="64"/>
    </row>
    <row r="18" spans="1:5" ht="15" x14ac:dyDescent="0.35">
      <c r="A18" s="38" t="s">
        <v>36</v>
      </c>
      <c r="B18" s="65"/>
      <c r="C18" s="64"/>
    </row>
    <row r="19" spans="1:5" ht="15" x14ac:dyDescent="0.35">
      <c r="A19" s="38" t="s">
        <v>61</v>
      </c>
      <c r="B19" s="65">
        <f>-3745+6566</f>
        <v>2821</v>
      </c>
      <c r="C19" s="64">
        <f>-1033+5546</f>
        <v>4513</v>
      </c>
    </row>
    <row r="20" spans="1:5" ht="15" x14ac:dyDescent="0.35">
      <c r="A20" s="38" t="s">
        <v>37</v>
      </c>
      <c r="B20" s="65">
        <v>-5387</v>
      </c>
      <c r="C20" s="64">
        <v>-6033</v>
      </c>
    </row>
    <row r="21" spans="1:5" ht="15" x14ac:dyDescent="0.35">
      <c r="A21" s="38" t="s">
        <v>62</v>
      </c>
      <c r="B21" s="65">
        <v>-3521</v>
      </c>
      <c r="C21" s="64">
        <v>-7276</v>
      </c>
    </row>
    <row r="22" spans="1:5" ht="15" x14ac:dyDescent="0.35">
      <c r="A22" s="38" t="s">
        <v>38</v>
      </c>
      <c r="B22" s="65">
        <v>-3746</v>
      </c>
      <c r="C22" s="64">
        <v>-4217</v>
      </c>
    </row>
    <row r="23" spans="1:5" ht="15" x14ac:dyDescent="0.35">
      <c r="A23" s="38" t="s">
        <v>63</v>
      </c>
      <c r="B23" s="67">
        <f>-352+267</f>
        <v>-85</v>
      </c>
      <c r="C23" s="66">
        <f>-436-346-396</f>
        <v>-1178</v>
      </c>
    </row>
    <row r="24" spans="1:5" ht="15" x14ac:dyDescent="0.35">
      <c r="A24" s="38" t="s">
        <v>39</v>
      </c>
      <c r="B24" s="65">
        <f>SUM(B19:B23)</f>
        <v>-9918</v>
      </c>
      <c r="C24" s="64">
        <f>SUM(C19:C23)</f>
        <v>-14191</v>
      </c>
      <c r="E24" s="41"/>
    </row>
    <row r="25" spans="1:5" ht="15" x14ac:dyDescent="0.35">
      <c r="A25" s="38"/>
      <c r="B25" s="65"/>
      <c r="C25" s="64"/>
    </row>
    <row r="26" spans="1:5" ht="15" x14ac:dyDescent="0.35">
      <c r="A26" s="38" t="s">
        <v>40</v>
      </c>
      <c r="B26" s="65">
        <v>-781</v>
      </c>
      <c r="C26" s="64">
        <v>194</v>
      </c>
    </row>
    <row r="27" spans="1:5" ht="15" x14ac:dyDescent="0.35">
      <c r="A27" s="38"/>
      <c r="B27" s="65"/>
      <c r="C27" s="64"/>
    </row>
    <row r="28" spans="1:5" ht="15" x14ac:dyDescent="0.35">
      <c r="A28" s="38" t="s">
        <v>41</v>
      </c>
      <c r="B28" s="65"/>
      <c r="C28" s="64"/>
    </row>
    <row r="29" spans="1:5" ht="15" x14ac:dyDescent="0.35">
      <c r="A29" s="38" t="s">
        <v>42</v>
      </c>
      <c r="B29" s="65">
        <f>B9+B16+B24+B26</f>
        <v>1706</v>
      </c>
      <c r="C29" s="64">
        <f>C9+C16+C24+C26</f>
        <v>632</v>
      </c>
    </row>
    <row r="30" spans="1:5" ht="15" x14ac:dyDescent="0.35">
      <c r="A30" s="38" t="s">
        <v>43</v>
      </c>
      <c r="B30" s="67">
        <v>5569</v>
      </c>
      <c r="C30" s="66">
        <v>7275</v>
      </c>
    </row>
    <row r="31" spans="1:5" ht="15" x14ac:dyDescent="0.35">
      <c r="A31" s="38" t="s">
        <v>44</v>
      </c>
      <c r="B31" s="69">
        <f>SUM(B29:B30)</f>
        <v>7275</v>
      </c>
      <c r="C31" s="68">
        <f>SUM(C29:C30)</f>
        <v>7907</v>
      </c>
    </row>
    <row r="32" spans="1:5" ht="15" x14ac:dyDescent="0.35">
      <c r="A32" s="42"/>
      <c r="B32" s="44"/>
      <c r="C32" s="43"/>
    </row>
    <row r="34" spans="1:1" x14ac:dyDescent="0.35">
      <c r="A34" s="4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B38B4-51B2-4FCC-9963-3AE0CE8985E9}">
  <sheetPr codeName="Sheet4"/>
  <dimension ref="A1:C135"/>
  <sheetViews>
    <sheetView workbookViewId="0">
      <selection activeCell="A136" sqref="A136"/>
    </sheetView>
  </sheetViews>
  <sheetFormatPr defaultRowHeight="12.75" x14ac:dyDescent="0.35"/>
  <cols>
    <col min="1" max="1" width="10.1328125" bestFit="1" customWidth="1"/>
    <col min="2" max="2" width="7.6640625" bestFit="1" customWidth="1"/>
    <col min="3" max="3" width="6.6640625" bestFit="1" customWidth="1"/>
  </cols>
  <sheetData>
    <row r="1" spans="1:3" x14ac:dyDescent="0.35">
      <c r="A1" s="13" t="s">
        <v>134</v>
      </c>
      <c r="B1" s="14" t="s">
        <v>135</v>
      </c>
      <c r="C1" s="14" t="s">
        <v>136</v>
      </c>
    </row>
    <row r="2" spans="1:3" x14ac:dyDescent="0.35">
      <c r="A2" s="15">
        <v>38686</v>
      </c>
      <c r="B2" s="16">
        <v>53.45</v>
      </c>
      <c r="C2" s="17">
        <v>1115.0999999999999</v>
      </c>
    </row>
    <row r="3" spans="1:3" x14ac:dyDescent="0.35">
      <c r="A3" s="15">
        <v>38657</v>
      </c>
      <c r="B3" s="16">
        <v>54.55</v>
      </c>
      <c r="C3" s="17">
        <v>1095.6300000000001</v>
      </c>
    </row>
    <row r="4" spans="1:3" x14ac:dyDescent="0.35">
      <c r="A4" s="15">
        <v>38625</v>
      </c>
      <c r="B4" s="16">
        <v>49.68</v>
      </c>
      <c r="C4" s="17">
        <v>1036.19</v>
      </c>
    </row>
    <row r="5" spans="1:3" x14ac:dyDescent="0.35">
      <c r="A5" s="15">
        <v>38595</v>
      </c>
      <c r="B5" s="16">
        <v>49.09</v>
      </c>
      <c r="C5" s="17">
        <v>1057.08</v>
      </c>
    </row>
    <row r="6" spans="1:3" x14ac:dyDescent="0.35">
      <c r="A6" s="15">
        <v>38566</v>
      </c>
      <c r="B6" s="16">
        <v>50.87</v>
      </c>
      <c r="C6" s="17">
        <v>1020.62</v>
      </c>
    </row>
    <row r="7" spans="1:3" x14ac:dyDescent="0.35">
      <c r="A7" s="15">
        <v>38533</v>
      </c>
      <c r="B7" s="16">
        <v>49.88</v>
      </c>
      <c r="C7" s="17">
        <v>987.48</v>
      </c>
    </row>
    <row r="8" spans="1:3" x14ac:dyDescent="0.35">
      <c r="A8" s="15">
        <v>38503</v>
      </c>
      <c r="B8" s="16">
        <v>48.44</v>
      </c>
      <c r="C8" s="17">
        <v>919.32</v>
      </c>
    </row>
    <row r="9" spans="1:3" x14ac:dyDescent="0.35">
      <c r="A9" s="15">
        <v>38472</v>
      </c>
      <c r="B9" s="16">
        <v>49.74</v>
      </c>
      <c r="C9" s="17">
        <v>919.14</v>
      </c>
    </row>
    <row r="10" spans="1:3" x14ac:dyDescent="0.35">
      <c r="A10" s="15">
        <v>38442</v>
      </c>
      <c r="B10" s="16">
        <v>50.4</v>
      </c>
      <c r="C10" s="17">
        <v>872.81</v>
      </c>
    </row>
    <row r="11" spans="1:3" x14ac:dyDescent="0.35">
      <c r="A11" s="15">
        <v>38412</v>
      </c>
      <c r="B11" s="16">
        <v>52.1</v>
      </c>
      <c r="C11" s="17">
        <v>797.87</v>
      </c>
    </row>
    <row r="12" spans="1:3" x14ac:dyDescent="0.35">
      <c r="A12" s="15">
        <v>38384</v>
      </c>
      <c r="B12" s="16">
        <v>49.24</v>
      </c>
      <c r="C12" s="17">
        <v>735.09</v>
      </c>
    </row>
    <row r="13" spans="1:3" x14ac:dyDescent="0.35">
      <c r="A13" s="15">
        <v>38353</v>
      </c>
      <c r="B13" s="16">
        <v>47.12</v>
      </c>
      <c r="C13" s="17">
        <v>825.88</v>
      </c>
    </row>
    <row r="14" spans="1:3" x14ac:dyDescent="0.35">
      <c r="A14" s="15">
        <v>38321</v>
      </c>
      <c r="B14" s="16">
        <v>56.06</v>
      </c>
      <c r="C14" s="17">
        <v>903.25</v>
      </c>
    </row>
    <row r="15" spans="1:3" x14ac:dyDescent="0.35">
      <c r="A15" s="15">
        <v>38293</v>
      </c>
      <c r="B15" s="16">
        <v>55.88</v>
      </c>
      <c r="C15" s="17">
        <v>896.24</v>
      </c>
    </row>
    <row r="16" spans="1:3" x14ac:dyDescent="0.35">
      <c r="A16" s="15">
        <v>38260</v>
      </c>
      <c r="B16" s="16">
        <v>55.81</v>
      </c>
      <c r="C16" s="17">
        <v>968.75</v>
      </c>
    </row>
    <row r="17" spans="1:3" x14ac:dyDescent="0.35">
      <c r="A17" s="15">
        <v>38231</v>
      </c>
      <c r="B17" s="16">
        <v>59.89</v>
      </c>
      <c r="C17" s="17">
        <v>1166.3599999999999</v>
      </c>
    </row>
    <row r="18" spans="1:3" x14ac:dyDescent="0.35">
      <c r="A18" s="15">
        <v>38199</v>
      </c>
      <c r="B18" s="16">
        <v>59.07</v>
      </c>
      <c r="C18" s="17">
        <v>1282.83</v>
      </c>
    </row>
    <row r="19" spans="1:3" x14ac:dyDescent="0.35">
      <c r="A19" s="15">
        <v>38168</v>
      </c>
      <c r="B19" s="16">
        <v>58.62</v>
      </c>
      <c r="C19" s="17">
        <v>1267.3800000000001</v>
      </c>
    </row>
    <row r="20" spans="1:3" x14ac:dyDescent="0.35">
      <c r="A20" s="15">
        <v>38139</v>
      </c>
      <c r="B20" s="16">
        <v>56.2</v>
      </c>
      <c r="C20" s="17">
        <v>1280</v>
      </c>
    </row>
    <row r="21" spans="1:3" x14ac:dyDescent="0.35">
      <c r="A21" s="15">
        <v>38107</v>
      </c>
      <c r="B21" s="16">
        <v>57.74</v>
      </c>
      <c r="C21" s="17">
        <v>1400.38</v>
      </c>
    </row>
    <row r="22" spans="1:3" x14ac:dyDescent="0.35">
      <c r="A22" s="15">
        <v>38077</v>
      </c>
      <c r="B22" s="16">
        <v>57.98</v>
      </c>
      <c r="C22" s="17">
        <v>1385.59</v>
      </c>
    </row>
    <row r="23" spans="1:3" x14ac:dyDescent="0.35">
      <c r="A23" s="15">
        <v>38048</v>
      </c>
      <c r="B23" s="16">
        <v>52.68</v>
      </c>
      <c r="C23" s="17">
        <v>1322.7</v>
      </c>
    </row>
    <row r="24" spans="1:3" x14ac:dyDescent="0.35">
      <c r="A24" s="15">
        <v>38017</v>
      </c>
      <c r="B24" s="16">
        <v>49.59</v>
      </c>
      <c r="C24" s="17">
        <v>1330.63</v>
      </c>
    </row>
    <row r="25" spans="1:3" x14ac:dyDescent="0.35">
      <c r="A25" s="15">
        <v>37987</v>
      </c>
      <c r="B25" s="16">
        <v>50.74</v>
      </c>
      <c r="C25" s="17">
        <v>1378.55</v>
      </c>
    </row>
    <row r="26" spans="1:3" x14ac:dyDescent="0.35">
      <c r="A26" s="15">
        <v>37957</v>
      </c>
      <c r="B26" s="16">
        <v>47.53</v>
      </c>
      <c r="C26" s="17">
        <v>1468.36</v>
      </c>
    </row>
    <row r="27" spans="1:3" x14ac:dyDescent="0.35">
      <c r="A27" s="15">
        <v>37925</v>
      </c>
      <c r="B27" s="16">
        <v>47.9</v>
      </c>
      <c r="C27" s="17">
        <v>1481.14</v>
      </c>
    </row>
    <row r="28" spans="1:3" x14ac:dyDescent="0.35">
      <c r="A28" s="15">
        <v>37894</v>
      </c>
      <c r="B28" s="16">
        <v>45.21</v>
      </c>
      <c r="C28" s="17">
        <v>1549.38</v>
      </c>
    </row>
    <row r="29" spans="1:3" x14ac:dyDescent="0.35">
      <c r="A29" s="15">
        <v>37867</v>
      </c>
      <c r="B29" s="16">
        <v>43.65</v>
      </c>
      <c r="C29" s="17">
        <v>1526.75</v>
      </c>
    </row>
    <row r="30" spans="1:3" x14ac:dyDescent="0.35">
      <c r="A30" s="15">
        <v>37833</v>
      </c>
      <c r="B30" s="16">
        <v>43.63</v>
      </c>
      <c r="C30" s="17">
        <v>1473.99</v>
      </c>
    </row>
    <row r="31" spans="1:3" x14ac:dyDescent="0.35">
      <c r="A31" s="15">
        <v>37803</v>
      </c>
      <c r="B31" s="16">
        <v>45.95</v>
      </c>
      <c r="C31" s="17">
        <v>1455.27</v>
      </c>
    </row>
    <row r="32" spans="1:3" x14ac:dyDescent="0.35">
      <c r="A32" s="15">
        <v>37772</v>
      </c>
      <c r="B32" s="16">
        <v>48.11</v>
      </c>
      <c r="C32" s="17">
        <v>1503.35</v>
      </c>
    </row>
    <row r="33" spans="1:3" x14ac:dyDescent="0.35">
      <c r="A33" s="15">
        <v>37741</v>
      </c>
      <c r="B33" s="16">
        <v>47.6</v>
      </c>
      <c r="C33" s="17">
        <v>1530.62</v>
      </c>
    </row>
    <row r="34" spans="1:3" x14ac:dyDescent="0.35">
      <c r="A34" s="15">
        <v>37712</v>
      </c>
      <c r="B34" s="16">
        <v>47.92</v>
      </c>
      <c r="C34" s="17">
        <v>1482.37</v>
      </c>
    </row>
    <row r="35" spans="1:3" x14ac:dyDescent="0.35">
      <c r="A35" s="15">
        <v>37680</v>
      </c>
      <c r="B35" s="16">
        <v>46.95</v>
      </c>
      <c r="C35" s="17">
        <v>1420.86</v>
      </c>
    </row>
    <row r="36" spans="1:3" x14ac:dyDescent="0.35">
      <c r="A36" s="15">
        <v>37652</v>
      </c>
      <c r="B36" s="16">
        <v>48.31</v>
      </c>
      <c r="C36" s="17">
        <v>1406.82</v>
      </c>
    </row>
    <row r="37" spans="1:3" x14ac:dyDescent="0.35">
      <c r="A37" s="15">
        <v>37623</v>
      </c>
      <c r="B37" s="16">
        <v>47.69</v>
      </c>
      <c r="C37" s="17">
        <v>1438.24</v>
      </c>
    </row>
    <row r="38" spans="1:3" x14ac:dyDescent="0.35">
      <c r="A38" s="15">
        <v>37590</v>
      </c>
      <c r="B38" s="16">
        <v>46.18</v>
      </c>
      <c r="C38" s="17">
        <v>1418.3</v>
      </c>
    </row>
    <row r="39" spans="1:3" x14ac:dyDescent="0.35">
      <c r="A39" s="15">
        <v>37560</v>
      </c>
      <c r="B39" s="16">
        <v>46.1</v>
      </c>
      <c r="C39" s="17">
        <v>1400.63</v>
      </c>
    </row>
    <row r="40" spans="1:3" x14ac:dyDescent="0.35">
      <c r="A40" s="15">
        <v>37530</v>
      </c>
      <c r="B40" s="16">
        <v>49.28</v>
      </c>
      <c r="C40" s="17">
        <v>1377.94</v>
      </c>
    </row>
    <row r="41" spans="1:3" x14ac:dyDescent="0.35">
      <c r="A41" s="15">
        <v>37499</v>
      </c>
      <c r="B41" s="16">
        <v>49.32</v>
      </c>
      <c r="C41" s="17">
        <v>1335.85</v>
      </c>
    </row>
    <row r="42" spans="1:3" x14ac:dyDescent="0.35">
      <c r="A42" s="15">
        <v>37468</v>
      </c>
      <c r="B42" s="16">
        <v>44.72</v>
      </c>
      <c r="C42" s="17">
        <v>1303.82</v>
      </c>
    </row>
    <row r="43" spans="1:3" x14ac:dyDescent="0.35">
      <c r="A43" s="15">
        <v>37439</v>
      </c>
      <c r="B43" s="16">
        <v>44.5</v>
      </c>
      <c r="C43" s="17">
        <v>1276.6600000000001</v>
      </c>
    </row>
    <row r="44" spans="1:3" x14ac:dyDescent="0.35">
      <c r="A44" s="15">
        <v>37407</v>
      </c>
      <c r="B44" s="16">
        <v>48.17</v>
      </c>
      <c r="C44" s="17">
        <v>1270.2</v>
      </c>
    </row>
    <row r="45" spans="1:3" x14ac:dyDescent="0.35">
      <c r="A45" s="15">
        <v>37376</v>
      </c>
      <c r="B45" s="16">
        <v>48.45</v>
      </c>
      <c r="C45" s="17">
        <v>1270.0899999999999</v>
      </c>
    </row>
    <row r="46" spans="1:3" x14ac:dyDescent="0.35">
      <c r="A46" s="15">
        <v>37348</v>
      </c>
      <c r="B46" s="16">
        <v>45.03</v>
      </c>
      <c r="C46" s="17">
        <v>1310.6099999999999</v>
      </c>
    </row>
    <row r="47" spans="1:3" x14ac:dyDescent="0.35">
      <c r="A47" s="15">
        <v>37315</v>
      </c>
      <c r="B47" s="16">
        <v>47.24</v>
      </c>
      <c r="C47" s="17">
        <v>1294.8699999999999</v>
      </c>
    </row>
    <row r="48" spans="1:3" x14ac:dyDescent="0.35">
      <c r="A48" s="15">
        <v>37287</v>
      </c>
      <c r="B48" s="16">
        <v>45.36</v>
      </c>
      <c r="C48" s="17">
        <v>1280.6600000000001</v>
      </c>
    </row>
    <row r="49" spans="1:3" x14ac:dyDescent="0.35">
      <c r="A49" s="15">
        <v>37258</v>
      </c>
      <c r="B49" s="16">
        <v>46.11</v>
      </c>
      <c r="C49" s="17">
        <v>1280.08</v>
      </c>
    </row>
    <row r="50" spans="1:3" x14ac:dyDescent="0.35">
      <c r="A50" s="15">
        <v>37225</v>
      </c>
      <c r="B50" s="16">
        <v>46.8</v>
      </c>
      <c r="C50" s="17">
        <v>1248.29</v>
      </c>
    </row>
    <row r="51" spans="1:3" x14ac:dyDescent="0.35">
      <c r="A51" s="15">
        <v>37195</v>
      </c>
      <c r="B51" s="16">
        <v>48.56</v>
      </c>
      <c r="C51" s="17">
        <v>1249.48</v>
      </c>
    </row>
    <row r="52" spans="1:3" x14ac:dyDescent="0.35">
      <c r="A52" s="15">
        <v>37166</v>
      </c>
      <c r="B52" s="16">
        <v>47.31</v>
      </c>
      <c r="C52" s="17">
        <v>1207.01</v>
      </c>
    </row>
    <row r="53" spans="1:3" x14ac:dyDescent="0.35">
      <c r="A53" s="15">
        <v>37134</v>
      </c>
      <c r="B53" s="16">
        <v>43.82</v>
      </c>
      <c r="C53" s="17">
        <v>1228.81</v>
      </c>
    </row>
    <row r="54" spans="1:3" x14ac:dyDescent="0.35">
      <c r="A54" s="15">
        <v>37103</v>
      </c>
      <c r="B54" s="16">
        <v>44.96</v>
      </c>
      <c r="C54" s="17">
        <v>1220.33</v>
      </c>
    </row>
    <row r="55" spans="1:3" x14ac:dyDescent="0.35">
      <c r="A55" s="15">
        <v>37072</v>
      </c>
      <c r="B55" s="16">
        <v>49.35</v>
      </c>
      <c r="C55" s="17">
        <v>1234.18</v>
      </c>
    </row>
    <row r="56" spans="1:3" x14ac:dyDescent="0.35">
      <c r="A56" s="15">
        <v>37042</v>
      </c>
      <c r="B56" s="16">
        <v>48.2</v>
      </c>
      <c r="C56" s="17">
        <v>1191.33</v>
      </c>
    </row>
    <row r="57" spans="1:3" x14ac:dyDescent="0.35">
      <c r="A57" s="15">
        <v>37012</v>
      </c>
      <c r="B57" s="16">
        <v>47.23</v>
      </c>
      <c r="C57" s="17">
        <v>1191.5</v>
      </c>
    </row>
    <row r="58" spans="1:3" x14ac:dyDescent="0.35">
      <c r="A58" s="15">
        <v>36981</v>
      </c>
      <c r="B58" s="16">
        <v>47.14</v>
      </c>
      <c r="C58" s="17">
        <v>1156.8499999999999</v>
      </c>
    </row>
    <row r="59" spans="1:3" x14ac:dyDescent="0.35">
      <c r="A59" s="15">
        <v>36950</v>
      </c>
      <c r="B59" s="16">
        <v>50.11</v>
      </c>
      <c r="C59" s="17">
        <v>1180.5899999999999</v>
      </c>
    </row>
    <row r="60" spans="1:3" x14ac:dyDescent="0.35">
      <c r="A60" s="15">
        <v>36922</v>
      </c>
      <c r="B60" s="16">
        <v>51.61</v>
      </c>
      <c r="C60" s="17">
        <v>1203.5999999999999</v>
      </c>
    </row>
    <row r="61" spans="1:3" x14ac:dyDescent="0.35">
      <c r="A61" s="15">
        <v>36893</v>
      </c>
      <c r="B61" s="16">
        <v>52.4</v>
      </c>
      <c r="C61" s="17">
        <v>1181.27</v>
      </c>
    </row>
    <row r="62" spans="1:3" x14ac:dyDescent="0.35">
      <c r="A62" s="15">
        <v>36860</v>
      </c>
      <c r="B62" s="16">
        <v>52.82</v>
      </c>
      <c r="C62" s="17">
        <v>1211.92</v>
      </c>
    </row>
    <row r="63" spans="1:3" x14ac:dyDescent="0.35">
      <c r="A63" s="15">
        <v>36830</v>
      </c>
      <c r="B63" s="16">
        <v>52.06</v>
      </c>
      <c r="C63" s="17">
        <v>1173.82</v>
      </c>
    </row>
    <row r="64" spans="1:3" x14ac:dyDescent="0.35">
      <c r="A64" s="15">
        <v>36799</v>
      </c>
      <c r="B64" s="16">
        <v>53.92</v>
      </c>
      <c r="C64" s="17">
        <v>1130.2</v>
      </c>
    </row>
    <row r="65" spans="1:3" x14ac:dyDescent="0.35">
      <c r="A65" s="15">
        <v>36769</v>
      </c>
      <c r="B65" s="16">
        <v>53.2</v>
      </c>
      <c r="C65" s="17">
        <v>1114.58</v>
      </c>
    </row>
    <row r="66" spans="1:3" x14ac:dyDescent="0.35">
      <c r="A66" s="15">
        <v>36739</v>
      </c>
      <c r="B66" s="16">
        <v>52.67</v>
      </c>
      <c r="C66" s="17">
        <v>1104.24</v>
      </c>
    </row>
    <row r="67" spans="1:3" x14ac:dyDescent="0.35">
      <c r="A67" s="15">
        <v>36707</v>
      </c>
      <c r="B67" s="16">
        <v>53.01</v>
      </c>
      <c r="C67" s="17">
        <v>1101.72</v>
      </c>
    </row>
    <row r="68" spans="1:3" x14ac:dyDescent="0.35">
      <c r="A68" s="15">
        <v>36677</v>
      </c>
      <c r="B68" s="16">
        <v>52.5</v>
      </c>
      <c r="C68" s="17">
        <v>1140.8399999999999</v>
      </c>
    </row>
    <row r="69" spans="1:3" x14ac:dyDescent="0.35">
      <c r="A69" s="15">
        <v>36648</v>
      </c>
      <c r="B69" s="16">
        <v>55.73</v>
      </c>
      <c r="C69" s="17">
        <v>1120.68</v>
      </c>
    </row>
    <row r="70" spans="1:3" x14ac:dyDescent="0.35">
      <c r="A70" s="15">
        <v>36616</v>
      </c>
      <c r="B70" s="16">
        <v>57</v>
      </c>
      <c r="C70" s="17">
        <v>1107.3</v>
      </c>
    </row>
    <row r="71" spans="1:3" x14ac:dyDescent="0.35">
      <c r="A71" s="15">
        <v>36585</v>
      </c>
      <c r="B71" s="16">
        <v>59.69</v>
      </c>
      <c r="C71" s="17">
        <v>1126.21</v>
      </c>
    </row>
    <row r="72" spans="1:3" x14ac:dyDescent="0.35">
      <c r="A72" s="15">
        <v>36557</v>
      </c>
      <c r="B72" s="16">
        <v>59.56</v>
      </c>
      <c r="C72" s="17">
        <v>1144.94</v>
      </c>
    </row>
    <row r="73" spans="1:3" x14ac:dyDescent="0.35">
      <c r="A73" s="15">
        <v>36526</v>
      </c>
      <c r="B73" s="16">
        <v>53.85</v>
      </c>
      <c r="C73" s="17">
        <v>1131.1300000000001</v>
      </c>
    </row>
    <row r="74" spans="1:3" x14ac:dyDescent="0.35">
      <c r="A74" s="15">
        <v>36494</v>
      </c>
      <c r="B74" s="16">
        <v>53.05</v>
      </c>
      <c r="C74" s="17">
        <v>1111.92</v>
      </c>
    </row>
    <row r="75" spans="1:3" x14ac:dyDescent="0.35">
      <c r="A75" s="15">
        <v>36466</v>
      </c>
      <c r="B75" s="16">
        <v>55.64</v>
      </c>
      <c r="C75" s="17">
        <v>1058.2</v>
      </c>
    </row>
    <row r="76" spans="1:3" x14ac:dyDescent="0.35">
      <c r="A76" s="15">
        <v>36433</v>
      </c>
      <c r="B76" s="16">
        <v>58.95</v>
      </c>
      <c r="C76" s="17">
        <v>1050.71</v>
      </c>
    </row>
    <row r="77" spans="1:3" x14ac:dyDescent="0.35">
      <c r="A77" s="15">
        <v>36404</v>
      </c>
      <c r="B77" s="16">
        <v>55.85</v>
      </c>
      <c r="C77" s="17">
        <v>995.97</v>
      </c>
    </row>
    <row r="78" spans="1:3" x14ac:dyDescent="0.35">
      <c r="A78" s="15">
        <v>36372</v>
      </c>
      <c r="B78" s="16">
        <v>59.17</v>
      </c>
      <c r="C78" s="17">
        <v>1008.01</v>
      </c>
    </row>
    <row r="79" spans="1:3" x14ac:dyDescent="0.35">
      <c r="A79" s="15">
        <v>36341</v>
      </c>
      <c r="B79" s="16">
        <v>55.91</v>
      </c>
      <c r="C79" s="17">
        <v>990.31</v>
      </c>
    </row>
    <row r="80" spans="1:3" x14ac:dyDescent="0.35">
      <c r="A80" s="15">
        <v>36312</v>
      </c>
      <c r="B80" s="16">
        <v>53.67</v>
      </c>
      <c r="C80" s="17">
        <v>974.5</v>
      </c>
    </row>
    <row r="81" spans="1:3" x14ac:dyDescent="0.35">
      <c r="A81" s="15">
        <v>36280</v>
      </c>
      <c r="B81" s="16">
        <v>52.61</v>
      </c>
      <c r="C81" s="17">
        <v>963.59</v>
      </c>
    </row>
    <row r="82" spans="1:3" x14ac:dyDescent="0.35">
      <c r="A82" s="15">
        <v>36250</v>
      </c>
      <c r="B82" s="16">
        <v>56.32</v>
      </c>
      <c r="C82" s="17">
        <v>916.92</v>
      </c>
    </row>
    <row r="83" spans="1:3" x14ac:dyDescent="0.35">
      <c r="A83" s="15">
        <v>36221</v>
      </c>
      <c r="B83" s="16">
        <v>52.03</v>
      </c>
      <c r="C83" s="17">
        <v>848.18</v>
      </c>
    </row>
    <row r="84" spans="1:3" x14ac:dyDescent="0.35">
      <c r="A84" s="15">
        <v>36193</v>
      </c>
      <c r="B84" s="16">
        <v>48.06</v>
      </c>
      <c r="C84" s="17">
        <v>841.15</v>
      </c>
    </row>
    <row r="85" spans="1:3" x14ac:dyDescent="0.35">
      <c r="A85" s="15">
        <v>36161</v>
      </c>
      <c r="B85" s="16">
        <v>47.8</v>
      </c>
      <c r="C85" s="17">
        <v>855.7</v>
      </c>
    </row>
    <row r="86" spans="1:3" x14ac:dyDescent="0.35">
      <c r="A86" s="15">
        <v>36130</v>
      </c>
      <c r="B86" s="16">
        <v>50.51</v>
      </c>
      <c r="C86" s="17">
        <v>879.82</v>
      </c>
    </row>
    <row r="87" spans="1:3" x14ac:dyDescent="0.35">
      <c r="A87" s="15">
        <v>36099</v>
      </c>
      <c r="B87" s="16">
        <v>53.9</v>
      </c>
      <c r="C87" s="17">
        <v>936.31</v>
      </c>
    </row>
    <row r="88" spans="1:3" x14ac:dyDescent="0.35">
      <c r="A88" s="15">
        <v>36068</v>
      </c>
      <c r="B88" s="16">
        <v>53.55</v>
      </c>
      <c r="C88" s="17">
        <v>885.76</v>
      </c>
    </row>
    <row r="89" spans="1:3" x14ac:dyDescent="0.35">
      <c r="A89" s="15">
        <v>36040</v>
      </c>
      <c r="B89" s="16">
        <v>49.24</v>
      </c>
      <c r="C89" s="17">
        <v>815.28</v>
      </c>
    </row>
    <row r="90" spans="1:3" x14ac:dyDescent="0.35">
      <c r="A90" s="15">
        <v>36007</v>
      </c>
      <c r="B90" s="16">
        <v>53.48</v>
      </c>
      <c r="C90" s="17">
        <v>916.07</v>
      </c>
    </row>
    <row r="91" spans="1:3" x14ac:dyDescent="0.35">
      <c r="A91" s="15">
        <v>35976</v>
      </c>
      <c r="B91" s="16">
        <v>49.18</v>
      </c>
      <c r="C91" s="17">
        <v>911.62</v>
      </c>
    </row>
    <row r="92" spans="1:3" x14ac:dyDescent="0.35">
      <c r="A92" s="15">
        <v>35948</v>
      </c>
      <c r="B92" s="16">
        <v>55.01</v>
      </c>
      <c r="C92" s="17">
        <v>989.82</v>
      </c>
    </row>
    <row r="93" spans="1:3" x14ac:dyDescent="0.35">
      <c r="A93" s="15">
        <v>35915</v>
      </c>
      <c r="B93" s="16">
        <v>54.1</v>
      </c>
      <c r="C93" s="17">
        <v>1067.1400000000001</v>
      </c>
    </row>
    <row r="94" spans="1:3" x14ac:dyDescent="0.35">
      <c r="A94" s="15">
        <v>35885</v>
      </c>
      <c r="B94" s="16">
        <v>55.86</v>
      </c>
      <c r="C94" s="17">
        <v>1076.92</v>
      </c>
    </row>
    <row r="95" spans="1:3" x14ac:dyDescent="0.35">
      <c r="A95" s="15">
        <v>35854</v>
      </c>
      <c r="B95" s="16">
        <v>61.3</v>
      </c>
      <c r="C95" s="17">
        <v>1147.3900000000001</v>
      </c>
    </row>
    <row r="96" spans="1:3" x14ac:dyDescent="0.35">
      <c r="A96" s="15">
        <v>35826</v>
      </c>
      <c r="B96" s="16">
        <v>62.01</v>
      </c>
      <c r="C96" s="17">
        <v>1106.73</v>
      </c>
    </row>
    <row r="97" spans="1:3" x14ac:dyDescent="0.35">
      <c r="A97" s="15">
        <v>35796</v>
      </c>
      <c r="B97" s="16">
        <v>59.98</v>
      </c>
      <c r="C97" s="17">
        <v>1130.2</v>
      </c>
    </row>
    <row r="98" spans="1:3" x14ac:dyDescent="0.35">
      <c r="A98" s="15">
        <v>35766</v>
      </c>
      <c r="B98" s="16">
        <v>57.55</v>
      </c>
      <c r="C98" s="17">
        <v>1148.08</v>
      </c>
    </row>
    <row r="99" spans="1:3" x14ac:dyDescent="0.35">
      <c r="A99" s="15">
        <v>35734</v>
      </c>
      <c r="B99" s="16">
        <v>55.15</v>
      </c>
      <c r="C99" s="17">
        <v>1139.45</v>
      </c>
    </row>
    <row r="100" spans="1:3" x14ac:dyDescent="0.35">
      <c r="A100" s="15">
        <v>35703</v>
      </c>
      <c r="B100" s="16">
        <v>51.4</v>
      </c>
      <c r="C100" s="17">
        <v>1059.78</v>
      </c>
    </row>
    <row r="101" spans="1:3" x14ac:dyDescent="0.35">
      <c r="A101" s="15">
        <v>35676</v>
      </c>
      <c r="B101" s="16">
        <v>49.5</v>
      </c>
      <c r="C101" s="17">
        <v>1040.94</v>
      </c>
    </row>
    <row r="102" spans="1:3" x14ac:dyDescent="0.35">
      <c r="A102" s="15">
        <v>35642</v>
      </c>
      <c r="B102" s="16">
        <v>48.05</v>
      </c>
      <c r="C102" s="17">
        <v>1133.58</v>
      </c>
    </row>
    <row r="103" spans="1:3" x14ac:dyDescent="0.35">
      <c r="A103" s="15">
        <v>35612</v>
      </c>
      <c r="B103" s="16">
        <v>55.9</v>
      </c>
      <c r="C103" s="17">
        <v>1211.23</v>
      </c>
    </row>
    <row r="104" spans="1:3" x14ac:dyDescent="0.35">
      <c r="A104" s="15">
        <v>35581</v>
      </c>
      <c r="B104" s="16">
        <v>48.8</v>
      </c>
      <c r="C104" s="17">
        <v>1224.3800000000001</v>
      </c>
    </row>
    <row r="105" spans="1:3" x14ac:dyDescent="0.35">
      <c r="A105" s="15">
        <v>35550</v>
      </c>
      <c r="B105" s="16">
        <v>51.75</v>
      </c>
      <c r="C105" s="17">
        <v>1255.82</v>
      </c>
    </row>
    <row r="106" spans="1:3" x14ac:dyDescent="0.35">
      <c r="A106" s="15">
        <v>35521</v>
      </c>
      <c r="B106" s="16">
        <v>51.74</v>
      </c>
      <c r="C106" s="17">
        <v>1249.46</v>
      </c>
    </row>
    <row r="107" spans="1:3" x14ac:dyDescent="0.35">
      <c r="A107" s="15">
        <v>35489</v>
      </c>
      <c r="B107" s="16">
        <v>50.5</v>
      </c>
      <c r="C107" s="17">
        <v>1160.33</v>
      </c>
    </row>
    <row r="108" spans="1:3" x14ac:dyDescent="0.35">
      <c r="A108" s="15">
        <v>35461</v>
      </c>
      <c r="B108" s="16">
        <v>50.09</v>
      </c>
      <c r="C108" s="17">
        <v>1239.94</v>
      </c>
    </row>
    <row r="109" spans="1:3" x14ac:dyDescent="0.35">
      <c r="A109" s="15">
        <v>35431</v>
      </c>
      <c r="B109" s="16">
        <v>56.8</v>
      </c>
      <c r="C109" s="17">
        <v>1366.01</v>
      </c>
    </row>
    <row r="110" spans="1:3" x14ac:dyDescent="0.35">
      <c r="A110" s="15">
        <v>35399</v>
      </c>
      <c r="B110" s="16">
        <v>53.13</v>
      </c>
      <c r="C110" s="17">
        <v>1320.28</v>
      </c>
    </row>
    <row r="111" spans="1:3" x14ac:dyDescent="0.35">
      <c r="A111" s="15">
        <v>35369</v>
      </c>
      <c r="B111" s="16">
        <v>52.19</v>
      </c>
      <c r="C111" s="17">
        <v>1314.95</v>
      </c>
    </row>
    <row r="112" spans="1:3" x14ac:dyDescent="0.35">
      <c r="A112" s="15">
        <v>35339</v>
      </c>
      <c r="B112" s="16">
        <v>45.38</v>
      </c>
      <c r="C112" s="17">
        <v>1429.4</v>
      </c>
    </row>
    <row r="113" spans="1:3" x14ac:dyDescent="0.35">
      <c r="A113" s="15">
        <v>35308</v>
      </c>
      <c r="B113" s="16">
        <v>48.13</v>
      </c>
      <c r="C113" s="17">
        <v>1436.51</v>
      </c>
    </row>
    <row r="114" spans="1:3" x14ac:dyDescent="0.35">
      <c r="A114" s="15">
        <v>35277</v>
      </c>
      <c r="B114" s="16">
        <v>47.63</v>
      </c>
      <c r="C114" s="17">
        <v>1517.68</v>
      </c>
    </row>
    <row r="115" spans="1:3" x14ac:dyDescent="0.35">
      <c r="A115" s="15">
        <v>35248</v>
      </c>
      <c r="B115" s="16">
        <v>55.25</v>
      </c>
      <c r="C115" s="17">
        <v>1430.83</v>
      </c>
    </row>
    <row r="116" spans="1:3" x14ac:dyDescent="0.35">
      <c r="A116" s="15">
        <v>35216</v>
      </c>
      <c r="B116" s="16">
        <v>57.63</v>
      </c>
      <c r="C116" s="17">
        <v>1454.6</v>
      </c>
    </row>
    <row r="117" spans="1:3" x14ac:dyDescent="0.35">
      <c r="A117" s="15">
        <v>35185</v>
      </c>
      <c r="B117" s="16">
        <v>57.63</v>
      </c>
      <c r="C117" s="17">
        <v>1420.6</v>
      </c>
    </row>
    <row r="118" spans="1:3" x14ac:dyDescent="0.35">
      <c r="A118" s="15">
        <v>35157</v>
      </c>
      <c r="B118" s="16">
        <v>55.38</v>
      </c>
      <c r="C118" s="17">
        <v>1452.43</v>
      </c>
    </row>
    <row r="119" spans="1:3" x14ac:dyDescent="0.35">
      <c r="A119" s="15">
        <v>35124</v>
      </c>
      <c r="B119" s="16">
        <v>56.5</v>
      </c>
      <c r="C119" s="17">
        <v>1498.58</v>
      </c>
    </row>
    <row r="120" spans="1:3" x14ac:dyDescent="0.35">
      <c r="A120" s="15">
        <v>35095</v>
      </c>
      <c r="B120" s="16">
        <v>48.75</v>
      </c>
      <c r="C120" s="17">
        <v>1366.42</v>
      </c>
    </row>
    <row r="121" spans="1:3" x14ac:dyDescent="0.35">
      <c r="A121" s="15">
        <v>35066</v>
      </c>
      <c r="B121" s="16">
        <v>54.75</v>
      </c>
      <c r="C121" s="17">
        <v>1394.46</v>
      </c>
    </row>
    <row r="122" spans="1:3" x14ac:dyDescent="0.35">
      <c r="A122" s="15">
        <v>35033</v>
      </c>
      <c r="B122" s="16">
        <v>69.12</v>
      </c>
      <c r="C122" s="17">
        <v>1469.25</v>
      </c>
    </row>
    <row r="123" spans="1:3" x14ac:dyDescent="0.35">
      <c r="A123" s="15">
        <v>35003</v>
      </c>
      <c r="B123" s="16">
        <v>57.63</v>
      </c>
      <c r="C123" s="17">
        <v>1388.91</v>
      </c>
    </row>
    <row r="124" spans="1:3" x14ac:dyDescent="0.35">
      <c r="A124" s="15">
        <v>34972</v>
      </c>
      <c r="B124" s="16">
        <v>56.31</v>
      </c>
      <c r="C124" s="17">
        <v>1362.93</v>
      </c>
    </row>
    <row r="125" spans="1:3" x14ac:dyDescent="0.35">
      <c r="A125" s="15">
        <v>34942</v>
      </c>
      <c r="B125" s="16">
        <v>47.56</v>
      </c>
      <c r="C125" s="17">
        <v>1282.71</v>
      </c>
    </row>
    <row r="126" spans="1:3" x14ac:dyDescent="0.35">
      <c r="A126" s="15">
        <v>34912</v>
      </c>
      <c r="B126" s="16">
        <v>44.31</v>
      </c>
      <c r="C126" s="17">
        <v>1320.41</v>
      </c>
    </row>
    <row r="127" spans="1:3" x14ac:dyDescent="0.35">
      <c r="A127" s="15">
        <v>34880</v>
      </c>
      <c r="B127" s="16">
        <v>42.25</v>
      </c>
      <c r="C127" s="17">
        <v>1328.72</v>
      </c>
    </row>
    <row r="128" spans="1:3" x14ac:dyDescent="0.35">
      <c r="A128" s="15">
        <v>34850</v>
      </c>
      <c r="B128" s="16">
        <v>48.25</v>
      </c>
      <c r="C128" s="17">
        <v>1372.71</v>
      </c>
    </row>
    <row r="129" spans="1:3" x14ac:dyDescent="0.35">
      <c r="A129" s="15">
        <v>34821</v>
      </c>
      <c r="B129" s="16">
        <v>42.63</v>
      </c>
      <c r="C129" s="17">
        <v>1301.8399999999999</v>
      </c>
    </row>
    <row r="130" spans="1:3" x14ac:dyDescent="0.35">
      <c r="A130" s="15">
        <v>34789</v>
      </c>
      <c r="B130" s="16">
        <v>46</v>
      </c>
      <c r="C130" s="17">
        <v>1335.18</v>
      </c>
    </row>
    <row r="131" spans="1:3" x14ac:dyDescent="0.35">
      <c r="A131" s="15">
        <v>34758</v>
      </c>
      <c r="B131" s="16">
        <v>92.19</v>
      </c>
      <c r="C131" s="17">
        <v>1286.3699999999999</v>
      </c>
    </row>
    <row r="132" spans="1:3" x14ac:dyDescent="0.35">
      <c r="A132" s="15">
        <v>34730</v>
      </c>
      <c r="B132" s="16">
        <v>86.12</v>
      </c>
      <c r="C132" s="17">
        <v>1238.33</v>
      </c>
    </row>
    <row r="133" spans="1:3" x14ac:dyDescent="0.35">
      <c r="A133" s="15">
        <v>34702</v>
      </c>
      <c r="B133" s="16">
        <v>86</v>
      </c>
      <c r="C133" s="17">
        <v>1279.6400000000001</v>
      </c>
    </row>
    <row r="135" spans="1:3" x14ac:dyDescent="0.35">
      <c r="A135" s="18" t="s">
        <v>154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6E00-705A-4174-A030-7341E4EC36F1}">
  <sheetPr codeName="Sheet5"/>
  <dimension ref="A1:F52"/>
  <sheetViews>
    <sheetView workbookViewId="0">
      <pane xSplit="1" ySplit="3" topLeftCell="B26" activePane="bottomRight" state="frozen"/>
      <selection pane="topRight" activeCell="B1" sqref="B1"/>
      <selection pane="bottomLeft" activeCell="A4" sqref="A4"/>
      <selection pane="bottomRight" activeCell="H49" sqref="H49"/>
    </sheetView>
  </sheetViews>
  <sheetFormatPr defaultColWidth="12.6640625" defaultRowHeight="12.75" x14ac:dyDescent="0.35"/>
  <cols>
    <col min="1" max="1" width="12.6640625" style="18"/>
    <col min="2" max="3" width="13.1328125" style="18" bestFit="1" customWidth="1"/>
    <col min="4" max="16384" width="12.6640625" style="18"/>
  </cols>
  <sheetData>
    <row r="1" spans="1:6" ht="13.15" x14ac:dyDescent="0.4">
      <c r="A1" s="1" t="s">
        <v>115</v>
      </c>
    </row>
    <row r="3" spans="1:6" ht="38.25" x14ac:dyDescent="0.35">
      <c r="A3" s="20" t="s">
        <v>118</v>
      </c>
      <c r="B3" s="70" t="s">
        <v>73</v>
      </c>
      <c r="C3" s="70" t="s">
        <v>74</v>
      </c>
      <c r="D3" s="70" t="s">
        <v>116</v>
      </c>
      <c r="E3" s="70" t="s">
        <v>117</v>
      </c>
      <c r="F3" s="71" t="s">
        <v>72</v>
      </c>
    </row>
    <row r="4" spans="1:6" x14ac:dyDescent="0.35">
      <c r="A4" s="23"/>
      <c r="B4" s="72"/>
      <c r="C4" s="72"/>
      <c r="D4" s="72"/>
      <c r="E4" s="72"/>
      <c r="F4" s="73"/>
    </row>
    <row r="5" spans="1:6" x14ac:dyDescent="0.35">
      <c r="A5" s="23">
        <f t="shared" ref="A5:A25" si="0">A6-1</f>
        <v>1974</v>
      </c>
      <c r="B5" s="74">
        <f>0.45/256</f>
        <v>1.7578125E-3</v>
      </c>
      <c r="C5" s="75">
        <f>0.025/256</f>
        <v>9.7656250000000005E-5</v>
      </c>
      <c r="D5" s="72" t="s">
        <v>75</v>
      </c>
      <c r="E5" s="72" t="s">
        <v>75</v>
      </c>
      <c r="F5" s="25">
        <f t="shared" ref="F5:F35" si="1">(C5/B5)*100</f>
        <v>5.5555555555555562</v>
      </c>
    </row>
    <row r="6" spans="1:6" x14ac:dyDescent="0.35">
      <c r="A6" s="23">
        <f t="shared" si="0"/>
        <v>1975</v>
      </c>
      <c r="B6" s="74">
        <f>0.45/256</f>
        <v>1.7578125E-3</v>
      </c>
      <c r="C6" s="76">
        <f>0.05/256</f>
        <v>1.9531250000000001E-4</v>
      </c>
      <c r="D6" s="24">
        <f t="shared" ref="D6:D35" si="2">(B6/B5-1)*100</f>
        <v>0</v>
      </c>
      <c r="E6" s="24">
        <f t="shared" ref="E6:E35" si="3">(C6/C5-1)*100</f>
        <v>100</v>
      </c>
      <c r="F6" s="25">
        <f t="shared" si="1"/>
        <v>11.111111111111112</v>
      </c>
    </row>
    <row r="7" spans="1:6" x14ac:dyDescent="0.35">
      <c r="A7" s="23">
        <f t="shared" si="0"/>
        <v>1976</v>
      </c>
      <c r="B7" s="74">
        <f>0.77/256</f>
        <v>3.0078125000000001E-3</v>
      </c>
      <c r="C7" s="75">
        <f>0.065/256</f>
        <v>2.5390625000000001E-4</v>
      </c>
      <c r="D7" s="24">
        <f t="shared" si="2"/>
        <v>71.1111111111111</v>
      </c>
      <c r="E7" s="24">
        <f t="shared" si="3"/>
        <v>30.000000000000004</v>
      </c>
      <c r="F7" s="25">
        <f t="shared" si="1"/>
        <v>8.4415584415584419</v>
      </c>
    </row>
    <row r="8" spans="1:6" x14ac:dyDescent="0.35">
      <c r="A8" s="23">
        <f t="shared" si="0"/>
        <v>1977</v>
      </c>
      <c r="B8" s="74">
        <f>1.08/256</f>
        <v>4.2187500000000003E-3</v>
      </c>
      <c r="C8" s="75">
        <f>0.085/256</f>
        <v>3.3203125000000002E-4</v>
      </c>
      <c r="D8" s="24">
        <f t="shared" si="2"/>
        <v>40.259740259740262</v>
      </c>
      <c r="E8" s="24">
        <f t="shared" si="3"/>
        <v>30.76923076923077</v>
      </c>
      <c r="F8" s="25">
        <f t="shared" si="1"/>
        <v>7.8703703703703702</v>
      </c>
    </row>
    <row r="9" spans="1:6" x14ac:dyDescent="0.35">
      <c r="A9" s="23">
        <f t="shared" si="0"/>
        <v>1978</v>
      </c>
      <c r="B9" s="74">
        <f>1.41/256</f>
        <v>5.5078124999999997E-3</v>
      </c>
      <c r="C9" s="74">
        <f>0.01/16</f>
        <v>6.2500000000000001E-4</v>
      </c>
      <c r="D9" s="24">
        <f t="shared" si="2"/>
        <v>30.555555555555536</v>
      </c>
      <c r="E9" s="24">
        <f t="shared" si="3"/>
        <v>88.235294117647058</v>
      </c>
      <c r="F9" s="25">
        <f t="shared" si="1"/>
        <v>11.347517730496454</v>
      </c>
    </row>
    <row r="10" spans="1:6" x14ac:dyDescent="0.35">
      <c r="A10" s="23">
        <f t="shared" si="0"/>
        <v>1979</v>
      </c>
      <c r="B10" s="74">
        <f>1.93/256</f>
        <v>7.5390624999999998E-3</v>
      </c>
      <c r="C10" s="74">
        <f>0.22/256</f>
        <v>8.59375E-4</v>
      </c>
      <c r="D10" s="24">
        <f t="shared" si="2"/>
        <v>36.879432624113484</v>
      </c>
      <c r="E10" s="24">
        <f t="shared" si="3"/>
        <v>37.5</v>
      </c>
      <c r="F10" s="25">
        <f t="shared" si="1"/>
        <v>11.398963730569948</v>
      </c>
    </row>
    <row r="11" spans="1:6" x14ac:dyDescent="0.35">
      <c r="A11" s="23">
        <f t="shared" si="0"/>
        <v>1980</v>
      </c>
      <c r="B11" s="74">
        <f>0.17/16</f>
        <v>1.0625000000000001E-2</v>
      </c>
      <c r="C11" s="74">
        <f>0.019/16</f>
        <v>1.1875E-3</v>
      </c>
      <c r="D11" s="24">
        <f t="shared" si="2"/>
        <v>40.932642487046643</v>
      </c>
      <c r="E11" s="24">
        <f t="shared" si="3"/>
        <v>38.181818181818187</v>
      </c>
      <c r="F11" s="25">
        <f t="shared" si="1"/>
        <v>11.176470588235293</v>
      </c>
    </row>
    <row r="12" spans="1:6" x14ac:dyDescent="0.35">
      <c r="A12" s="23">
        <f t="shared" si="0"/>
        <v>1981</v>
      </c>
      <c r="B12" s="74">
        <f>0.22/16</f>
        <v>1.375E-2</v>
      </c>
      <c r="C12" s="74">
        <f>0.025/16</f>
        <v>1.5625000000000001E-3</v>
      </c>
      <c r="D12" s="24">
        <f t="shared" si="2"/>
        <v>29.411764705882337</v>
      </c>
      <c r="E12" s="24">
        <f t="shared" si="3"/>
        <v>31.578947368421062</v>
      </c>
      <c r="F12" s="25">
        <f t="shared" si="1"/>
        <v>11.363636363636365</v>
      </c>
    </row>
    <row r="13" spans="1:6" x14ac:dyDescent="0.35">
      <c r="A13" s="23">
        <f t="shared" si="0"/>
        <v>1982</v>
      </c>
      <c r="B13" s="74">
        <f>0.31/16</f>
        <v>1.9375E-2</v>
      </c>
      <c r="C13" s="74">
        <f>0.0325/16</f>
        <v>2.0312500000000001E-3</v>
      </c>
      <c r="D13" s="24">
        <f t="shared" si="2"/>
        <v>40.909090909090921</v>
      </c>
      <c r="E13" s="24">
        <f t="shared" si="3"/>
        <v>30.000000000000004</v>
      </c>
      <c r="F13" s="25">
        <f t="shared" si="1"/>
        <v>10.483870967741936</v>
      </c>
    </row>
    <row r="14" spans="1:6" x14ac:dyDescent="0.35">
      <c r="A14" s="23">
        <f t="shared" si="0"/>
        <v>1983</v>
      </c>
      <c r="B14" s="74">
        <f>0.46/16</f>
        <v>2.8750000000000001E-2</v>
      </c>
      <c r="C14" s="74">
        <f>0.045/16</f>
        <v>2.8124999999999999E-3</v>
      </c>
      <c r="D14" s="24">
        <f t="shared" si="2"/>
        <v>48.387096774193552</v>
      </c>
      <c r="E14" s="24">
        <f t="shared" si="3"/>
        <v>38.46153846153846</v>
      </c>
      <c r="F14" s="25">
        <f t="shared" si="1"/>
        <v>9.7826086956521721</v>
      </c>
    </row>
    <row r="15" spans="1:6" x14ac:dyDescent="0.35">
      <c r="A15" s="23">
        <f t="shared" si="0"/>
        <v>1984</v>
      </c>
      <c r="B15" s="74">
        <f>0.7/16</f>
        <v>4.3749999999999997E-2</v>
      </c>
      <c r="C15" s="74">
        <f>0.07/16</f>
        <v>4.3750000000000004E-3</v>
      </c>
      <c r="D15" s="24">
        <f t="shared" si="2"/>
        <v>52.173913043478251</v>
      </c>
      <c r="E15" s="24">
        <f t="shared" si="3"/>
        <v>55.555555555555578</v>
      </c>
      <c r="F15" s="25">
        <f t="shared" si="1"/>
        <v>10.000000000000002</v>
      </c>
    </row>
    <row r="16" spans="1:6" x14ac:dyDescent="0.35">
      <c r="A16" s="23">
        <f t="shared" si="0"/>
        <v>1985</v>
      </c>
      <c r="B16" s="74">
        <f>0.96/16</f>
        <v>0.06</v>
      </c>
      <c r="C16" s="74">
        <f>0.105/16</f>
        <v>6.5624999999999998E-3</v>
      </c>
      <c r="D16" s="24">
        <f t="shared" si="2"/>
        <v>37.142857142857146</v>
      </c>
      <c r="E16" s="24">
        <f t="shared" si="3"/>
        <v>49.999999999999979</v>
      </c>
      <c r="F16" s="25">
        <f t="shared" si="1"/>
        <v>10.9375</v>
      </c>
    </row>
    <row r="17" spans="1:6" x14ac:dyDescent="0.35">
      <c r="A17" s="23">
        <f t="shared" si="0"/>
        <v>1986</v>
      </c>
      <c r="B17" s="74">
        <f>1.16/16</f>
        <v>7.2499999999999995E-2</v>
      </c>
      <c r="C17" s="74">
        <f>0.14/16</f>
        <v>8.7500000000000008E-3</v>
      </c>
      <c r="D17" s="24">
        <f t="shared" si="2"/>
        <v>20.833333333333325</v>
      </c>
      <c r="E17" s="24">
        <f t="shared" si="3"/>
        <v>33.33333333333335</v>
      </c>
      <c r="F17" s="25">
        <f t="shared" si="1"/>
        <v>12.068965517241381</v>
      </c>
    </row>
    <row r="18" spans="1:6" x14ac:dyDescent="0.35">
      <c r="A18" s="23">
        <f t="shared" si="0"/>
        <v>1987</v>
      </c>
      <c r="B18" s="77">
        <f>1.59/16</f>
        <v>9.9375000000000005E-2</v>
      </c>
      <c r="C18" s="77">
        <f>0.17/16</f>
        <v>1.0625000000000001E-2</v>
      </c>
      <c r="D18" s="24">
        <f t="shared" si="2"/>
        <v>37.068965517241395</v>
      </c>
      <c r="E18" s="24">
        <f t="shared" si="3"/>
        <v>21.42857142857142</v>
      </c>
      <c r="F18" s="25">
        <f t="shared" si="1"/>
        <v>10.691823899371069</v>
      </c>
    </row>
    <row r="19" spans="1:6" x14ac:dyDescent="0.35">
      <c r="A19" s="23">
        <f t="shared" si="0"/>
        <v>1988</v>
      </c>
      <c r="B19" s="74">
        <f>0.28/2</f>
        <v>0.14000000000000001</v>
      </c>
      <c r="C19" s="74">
        <f>0.03/2</f>
        <v>1.4999999999999999E-2</v>
      </c>
      <c r="D19" s="24">
        <f t="shared" si="2"/>
        <v>40.880503144654099</v>
      </c>
      <c r="E19" s="24">
        <f t="shared" si="3"/>
        <v>41.176470588235283</v>
      </c>
      <c r="F19" s="25">
        <f t="shared" si="1"/>
        <v>10.714285714285712</v>
      </c>
    </row>
    <row r="20" spans="1:6" x14ac:dyDescent="0.35">
      <c r="A20" s="23">
        <f t="shared" si="0"/>
        <v>1989</v>
      </c>
      <c r="B20" s="74">
        <f>0.37/2</f>
        <v>0.185</v>
      </c>
      <c r="C20" s="74">
        <f>0.04/2</f>
        <v>0.02</v>
      </c>
      <c r="D20" s="24">
        <f t="shared" si="2"/>
        <v>32.142857142857139</v>
      </c>
      <c r="E20" s="24">
        <f t="shared" si="3"/>
        <v>33.33333333333335</v>
      </c>
      <c r="F20" s="25">
        <f t="shared" si="1"/>
        <v>10.810810810810811</v>
      </c>
    </row>
    <row r="21" spans="1:6" x14ac:dyDescent="0.35">
      <c r="A21" s="23">
        <f t="shared" si="0"/>
        <v>1990</v>
      </c>
      <c r="B21" s="74">
        <f>0.48/2</f>
        <v>0.24</v>
      </c>
      <c r="C21" s="74">
        <f>0.06/2</f>
        <v>0.03</v>
      </c>
      <c r="D21" s="24">
        <f t="shared" si="2"/>
        <v>29.729729729729737</v>
      </c>
      <c r="E21" s="24">
        <f t="shared" si="3"/>
        <v>50</v>
      </c>
      <c r="F21" s="25">
        <f t="shared" si="1"/>
        <v>12.5</v>
      </c>
    </row>
    <row r="22" spans="1:6" x14ac:dyDescent="0.35">
      <c r="A22" s="23">
        <f t="shared" si="0"/>
        <v>1991</v>
      </c>
      <c r="B22" s="74">
        <f>0.57/2</f>
        <v>0.28499999999999998</v>
      </c>
      <c r="C22" s="74">
        <f>0.07/2</f>
        <v>3.5000000000000003E-2</v>
      </c>
      <c r="D22" s="24">
        <f t="shared" si="2"/>
        <v>18.75</v>
      </c>
      <c r="E22" s="24">
        <f t="shared" si="3"/>
        <v>16.666666666666675</v>
      </c>
      <c r="F22" s="25">
        <f t="shared" si="1"/>
        <v>12.280701754385968</v>
      </c>
    </row>
    <row r="23" spans="1:6" x14ac:dyDescent="0.35">
      <c r="A23" s="23">
        <f t="shared" si="0"/>
        <v>1992</v>
      </c>
      <c r="B23" s="74">
        <f>0.7/2</f>
        <v>0.35</v>
      </c>
      <c r="C23" s="74">
        <f>0.09/2</f>
        <v>4.4999999999999998E-2</v>
      </c>
      <c r="D23" s="24">
        <f t="shared" si="2"/>
        <v>22.807017543859654</v>
      </c>
      <c r="E23" s="24">
        <f t="shared" si="3"/>
        <v>28.571428571428559</v>
      </c>
      <c r="F23" s="25">
        <f t="shared" si="1"/>
        <v>12.857142857142859</v>
      </c>
    </row>
    <row r="24" spans="1:6" x14ac:dyDescent="0.35">
      <c r="A24" s="23">
        <f t="shared" si="0"/>
        <v>1993</v>
      </c>
      <c r="B24" s="74">
        <f>0.87/2</f>
        <v>0.435</v>
      </c>
      <c r="C24" s="74">
        <f>0.11/2</f>
        <v>5.5E-2</v>
      </c>
      <c r="D24" s="24">
        <f t="shared" si="2"/>
        <v>24.285714285714288</v>
      </c>
      <c r="E24" s="24">
        <f t="shared" si="3"/>
        <v>22.222222222222232</v>
      </c>
      <c r="F24" s="25">
        <f t="shared" si="1"/>
        <v>12.643678160919542</v>
      </c>
    </row>
    <row r="25" spans="1:6" x14ac:dyDescent="0.35">
      <c r="A25" s="23">
        <f t="shared" si="0"/>
        <v>1994</v>
      </c>
      <c r="B25" s="74">
        <f>1.02/2</f>
        <v>0.51</v>
      </c>
      <c r="C25" s="74">
        <f>0.13/2</f>
        <v>6.5000000000000002E-2</v>
      </c>
      <c r="D25" s="24">
        <f t="shared" si="2"/>
        <v>17.24137931034484</v>
      </c>
      <c r="E25" s="24">
        <f t="shared" si="3"/>
        <v>18.181818181818187</v>
      </c>
      <c r="F25" s="25">
        <f t="shared" si="1"/>
        <v>12.745098039215685</v>
      </c>
    </row>
    <row r="26" spans="1:6" x14ac:dyDescent="0.35">
      <c r="A26" s="23">
        <v>1995</v>
      </c>
      <c r="B26" s="77">
        <f>1.17/2</f>
        <v>0.58499999999999996</v>
      </c>
      <c r="C26" s="77">
        <f>0.17/2</f>
        <v>8.5000000000000006E-2</v>
      </c>
      <c r="D26" s="24">
        <f t="shared" si="2"/>
        <v>14.705882352941169</v>
      </c>
      <c r="E26" s="24">
        <f t="shared" si="3"/>
        <v>30.76923076923077</v>
      </c>
      <c r="F26" s="25">
        <f t="shared" si="1"/>
        <v>14.529914529914532</v>
      </c>
    </row>
    <row r="27" spans="1:6" x14ac:dyDescent="0.35">
      <c r="A27" s="23">
        <f t="shared" ref="A27:A41" si="4">A26+1</f>
        <v>1996</v>
      </c>
      <c r="B27" s="77">
        <f>1.19/2</f>
        <v>0.59499999999999997</v>
      </c>
      <c r="C27" s="77">
        <v>0.1</v>
      </c>
      <c r="D27" s="24">
        <f t="shared" si="2"/>
        <v>1.7094017094017033</v>
      </c>
      <c r="E27" s="24">
        <f t="shared" si="3"/>
        <v>17.647058823529417</v>
      </c>
      <c r="F27" s="25">
        <f t="shared" si="1"/>
        <v>16.806722689075631</v>
      </c>
    </row>
    <row r="28" spans="1:6" x14ac:dyDescent="0.35">
      <c r="A28" s="23">
        <f t="shared" si="4"/>
        <v>1997</v>
      </c>
      <c r="B28" s="77">
        <v>0.66</v>
      </c>
      <c r="C28" s="77">
        <v>0.11</v>
      </c>
      <c r="D28" s="24">
        <f t="shared" si="2"/>
        <v>10.924369747899165</v>
      </c>
      <c r="E28" s="24">
        <f t="shared" si="3"/>
        <v>9.9999999999999858</v>
      </c>
      <c r="F28" s="25">
        <f t="shared" si="1"/>
        <v>16.666666666666664</v>
      </c>
    </row>
    <row r="29" spans="1:6" x14ac:dyDescent="0.35">
      <c r="A29" s="23">
        <f t="shared" si="4"/>
        <v>1998</v>
      </c>
      <c r="B29" s="77">
        <v>0.77</v>
      </c>
      <c r="C29" s="77">
        <v>0.14000000000000001</v>
      </c>
      <c r="D29" s="24">
        <f t="shared" si="2"/>
        <v>16.666666666666675</v>
      </c>
      <c r="E29" s="24">
        <f t="shared" si="3"/>
        <v>27.272727272727295</v>
      </c>
      <c r="F29" s="25">
        <f t="shared" si="1"/>
        <v>18.181818181818183</v>
      </c>
    </row>
    <row r="30" spans="1:6" x14ac:dyDescent="0.35">
      <c r="A30" s="23">
        <f t="shared" si="4"/>
        <v>1999</v>
      </c>
      <c r="B30" s="77">
        <v>0.98</v>
      </c>
      <c r="C30" s="77">
        <v>0.16</v>
      </c>
      <c r="D30" s="24">
        <f t="shared" si="2"/>
        <v>27.27272727272727</v>
      </c>
      <c r="E30" s="24">
        <f t="shared" si="3"/>
        <v>14.285714285714279</v>
      </c>
      <c r="F30" s="25">
        <f t="shared" si="1"/>
        <v>16.326530612244898</v>
      </c>
    </row>
    <row r="31" spans="1:6" x14ac:dyDescent="0.35">
      <c r="A31" s="23">
        <f t="shared" si="4"/>
        <v>2000</v>
      </c>
      <c r="B31" s="77">
        <v>1.19</v>
      </c>
      <c r="C31" s="77">
        <v>0.2</v>
      </c>
      <c r="D31" s="24">
        <f t="shared" si="2"/>
        <v>21.42857142857142</v>
      </c>
      <c r="E31" s="24">
        <f t="shared" si="3"/>
        <v>25</v>
      </c>
      <c r="F31" s="25">
        <f t="shared" si="1"/>
        <v>16.806722689075631</v>
      </c>
    </row>
    <row r="32" spans="1:6" x14ac:dyDescent="0.35">
      <c r="A32" s="23">
        <f t="shared" si="4"/>
        <v>2001</v>
      </c>
      <c r="B32" s="77">
        <v>1.39</v>
      </c>
      <c r="C32" s="77">
        <v>0.24</v>
      </c>
      <c r="D32" s="24">
        <f t="shared" si="2"/>
        <v>16.806722689075638</v>
      </c>
      <c r="E32" s="24">
        <f t="shared" si="3"/>
        <v>19.999999999999996</v>
      </c>
      <c r="F32" s="25">
        <f t="shared" si="1"/>
        <v>17.266187050359711</v>
      </c>
    </row>
    <row r="33" spans="1:6" x14ac:dyDescent="0.35">
      <c r="A33" s="23">
        <f t="shared" si="4"/>
        <v>2002</v>
      </c>
      <c r="B33" s="77">
        <v>1.47</v>
      </c>
      <c r="C33" s="77">
        <v>0.28000000000000003</v>
      </c>
      <c r="D33" s="24">
        <f t="shared" si="2"/>
        <v>5.755395683453246</v>
      </c>
      <c r="E33" s="24">
        <f t="shared" si="3"/>
        <v>16.666666666666675</v>
      </c>
      <c r="F33" s="25">
        <f t="shared" si="1"/>
        <v>19.047619047619051</v>
      </c>
    </row>
    <row r="34" spans="1:6" x14ac:dyDescent="0.35">
      <c r="A34" s="23">
        <f t="shared" si="4"/>
        <v>2003</v>
      </c>
      <c r="B34" s="77">
        <v>1.79</v>
      </c>
      <c r="C34" s="77">
        <v>0.3</v>
      </c>
      <c r="D34" s="24">
        <f t="shared" si="2"/>
        <v>21.7687074829932</v>
      </c>
      <c r="E34" s="24">
        <f t="shared" si="3"/>
        <v>7.1428571428571397</v>
      </c>
      <c r="F34" s="25">
        <f t="shared" si="1"/>
        <v>16.759776536312849</v>
      </c>
    </row>
    <row r="35" spans="1:6" x14ac:dyDescent="0.35">
      <c r="A35" s="23">
        <f t="shared" si="4"/>
        <v>2004</v>
      </c>
      <c r="B35" s="77">
        <v>2.0699999999999998</v>
      </c>
      <c r="C35" s="77">
        <v>0.36</v>
      </c>
      <c r="D35" s="24">
        <f t="shared" si="2"/>
        <v>15.642458100558642</v>
      </c>
      <c r="E35" s="24">
        <f t="shared" si="3"/>
        <v>19.999999999999996</v>
      </c>
      <c r="F35" s="25">
        <f t="shared" si="1"/>
        <v>17.391304347826086</v>
      </c>
    </row>
    <row r="36" spans="1:6" x14ac:dyDescent="0.35">
      <c r="A36" s="23">
        <f t="shared" si="4"/>
        <v>2005</v>
      </c>
      <c r="B36" s="77">
        <v>2.41</v>
      </c>
      <c r="C36" s="77">
        <v>0.52</v>
      </c>
      <c r="D36" s="24">
        <f t="shared" ref="D36:E41" si="5">(B36/B35-1)*100</f>
        <v>16.425120772946865</v>
      </c>
      <c r="E36" s="24">
        <f t="shared" si="5"/>
        <v>44.444444444444464</v>
      </c>
      <c r="F36" s="25">
        <f t="shared" ref="F36:F41" si="6">(C36/B36)*100</f>
        <v>21.576763485477176</v>
      </c>
    </row>
    <row r="37" spans="1:6" x14ac:dyDescent="0.35">
      <c r="A37" s="23">
        <f t="shared" si="4"/>
        <v>2006</v>
      </c>
      <c r="B37" s="77">
        <v>2.72</v>
      </c>
      <c r="C37" s="78">
        <v>0.6</v>
      </c>
      <c r="D37" s="24">
        <f t="shared" si="5"/>
        <v>12.863070539419086</v>
      </c>
      <c r="E37" s="24">
        <f t="shared" si="5"/>
        <v>15.384615384615374</v>
      </c>
      <c r="F37" s="25">
        <f t="shared" si="6"/>
        <v>22.058823529411761</v>
      </c>
    </row>
    <row r="38" spans="1:6" x14ac:dyDescent="0.35">
      <c r="A38" s="23">
        <f t="shared" si="4"/>
        <v>2007</v>
      </c>
      <c r="B38" s="77">
        <v>2.92</v>
      </c>
      <c r="C38" s="77">
        <v>0.67</v>
      </c>
      <c r="D38" s="24">
        <f t="shared" si="5"/>
        <v>7.3529411764705843</v>
      </c>
      <c r="E38" s="24">
        <f t="shared" si="5"/>
        <v>11.66666666666667</v>
      </c>
      <c r="F38" s="25">
        <f t="shared" si="6"/>
        <v>22.945205479452056</v>
      </c>
    </row>
    <row r="39" spans="1:6" x14ac:dyDescent="0.35">
      <c r="A39" s="23">
        <f t="shared" si="4"/>
        <v>2008</v>
      </c>
      <c r="B39" s="77">
        <v>3.16</v>
      </c>
      <c r="C39" s="77">
        <v>0.88</v>
      </c>
      <c r="D39" s="24">
        <f t="shared" si="5"/>
        <v>8.2191780821917924</v>
      </c>
      <c r="E39" s="24">
        <f t="shared" si="5"/>
        <v>31.343283582089555</v>
      </c>
      <c r="F39" s="25">
        <f t="shared" si="6"/>
        <v>27.848101265822784</v>
      </c>
    </row>
    <row r="40" spans="1:6" x14ac:dyDescent="0.35">
      <c r="A40" s="23">
        <f t="shared" si="4"/>
        <v>2009</v>
      </c>
      <c r="B40" s="77">
        <v>3.35</v>
      </c>
      <c r="C40" s="77">
        <v>0.95</v>
      </c>
      <c r="D40" s="24">
        <f t="shared" si="5"/>
        <v>6.0126582278480889</v>
      </c>
      <c r="E40" s="24">
        <f t="shared" si="5"/>
        <v>7.9545454545454586</v>
      </c>
      <c r="F40" s="25">
        <f t="shared" si="6"/>
        <v>28.35820895522388</v>
      </c>
    </row>
    <row r="41" spans="1:6" x14ac:dyDescent="0.35">
      <c r="A41" s="23">
        <f t="shared" si="4"/>
        <v>2010</v>
      </c>
      <c r="B41" s="77">
        <v>3.72</v>
      </c>
      <c r="C41" s="77">
        <v>1.0900000000000001</v>
      </c>
      <c r="D41" s="24">
        <f t="shared" si="5"/>
        <v>11.044776119402977</v>
      </c>
      <c r="E41" s="24">
        <f t="shared" si="5"/>
        <v>14.736842105263182</v>
      </c>
      <c r="F41" s="25">
        <f t="shared" si="6"/>
        <v>29.301075268817208</v>
      </c>
    </row>
    <row r="42" spans="1:6" x14ac:dyDescent="0.35">
      <c r="A42" s="23"/>
      <c r="B42" s="79"/>
      <c r="C42" s="79"/>
      <c r="D42" s="79"/>
      <c r="E42" s="79"/>
      <c r="F42" s="80"/>
    </row>
    <row r="43" spans="1:6" x14ac:dyDescent="0.35">
      <c r="A43" s="81" t="s">
        <v>76</v>
      </c>
      <c r="B43" s="79"/>
      <c r="C43" s="79"/>
      <c r="D43" s="24">
        <f>AVERAGE(D5:D40)</f>
        <v>25.001616472970525</v>
      </c>
      <c r="E43" s="24">
        <f>AVERAGE(E5:E40)</f>
        <v>31.279258264940207</v>
      </c>
      <c r="F43" s="25">
        <f>AVERAGE(F5:F40)</f>
        <v>14.426445427072265</v>
      </c>
    </row>
    <row r="44" spans="1:6" x14ac:dyDescent="0.35">
      <c r="A44" s="81" t="s">
        <v>77</v>
      </c>
      <c r="B44" s="79"/>
      <c r="C44" s="79"/>
      <c r="D44" s="24">
        <f>((B36/B5)^(1/31)-1)*100</f>
        <v>26.23941800971896</v>
      </c>
      <c r="E44" s="24">
        <f>((C36/C5)^(1/31)-1)*100</f>
        <v>31.887407748142916</v>
      </c>
      <c r="F44" s="25" t="s">
        <v>75</v>
      </c>
    </row>
    <row r="45" spans="1:6" x14ac:dyDescent="0.35">
      <c r="A45" s="23"/>
      <c r="B45" s="79"/>
      <c r="C45" s="79"/>
      <c r="D45" s="79"/>
      <c r="E45" s="79"/>
      <c r="F45" s="80"/>
    </row>
    <row r="46" spans="1:6" x14ac:dyDescent="0.35">
      <c r="A46" s="81" t="s">
        <v>78</v>
      </c>
      <c r="B46" s="79"/>
      <c r="C46" s="79"/>
      <c r="D46" s="79"/>
      <c r="E46" s="79"/>
      <c r="F46" s="80"/>
    </row>
    <row r="47" spans="1:6" x14ac:dyDescent="0.35">
      <c r="A47" s="82" t="s">
        <v>119</v>
      </c>
      <c r="B47" s="83"/>
      <c r="C47" s="83"/>
      <c r="D47" s="83"/>
      <c r="E47" s="83"/>
      <c r="F47" s="84"/>
    </row>
    <row r="48" spans="1:6" x14ac:dyDescent="0.35">
      <c r="A48" s="32"/>
      <c r="B48" s="32"/>
      <c r="C48" s="32"/>
      <c r="D48" s="32"/>
      <c r="E48" s="32"/>
      <c r="F48" s="32"/>
    </row>
    <row r="49" spans="1:6" x14ac:dyDescent="0.35">
      <c r="A49" s="12" t="s">
        <v>127</v>
      </c>
      <c r="B49" s="32"/>
      <c r="C49" s="32"/>
      <c r="D49" s="32"/>
      <c r="E49" s="32"/>
      <c r="F49" s="32"/>
    </row>
    <row r="50" spans="1:6" x14ac:dyDescent="0.35">
      <c r="A50" s="32"/>
      <c r="B50" s="32"/>
      <c r="C50" s="32"/>
      <c r="D50" s="32"/>
      <c r="E50" s="32"/>
      <c r="F50" s="32"/>
    </row>
    <row r="51" spans="1:6" x14ac:dyDescent="0.35">
      <c r="A51" s="32"/>
      <c r="B51" s="32"/>
      <c r="C51" s="32"/>
      <c r="D51" s="32"/>
      <c r="E51" s="32"/>
      <c r="F51" s="32"/>
    </row>
    <row r="52" spans="1:6" x14ac:dyDescent="0.35">
      <c r="A52" s="32"/>
      <c r="B52" s="32"/>
      <c r="C52" s="32"/>
      <c r="D52" s="32"/>
      <c r="E52" s="32"/>
      <c r="F52" s="32"/>
    </row>
  </sheetData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E779-2079-4918-AD15-FE93FEF00047}">
  <sheetPr codeName="Sheet6"/>
  <dimension ref="A1:O44"/>
  <sheetViews>
    <sheetView zoomScale="80" zoomScaleNormal="80" workbookViewId="0">
      <selection activeCell="F12" sqref="F12"/>
    </sheetView>
  </sheetViews>
  <sheetFormatPr defaultColWidth="9.1328125" defaultRowHeight="12.75" x14ac:dyDescent="0.35"/>
  <cols>
    <col min="1" max="1" width="6.86328125" style="104" customWidth="1"/>
    <col min="2" max="2" width="16.86328125" style="104" customWidth="1"/>
    <col min="3" max="3" width="14.53125" style="104" customWidth="1"/>
    <col min="4" max="4" width="10" style="104" bestFit="1" customWidth="1"/>
    <col min="5" max="5" width="4.46484375" style="104" customWidth="1"/>
    <col min="6" max="8" width="9.1328125" style="104"/>
    <col min="9" max="9" width="14.46484375" style="104" bestFit="1" customWidth="1"/>
    <col min="10" max="10" width="9.1328125" style="104"/>
    <col min="11" max="11" width="12" style="104" bestFit="1" customWidth="1"/>
    <col min="12" max="12" width="14.46484375" style="104" bestFit="1" customWidth="1"/>
    <col min="13" max="13" width="2.6640625" style="104" customWidth="1"/>
    <col min="14" max="14" width="6.6640625" style="104" hidden="1" customWidth="1"/>
    <col min="15" max="15" width="3.46484375" style="104" hidden="1" customWidth="1"/>
    <col min="16" max="16384" width="9.1328125" style="104"/>
  </cols>
  <sheetData>
    <row r="1" spans="2:15" ht="13.15" x14ac:dyDescent="0.4">
      <c r="B1" s="103" t="s">
        <v>112</v>
      </c>
    </row>
    <row r="2" spans="2:15" x14ac:dyDescent="0.35">
      <c r="N2" s="105">
        <v>3</v>
      </c>
      <c r="O2" s="105">
        <v>8</v>
      </c>
    </row>
    <row r="3" spans="2:15" ht="13.5" thickBot="1" x14ac:dyDescent="0.45">
      <c r="F3" s="106"/>
      <c r="G3" s="107"/>
      <c r="H3" s="107"/>
      <c r="I3" s="107"/>
      <c r="J3" s="107"/>
      <c r="K3" s="107"/>
      <c r="L3" s="107"/>
      <c r="N3" s="105">
        <v>4</v>
      </c>
      <c r="O3" s="105">
        <v>9</v>
      </c>
    </row>
    <row r="4" spans="2:15" ht="13.5" thickBot="1" x14ac:dyDescent="0.45">
      <c r="B4" s="103" t="s">
        <v>114</v>
      </c>
      <c r="D4" s="108">
        <v>0.05</v>
      </c>
      <c r="F4" s="109"/>
      <c r="G4" s="107"/>
      <c r="H4" s="110"/>
      <c r="I4" s="107"/>
      <c r="J4" s="107"/>
      <c r="K4" s="111"/>
      <c r="L4" s="107"/>
      <c r="N4" s="105">
        <v>5</v>
      </c>
      <c r="O4" s="105">
        <v>10</v>
      </c>
    </row>
    <row r="5" spans="2:15" ht="13.5" thickBot="1" x14ac:dyDescent="0.45">
      <c r="B5" s="103" t="s">
        <v>107</v>
      </c>
      <c r="F5" s="107"/>
      <c r="G5" s="107"/>
      <c r="H5" s="107"/>
      <c r="I5" s="107"/>
      <c r="J5" s="107"/>
      <c r="K5" s="107"/>
      <c r="L5" s="107"/>
      <c r="N5" s="105">
        <v>6</v>
      </c>
      <c r="O5" s="105">
        <v>11</v>
      </c>
    </row>
    <row r="6" spans="2:15" ht="13.15" thickBot="1" x14ac:dyDescent="0.4">
      <c r="B6" s="104" t="s">
        <v>90</v>
      </c>
      <c r="D6" s="112">
        <v>7</v>
      </c>
      <c r="F6" s="113"/>
      <c r="G6" s="107"/>
      <c r="H6" s="107"/>
      <c r="I6" s="107"/>
      <c r="J6" s="107"/>
      <c r="K6" s="107"/>
      <c r="L6" s="107"/>
      <c r="N6" s="105">
        <v>7</v>
      </c>
      <c r="O6" s="105">
        <v>12</v>
      </c>
    </row>
    <row r="7" spans="2:15" ht="13.15" thickBot="1" x14ac:dyDescent="0.4">
      <c r="B7" s="104" t="s">
        <v>165</v>
      </c>
      <c r="D7" s="108">
        <v>0.05</v>
      </c>
      <c r="F7" s="107"/>
      <c r="G7" s="107"/>
      <c r="H7" s="107"/>
      <c r="I7" s="107"/>
      <c r="J7" s="107"/>
      <c r="K7" s="107"/>
      <c r="L7" s="107"/>
      <c r="N7" s="105">
        <v>8</v>
      </c>
      <c r="O7" s="105">
        <v>13</v>
      </c>
    </row>
    <row r="8" spans="2:15" ht="13.5" thickBot="1" x14ac:dyDescent="0.45">
      <c r="B8" s="103" t="s">
        <v>108</v>
      </c>
      <c r="F8" s="107"/>
      <c r="G8" s="107"/>
      <c r="H8" s="107"/>
      <c r="I8" s="107"/>
      <c r="J8" s="107"/>
      <c r="K8" s="107"/>
      <c r="L8" s="107"/>
      <c r="N8" s="105">
        <v>9</v>
      </c>
      <c r="O8" s="105">
        <v>14</v>
      </c>
    </row>
    <row r="9" spans="2:15" ht="13.15" thickBot="1" x14ac:dyDescent="0.4">
      <c r="B9" s="104" t="s">
        <v>91</v>
      </c>
      <c r="D9" s="114">
        <v>0.39999999999999997</v>
      </c>
      <c r="F9" s="107"/>
      <c r="G9" s="107"/>
      <c r="H9" s="107"/>
      <c r="I9" s="107"/>
      <c r="J9" s="107"/>
      <c r="K9" s="107"/>
      <c r="L9" s="107"/>
    </row>
    <row r="10" spans="2:15" x14ac:dyDescent="0.35">
      <c r="B10" s="104" t="s">
        <v>92</v>
      </c>
      <c r="D10" s="102">
        <f>1-D9</f>
        <v>0.60000000000000009</v>
      </c>
      <c r="F10" s="109"/>
      <c r="G10" s="107"/>
      <c r="H10" s="107"/>
      <c r="I10" s="107"/>
      <c r="J10" s="107"/>
      <c r="K10" s="107"/>
      <c r="L10" s="107"/>
      <c r="N10" s="134">
        <v>0</v>
      </c>
    </row>
    <row r="11" spans="2:15" x14ac:dyDescent="0.35">
      <c r="B11" s="104" t="s">
        <v>113</v>
      </c>
      <c r="D11" s="121">
        <f>D4*(D10)</f>
        <v>3.0000000000000006E-2</v>
      </c>
      <c r="F11" s="107"/>
      <c r="G11" s="107"/>
      <c r="H11" s="107"/>
      <c r="I11" s="107"/>
      <c r="J11" s="107"/>
      <c r="K11" s="107"/>
      <c r="L11" s="107"/>
      <c r="N11" s="134">
        <f>N10+5%</f>
        <v>0.05</v>
      </c>
    </row>
    <row r="12" spans="2:15" ht="13.5" thickBot="1" x14ac:dyDescent="0.45">
      <c r="B12" s="103" t="s">
        <v>93</v>
      </c>
      <c r="F12" s="107"/>
      <c r="G12" s="107"/>
      <c r="H12" s="107"/>
      <c r="I12" s="107"/>
      <c r="J12" s="107"/>
      <c r="K12" s="107"/>
      <c r="L12" s="107"/>
      <c r="N12" s="134">
        <f t="shared" ref="N12:N30" si="0">N11+5%</f>
        <v>0.1</v>
      </c>
    </row>
    <row r="13" spans="2:15" ht="13.15" thickBot="1" x14ac:dyDescent="0.4">
      <c r="B13" s="104" t="s">
        <v>94</v>
      </c>
      <c r="D13" s="115">
        <v>10</v>
      </c>
      <c r="F13" s="113"/>
      <c r="G13" s="107"/>
      <c r="H13" s="107"/>
      <c r="I13" s="107"/>
      <c r="J13" s="107"/>
      <c r="K13" s="107"/>
      <c r="L13" s="107"/>
      <c r="N13" s="134">
        <f t="shared" si="0"/>
        <v>0.15000000000000002</v>
      </c>
    </row>
    <row r="14" spans="2:15" x14ac:dyDescent="0.35">
      <c r="B14" s="104" t="s">
        <v>95</v>
      </c>
      <c r="D14" s="121">
        <f>(D7-D11)/(D13+1)</f>
        <v>1.818181818181818E-3</v>
      </c>
      <c r="F14" s="107"/>
      <c r="G14" s="107"/>
      <c r="H14" s="116"/>
      <c r="I14" s="107"/>
      <c r="J14" s="107"/>
      <c r="K14" s="107"/>
      <c r="L14" s="107"/>
      <c r="N14" s="134">
        <f t="shared" si="0"/>
        <v>0.2</v>
      </c>
    </row>
    <row r="15" spans="2:15" ht="13.5" thickBot="1" x14ac:dyDescent="0.45">
      <c r="B15" s="103" t="s">
        <v>96</v>
      </c>
      <c r="F15" s="107"/>
      <c r="G15" s="107"/>
      <c r="H15" s="107"/>
      <c r="I15" s="107"/>
      <c r="J15" s="107"/>
      <c r="K15" s="107"/>
      <c r="L15" s="107"/>
      <c r="N15" s="134">
        <f t="shared" si="0"/>
        <v>0.25</v>
      </c>
    </row>
    <row r="16" spans="2:15" ht="13.15" thickBot="1" x14ac:dyDescent="0.4">
      <c r="B16" s="104" t="s">
        <v>132</v>
      </c>
      <c r="D16" s="117">
        <v>5</v>
      </c>
      <c r="F16" s="107"/>
      <c r="G16" s="107"/>
      <c r="H16" s="107"/>
      <c r="I16" s="118"/>
      <c r="J16" s="118"/>
      <c r="K16" s="118"/>
      <c r="L16" s="118"/>
      <c r="M16" s="118"/>
      <c r="N16" s="134">
        <f t="shared" si="0"/>
        <v>0.3</v>
      </c>
    </row>
    <row r="17" spans="1:14" ht="13.15" thickBot="1" x14ac:dyDescent="0.4">
      <c r="B17" s="104" t="s">
        <v>133</v>
      </c>
      <c r="D17" s="117">
        <v>0.5</v>
      </c>
      <c r="F17" s="107"/>
      <c r="G17" s="107"/>
      <c r="H17" s="107"/>
      <c r="I17" s="118"/>
      <c r="J17" s="118"/>
      <c r="K17" s="119"/>
      <c r="L17" s="119"/>
      <c r="M17" s="119"/>
      <c r="N17" s="134">
        <f t="shared" si="0"/>
        <v>0.35</v>
      </c>
    </row>
    <row r="18" spans="1:14" x14ac:dyDescent="0.35">
      <c r="B18" s="104" t="s">
        <v>109</v>
      </c>
      <c r="D18" s="122">
        <f>D17/D16</f>
        <v>0.1</v>
      </c>
      <c r="F18" s="107"/>
      <c r="G18" s="107"/>
      <c r="H18" s="107"/>
      <c r="I18" s="118"/>
      <c r="J18" s="118"/>
      <c r="K18" s="119"/>
      <c r="L18" s="119"/>
      <c r="M18" s="119"/>
      <c r="N18" s="134">
        <f t="shared" si="0"/>
        <v>0.39999999999999997</v>
      </c>
    </row>
    <row r="19" spans="1:14" x14ac:dyDescent="0.35">
      <c r="B19" s="104" t="s">
        <v>97</v>
      </c>
      <c r="D19" s="122">
        <f>D18</f>
        <v>0.1</v>
      </c>
      <c r="F19" s="107"/>
      <c r="G19" s="107"/>
      <c r="H19" s="107"/>
      <c r="I19" s="118"/>
      <c r="J19" s="118"/>
      <c r="K19" s="119"/>
      <c r="L19" s="119"/>
      <c r="M19" s="119"/>
      <c r="N19" s="134">
        <f t="shared" si="0"/>
        <v>0.44999999999999996</v>
      </c>
    </row>
    <row r="20" spans="1:14" x14ac:dyDescent="0.35">
      <c r="B20" s="104" t="s">
        <v>110</v>
      </c>
      <c r="D20" s="122">
        <f>D9</f>
        <v>0.39999999999999997</v>
      </c>
      <c r="F20" s="107"/>
      <c r="G20" s="107"/>
      <c r="H20" s="107"/>
      <c r="I20" s="118"/>
      <c r="J20" s="118"/>
      <c r="K20" s="119"/>
      <c r="L20" s="119"/>
      <c r="M20" s="119"/>
      <c r="N20" s="134">
        <f t="shared" si="0"/>
        <v>0.49999999999999994</v>
      </c>
    </row>
    <row r="21" spans="1:14" x14ac:dyDescent="0.35">
      <c r="B21" s="104" t="s">
        <v>98</v>
      </c>
      <c r="D21" s="122">
        <f>(D20-D19)/(D13+1)</f>
        <v>2.7272727272727268E-2</v>
      </c>
      <c r="F21" s="107"/>
      <c r="G21" s="107"/>
      <c r="H21" s="107"/>
      <c r="I21" s="107"/>
      <c r="J21" s="107"/>
      <c r="K21" s="107"/>
      <c r="L21" s="107"/>
      <c r="N21" s="134">
        <f t="shared" si="0"/>
        <v>0.54999999999999993</v>
      </c>
    </row>
    <row r="22" spans="1:14" x14ac:dyDescent="0.35">
      <c r="B22" s="104" t="s">
        <v>166</v>
      </c>
      <c r="D22" s="123">
        <f>SUM(D6,D13)</f>
        <v>17</v>
      </c>
      <c r="F22" s="107"/>
      <c r="G22" s="107"/>
      <c r="H22" s="107"/>
      <c r="I22" s="107"/>
      <c r="J22" s="107"/>
      <c r="K22" s="107"/>
      <c r="L22" s="107"/>
      <c r="N22" s="134">
        <f t="shared" si="0"/>
        <v>0.6</v>
      </c>
    </row>
    <row r="23" spans="1:14" x14ac:dyDescent="0.35">
      <c r="B23" s="104" t="s">
        <v>99</v>
      </c>
      <c r="D23" s="120"/>
      <c r="F23" s="107"/>
      <c r="G23" s="107"/>
      <c r="H23" s="107"/>
      <c r="I23" s="107"/>
      <c r="J23" s="107"/>
      <c r="K23" s="107"/>
      <c r="L23" s="107"/>
      <c r="N23" s="134">
        <f t="shared" si="0"/>
        <v>0.65</v>
      </c>
    </row>
    <row r="24" spans="1:14" x14ac:dyDescent="0.35">
      <c r="D24" s="120"/>
      <c r="N24" s="134">
        <f t="shared" si="0"/>
        <v>0.70000000000000007</v>
      </c>
    </row>
    <row r="25" spans="1:14" ht="13.15" x14ac:dyDescent="0.4">
      <c r="A25" s="124" t="s">
        <v>71</v>
      </c>
      <c r="B25" s="125" t="s">
        <v>100</v>
      </c>
      <c r="C25" s="124" t="s">
        <v>101</v>
      </c>
      <c r="D25" s="126" t="s">
        <v>102</v>
      </c>
      <c r="E25" s="124"/>
      <c r="F25" s="124" t="s">
        <v>70</v>
      </c>
      <c r="G25" s="126" t="s">
        <v>103</v>
      </c>
      <c r="H25" s="124" t="s">
        <v>104</v>
      </c>
      <c r="I25" s="124" t="s">
        <v>111</v>
      </c>
      <c r="N25" s="134">
        <f t="shared" si="0"/>
        <v>0.75000000000000011</v>
      </c>
    </row>
    <row r="26" spans="1:14" x14ac:dyDescent="0.35">
      <c r="A26" s="127">
        <v>1</v>
      </c>
      <c r="B26" s="127" t="s">
        <v>105</v>
      </c>
      <c r="C26" s="128">
        <f>IF(SUM($D$6,$D$13)&lt;&gt;17,0,$D$16*((1+$D$7)^$A26))</f>
        <v>5.25</v>
      </c>
      <c r="D26" s="129">
        <f t="shared" ref="D26:D42" si="1">IF(E26&lt;=$D$6,$D$7,D25-$D$14)</f>
        <v>0.05</v>
      </c>
      <c r="E26" s="127">
        <v>1</v>
      </c>
      <c r="F26" s="128">
        <f t="shared" ref="F26:F43" si="2">C26*G26</f>
        <v>0.52500000000000002</v>
      </c>
      <c r="G26" s="129">
        <f t="shared" ref="G26:G43" si="3">IF(E26&lt;=$D$6,$D$18,G25+$D$21)</f>
        <v>0.1</v>
      </c>
      <c r="H26" s="127"/>
      <c r="I26" s="128">
        <f>F26/(1+$D$4)^A26</f>
        <v>0.5</v>
      </c>
      <c r="N26" s="134">
        <f t="shared" si="0"/>
        <v>0.80000000000000016</v>
      </c>
    </row>
    <row r="27" spans="1:14" x14ac:dyDescent="0.35">
      <c r="A27" s="127">
        <f t="shared" ref="A27:A43" si="4">1+A26</f>
        <v>2</v>
      </c>
      <c r="B27" s="127" t="str">
        <f>IF(D27=D26,"Growth year EPS","Transition year EPS")</f>
        <v>Growth year EPS</v>
      </c>
      <c r="C27" s="128">
        <f t="shared" ref="C27:C32" si="5">$D$16*((1+$D$7)^$A27)</f>
        <v>5.5125000000000002</v>
      </c>
      <c r="D27" s="129">
        <f t="shared" si="1"/>
        <v>0.05</v>
      </c>
      <c r="E27" s="127">
        <v>2</v>
      </c>
      <c r="F27" s="128">
        <f t="shared" si="2"/>
        <v>0.55125000000000002</v>
      </c>
      <c r="G27" s="129">
        <f t="shared" si="3"/>
        <v>0.1</v>
      </c>
      <c r="H27" s="127"/>
      <c r="I27" s="128">
        <f t="shared" ref="I27:I41" si="6">F27/(1+$D$4)^A27</f>
        <v>0.5</v>
      </c>
      <c r="N27" s="134">
        <f t="shared" si="0"/>
        <v>0.8500000000000002</v>
      </c>
    </row>
    <row r="28" spans="1:14" x14ac:dyDescent="0.35">
      <c r="A28" s="127">
        <f t="shared" si="4"/>
        <v>3</v>
      </c>
      <c r="B28" s="127" t="str">
        <f t="shared" ref="B28:B40" si="7">IF(D28=D27,"Growth year EPS","Transition year EPS")</f>
        <v>Growth year EPS</v>
      </c>
      <c r="C28" s="128">
        <f t="shared" si="5"/>
        <v>5.7881250000000009</v>
      </c>
      <c r="D28" s="129">
        <f t="shared" si="1"/>
        <v>0.05</v>
      </c>
      <c r="E28" s="127">
        <v>3</v>
      </c>
      <c r="F28" s="128">
        <f t="shared" si="2"/>
        <v>0.57881250000000006</v>
      </c>
      <c r="G28" s="129">
        <f t="shared" si="3"/>
        <v>0.1</v>
      </c>
      <c r="H28" s="127"/>
      <c r="I28" s="128">
        <f t="shared" si="6"/>
        <v>0.5</v>
      </c>
      <c r="N28" s="134">
        <f t="shared" si="0"/>
        <v>0.90000000000000024</v>
      </c>
    </row>
    <row r="29" spans="1:14" x14ac:dyDescent="0.35">
      <c r="A29" s="127">
        <f t="shared" si="4"/>
        <v>4</v>
      </c>
      <c r="B29" s="127" t="str">
        <f t="shared" si="7"/>
        <v>Growth year EPS</v>
      </c>
      <c r="C29" s="128">
        <f t="shared" si="5"/>
        <v>6.0775312499999998</v>
      </c>
      <c r="D29" s="129">
        <f t="shared" si="1"/>
        <v>0.05</v>
      </c>
      <c r="E29" s="127">
        <v>4</v>
      </c>
      <c r="F29" s="128">
        <f t="shared" si="2"/>
        <v>0.60775312500000001</v>
      </c>
      <c r="G29" s="129">
        <f t="shared" si="3"/>
        <v>0.1</v>
      </c>
      <c r="H29" s="127"/>
      <c r="I29" s="128">
        <f>F29/(1+$D$4)^A29</f>
        <v>0.5</v>
      </c>
      <c r="N29" s="134">
        <f>N28+5%</f>
        <v>0.95000000000000029</v>
      </c>
    </row>
    <row r="30" spans="1:14" x14ac:dyDescent="0.35">
      <c r="A30" s="127">
        <f t="shared" si="4"/>
        <v>5</v>
      </c>
      <c r="B30" s="127" t="str">
        <f t="shared" si="7"/>
        <v>Growth year EPS</v>
      </c>
      <c r="C30" s="128">
        <f t="shared" si="5"/>
        <v>6.3814078125000009</v>
      </c>
      <c r="D30" s="129">
        <f t="shared" si="1"/>
        <v>0.05</v>
      </c>
      <c r="E30" s="127">
        <v>5</v>
      </c>
      <c r="F30" s="128">
        <f t="shared" si="2"/>
        <v>0.63814078125000018</v>
      </c>
      <c r="G30" s="129">
        <f t="shared" si="3"/>
        <v>0.1</v>
      </c>
      <c r="H30" s="127"/>
      <c r="I30" s="128">
        <f t="shared" si="6"/>
        <v>0.50000000000000011</v>
      </c>
      <c r="N30" s="134">
        <f t="shared" si="0"/>
        <v>1.0000000000000002</v>
      </c>
    </row>
    <row r="31" spans="1:14" x14ac:dyDescent="0.35">
      <c r="A31" s="127">
        <f t="shared" si="4"/>
        <v>6</v>
      </c>
      <c r="B31" s="127" t="str">
        <f t="shared" si="7"/>
        <v>Growth year EPS</v>
      </c>
      <c r="C31" s="128">
        <f t="shared" si="5"/>
        <v>6.7004782031249999</v>
      </c>
      <c r="D31" s="129">
        <f t="shared" si="1"/>
        <v>0.05</v>
      </c>
      <c r="E31" s="127">
        <v>6</v>
      </c>
      <c r="F31" s="128">
        <f t="shared" si="2"/>
        <v>0.67004782031249999</v>
      </c>
      <c r="G31" s="129">
        <f t="shared" si="3"/>
        <v>0.1</v>
      </c>
      <c r="H31" s="127"/>
      <c r="I31" s="128">
        <f t="shared" si="6"/>
        <v>0.5</v>
      </c>
      <c r="N31" s="133"/>
    </row>
    <row r="32" spans="1:14" x14ac:dyDescent="0.35">
      <c r="A32" s="127">
        <f t="shared" si="4"/>
        <v>7</v>
      </c>
      <c r="B32" s="127" t="str">
        <f t="shared" si="7"/>
        <v>Growth year EPS</v>
      </c>
      <c r="C32" s="128">
        <f t="shared" si="5"/>
        <v>7.0355021132812512</v>
      </c>
      <c r="D32" s="129">
        <f t="shared" si="1"/>
        <v>0.05</v>
      </c>
      <c r="E32" s="127">
        <v>7</v>
      </c>
      <c r="F32" s="128">
        <f t="shared" si="2"/>
        <v>0.70355021132812512</v>
      </c>
      <c r="G32" s="129">
        <f t="shared" si="3"/>
        <v>0.1</v>
      </c>
      <c r="H32" s="127"/>
      <c r="I32" s="128">
        <f t="shared" si="6"/>
        <v>0.5</v>
      </c>
    </row>
    <row r="33" spans="1:9" x14ac:dyDescent="0.35">
      <c r="A33" s="127">
        <f t="shared" si="4"/>
        <v>8</v>
      </c>
      <c r="B33" s="127" t="str">
        <f t="shared" si="7"/>
        <v>Transition year EPS</v>
      </c>
      <c r="C33" s="128">
        <f>C32*(1+$D$7)</f>
        <v>7.3872772189453144</v>
      </c>
      <c r="D33" s="129">
        <f t="shared" si="1"/>
        <v>4.8181818181818187E-2</v>
      </c>
      <c r="E33" s="127">
        <v>8</v>
      </c>
      <c r="F33" s="128">
        <f t="shared" si="2"/>
        <v>0.94019891877485806</v>
      </c>
      <c r="G33" s="129">
        <f t="shared" si="3"/>
        <v>0.12727272727272726</v>
      </c>
      <c r="H33" s="127"/>
      <c r="I33" s="128">
        <f t="shared" si="6"/>
        <v>0.63636363636363635</v>
      </c>
    </row>
    <row r="34" spans="1:9" x14ac:dyDescent="0.35">
      <c r="A34" s="127">
        <f t="shared" si="4"/>
        <v>9</v>
      </c>
      <c r="B34" s="127" t="str">
        <f t="shared" si="7"/>
        <v>Transition year EPS</v>
      </c>
      <c r="C34" s="128">
        <f>C33*(1+$D$7)</f>
        <v>7.7566410798925807</v>
      </c>
      <c r="D34" s="129">
        <f t="shared" si="1"/>
        <v>4.6363636363636371E-2</v>
      </c>
      <c r="E34" s="127">
        <v>9</v>
      </c>
      <c r="F34" s="128">
        <f t="shared" si="2"/>
        <v>1.1987536214379442</v>
      </c>
      <c r="G34" s="129">
        <f t="shared" si="3"/>
        <v>0.15454545454545454</v>
      </c>
      <c r="H34" s="127"/>
      <c r="I34" s="128">
        <f t="shared" si="6"/>
        <v>0.77272727272727282</v>
      </c>
    </row>
    <row r="35" spans="1:9" x14ac:dyDescent="0.35">
      <c r="A35" s="127">
        <f t="shared" si="4"/>
        <v>10</v>
      </c>
      <c r="B35" s="127" t="str">
        <f t="shared" si="7"/>
        <v>Transition year EPS</v>
      </c>
      <c r="C35" s="128">
        <f t="shared" ref="C35:C40" si="8">C34*(1+D35)</f>
        <v>8.1021641825423405</v>
      </c>
      <c r="D35" s="129">
        <f t="shared" si="1"/>
        <v>4.4545454545454555E-2</v>
      </c>
      <c r="E35" s="127">
        <v>10</v>
      </c>
      <c r="F35" s="128">
        <f t="shared" si="2"/>
        <v>1.4731207604622438</v>
      </c>
      <c r="G35" s="129">
        <f t="shared" si="3"/>
        <v>0.18181818181818182</v>
      </c>
      <c r="H35" s="127"/>
      <c r="I35" s="128">
        <f t="shared" si="6"/>
        <v>0.90436835891381362</v>
      </c>
    </row>
    <row r="36" spans="1:9" x14ac:dyDescent="0.35">
      <c r="A36" s="127">
        <f t="shared" si="4"/>
        <v>11</v>
      </c>
      <c r="B36" s="127" t="str">
        <f t="shared" si="7"/>
        <v>Transition year EPS</v>
      </c>
      <c r="C36" s="128">
        <f t="shared" si="8"/>
        <v>8.4483475612509675</v>
      </c>
      <c r="D36" s="129">
        <f t="shared" si="1"/>
        <v>4.2727272727272739E-2</v>
      </c>
      <c r="E36" s="127">
        <v>11</v>
      </c>
      <c r="F36" s="128">
        <f t="shared" si="2"/>
        <v>1.7664726718979298</v>
      </c>
      <c r="G36" s="129">
        <f t="shared" si="3"/>
        <v>0.20909090909090911</v>
      </c>
      <c r="H36" s="127"/>
      <c r="I36" s="128">
        <f t="shared" si="6"/>
        <v>1.0328199859959011</v>
      </c>
    </row>
    <row r="37" spans="1:9" x14ac:dyDescent="0.35">
      <c r="A37" s="127">
        <f t="shared" si="4"/>
        <v>12</v>
      </c>
      <c r="B37" s="127" t="str">
        <f t="shared" si="7"/>
        <v>Transition year EPS</v>
      </c>
      <c r="C37" s="128">
        <f t="shared" si="8"/>
        <v>8.7939617796657803</v>
      </c>
      <c r="D37" s="129">
        <f t="shared" si="1"/>
        <v>4.0909090909090923E-2</v>
      </c>
      <c r="E37" s="127">
        <v>12</v>
      </c>
      <c r="F37" s="128">
        <f t="shared" si="2"/>
        <v>2.0785727842846393</v>
      </c>
      <c r="G37" s="129">
        <f t="shared" si="3"/>
        <v>0.23636363636363639</v>
      </c>
      <c r="H37" s="127"/>
      <c r="I37" s="128">
        <f t="shared" si="6"/>
        <v>1.1574271026951999</v>
      </c>
    </row>
    <row r="38" spans="1:9" x14ac:dyDescent="0.35">
      <c r="A38" s="127">
        <f t="shared" si="4"/>
        <v>13</v>
      </c>
      <c r="B38" s="127" t="str">
        <f t="shared" si="7"/>
        <v>Transition year EPS</v>
      </c>
      <c r="C38" s="128">
        <f t="shared" si="8"/>
        <v>9.1377257401436243</v>
      </c>
      <c r="D38" s="129">
        <f t="shared" si="1"/>
        <v>3.9090909090909107E-2</v>
      </c>
      <c r="E38" s="127">
        <v>13</v>
      </c>
      <c r="F38" s="128">
        <f t="shared" si="2"/>
        <v>2.409036786037865</v>
      </c>
      <c r="G38" s="129">
        <f t="shared" si="3"/>
        <v>0.26363636363636367</v>
      </c>
      <c r="H38" s="127"/>
      <c r="I38" s="128">
        <f t="shared" si="6"/>
        <v>1.2775636421258003</v>
      </c>
    </row>
    <row r="39" spans="1:9" x14ac:dyDescent="0.35">
      <c r="A39" s="127">
        <f t="shared" si="4"/>
        <v>14</v>
      </c>
      <c r="B39" s="127" t="str">
        <f t="shared" si="7"/>
        <v>Transition year EPS</v>
      </c>
      <c r="C39" s="128">
        <f t="shared" si="8"/>
        <v>9.4783136995489787</v>
      </c>
      <c r="D39" s="129">
        <f t="shared" si="1"/>
        <v>3.7272727272727291E-2</v>
      </c>
      <c r="E39" s="127">
        <v>14</v>
      </c>
      <c r="F39" s="128">
        <f t="shared" si="2"/>
        <v>2.7573276216869762</v>
      </c>
      <c r="G39" s="129">
        <f t="shared" si="3"/>
        <v>0.29090909090909095</v>
      </c>
      <c r="H39" s="127"/>
      <c r="I39" s="128">
        <f t="shared" si="6"/>
        <v>1.3926378176234435</v>
      </c>
    </row>
    <row r="40" spans="1:9" x14ac:dyDescent="0.35">
      <c r="A40" s="127">
        <f t="shared" si="4"/>
        <v>15</v>
      </c>
      <c r="B40" s="127" t="str">
        <f t="shared" si="7"/>
        <v>Transition year EPS</v>
      </c>
      <c r="C40" s="128">
        <f t="shared" si="8"/>
        <v>9.8143630034420788</v>
      </c>
      <c r="D40" s="129">
        <f t="shared" si="1"/>
        <v>3.5454545454545475E-2</v>
      </c>
      <c r="E40" s="127">
        <v>15</v>
      </c>
      <c r="F40" s="128">
        <f t="shared" si="2"/>
        <v>3.1227518647315708</v>
      </c>
      <c r="G40" s="129">
        <f t="shared" si="3"/>
        <v>0.31818181818181823</v>
      </c>
      <c r="H40" s="127"/>
      <c r="I40" s="128">
        <f t="shared" si="6"/>
        <v>1.502097040031346</v>
      </c>
    </row>
    <row r="41" spans="1:9" x14ac:dyDescent="0.35">
      <c r="A41" s="127">
        <f t="shared" si="4"/>
        <v>16</v>
      </c>
      <c r="B41" s="127" t="str">
        <f>IF(D41=D40,"Growth year EPS","Transition year EPS")</f>
        <v>Transition year EPS</v>
      </c>
      <c r="C41" s="128">
        <f>C40*(1+D41)</f>
        <v>10.144482486285131</v>
      </c>
      <c r="D41" s="129">
        <f t="shared" si="1"/>
        <v>3.3636363636363659E-2</v>
      </c>
      <c r="E41" s="127">
        <v>16</v>
      </c>
      <c r="F41" s="128">
        <f t="shared" si="2"/>
        <v>3.5044575861712279</v>
      </c>
      <c r="G41" s="129">
        <f t="shared" si="3"/>
        <v>0.34545454545454551</v>
      </c>
      <c r="H41" s="130"/>
      <c r="I41" s="128">
        <f t="shared" si="6"/>
        <v>1.6054323985552099</v>
      </c>
    </row>
    <row r="42" spans="1:9" x14ac:dyDescent="0.35">
      <c r="A42" s="127">
        <f t="shared" si="4"/>
        <v>17</v>
      </c>
      <c r="B42" s="127" t="str">
        <f>IF(D42=D41,"Growth year EPS","Transition year EPS")</f>
        <v>Transition year EPS</v>
      </c>
      <c r="C42" s="128">
        <f>C41*(1+D42)</f>
        <v>10.467261474485111</v>
      </c>
      <c r="D42" s="129">
        <f t="shared" si="1"/>
        <v>3.1818181818181843E-2</v>
      </c>
      <c r="E42" s="127">
        <v>17</v>
      </c>
      <c r="F42" s="128">
        <f t="shared" si="2"/>
        <v>3.9014338223080878</v>
      </c>
      <c r="G42" s="129">
        <f t="shared" si="3"/>
        <v>0.3727272727272728</v>
      </c>
      <c r="H42" s="130">
        <f>F43/(D4-D11)</f>
        <v>215.62558637439338</v>
      </c>
      <c r="I42" s="128">
        <f>(F42+H42)/(1+$D$4)^A42</f>
        <v>95.778911752902616</v>
      </c>
    </row>
    <row r="43" spans="1:9" x14ac:dyDescent="0.35">
      <c r="A43" s="127">
        <f t="shared" si="4"/>
        <v>18</v>
      </c>
      <c r="B43" s="127" t="str">
        <f>IF(A43&gt;$D$6+$D$13,"Maturity","Transition year EPS")</f>
        <v>Maturity</v>
      </c>
      <c r="C43" s="128">
        <f>C42*(1+D43)</f>
        <v>10.781279318719665</v>
      </c>
      <c r="D43" s="129">
        <f>D11</f>
        <v>3.0000000000000006E-2</v>
      </c>
      <c r="E43" s="127">
        <v>18</v>
      </c>
      <c r="F43" s="128">
        <f t="shared" si="2"/>
        <v>4.312511727487867</v>
      </c>
      <c r="G43" s="129">
        <f t="shared" si="3"/>
        <v>0.40000000000000008</v>
      </c>
      <c r="H43" s="127"/>
      <c r="I43" s="128"/>
    </row>
    <row r="44" spans="1:9" ht="13.15" x14ac:dyDescent="0.4">
      <c r="A44" s="127"/>
      <c r="B44" s="131" t="s">
        <v>106</v>
      </c>
      <c r="C44" s="127"/>
      <c r="D44" s="127"/>
      <c r="E44" s="127"/>
      <c r="F44" s="127"/>
      <c r="G44" s="127"/>
      <c r="H44" s="127"/>
      <c r="I44" s="132">
        <f>IF(D22&lt;&gt;17,"Invalid Inputs",SUM(I26:I43))</f>
        <v>109.56034900793424</v>
      </c>
    </row>
  </sheetData>
  <conditionalFormatting sqref="I44">
    <cfRule type="containsText" dxfId="1" priority="2" stopIfTrue="1" operator="containsText" text="Invalid Inputs">
      <formula>NOT(ISERROR(SEARCH("Invalid Inputs",I44)))</formula>
    </cfRule>
  </conditionalFormatting>
  <conditionalFormatting sqref="A26:I43">
    <cfRule type="expression" dxfId="0" priority="1" stopIfTrue="1">
      <formula>$I$44="Invalid Inputs"</formula>
    </cfRule>
  </conditionalFormatting>
  <dataValidations count="5">
    <dataValidation type="list" allowBlank="1" showInputMessage="1" showErrorMessage="1" sqref="D13" xr:uid="{79ACBBDB-ECD9-456E-B0CE-C4C9C03310C5}">
      <formula1>$O$2:$O$8</formula1>
    </dataValidation>
    <dataValidation type="list" allowBlank="1" showInputMessage="1" showErrorMessage="1" sqref="D6" xr:uid="{9990EA71-058B-41BB-8B12-542D1109D145}">
      <formula1>$N$2:$N$8</formula1>
    </dataValidation>
    <dataValidation type="whole" operator="equal" showErrorMessage="1" errorTitle="Incorrect Number of Years" error="The growth period and maturity period must add up to 17 years.  Please redo your numbers." sqref="H4" xr:uid="{2385BC40-99CE-4CAB-A118-8B26C72846B1}">
      <formula1>$E$42</formula1>
    </dataValidation>
    <dataValidation type="decimal" operator="equal" showInputMessage="1" showErrorMessage="1" errorTitle="Incorrect Number of Years" error="Growth and transition periods must total 17 years.  Please redo your numbers." sqref="D22" xr:uid="{80638D0C-DAED-407A-BF8C-2EE703C22B03}">
      <formula1>$A$42</formula1>
    </dataValidation>
    <dataValidation type="list" allowBlank="1" showInputMessage="1" showErrorMessage="1" sqref="D9" xr:uid="{2618137F-4347-4C7E-A95E-5733BBA9C93A}">
      <formula1>$N$10:$N$30</formula1>
    </dataValidation>
  </dataValidations>
  <pageMargins left="0.7" right="0.7" top="0.75" bottom="0.75" header="0.3" footer="0.3"/>
  <pageSetup orientation="portrait" r:id="rId1"/>
  <ignoredErrors>
    <ignoredError sqref="N10:N30" unlocked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8A5E5-6EE6-4341-8248-B0C37D79B63C}">
  <sheetPr codeName="Sheet7"/>
  <dimension ref="A1"/>
  <sheetViews>
    <sheetView workbookViewId="0">
      <selection activeCell="N36" sqref="N36"/>
    </sheetView>
  </sheetViews>
  <sheetFormatPr defaultRowHeight="12.7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D0B4-C2D9-4084-A743-1568CA8BDAF1}">
  <sheetPr codeName="Sheet8"/>
  <dimension ref="A2:M38"/>
  <sheetViews>
    <sheetView workbookViewId="0">
      <selection activeCell="A33" sqref="A33"/>
    </sheetView>
  </sheetViews>
  <sheetFormatPr defaultColWidth="10.6640625" defaultRowHeight="12.75" x14ac:dyDescent="0.35"/>
  <cols>
    <col min="1" max="9" width="10.6640625" style="18"/>
    <col min="10" max="10" width="11.33203125" style="18" bestFit="1" customWidth="1"/>
    <col min="11" max="16384" width="10.6640625" style="18"/>
  </cols>
  <sheetData>
    <row r="2" spans="1:13" ht="15" x14ac:dyDescent="0.4">
      <c r="A2" s="1" t="s">
        <v>120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ht="15" x14ac:dyDescent="0.4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35">
      <c r="A4" s="20" t="s">
        <v>118</v>
      </c>
      <c r="B4" s="21" t="s">
        <v>80</v>
      </c>
      <c r="C4" s="21" t="s">
        <v>81</v>
      </c>
      <c r="D4" s="21" t="s">
        <v>82</v>
      </c>
      <c r="E4" s="21" t="s">
        <v>87</v>
      </c>
      <c r="F4" s="21" t="s">
        <v>83</v>
      </c>
      <c r="G4" s="21" t="s">
        <v>86</v>
      </c>
      <c r="H4" s="21" t="s">
        <v>128</v>
      </c>
      <c r="I4" s="21" t="s">
        <v>84</v>
      </c>
      <c r="J4" s="21" t="s">
        <v>129</v>
      </c>
      <c r="K4" s="21" t="s">
        <v>85</v>
      </c>
      <c r="L4" s="21" t="s">
        <v>88</v>
      </c>
      <c r="M4" s="22" t="s">
        <v>69</v>
      </c>
    </row>
    <row r="5" spans="1:13" x14ac:dyDescent="0.35">
      <c r="A5" s="23">
        <v>1994</v>
      </c>
      <c r="B5" s="24">
        <v>20.9</v>
      </c>
      <c r="C5" s="24">
        <v>13.9</v>
      </c>
      <c r="D5" s="24">
        <v>17.899999999999999</v>
      </c>
      <c r="E5" s="24">
        <v>15.2</v>
      </c>
      <c r="F5" s="24">
        <v>13.6</v>
      </c>
      <c r="G5" s="24">
        <v>12.4</v>
      </c>
      <c r="H5" s="24" t="s">
        <v>60</v>
      </c>
      <c r="I5" s="24">
        <v>10.8</v>
      </c>
      <c r="J5" s="24">
        <v>17.2</v>
      </c>
      <c r="K5" s="24" t="s">
        <v>60</v>
      </c>
      <c r="L5" s="24">
        <v>19.600000000000001</v>
      </c>
      <c r="M5" s="25">
        <f>B5/1.37</f>
        <v>15.255474452554742</v>
      </c>
    </row>
    <row r="6" spans="1:13" x14ac:dyDescent="0.35">
      <c r="A6" s="23">
        <f t="shared" ref="A6:A20" si="0">A5+1</f>
        <v>1995</v>
      </c>
      <c r="B6" s="24">
        <v>20.399999999999999</v>
      </c>
      <c r="C6" s="24">
        <v>18.600000000000001</v>
      </c>
      <c r="D6" s="24">
        <v>15</v>
      </c>
      <c r="E6" s="24">
        <v>22.2</v>
      </c>
      <c r="F6" s="24">
        <v>13.3</v>
      </c>
      <c r="G6" s="24">
        <v>13.9</v>
      </c>
      <c r="H6" s="24">
        <v>20.7</v>
      </c>
      <c r="I6" s="24">
        <v>11.7</v>
      </c>
      <c r="J6" s="24">
        <v>17.100000000000001</v>
      </c>
      <c r="K6" s="24">
        <v>14.3</v>
      </c>
      <c r="L6" s="24">
        <v>14.1</v>
      </c>
      <c r="M6" s="25">
        <f>B6/1.37</f>
        <v>14.890510948905108</v>
      </c>
    </row>
    <row r="7" spans="1:13" x14ac:dyDescent="0.35">
      <c r="A7" s="23">
        <f t="shared" si="0"/>
        <v>1996</v>
      </c>
      <c r="B7" s="24">
        <v>18.399999999999999</v>
      </c>
      <c r="C7" s="24">
        <v>14.1</v>
      </c>
      <c r="D7" s="24">
        <v>19</v>
      </c>
      <c r="E7" s="24">
        <v>17.3</v>
      </c>
      <c r="F7" s="24">
        <v>16</v>
      </c>
      <c r="G7" s="24">
        <v>16.100000000000001</v>
      </c>
      <c r="H7" s="24">
        <v>15.8</v>
      </c>
      <c r="I7" s="24">
        <v>15.3</v>
      </c>
      <c r="J7" s="24">
        <v>19.5</v>
      </c>
      <c r="K7" s="24">
        <v>17.8</v>
      </c>
      <c r="L7" s="24">
        <v>14.9</v>
      </c>
      <c r="M7" s="25">
        <f>B7/1.15</f>
        <v>16</v>
      </c>
    </row>
    <row r="8" spans="1:13" x14ac:dyDescent="0.35">
      <c r="A8" s="23">
        <f t="shared" si="0"/>
        <v>1997</v>
      </c>
      <c r="B8" s="24">
        <v>21.8</v>
      </c>
      <c r="C8" s="24">
        <v>17.100000000000001</v>
      </c>
      <c r="D8" s="24">
        <v>22.3</v>
      </c>
      <c r="E8" s="24">
        <v>17.5</v>
      </c>
      <c r="F8" s="24">
        <v>15.4</v>
      </c>
      <c r="G8" s="24">
        <v>17.899999999999999</v>
      </c>
      <c r="H8" s="24">
        <v>15.5</v>
      </c>
      <c r="I8" s="24">
        <v>17.2</v>
      </c>
      <c r="J8" s="24">
        <v>17.899999999999999</v>
      </c>
      <c r="K8" s="24">
        <v>20.7</v>
      </c>
      <c r="L8" s="24">
        <v>16.899999999999999</v>
      </c>
      <c r="M8" s="25">
        <f>B8/1.26</f>
        <v>17.301587301587301</v>
      </c>
    </row>
    <row r="9" spans="1:13" x14ac:dyDescent="0.35">
      <c r="A9" s="23">
        <f t="shared" si="0"/>
        <v>1998</v>
      </c>
      <c r="B9" s="24">
        <v>31.2</v>
      </c>
      <c r="C9" s="24">
        <v>22.2</v>
      </c>
      <c r="D9" s="24">
        <v>29.2</v>
      </c>
      <c r="E9" s="24">
        <v>20.7</v>
      </c>
      <c r="F9" s="24">
        <v>13.6</v>
      </c>
      <c r="G9" s="24">
        <v>25.2</v>
      </c>
      <c r="H9" s="24">
        <v>15.3</v>
      </c>
      <c r="I9" s="24">
        <v>23.1</v>
      </c>
      <c r="J9" s="24">
        <v>22.5</v>
      </c>
      <c r="K9" s="24">
        <v>26.3</v>
      </c>
      <c r="L9" s="24">
        <v>24.4</v>
      </c>
      <c r="M9" s="25">
        <f>B9/1.62</f>
        <v>19.259259259259256</v>
      </c>
    </row>
    <row r="10" spans="1:13" x14ac:dyDescent="0.35">
      <c r="A10" s="23">
        <f t="shared" si="0"/>
        <v>1999</v>
      </c>
      <c r="B10" s="24">
        <v>39.1</v>
      </c>
      <c r="C10" s="24">
        <v>25.5</v>
      </c>
      <c r="D10" s="24">
        <v>33.5</v>
      </c>
      <c r="E10" s="24">
        <v>21.4</v>
      </c>
      <c r="F10" s="24">
        <v>12.1</v>
      </c>
      <c r="G10" s="24">
        <v>21.6</v>
      </c>
      <c r="H10" s="24">
        <v>12.8</v>
      </c>
      <c r="I10" s="24">
        <v>22.4</v>
      </c>
      <c r="J10" s="24">
        <v>20.5</v>
      </c>
      <c r="K10" s="24">
        <v>25.1</v>
      </c>
      <c r="L10" s="24">
        <v>30.7</v>
      </c>
      <c r="M10" s="25">
        <f>B10/2.23</f>
        <v>17.533632286995516</v>
      </c>
    </row>
    <row r="11" spans="1:13" x14ac:dyDescent="0.35">
      <c r="A11" s="23">
        <f t="shared" si="0"/>
        <v>2000</v>
      </c>
      <c r="B11" s="24">
        <v>38</v>
      </c>
      <c r="C11" s="24">
        <v>22.2</v>
      </c>
      <c r="D11" s="26">
        <v>32.5</v>
      </c>
      <c r="E11" s="24">
        <v>21.6</v>
      </c>
      <c r="F11" s="24">
        <v>13.1</v>
      </c>
      <c r="G11" s="24" t="s">
        <v>89</v>
      </c>
      <c r="H11" s="24">
        <v>10.9</v>
      </c>
      <c r="I11" s="24">
        <v>15.8</v>
      </c>
      <c r="J11" s="24">
        <v>13.5</v>
      </c>
      <c r="K11" s="24">
        <v>22</v>
      </c>
      <c r="L11" s="24">
        <v>31.1</v>
      </c>
      <c r="M11" s="25">
        <f>B11/2.47</f>
        <v>15.384615384615383</v>
      </c>
    </row>
    <row r="12" spans="1:13" x14ac:dyDescent="0.35">
      <c r="A12" s="23">
        <f t="shared" si="0"/>
        <v>2001</v>
      </c>
      <c r="B12" s="24">
        <v>34.9</v>
      </c>
      <c r="C12" s="24">
        <v>23.3</v>
      </c>
      <c r="D12" s="24" t="s">
        <v>89</v>
      </c>
      <c r="E12" s="24">
        <v>17.399999999999999</v>
      </c>
      <c r="F12" s="24">
        <v>20.9</v>
      </c>
      <c r="G12" s="24" t="s">
        <v>89</v>
      </c>
      <c r="H12" s="24">
        <v>13</v>
      </c>
      <c r="I12" s="24">
        <v>16.2</v>
      </c>
      <c r="J12" s="24">
        <v>16</v>
      </c>
      <c r="K12" s="24">
        <v>18.5</v>
      </c>
      <c r="L12" s="24">
        <v>29.7</v>
      </c>
      <c r="M12" s="25">
        <f>B12/1.79</f>
        <v>19.497206703910614</v>
      </c>
    </row>
    <row r="13" spans="1:13" x14ac:dyDescent="0.35">
      <c r="A13" s="23">
        <f t="shared" si="0"/>
        <v>2002</v>
      </c>
      <c r="B13" s="24">
        <v>30.3</v>
      </c>
      <c r="C13" s="24">
        <v>20</v>
      </c>
      <c r="D13" s="24">
        <v>25.2</v>
      </c>
      <c r="E13" s="24">
        <v>17.2</v>
      </c>
      <c r="F13" s="24">
        <v>13.6</v>
      </c>
      <c r="G13" s="24">
        <v>16.399999999999999</v>
      </c>
      <c r="H13" s="24">
        <v>11.1</v>
      </c>
      <c r="I13" s="24">
        <v>11.3</v>
      </c>
      <c r="J13" s="24">
        <v>13</v>
      </c>
      <c r="K13" s="24">
        <v>11.8</v>
      </c>
      <c r="L13" s="24">
        <v>26.8</v>
      </c>
      <c r="M13" s="25">
        <f>B13/1.66</f>
        <v>18.253012048192772</v>
      </c>
    </row>
    <row r="14" spans="1:13" x14ac:dyDescent="0.35">
      <c r="A14" s="23">
        <f t="shared" si="0"/>
        <v>2003</v>
      </c>
      <c r="B14" s="24">
        <v>26.9</v>
      </c>
      <c r="C14" s="24">
        <v>18</v>
      </c>
      <c r="D14" s="24">
        <v>16.7</v>
      </c>
      <c r="E14" s="24">
        <v>14.8</v>
      </c>
      <c r="F14" s="24" t="s">
        <v>89</v>
      </c>
      <c r="G14" s="24">
        <v>17.100000000000001</v>
      </c>
      <c r="H14" s="24">
        <v>11</v>
      </c>
      <c r="I14" s="24">
        <v>14.3</v>
      </c>
      <c r="J14" s="24">
        <v>13.5</v>
      </c>
      <c r="K14" s="24">
        <v>11.7</v>
      </c>
      <c r="L14" s="24">
        <v>21.2</v>
      </c>
      <c r="M14" s="25">
        <f>B14/1.53</f>
        <v>17.581699346405227</v>
      </c>
    </row>
    <row r="15" spans="1:13" x14ac:dyDescent="0.35">
      <c r="A15" s="23">
        <f t="shared" si="0"/>
        <v>2004</v>
      </c>
      <c r="B15" s="24">
        <v>22.8</v>
      </c>
      <c r="C15" s="24">
        <v>22.2</v>
      </c>
      <c r="D15" s="24">
        <v>17.7</v>
      </c>
      <c r="E15" s="24">
        <v>15.7</v>
      </c>
      <c r="F15" s="24">
        <v>15.8</v>
      </c>
      <c r="G15" s="24">
        <v>15.7</v>
      </c>
      <c r="H15" s="24">
        <v>13</v>
      </c>
      <c r="I15" s="24">
        <v>16.3</v>
      </c>
      <c r="J15" s="24">
        <v>18.7</v>
      </c>
      <c r="K15" s="24">
        <v>17</v>
      </c>
      <c r="L15" s="24">
        <v>20</v>
      </c>
      <c r="M15" s="25">
        <f>B15/1.22</f>
        <v>18.688524590163937</v>
      </c>
    </row>
    <row r="16" spans="1:13" x14ac:dyDescent="0.35">
      <c r="A16" s="23">
        <f t="shared" si="0"/>
        <v>2005</v>
      </c>
      <c r="B16" s="24">
        <v>18.3</v>
      </c>
      <c r="C16" s="24">
        <v>19.7</v>
      </c>
      <c r="D16" s="24">
        <v>15.8</v>
      </c>
      <c r="E16" s="24">
        <v>17.3</v>
      </c>
      <c r="F16" s="24">
        <v>14.8</v>
      </c>
      <c r="G16" s="24">
        <v>13.8</v>
      </c>
      <c r="H16" s="24">
        <v>13</v>
      </c>
      <c r="I16" s="24">
        <v>14</v>
      </c>
      <c r="J16" s="24">
        <v>14.4</v>
      </c>
      <c r="K16" s="24">
        <v>15.8</v>
      </c>
      <c r="L16" s="24">
        <v>22.3</v>
      </c>
      <c r="M16" s="27">
        <v>17.07</v>
      </c>
    </row>
    <row r="17" spans="1:13" x14ac:dyDescent="0.35">
      <c r="A17" s="23">
        <f t="shared" si="0"/>
        <v>2006</v>
      </c>
      <c r="B17" s="24">
        <v>16</v>
      </c>
      <c r="C17" s="24">
        <v>16.7</v>
      </c>
      <c r="D17" s="24">
        <v>19.8</v>
      </c>
      <c r="E17" s="24">
        <v>15.9</v>
      </c>
      <c r="F17" s="24">
        <v>48.3</v>
      </c>
      <c r="G17" s="24">
        <v>14</v>
      </c>
      <c r="H17" s="24">
        <v>17.7</v>
      </c>
      <c r="I17" s="24">
        <v>14.1</v>
      </c>
      <c r="J17" s="24">
        <v>13.7</v>
      </c>
      <c r="K17" s="24">
        <v>15.7</v>
      </c>
      <c r="L17" s="24">
        <v>22.1</v>
      </c>
      <c r="M17" s="27">
        <v>16.91</v>
      </c>
    </row>
    <row r="18" spans="1:13" x14ac:dyDescent="0.35">
      <c r="A18" s="23">
        <f t="shared" si="0"/>
        <v>2007</v>
      </c>
      <c r="B18" s="24">
        <v>14.9</v>
      </c>
      <c r="C18" s="24">
        <v>18</v>
      </c>
      <c r="D18" s="24">
        <v>17.2</v>
      </c>
      <c r="E18" s="24">
        <v>12.5</v>
      </c>
      <c r="F18" s="24" t="s">
        <v>75</v>
      </c>
      <c r="G18" s="24">
        <v>13.9</v>
      </c>
      <c r="H18" s="24">
        <v>16.399999999999999</v>
      </c>
      <c r="I18" s="24">
        <v>16.399999999999999</v>
      </c>
      <c r="J18" s="24">
        <v>14.3</v>
      </c>
      <c r="K18" s="24">
        <v>17.2</v>
      </c>
      <c r="L18" s="24">
        <v>21</v>
      </c>
      <c r="M18" s="27">
        <v>17.21</v>
      </c>
    </row>
    <row r="19" spans="1:13" x14ac:dyDescent="0.35">
      <c r="A19" s="23">
        <f t="shared" si="0"/>
        <v>2008</v>
      </c>
      <c r="B19" s="24">
        <v>16.2</v>
      </c>
      <c r="C19" s="24">
        <v>16.2</v>
      </c>
      <c r="D19" s="24">
        <v>12.5</v>
      </c>
      <c r="E19" s="24">
        <v>23.7</v>
      </c>
      <c r="F19" s="24">
        <v>48.3</v>
      </c>
      <c r="G19" s="24">
        <v>13.1</v>
      </c>
      <c r="H19" s="24">
        <v>13.9</v>
      </c>
      <c r="I19" s="24">
        <v>14.1</v>
      </c>
      <c r="J19" s="24">
        <v>10.7</v>
      </c>
      <c r="K19" s="24">
        <v>12.4</v>
      </c>
      <c r="L19" s="24">
        <v>23.1</v>
      </c>
      <c r="M19" s="27">
        <v>14.72</v>
      </c>
    </row>
    <row r="20" spans="1:13" x14ac:dyDescent="0.35">
      <c r="A20" s="28">
        <f t="shared" si="0"/>
        <v>2009</v>
      </c>
      <c r="B20" s="29">
        <f t="shared" ref="B20:L20" si="1">B37</f>
        <v>14.650273224043715</v>
      </c>
      <c r="C20" s="29">
        <f t="shared" si="1"/>
        <v>15.621212121212121</v>
      </c>
      <c r="D20" s="29">
        <f t="shared" si="1"/>
        <v>12.158227848101266</v>
      </c>
      <c r="E20" s="29">
        <f t="shared" si="1"/>
        <v>14.036496350364963</v>
      </c>
      <c r="F20" s="29">
        <f t="shared" si="1"/>
        <v>22.513513513513512</v>
      </c>
      <c r="G20" s="29">
        <f t="shared" si="1"/>
        <v>23.420560747663547</v>
      </c>
      <c r="H20" s="29">
        <f t="shared" si="1"/>
        <v>11.070921985815604</v>
      </c>
      <c r="I20" s="29">
        <f t="shared" si="1"/>
        <v>12.445086705202312</v>
      </c>
      <c r="J20" s="29">
        <f t="shared" si="1"/>
        <v>7.9567567567567563</v>
      </c>
      <c r="K20" s="29">
        <f t="shared" si="1"/>
        <v>12.942857142857141</v>
      </c>
      <c r="L20" s="29">
        <f t="shared" si="1"/>
        <v>22.490272373540858</v>
      </c>
      <c r="M20" s="30">
        <v>18</v>
      </c>
    </row>
    <row r="21" spans="1:13" x14ac:dyDescent="0.35">
      <c r="A21" s="23" t="s">
        <v>138</v>
      </c>
      <c r="B21" s="24">
        <f>AVERAGE(B16:B20)</f>
        <v>16.01005464480874</v>
      </c>
      <c r="C21" s="24">
        <f t="shared" ref="C21:M21" si="2">AVERAGE(C18:C20)</f>
        <v>16.607070707070708</v>
      </c>
      <c r="D21" s="24">
        <f t="shared" si="2"/>
        <v>13.952742616033754</v>
      </c>
      <c r="E21" s="26">
        <f t="shared" si="2"/>
        <v>16.745498783454988</v>
      </c>
      <c r="F21" s="24">
        <f t="shared" si="2"/>
        <v>35.406756756756756</v>
      </c>
      <c r="G21" s="24">
        <f t="shared" si="2"/>
        <v>16.806853582554513</v>
      </c>
      <c r="H21" s="24">
        <f t="shared" si="2"/>
        <v>13.7903073286052</v>
      </c>
      <c r="I21" s="24">
        <f t="shared" si="2"/>
        <v>14.315028901734104</v>
      </c>
      <c r="J21" s="24">
        <f t="shared" si="2"/>
        <v>10.985585585585584</v>
      </c>
      <c r="K21" s="24">
        <f t="shared" si="2"/>
        <v>14.180952380952382</v>
      </c>
      <c r="L21" s="24">
        <f t="shared" si="2"/>
        <v>22.196757457846953</v>
      </c>
      <c r="M21" s="25">
        <f t="shared" si="2"/>
        <v>16.643333333333334</v>
      </c>
    </row>
    <row r="22" spans="1:13" x14ac:dyDescent="0.35">
      <c r="A22" s="23" t="s">
        <v>143</v>
      </c>
      <c r="B22" s="24">
        <f>AVERAGE(B11:B20)</f>
        <v>23.295027322404373</v>
      </c>
      <c r="C22" s="24">
        <f t="shared" ref="C22:M22" si="3">AVERAGE(C11:C20)</f>
        <v>19.192121212121211</v>
      </c>
      <c r="D22" s="24">
        <f t="shared" si="3"/>
        <v>18.839803094233474</v>
      </c>
      <c r="E22" s="26">
        <f t="shared" si="3"/>
        <v>17.013649635036494</v>
      </c>
      <c r="F22" s="24">
        <f t="shared" si="3"/>
        <v>24.664189189189191</v>
      </c>
      <c r="G22" s="24">
        <f t="shared" si="3"/>
        <v>15.927570093457943</v>
      </c>
      <c r="H22" s="24">
        <f t="shared" si="3"/>
        <v>13.10709219858156</v>
      </c>
      <c r="I22" s="24">
        <f t="shared" si="3"/>
        <v>14.494508670520228</v>
      </c>
      <c r="J22" s="24">
        <f t="shared" si="3"/>
        <v>13.575675675675678</v>
      </c>
      <c r="K22" s="24">
        <f t="shared" si="3"/>
        <v>15.504285714285714</v>
      </c>
      <c r="L22" s="24">
        <f t="shared" si="3"/>
        <v>23.979027237354085</v>
      </c>
      <c r="M22" s="25">
        <f t="shared" si="3"/>
        <v>17.331505807328792</v>
      </c>
    </row>
    <row r="23" spans="1:13" x14ac:dyDescent="0.35">
      <c r="A23" s="23" t="s">
        <v>137</v>
      </c>
      <c r="B23" s="24">
        <f>AVERAGE(B5:B20)</f>
        <v>24.046892076502733</v>
      </c>
      <c r="C23" s="24">
        <f t="shared" ref="C23:M23" si="4">AVERAGE(C5:C20)</f>
        <v>18.957575757575757</v>
      </c>
      <c r="D23" s="24">
        <f t="shared" si="4"/>
        <v>20.430548523206749</v>
      </c>
      <c r="E23" s="26">
        <f t="shared" si="4"/>
        <v>17.777281021897814</v>
      </c>
      <c r="F23" s="24">
        <f t="shared" si="4"/>
        <v>20.093822393822393</v>
      </c>
      <c r="G23" s="24">
        <f t="shared" si="4"/>
        <v>16.751468624833112</v>
      </c>
      <c r="H23" s="24">
        <f t="shared" si="4"/>
        <v>14.07806146572104</v>
      </c>
      <c r="I23" s="24">
        <f t="shared" si="4"/>
        <v>15.340317919075146</v>
      </c>
      <c r="J23" s="24">
        <f t="shared" si="4"/>
        <v>15.653547297297296</v>
      </c>
      <c r="K23" s="24">
        <f t="shared" si="4"/>
        <v>17.282857142857143</v>
      </c>
      <c r="L23" s="24">
        <f t="shared" si="4"/>
        <v>22.524392023346305</v>
      </c>
      <c r="M23" s="25">
        <f t="shared" si="4"/>
        <v>17.097220145161863</v>
      </c>
    </row>
    <row r="24" spans="1:13" x14ac:dyDescent="0.3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5"/>
    </row>
    <row r="25" spans="1:13" x14ac:dyDescent="0.35">
      <c r="A25" s="28" t="s">
        <v>79</v>
      </c>
      <c r="B25" s="29">
        <f t="shared" ref="B25:L25" si="5">B38</f>
        <v>13.404999999999999</v>
      </c>
      <c r="C25" s="29">
        <f t="shared" si="5"/>
        <v>13.565789473684211</v>
      </c>
      <c r="D25" s="29">
        <f t="shared" si="5"/>
        <v>10.383783783783784</v>
      </c>
      <c r="E25" s="29">
        <f t="shared" si="5"/>
        <v>12.406451612903226</v>
      </c>
      <c r="F25" s="29">
        <f t="shared" si="5"/>
        <v>11.9</v>
      </c>
      <c r="G25" s="29">
        <f t="shared" si="5"/>
        <v>15.187878787878788</v>
      </c>
      <c r="H25" s="29">
        <f t="shared" si="5"/>
        <v>8.215789473684211</v>
      </c>
      <c r="I25" s="29">
        <f t="shared" si="5"/>
        <v>12.302857142857144</v>
      </c>
      <c r="J25" s="29">
        <f t="shared" si="5"/>
        <v>8.411428571428571</v>
      </c>
      <c r="K25" s="29">
        <f t="shared" si="5"/>
        <v>12.583333333333332</v>
      </c>
      <c r="L25" s="29">
        <f t="shared" si="5"/>
        <v>19.931034482758619</v>
      </c>
      <c r="M25" s="31">
        <v>12.25</v>
      </c>
    </row>
    <row r="26" spans="1:13" x14ac:dyDescent="0.3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</row>
    <row r="27" spans="1:13" x14ac:dyDescent="0.35">
      <c r="A27" s="18" t="s">
        <v>153</v>
      </c>
    </row>
    <row r="28" spans="1:13" x14ac:dyDescent="0.35">
      <c r="A28" s="18" t="s">
        <v>151</v>
      </c>
    </row>
    <row r="29" spans="1:13" x14ac:dyDescent="0.35">
      <c r="A29" s="33" t="s">
        <v>152</v>
      </c>
    </row>
    <row r="30" spans="1:13" x14ac:dyDescent="0.35">
      <c r="A30" s="33" t="s">
        <v>146</v>
      </c>
    </row>
    <row r="31" spans="1:13" x14ac:dyDescent="0.35">
      <c r="A31" s="33"/>
    </row>
    <row r="32" spans="1:13" x14ac:dyDescent="0.35">
      <c r="A32" s="18" t="s">
        <v>145</v>
      </c>
    </row>
    <row r="34" spans="1:13" x14ac:dyDescent="0.35">
      <c r="A34" s="35" t="s">
        <v>139</v>
      </c>
      <c r="B34" s="85">
        <v>53.62</v>
      </c>
      <c r="C34" s="85">
        <v>51.55</v>
      </c>
      <c r="D34" s="85">
        <v>19.21</v>
      </c>
      <c r="E34" s="85">
        <v>19.23</v>
      </c>
      <c r="F34" s="85">
        <v>16.66</v>
      </c>
      <c r="G34" s="85">
        <v>25.06</v>
      </c>
      <c r="H34" s="85">
        <v>15.61</v>
      </c>
      <c r="I34" s="85">
        <v>21.53</v>
      </c>
      <c r="J34" s="85">
        <v>14.72</v>
      </c>
      <c r="K34" s="85">
        <v>22.65</v>
      </c>
      <c r="L34" s="85">
        <v>57.8</v>
      </c>
      <c r="M34" s="86"/>
    </row>
    <row r="35" spans="1:13" x14ac:dyDescent="0.35">
      <c r="A35" s="87" t="s">
        <v>140</v>
      </c>
      <c r="B35" s="88">
        <v>3.66</v>
      </c>
      <c r="C35" s="88">
        <v>3.3</v>
      </c>
      <c r="D35" s="88">
        <v>1.58</v>
      </c>
      <c r="E35" s="88">
        <v>1.37</v>
      </c>
      <c r="F35" s="88">
        <v>0.74</v>
      </c>
      <c r="G35" s="88">
        <v>1.07</v>
      </c>
      <c r="H35" s="88">
        <v>1.41</v>
      </c>
      <c r="I35" s="88">
        <v>1.73</v>
      </c>
      <c r="J35" s="88">
        <v>1.85</v>
      </c>
      <c r="K35" s="88">
        <v>1.75</v>
      </c>
      <c r="L35" s="88">
        <v>2.57</v>
      </c>
      <c r="M35" s="89"/>
    </row>
    <row r="36" spans="1:13" x14ac:dyDescent="0.35">
      <c r="A36" s="87" t="s">
        <v>144</v>
      </c>
      <c r="B36" s="88">
        <v>4</v>
      </c>
      <c r="C36" s="88">
        <v>3.8</v>
      </c>
      <c r="D36" s="88">
        <v>1.85</v>
      </c>
      <c r="E36" s="88">
        <v>1.55</v>
      </c>
      <c r="F36" s="88">
        <v>1.4</v>
      </c>
      <c r="G36" s="88">
        <v>1.65</v>
      </c>
      <c r="H36" s="88">
        <v>1.9</v>
      </c>
      <c r="I36" s="88">
        <v>1.75</v>
      </c>
      <c r="J36" s="88">
        <v>1.75</v>
      </c>
      <c r="K36" s="88">
        <v>1.8</v>
      </c>
      <c r="L36" s="88">
        <v>2.9</v>
      </c>
      <c r="M36" s="89"/>
    </row>
    <row r="37" spans="1:13" x14ac:dyDescent="0.35">
      <c r="A37" s="87" t="s">
        <v>141</v>
      </c>
      <c r="B37" s="90">
        <f>B34/B35</f>
        <v>14.650273224043715</v>
      </c>
      <c r="C37" s="90">
        <f t="shared" ref="C37:L37" si="6">C34/C35</f>
        <v>15.621212121212121</v>
      </c>
      <c r="D37" s="90">
        <f t="shared" si="6"/>
        <v>12.158227848101266</v>
      </c>
      <c r="E37" s="90">
        <f t="shared" si="6"/>
        <v>14.036496350364963</v>
      </c>
      <c r="F37" s="90">
        <f t="shared" si="6"/>
        <v>22.513513513513512</v>
      </c>
      <c r="G37" s="90">
        <f t="shared" si="6"/>
        <v>23.420560747663547</v>
      </c>
      <c r="H37" s="90">
        <f t="shared" si="6"/>
        <v>11.070921985815604</v>
      </c>
      <c r="I37" s="90">
        <f t="shared" si="6"/>
        <v>12.445086705202312</v>
      </c>
      <c r="J37" s="90">
        <f t="shared" si="6"/>
        <v>7.9567567567567563</v>
      </c>
      <c r="K37" s="90">
        <f t="shared" si="6"/>
        <v>12.942857142857141</v>
      </c>
      <c r="L37" s="90">
        <f t="shared" si="6"/>
        <v>22.490272373540858</v>
      </c>
      <c r="M37" s="91"/>
    </row>
    <row r="38" spans="1:13" x14ac:dyDescent="0.35">
      <c r="A38" s="92" t="s">
        <v>142</v>
      </c>
      <c r="B38" s="93">
        <f>B34/B36</f>
        <v>13.404999999999999</v>
      </c>
      <c r="C38" s="93">
        <f t="shared" ref="C38:L38" si="7">C34/C36</f>
        <v>13.565789473684211</v>
      </c>
      <c r="D38" s="93">
        <f t="shared" si="7"/>
        <v>10.383783783783784</v>
      </c>
      <c r="E38" s="93">
        <f t="shared" si="7"/>
        <v>12.406451612903226</v>
      </c>
      <c r="F38" s="93">
        <f t="shared" si="7"/>
        <v>11.9</v>
      </c>
      <c r="G38" s="93">
        <f t="shared" si="7"/>
        <v>15.187878787878788</v>
      </c>
      <c r="H38" s="93">
        <f t="shared" si="7"/>
        <v>8.215789473684211</v>
      </c>
      <c r="I38" s="93">
        <f t="shared" si="7"/>
        <v>12.302857142857144</v>
      </c>
      <c r="J38" s="93">
        <f t="shared" si="7"/>
        <v>8.411428571428571</v>
      </c>
      <c r="K38" s="93">
        <f t="shared" si="7"/>
        <v>12.583333333333332</v>
      </c>
      <c r="L38" s="93">
        <f t="shared" si="7"/>
        <v>19.931034482758619</v>
      </c>
      <c r="M38" s="94"/>
    </row>
  </sheetData>
  <phoneticPr fontId="3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18D7-2730-4BDD-89AF-19E9DCB39B95}">
  <sheetPr codeName="Sheet9"/>
  <dimension ref="A1:L18"/>
  <sheetViews>
    <sheetView workbookViewId="0">
      <selection activeCell="G15" sqref="G15"/>
    </sheetView>
  </sheetViews>
  <sheetFormatPr defaultColWidth="9.1328125" defaultRowHeight="12.75" x14ac:dyDescent="0.35"/>
  <cols>
    <col min="1" max="1" width="12.53125" style="18" customWidth="1"/>
    <col min="2" max="2" width="8.1328125" style="18" customWidth="1"/>
    <col min="3" max="3" width="9.6640625" style="18" customWidth="1"/>
    <col min="4" max="4" width="9.53125" style="18" customWidth="1"/>
    <col min="5" max="6" width="11" style="18" customWidth="1"/>
    <col min="7" max="7" width="7.86328125" style="18" customWidth="1"/>
    <col min="8" max="8" width="9.53125" style="18" customWidth="1"/>
    <col min="9" max="9" width="8.86328125" style="18" customWidth="1"/>
    <col min="10" max="10" width="10.86328125" style="18" customWidth="1"/>
    <col min="11" max="11" width="9.46484375" style="18" customWidth="1"/>
    <col min="12" max="12" width="11.1328125" style="18" customWidth="1"/>
    <col min="13" max="16384" width="9.1328125" style="18"/>
  </cols>
  <sheetData>
    <row r="1" spans="1:12" ht="13.15" x14ac:dyDescent="0.4">
      <c r="A1" s="1" t="s">
        <v>147</v>
      </c>
    </row>
    <row r="3" spans="1:12" ht="12.75" customHeight="1" x14ac:dyDescent="0.35">
      <c r="A3" s="135" t="s">
        <v>160</v>
      </c>
      <c r="B3" s="135" t="s">
        <v>148</v>
      </c>
      <c r="C3" s="135" t="s">
        <v>149</v>
      </c>
      <c r="D3" s="135" t="s">
        <v>131</v>
      </c>
      <c r="E3" s="135" t="s">
        <v>157</v>
      </c>
      <c r="F3" s="135" t="s">
        <v>164</v>
      </c>
      <c r="G3" s="135" t="s">
        <v>156</v>
      </c>
      <c r="H3" s="135" t="s">
        <v>158</v>
      </c>
      <c r="I3" s="135" t="s">
        <v>161</v>
      </c>
      <c r="J3" s="135" t="s">
        <v>162</v>
      </c>
      <c r="K3" s="135" t="s">
        <v>159</v>
      </c>
      <c r="L3" s="135" t="s">
        <v>163</v>
      </c>
    </row>
    <row r="4" spans="1:12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2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</row>
    <row r="6" spans="1:12" x14ac:dyDescent="0.35">
      <c r="A6" s="136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</row>
    <row r="7" spans="1:12" x14ac:dyDescent="0.35">
      <c r="A7" s="137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</row>
    <row r="8" spans="1:12" x14ac:dyDescent="0.35">
      <c r="A8" s="14" t="s">
        <v>69</v>
      </c>
      <c r="B8" s="95">
        <v>18</v>
      </c>
      <c r="C8" s="95">
        <v>12.25</v>
      </c>
      <c r="D8" s="97">
        <v>-4.4999999999999998E-2</v>
      </c>
      <c r="E8" s="98">
        <v>0.10829999999999999</v>
      </c>
      <c r="F8" s="101">
        <f>B8/(E8*100)</f>
        <v>1.6620498614958448</v>
      </c>
      <c r="G8" s="96" t="s">
        <v>75</v>
      </c>
      <c r="H8" s="96" t="s">
        <v>75</v>
      </c>
      <c r="I8" s="96" t="s">
        <v>75</v>
      </c>
      <c r="J8" s="96" t="s">
        <v>75</v>
      </c>
      <c r="K8" s="96" t="s">
        <v>75</v>
      </c>
      <c r="L8" s="96" t="s">
        <v>75</v>
      </c>
    </row>
    <row r="9" spans="1:12" x14ac:dyDescent="0.35">
      <c r="A9" s="14" t="s">
        <v>130</v>
      </c>
      <c r="B9" s="100">
        <v>15.64</v>
      </c>
      <c r="C9" s="100">
        <v>14.23</v>
      </c>
      <c r="D9" s="97">
        <v>5.8500000000000003E-2</v>
      </c>
      <c r="E9" s="98">
        <v>0.1462</v>
      </c>
      <c r="F9" s="101">
        <f>B9/(E9*100)</f>
        <v>1.0697674418604652</v>
      </c>
      <c r="G9" s="96" t="s">
        <v>75</v>
      </c>
      <c r="H9" s="96" t="s">
        <v>75</v>
      </c>
      <c r="I9" s="96" t="s">
        <v>75</v>
      </c>
      <c r="J9" s="96" t="s">
        <v>75</v>
      </c>
      <c r="K9" s="96" t="s">
        <v>75</v>
      </c>
      <c r="L9" s="96" t="s">
        <v>75</v>
      </c>
    </row>
    <row r="10" spans="1:12" x14ac:dyDescent="0.35">
      <c r="A10" s="14" t="s">
        <v>81</v>
      </c>
      <c r="B10" s="95">
        <v>15.6</v>
      </c>
      <c r="C10" s="95">
        <v>13.6</v>
      </c>
      <c r="D10" s="97">
        <v>9.7799999999999998E-2</v>
      </c>
      <c r="E10" s="98">
        <f>(6/3.3)^(1/5)-1</f>
        <v>0.12700920209792543</v>
      </c>
      <c r="F10" s="101">
        <f>B10/(E10*100)</f>
        <v>1.2282574602722278</v>
      </c>
      <c r="G10" s="98">
        <v>3.7999999999999999E-2</v>
      </c>
      <c r="H10" s="98">
        <v>0.05</v>
      </c>
      <c r="I10" s="98">
        <v>0.16200000000000001</v>
      </c>
      <c r="J10" s="98">
        <v>0.16500000000000001</v>
      </c>
      <c r="K10" s="98">
        <f>15118/15347</f>
        <v>0.98507851697400139</v>
      </c>
      <c r="L10" s="98">
        <f>11500/25000</f>
        <v>0.46</v>
      </c>
    </row>
    <row r="11" spans="1:12" x14ac:dyDescent="0.35">
      <c r="A11" s="14" t="s">
        <v>80</v>
      </c>
      <c r="B11" s="95">
        <v>14.7</v>
      </c>
      <c r="C11" s="95">
        <v>13.4</v>
      </c>
      <c r="D11" s="97">
        <v>8.7499999999999994E-2</v>
      </c>
      <c r="E11" s="98">
        <f>(6/3.66)^(1/5)-1</f>
        <v>0.10391092901821719</v>
      </c>
      <c r="F11" s="101">
        <f>B11/(E11*100)</f>
        <v>1.4146731377430821</v>
      </c>
      <c r="G11" s="98">
        <v>3.5000000000000003E-2</v>
      </c>
      <c r="H11" s="98">
        <v>3.6999999999999998E-2</v>
      </c>
      <c r="I11" s="98">
        <v>0.20100000000000001</v>
      </c>
      <c r="J11" s="98">
        <v>0.2</v>
      </c>
      <c r="K11" s="98">
        <f>36401/70749</f>
        <v>0.51450903899701761</v>
      </c>
      <c r="L11" s="98">
        <f>41000/100000</f>
        <v>0.41</v>
      </c>
    </row>
    <row r="13" spans="1:12" x14ac:dyDescent="0.35">
      <c r="A13" s="18" t="s">
        <v>150</v>
      </c>
    </row>
    <row r="14" spans="1:12" x14ac:dyDescent="0.35">
      <c r="A14" s="18" t="s">
        <v>151</v>
      </c>
    </row>
    <row r="15" spans="1:12" x14ac:dyDescent="0.35">
      <c r="A15" s="18" t="s">
        <v>152</v>
      </c>
    </row>
    <row r="16" spans="1:12" x14ac:dyDescent="0.35">
      <c r="A16" s="99" t="s">
        <v>155</v>
      </c>
    </row>
    <row r="18" spans="1:1" x14ac:dyDescent="0.35">
      <c r="A18" s="18" t="s">
        <v>145</v>
      </c>
    </row>
  </sheetData>
  <mergeCells count="12">
    <mergeCell ref="A3:A7"/>
    <mergeCell ref="B3:B7"/>
    <mergeCell ref="C3:C7"/>
    <mergeCell ref="D3:D7"/>
    <mergeCell ref="E3:E7"/>
    <mergeCell ref="G3:G7"/>
    <mergeCell ref="H3:H7"/>
    <mergeCell ref="I3:I7"/>
    <mergeCell ref="J3:J7"/>
    <mergeCell ref="K3:K7"/>
    <mergeCell ref="L3:L7"/>
    <mergeCell ref="F3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1a Income Statements</vt:lpstr>
      <vt:lpstr>1b Balance Sheets</vt:lpstr>
      <vt:lpstr>1c Cash Flows</vt:lpstr>
      <vt:lpstr>2 Stock Price</vt:lpstr>
      <vt:lpstr>3 Earnings and Dividends</vt:lpstr>
      <vt:lpstr>4 DDM Example</vt:lpstr>
      <vt:lpstr>5 Beta</vt:lpstr>
      <vt:lpstr>6 P-Es</vt:lpstr>
      <vt:lpstr>7 Other Comparable Data</vt:lpstr>
    </vt:vector>
  </TitlesOfParts>
  <Company>Ivey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Foerster</dc:creator>
  <cp:lastModifiedBy>Kerry Back</cp:lastModifiedBy>
  <cp:lastPrinted>2005-12-22T12:27:48Z</cp:lastPrinted>
  <dcterms:created xsi:type="dcterms:W3CDTF">1999-09-21T12:07:42Z</dcterms:created>
  <dcterms:modified xsi:type="dcterms:W3CDTF">2025-04-21T15:15:54Z</dcterms:modified>
</cp:coreProperties>
</file>