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kesha\Downloads\"/>
    </mc:Choice>
  </mc:AlternateContent>
  <xr:revisionPtr revIDLastSave="0" documentId="8_{CF91BB6A-C5E9-4F8A-9042-3FE8878CFC14}" xr6:coauthVersionLast="47" xr6:coauthVersionMax="47" xr10:uidLastSave="{00000000-0000-0000-0000-000000000000}"/>
  <bookViews>
    <workbookView xWindow="-108" yWindow="-108" windowWidth="23256" windowHeight="12456" xr2:uid="{00000000-000D-0000-FFFF-FFFF00000000}"/>
  </bookViews>
  <sheets>
    <sheet name="Concrete Mix Design (IS 1026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2" l="1"/>
  <c r="I55" i="2" l="1"/>
  <c r="I37" i="2"/>
  <c r="I39" i="2" s="1"/>
  <c r="H73" i="2" s="1"/>
  <c r="F10" i="2"/>
  <c r="O23" i="2" s="1"/>
  <c r="Q22" i="2" s="1"/>
  <c r="O27" i="2" s="1"/>
  <c r="I61" i="2" l="1"/>
  <c r="I42" i="2"/>
  <c r="I57" i="2" s="1"/>
  <c r="P27" i="2"/>
  <c r="H78" i="2"/>
  <c r="I28" i="2" l="1"/>
  <c r="I18" i="2"/>
  <c r="M83" i="2"/>
  <c r="L72" i="2"/>
  <c r="L77" i="2" s="1"/>
  <c r="L83" i="2" s="1"/>
  <c r="N59" i="2"/>
  <c r="L59" i="2"/>
  <c r="L55" i="2"/>
  <c r="N15" i="2"/>
  <c r="N14" i="2"/>
  <c r="N13" i="2"/>
  <c r="N12" i="2"/>
  <c r="N11" i="2"/>
  <c r="N10" i="2"/>
  <c r="K34" i="2" l="1"/>
  <c r="K33" i="2"/>
  <c r="K32" i="2"/>
  <c r="I59" i="2"/>
  <c r="I63" i="2" s="1"/>
  <c r="I65" i="2" s="1"/>
  <c r="I67" i="2" l="1"/>
  <c r="H74" i="2" s="1"/>
  <c r="L56" i="2"/>
  <c r="H72" i="2"/>
  <c r="L58" i="2"/>
  <c r="N58" i="2"/>
  <c r="M71" i="2" l="1"/>
  <c r="M72" i="2" s="1"/>
  <c r="H79" i="2"/>
  <c r="O71" i="2"/>
  <c r="O72" i="2" s="1"/>
  <c r="O77" i="2" s="1"/>
  <c r="O83" i="2" s="1"/>
  <c r="L71" i="2" l="1"/>
  <c r="H75" i="2"/>
  <c r="Q71" i="2" l="1"/>
  <c r="Q72" i="2" s="1"/>
  <c r="Q77" i="2" s="1"/>
  <c r="Q83" i="2" s="1"/>
  <c r="H77" i="2"/>
  <c r="H76" i="2"/>
</calcChain>
</file>

<file path=xl/sharedStrings.xml><?xml version="1.0" encoding="utf-8"?>
<sst xmlns="http://schemas.openxmlformats.org/spreadsheetml/2006/main" count="150" uniqueCount="109">
  <si>
    <t>=</t>
  </si>
  <si>
    <t>mm</t>
  </si>
  <si>
    <t>v</t>
  </si>
  <si>
    <t>Water Content</t>
  </si>
  <si>
    <t>Cement Content</t>
  </si>
  <si>
    <t>Cement</t>
  </si>
  <si>
    <t>Fine Aggregate</t>
  </si>
  <si>
    <t>Coarse Aggregate</t>
  </si>
  <si>
    <t>Water</t>
  </si>
  <si>
    <t>1)</t>
  </si>
  <si>
    <t>Design Grade</t>
  </si>
  <si>
    <t xml:space="preserve">Grade </t>
  </si>
  <si>
    <t>Std. Deviation</t>
  </si>
  <si>
    <t>Strength</t>
  </si>
  <si>
    <t>2)</t>
  </si>
  <si>
    <t xml:space="preserve">Target Mean Strength </t>
  </si>
  <si>
    <t>3)</t>
  </si>
  <si>
    <t>W/C Ratio</t>
  </si>
  <si>
    <t>M20</t>
  </si>
  <si>
    <t>M25</t>
  </si>
  <si>
    <t>M30</t>
  </si>
  <si>
    <t>M35</t>
  </si>
  <si>
    <t>4)</t>
  </si>
  <si>
    <t>Maximun Size of Aggregate</t>
  </si>
  <si>
    <t>M40</t>
  </si>
  <si>
    <t>M45</t>
  </si>
  <si>
    <t>5)</t>
  </si>
  <si>
    <t>Water Content per Cubic metre of Concrete</t>
  </si>
  <si>
    <t>Nominal max.
Size of aggregate</t>
  </si>
  <si>
    <t>6)</t>
  </si>
  <si>
    <t>Sand Confirming Zone</t>
  </si>
  <si>
    <t>7)</t>
  </si>
  <si>
    <t>W/C 
Ratio</t>
  </si>
  <si>
    <t>9)</t>
  </si>
  <si>
    <t>10)</t>
  </si>
  <si>
    <t>Specific Gravity of Cement</t>
  </si>
  <si>
    <t>11)</t>
  </si>
  <si>
    <t xml:space="preserve">Specific Gravity </t>
  </si>
  <si>
    <t xml:space="preserve">1) Fine Aggregate </t>
  </si>
  <si>
    <t>2) Coarse Aggregate</t>
  </si>
  <si>
    <t>F.A</t>
  </si>
  <si>
    <t>C.A</t>
  </si>
  <si>
    <t>14)</t>
  </si>
  <si>
    <t>15)</t>
  </si>
  <si>
    <t>(c/Sc)</t>
  </si>
  <si>
    <t>1/P</t>
  </si>
  <si>
    <t>1/(1-P)</t>
  </si>
  <si>
    <t>Kg</t>
  </si>
  <si>
    <t>1/Fa</t>
  </si>
  <si>
    <t>1/Sc</t>
  </si>
  <si>
    <t>18)</t>
  </si>
  <si>
    <t>19)</t>
  </si>
  <si>
    <t>20)</t>
  </si>
  <si>
    <t>Sr. No:</t>
  </si>
  <si>
    <t>Material Name</t>
  </si>
  <si>
    <t>Quantity(Kg)</t>
  </si>
  <si>
    <t xml:space="preserve">Water </t>
  </si>
  <si>
    <t>Quantities For 1 Bag of Cement</t>
  </si>
  <si>
    <t>1) Coarse Aggregate(20mm)</t>
  </si>
  <si>
    <t>Quantity for 9 Cube</t>
  </si>
  <si>
    <t>Target Mean
 Strength</t>
  </si>
  <si>
    <t>Water-Cement
Ratio</t>
  </si>
  <si>
    <t>Correction in Water Content</t>
  </si>
  <si>
    <t>Volume of Coarse Aggregate per
 Unit Volume of Total Aggregate</t>
  </si>
  <si>
    <t>Approximate values for this aggregate volume are given in Table 5 for a 
water-cement/watercementitious materials ratio of 0.5, which may be 
suitably adjusted for other ratios, the proportion of volume of coarse 
aggregates to that of total aggregates is increased at the rate of 0.01 
for every decrease in water-cement/cementitious materials ratio by 0.05 and decreased at the rate of 0.01 for every increase in watercement ratio by 0.05.</t>
  </si>
  <si>
    <t>Volume of Coarse Aggregate for Maximum 
Size of Aggregate and Fine aggreegate confirming zone from Below Table</t>
  </si>
  <si>
    <t>Water Cement Ratio of Table</t>
  </si>
  <si>
    <t>Correction in Coarse Aggregate Content</t>
  </si>
  <si>
    <t>Volume of Sand Content</t>
  </si>
  <si>
    <t>Required Slump Value</t>
  </si>
  <si>
    <t>(Standard with W/C ratio is 50 mm)</t>
  </si>
  <si>
    <t>Correction in Aggregate Volume</t>
  </si>
  <si>
    <t>Slump Value</t>
  </si>
  <si>
    <t>Increase in Water in %</t>
  </si>
  <si>
    <t>50 mm</t>
  </si>
  <si>
    <t>-</t>
  </si>
  <si>
    <t>75 mm</t>
  </si>
  <si>
    <t>100 mm</t>
  </si>
  <si>
    <t>125 mm</t>
  </si>
  <si>
    <t>150 mm</t>
  </si>
  <si>
    <t>Volume of Cement</t>
  </si>
  <si>
    <t>Volume of Water</t>
  </si>
  <si>
    <t>Volume of All Aggregate(Fine + Coarse)</t>
  </si>
  <si>
    <t>Estimated Air Content(%)V</t>
  </si>
  <si>
    <t>Mix Proportions By Mass</t>
  </si>
  <si>
    <t>CONCRETE MIX DESIGN AS PER IS : 10262 - 2019</t>
  </si>
  <si>
    <t>Volume of Concrete (m³)</t>
  </si>
  <si>
    <t>Liters</t>
  </si>
  <si>
    <t>m³</t>
  </si>
  <si>
    <t>N/mm²</t>
  </si>
  <si>
    <t>Table - 1</t>
  </si>
  <si>
    <t>Table - 2</t>
  </si>
  <si>
    <t xml:space="preserve"> Graph Table</t>
  </si>
  <si>
    <t>Concrete Mix Design As Per IS Code - 10262 : 2019</t>
  </si>
  <si>
    <t>Total Qty. of  Coarse Aggregate</t>
  </si>
  <si>
    <t>Total Qty. of Fine Aggregate</t>
  </si>
  <si>
    <t>186 liter water content is for standard 50 mm slump. If we want to increase slump value by 75 mm (50+25) then we have to add 3% extra water. Similary for each increase of 25mm slump add 3 % extra water.</t>
  </si>
  <si>
    <t>kg</t>
  </si>
  <si>
    <t>175 mm</t>
  </si>
  <si>
    <t>water content for 175mm slump</t>
  </si>
  <si>
    <t>8)</t>
  </si>
  <si>
    <t>Actual Water Content</t>
  </si>
  <si>
    <t>16)</t>
  </si>
  <si>
    <t>17))</t>
  </si>
  <si>
    <t>21)</t>
  </si>
  <si>
    <t>Volume of Admixture</t>
  </si>
  <si>
    <t>Slump of Concrete</t>
  </si>
  <si>
    <t>2) Coarse Aggregate(10mm )</t>
  </si>
  <si>
    <t>Admixtures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</si>
</sst>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1"/>
      <color rgb="FF000000"/>
      <name val="Calibri"/>
    </font>
    <font>
      <sz val="11"/>
      <name val="Calibri"/>
      <family val="2"/>
    </font>
    <font>
      <b/>
      <sz val="11"/>
      <color rgb="FF000000"/>
      <name val="Calibri"/>
      <family val="2"/>
    </font>
    <font>
      <b/>
      <sz val="12"/>
      <color rgb="FF000000"/>
      <name val="Calibri"/>
      <family val="2"/>
    </font>
    <font>
      <sz val="11"/>
      <color rgb="FFFFFFFF"/>
      <name val="Calibri"/>
      <family val="2"/>
    </font>
    <font>
      <sz val="11"/>
      <color rgb="FF006100"/>
      <name val="Calibri"/>
      <family val="2"/>
    </font>
    <font>
      <sz val="16"/>
      <color rgb="FF000000"/>
      <name val="Calibri"/>
      <family val="2"/>
    </font>
    <font>
      <b/>
      <sz val="14"/>
      <color rgb="FF000000"/>
      <name val="Calibri"/>
      <family val="2"/>
    </font>
    <font>
      <b/>
      <sz val="14"/>
      <name val="Calibri"/>
      <family val="2"/>
    </font>
    <font>
      <sz val="14"/>
      <name val="Calibri"/>
      <family val="2"/>
    </font>
    <font>
      <sz val="11"/>
      <color theme="0"/>
      <name val="Calibri"/>
      <family val="2"/>
    </font>
    <font>
      <sz val="12"/>
      <name val="Calibri"/>
      <family val="2"/>
    </font>
    <font>
      <sz val="14"/>
      <color rgb="FFFFFFFF"/>
      <name val="Calibri"/>
      <family val="2"/>
    </font>
    <font>
      <b/>
      <sz val="16"/>
      <color rgb="FFFFFFFF"/>
      <name val="Calibri"/>
      <family val="2"/>
    </font>
    <font>
      <b/>
      <sz val="16"/>
      <name val="Calibri"/>
      <family val="2"/>
    </font>
    <font>
      <sz val="14"/>
      <color theme="1"/>
      <name val="Calibri"/>
      <family val="2"/>
    </font>
    <font>
      <b/>
      <sz val="14"/>
      <color theme="1"/>
      <name val="Calibri"/>
      <family val="2"/>
    </font>
    <font>
      <sz val="14"/>
      <color rgb="FF000000"/>
      <name val="Calibri"/>
      <family val="2"/>
    </font>
    <font>
      <b/>
      <sz val="14"/>
      <color theme="0"/>
      <name val="Calibri"/>
      <family val="2"/>
    </font>
    <font>
      <sz val="24"/>
      <color rgb="FFFFFFFF"/>
      <name val="Calibri"/>
      <family val="2"/>
    </font>
    <font>
      <b/>
      <sz val="14"/>
      <color rgb="FF000000"/>
      <name val="Times New Roman"/>
      <family val="1"/>
    </font>
    <font>
      <b/>
      <sz val="14"/>
      <color rgb="FFFF0000"/>
      <name val="Calibri"/>
      <family val="2"/>
    </font>
    <font>
      <b/>
      <sz val="18"/>
      <color rgb="FFFFFFFF"/>
      <name val="Calibri"/>
      <family val="2"/>
    </font>
  </fonts>
  <fills count="23">
    <fill>
      <patternFill patternType="none"/>
    </fill>
    <fill>
      <patternFill patternType="gray125"/>
    </fill>
    <fill>
      <patternFill patternType="solid">
        <fgColor rgb="FFEAF1DD"/>
        <bgColor rgb="FFEAF1DD"/>
      </patternFill>
    </fill>
    <fill>
      <patternFill patternType="solid">
        <fgColor rgb="FFE5DFEC"/>
        <bgColor rgb="FFE5DFEC"/>
      </patternFill>
    </fill>
    <fill>
      <patternFill patternType="solid">
        <fgColor rgb="FFDAEEF3"/>
        <bgColor rgb="FFDAEEF3"/>
      </patternFill>
    </fill>
    <fill>
      <patternFill patternType="solid">
        <fgColor theme="0" tint="-0.14999847407452621"/>
        <bgColor rgb="FFB8CCE4"/>
      </patternFill>
    </fill>
    <fill>
      <patternFill patternType="solid">
        <fgColor theme="0" tint="-0.14999847407452621"/>
        <bgColor indexed="64"/>
      </patternFill>
    </fill>
    <fill>
      <patternFill patternType="solid">
        <fgColor theme="9" tint="0.59999389629810485"/>
        <bgColor rgb="FF9BBB59"/>
      </patternFill>
    </fill>
    <fill>
      <patternFill patternType="solid">
        <fgColor theme="1" tint="0.34998626667073579"/>
        <bgColor rgb="FF95B3D7"/>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39997558519241921"/>
        <bgColor rgb="FFC6EFCE"/>
      </patternFill>
    </fill>
    <fill>
      <patternFill patternType="solid">
        <fgColor theme="6" tint="0.39997558519241921"/>
        <bgColor rgb="FF9BBB59"/>
      </patternFill>
    </fill>
    <fill>
      <patternFill patternType="solid">
        <fgColor theme="9" tint="0.39997558519241921"/>
        <bgColor rgb="FFEAF1DD"/>
      </patternFill>
    </fill>
    <fill>
      <patternFill patternType="solid">
        <fgColor theme="6" tint="0.59999389629810485"/>
        <bgColor rgb="FFE5DFEC"/>
      </patternFill>
    </fill>
    <fill>
      <patternFill patternType="solid">
        <fgColor theme="7" tint="0.59999389629810485"/>
        <bgColor rgb="FFFBD4B4"/>
      </patternFill>
    </fill>
    <fill>
      <patternFill patternType="solid">
        <fgColor theme="1" tint="0.249977111117893"/>
        <bgColor indexed="64"/>
      </patternFill>
    </fill>
    <fill>
      <patternFill patternType="solid">
        <fgColor theme="7" tint="0.79998168889431442"/>
        <bgColor indexed="64"/>
      </patternFill>
    </fill>
    <fill>
      <patternFill patternType="solid">
        <fgColor theme="0"/>
        <bgColor indexed="64"/>
      </patternFill>
    </fill>
    <fill>
      <patternFill patternType="solid">
        <fgColor theme="0"/>
        <bgColor rgb="FF9BBB59"/>
      </patternFill>
    </fill>
    <fill>
      <patternFill patternType="solid">
        <fgColor theme="8" tint="-0.249977111117893"/>
        <bgColor rgb="FF95B3D7"/>
      </patternFill>
    </fill>
  </fills>
  <borders count="4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7F7F7F"/>
      </bottom>
      <diagonal/>
    </border>
    <border>
      <left/>
      <right style="thin">
        <color rgb="FF7F7F7F"/>
      </right>
      <top style="thin">
        <color rgb="FF000000"/>
      </top>
      <bottom style="thin">
        <color rgb="FF7F7F7F"/>
      </bottom>
      <diagonal/>
    </border>
    <border>
      <left style="thick">
        <color rgb="FF000000"/>
      </left>
      <right/>
      <top/>
      <bottom/>
      <diagonal/>
    </border>
    <border>
      <left/>
      <right style="thick">
        <color rgb="FF000000"/>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s>
  <cellStyleXfs count="1">
    <xf numFmtId="0" fontId="0" fillId="0" borderId="0"/>
  </cellStyleXfs>
  <cellXfs count="151">
    <xf numFmtId="0" fontId="0" fillId="0" borderId="0" xfId="0"/>
    <xf numFmtId="0" fontId="4" fillId="0" borderId="0" xfId="0" applyFont="1"/>
    <xf numFmtId="0" fontId="0" fillId="2" borderId="1" xfId="0" applyFill="1" applyBorder="1"/>
    <xf numFmtId="0" fontId="0" fillId="0" borderId="19" xfId="0" applyBorder="1"/>
    <xf numFmtId="0" fontId="0" fillId="0" borderId="19" xfId="0" applyBorder="1" applyAlignment="1">
      <alignment horizontal="center" vertical="center"/>
    </xf>
    <xf numFmtId="2" fontId="0" fillId="0" borderId="19" xfId="0" applyNumberFormat="1" applyBorder="1" applyAlignment="1">
      <alignment horizontal="center" vertical="center"/>
    </xf>
    <xf numFmtId="0" fontId="5" fillId="0" borderId="19" xfId="0" applyFont="1" applyBorder="1" applyAlignment="1">
      <alignment vertical="center"/>
    </xf>
    <xf numFmtId="0" fontId="1" fillId="0" borderId="19" xfId="0" applyFont="1" applyBorder="1"/>
    <xf numFmtId="0" fontId="0" fillId="0" borderId="19" xfId="0" applyBorder="1" applyAlignment="1">
      <alignment horizontal="center"/>
    </xf>
    <xf numFmtId="0" fontId="0" fillId="0" borderId="19" xfId="0" applyBorder="1" applyAlignment="1">
      <alignment vertical="center" wrapText="1"/>
    </xf>
    <xf numFmtId="0" fontId="0" fillId="0" borderId="19" xfId="0" applyBorder="1" applyAlignment="1">
      <alignment vertical="center"/>
    </xf>
    <xf numFmtId="0" fontId="3" fillId="0" borderId="0" xfId="0" applyFont="1" applyAlignment="1">
      <alignment vertical="center" wrapText="1"/>
    </xf>
    <xf numFmtId="0" fontId="2" fillId="0" borderId="0" xfId="0" applyFont="1" applyAlignment="1">
      <alignment horizontal="center" vertical="center" wrapText="1"/>
    </xf>
    <xf numFmtId="0" fontId="0" fillId="0" borderId="0" xfId="0" applyAlignment="1">
      <alignment horizontal="center" vertical="center"/>
    </xf>
    <xf numFmtId="0" fontId="1" fillId="0" borderId="0" xfId="0" applyFont="1"/>
    <xf numFmtId="0" fontId="10" fillId="0" borderId="0" xfId="0" applyFont="1"/>
    <xf numFmtId="0" fontId="13" fillId="8" borderId="2" xfId="0" applyFont="1" applyFill="1" applyBorder="1" applyAlignment="1">
      <alignment horizontal="center" vertical="center"/>
    </xf>
    <xf numFmtId="0" fontId="13" fillId="8" borderId="24" xfId="0" applyFont="1" applyFill="1" applyBorder="1" applyAlignment="1">
      <alignment horizontal="center" vertical="center"/>
    </xf>
    <xf numFmtId="164" fontId="15" fillId="0" borderId="30" xfId="0" applyNumberFormat="1" applyFont="1" applyBorder="1" applyAlignment="1">
      <alignment horizontal="center" vertical="center"/>
    </xf>
    <xf numFmtId="0" fontId="15" fillId="0" borderId="30" xfId="0" applyFont="1" applyBorder="1" applyAlignment="1">
      <alignment horizontal="center" vertical="center"/>
    </xf>
    <xf numFmtId="1" fontId="15" fillId="0" borderId="30" xfId="0" applyNumberFormat="1" applyFont="1" applyBorder="1" applyAlignment="1">
      <alignment horizontal="center" vertical="center"/>
    </xf>
    <xf numFmtId="0" fontId="17" fillId="0" borderId="0" xfId="0" applyFont="1"/>
    <xf numFmtId="2" fontId="17" fillId="2" borderId="12" xfId="0" applyNumberFormat="1" applyFont="1" applyFill="1" applyBorder="1" applyAlignment="1">
      <alignment horizontal="center" vertical="center"/>
    </xf>
    <xf numFmtId="0" fontId="17" fillId="2" borderId="30" xfId="0" applyFont="1" applyFill="1" applyBorder="1" applyAlignment="1">
      <alignment horizontal="center" vertical="center"/>
    </xf>
    <xf numFmtId="0" fontId="17" fillId="2" borderId="2" xfId="0" applyFont="1" applyFill="1" applyBorder="1" applyAlignment="1">
      <alignment horizontal="center" vertical="center"/>
    </xf>
    <xf numFmtId="0" fontId="12" fillId="0" borderId="0" xfId="0" applyFont="1"/>
    <xf numFmtId="2" fontId="12" fillId="0" borderId="0" xfId="0" applyNumberFormat="1" applyFont="1"/>
    <xf numFmtId="0" fontId="17" fillId="2" borderId="12" xfId="0" applyFont="1" applyFill="1" applyBorder="1" applyAlignment="1">
      <alignment horizontal="center"/>
    </xf>
    <xf numFmtId="0" fontId="17" fillId="2" borderId="30" xfId="0" applyFont="1" applyFill="1" applyBorder="1" applyAlignment="1">
      <alignment horizontal="center"/>
    </xf>
    <xf numFmtId="0" fontId="11" fillId="5" borderId="19" xfId="0" applyFont="1" applyFill="1" applyBorder="1" applyAlignment="1">
      <alignment horizontal="left" vertical="center"/>
    </xf>
    <xf numFmtId="0" fontId="11" fillId="5" borderId="19" xfId="0" applyFont="1" applyFill="1" applyBorder="1" applyAlignment="1">
      <alignment horizontal="center" vertical="center"/>
    </xf>
    <xf numFmtId="0" fontId="17" fillId="2" borderId="24" xfId="0" applyFont="1" applyFill="1" applyBorder="1" applyAlignment="1">
      <alignment horizontal="center" vertical="center"/>
    </xf>
    <xf numFmtId="0" fontId="11" fillId="5" borderId="34" xfId="0" applyFont="1" applyFill="1" applyBorder="1" applyAlignment="1">
      <alignment horizontal="center"/>
    </xf>
    <xf numFmtId="0" fontId="11" fillId="5" borderId="35" xfId="0" applyFont="1" applyFill="1" applyBorder="1" applyAlignment="1">
      <alignment horizontal="left" vertical="center"/>
    </xf>
    <xf numFmtId="0" fontId="11" fillId="5" borderId="35" xfId="0" applyFont="1" applyFill="1" applyBorder="1" applyAlignment="1">
      <alignment horizontal="center" vertical="center"/>
    </xf>
    <xf numFmtId="0" fontId="11" fillId="5" borderId="36" xfId="0" applyFont="1" applyFill="1" applyBorder="1"/>
    <xf numFmtId="0" fontId="11" fillId="5" borderId="37" xfId="0" applyFont="1" applyFill="1" applyBorder="1" applyAlignment="1">
      <alignment horizontal="center"/>
    </xf>
    <xf numFmtId="0" fontId="11" fillId="5" borderId="38" xfId="0" applyFont="1" applyFill="1" applyBorder="1"/>
    <xf numFmtId="0" fontId="7" fillId="11" borderId="30" xfId="0" applyFont="1" applyFill="1" applyBorder="1" applyAlignment="1">
      <alignment horizontal="center" vertical="center"/>
    </xf>
    <xf numFmtId="0" fontId="10" fillId="0" borderId="19" xfId="0" applyFont="1" applyBorder="1"/>
    <xf numFmtId="0" fontId="9" fillId="5" borderId="37" xfId="0" applyFont="1" applyFill="1" applyBorder="1" applyAlignment="1">
      <alignment horizontal="center"/>
    </xf>
    <xf numFmtId="0" fontId="9" fillId="6" borderId="19" xfId="0" applyFont="1" applyFill="1" applyBorder="1"/>
    <xf numFmtId="0" fontId="9" fillId="5" borderId="19" xfId="0" applyFont="1" applyFill="1" applyBorder="1" applyAlignment="1">
      <alignment horizontal="left" vertical="center"/>
    </xf>
    <xf numFmtId="0" fontId="8" fillId="14" borderId="30"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38" xfId="0" applyFont="1" applyFill="1" applyBorder="1"/>
    <xf numFmtId="0" fontId="9" fillId="7" borderId="30" xfId="0" applyFont="1" applyFill="1" applyBorder="1" applyAlignment="1">
      <alignment horizontal="center" vertical="center"/>
    </xf>
    <xf numFmtId="0" fontId="9" fillId="5" borderId="38" xfId="0" applyFont="1" applyFill="1" applyBorder="1" applyAlignment="1">
      <alignment horizontal="center" vertical="center"/>
    </xf>
    <xf numFmtId="0" fontId="9" fillId="14" borderId="30" xfId="0" applyFont="1" applyFill="1" applyBorder="1" applyAlignment="1">
      <alignment horizontal="center" vertical="center"/>
    </xf>
    <xf numFmtId="2" fontId="9" fillId="7" borderId="30" xfId="0" applyNumberFormat="1" applyFont="1" applyFill="1" applyBorder="1" applyAlignment="1">
      <alignment horizontal="center" vertical="center"/>
    </xf>
    <xf numFmtId="164" fontId="9" fillId="5" borderId="19" xfId="0" applyNumberFormat="1" applyFont="1" applyFill="1" applyBorder="1" applyAlignment="1">
      <alignment horizontal="center" vertical="center"/>
    </xf>
    <xf numFmtId="0" fontId="9" fillId="5" borderId="19" xfId="0" applyFont="1" applyFill="1" applyBorder="1" applyAlignment="1">
      <alignment horizontal="center"/>
    </xf>
    <xf numFmtId="2" fontId="9" fillId="14" borderId="30" xfId="0" applyNumberFormat="1" applyFont="1" applyFill="1" applyBorder="1" applyAlignment="1">
      <alignment horizontal="center" vertical="center"/>
    </xf>
    <xf numFmtId="0" fontId="9" fillId="5" borderId="39" xfId="0" applyFont="1" applyFill="1" applyBorder="1" applyAlignment="1">
      <alignment horizontal="center"/>
    </xf>
    <xf numFmtId="0" fontId="9" fillId="5" borderId="40" xfId="0" applyFont="1" applyFill="1" applyBorder="1" applyAlignment="1">
      <alignment horizontal="center" vertical="center"/>
    </xf>
    <xf numFmtId="0" fontId="9" fillId="5" borderId="32" xfId="0" applyFont="1" applyFill="1" applyBorder="1"/>
    <xf numFmtId="0" fontId="8" fillId="0" borderId="30" xfId="0" applyFont="1" applyBorder="1" applyAlignment="1">
      <alignment horizontal="center" vertical="center" wrapText="1"/>
    </xf>
    <xf numFmtId="0" fontId="7" fillId="10" borderId="30" xfId="0" applyFont="1" applyFill="1" applyBorder="1" applyAlignment="1">
      <alignment horizontal="center" vertical="center"/>
    </xf>
    <xf numFmtId="0" fontId="17" fillId="0" borderId="30" xfId="0" applyFont="1" applyBorder="1" applyAlignment="1">
      <alignment horizontal="center" vertical="center" wrapText="1"/>
    </xf>
    <xf numFmtId="0" fontId="17" fillId="0" borderId="31" xfId="0" applyFont="1" applyBorder="1" applyAlignment="1">
      <alignment horizontal="center" vertical="center" wrapText="1"/>
    </xf>
    <xf numFmtId="0" fontId="7" fillId="0" borderId="30" xfId="0" applyFont="1" applyBorder="1" applyAlignment="1">
      <alignment horizontal="center" vertical="center" wrapText="1"/>
    </xf>
    <xf numFmtId="164" fontId="9" fillId="7" borderId="30" xfId="0" applyNumberFormat="1" applyFont="1" applyFill="1" applyBorder="1" applyAlignment="1">
      <alignment horizontal="center" vertical="center"/>
    </xf>
    <xf numFmtId="0" fontId="22" fillId="21" borderId="2" xfId="0" applyFont="1" applyFill="1" applyBorder="1" applyAlignment="1">
      <alignment horizontal="center"/>
    </xf>
    <xf numFmtId="0" fontId="7" fillId="0" borderId="30" xfId="0" applyFont="1" applyBorder="1" applyAlignment="1">
      <alignment horizontal="center" vertical="center" wrapText="1"/>
    </xf>
    <xf numFmtId="0" fontId="17" fillId="16" borderId="10" xfId="0" applyFont="1" applyFill="1" applyBorder="1" applyAlignment="1">
      <alignment horizontal="center"/>
    </xf>
    <xf numFmtId="0" fontId="9" fillId="11" borderId="20" xfId="0" applyFont="1" applyFill="1" applyBorder="1"/>
    <xf numFmtId="0" fontId="9" fillId="11" borderId="11" xfId="0" applyFont="1" applyFill="1" applyBorder="1"/>
    <xf numFmtId="0" fontId="17" fillId="17" borderId="26" xfId="0" applyFont="1" applyFill="1" applyBorder="1" applyAlignment="1">
      <alignment horizontal="center"/>
    </xf>
    <xf numFmtId="0" fontId="9" fillId="12" borderId="27" xfId="0" applyFont="1" applyFill="1" applyBorder="1"/>
    <xf numFmtId="0" fontId="20" fillId="0" borderId="30" xfId="0" applyFont="1" applyBorder="1" applyAlignment="1">
      <alignment horizontal="center" vertical="center" wrapText="1"/>
    </xf>
    <xf numFmtId="0" fontId="20" fillId="0" borderId="30" xfId="0" applyFont="1" applyBorder="1" applyAlignment="1">
      <alignment horizontal="center" vertical="center"/>
    </xf>
    <xf numFmtId="0" fontId="8" fillId="0" borderId="30" xfId="0" applyFont="1" applyBorder="1" applyAlignment="1">
      <alignment horizontal="center" vertical="center"/>
    </xf>
    <xf numFmtId="0" fontId="9" fillId="0" borderId="30" xfId="0" applyFont="1" applyBorder="1" applyAlignment="1">
      <alignment horizontal="center" vertical="center"/>
    </xf>
    <xf numFmtId="0" fontId="17" fillId="2" borderId="24" xfId="0" applyFont="1" applyFill="1" applyBorder="1" applyAlignment="1">
      <alignment horizontal="center" vertical="center"/>
    </xf>
    <xf numFmtId="0" fontId="17" fillId="2" borderId="23" xfId="0" applyFont="1" applyFill="1" applyBorder="1" applyAlignment="1">
      <alignment horizontal="center" vertical="center"/>
    </xf>
    <xf numFmtId="0" fontId="17" fillId="2" borderId="25" xfId="0" applyFont="1" applyFill="1" applyBorder="1" applyAlignment="1">
      <alignment horizontal="center" vertical="center"/>
    </xf>
    <xf numFmtId="0" fontId="17" fillId="16" borderId="10" xfId="0" applyFont="1" applyFill="1" applyBorder="1" applyAlignment="1">
      <alignment horizontal="center" vertical="center"/>
    </xf>
    <xf numFmtId="0" fontId="9" fillId="5" borderId="19" xfId="0" applyFont="1" applyFill="1" applyBorder="1" applyAlignment="1">
      <alignment horizontal="left" vertical="center"/>
    </xf>
    <xf numFmtId="0" fontId="9" fillId="6" borderId="19" xfId="0" applyFont="1" applyFill="1" applyBorder="1"/>
    <xf numFmtId="0" fontId="9" fillId="5" borderId="19" xfId="0" applyFont="1" applyFill="1" applyBorder="1" applyAlignment="1">
      <alignment horizontal="left" vertical="center" wrapText="1"/>
    </xf>
    <xf numFmtId="0" fontId="16" fillId="15" borderId="3" xfId="0" applyFont="1" applyFill="1" applyBorder="1" applyAlignment="1">
      <alignment horizontal="center" vertical="center"/>
    </xf>
    <xf numFmtId="0" fontId="16" fillId="10" borderId="9" xfId="0" applyFont="1" applyFill="1" applyBorder="1"/>
    <xf numFmtId="0" fontId="9" fillId="5" borderId="19" xfId="0" applyFont="1" applyFill="1" applyBorder="1" applyAlignment="1">
      <alignment horizontal="center"/>
    </xf>
    <xf numFmtId="0" fontId="6" fillId="4" borderId="13" xfId="0" applyFont="1" applyFill="1" applyBorder="1" applyAlignment="1">
      <alignment horizontal="center" vertical="center"/>
    </xf>
    <xf numFmtId="0" fontId="1" fillId="0" borderId="14" xfId="0" applyFont="1" applyBorder="1"/>
    <xf numFmtId="0" fontId="1" fillId="0" borderId="15" xfId="0" applyFont="1" applyBorder="1"/>
    <xf numFmtId="0" fontId="1" fillId="0" borderId="28" xfId="0" applyFont="1" applyBorder="1"/>
    <xf numFmtId="0" fontId="0" fillId="0" borderId="0" xfId="0"/>
    <xf numFmtId="0" fontId="1" fillId="0" borderId="29" xfId="0" applyFont="1" applyBorder="1"/>
    <xf numFmtId="0" fontId="1" fillId="0" borderId="16" xfId="0" applyFont="1" applyBorder="1"/>
    <xf numFmtId="0" fontId="1" fillId="0" borderId="17" xfId="0" applyFont="1" applyBorder="1"/>
    <xf numFmtId="0" fontId="1" fillId="0" borderId="18" xfId="0" applyFont="1" applyBorder="1"/>
    <xf numFmtId="0" fontId="16" fillId="13" borderId="12" xfId="0" applyFont="1" applyFill="1" applyBorder="1" applyAlignment="1">
      <alignment horizontal="center" vertical="center"/>
    </xf>
    <xf numFmtId="0" fontId="16" fillId="13" borderId="20" xfId="0" applyFont="1" applyFill="1" applyBorder="1" applyAlignment="1">
      <alignment horizontal="center" vertical="center"/>
    </xf>
    <xf numFmtId="0" fontId="16" fillId="13" borderId="11" xfId="0" applyFont="1" applyFill="1" applyBorder="1" applyAlignment="1">
      <alignment horizontal="center" vertical="center"/>
    </xf>
    <xf numFmtId="0" fontId="4" fillId="0" borderId="0" xfId="0" applyFont="1"/>
    <xf numFmtId="0" fontId="13" fillId="8" borderId="10" xfId="0" applyFont="1" applyFill="1" applyBorder="1" applyAlignment="1">
      <alignment horizontal="center" vertical="center"/>
    </xf>
    <xf numFmtId="0" fontId="14" fillId="9" borderId="11" xfId="0" applyFont="1" applyFill="1" applyBorder="1"/>
    <xf numFmtId="1" fontId="17" fillId="17" borderId="10" xfId="0" applyNumberFormat="1" applyFont="1" applyFill="1" applyBorder="1" applyAlignment="1">
      <alignment horizontal="center" vertical="center"/>
    </xf>
    <xf numFmtId="0" fontId="9" fillId="12" borderId="11" xfId="0" applyFont="1" applyFill="1" applyBorder="1"/>
    <xf numFmtId="0" fontId="13" fillId="8" borderId="4" xfId="0" applyFont="1" applyFill="1" applyBorder="1" applyAlignment="1">
      <alignment horizontal="center" vertical="center"/>
    </xf>
    <xf numFmtId="0" fontId="14" fillId="9" borderId="21" xfId="0" applyFont="1" applyFill="1" applyBorder="1"/>
    <xf numFmtId="1" fontId="15" fillId="0" borderId="30" xfId="0" applyNumberFormat="1" applyFont="1" applyBorder="1" applyAlignment="1">
      <alignment horizontal="center" vertical="center"/>
    </xf>
    <xf numFmtId="1" fontId="15" fillId="0" borderId="30" xfId="0" applyNumberFormat="1" applyFont="1" applyBorder="1"/>
    <xf numFmtId="0" fontId="16" fillId="13" borderId="4" xfId="0" applyFont="1" applyFill="1" applyBorder="1" applyAlignment="1">
      <alignment horizontal="center" vertical="center"/>
    </xf>
    <xf numFmtId="0" fontId="16" fillId="10" borderId="5" xfId="0" applyFont="1" applyFill="1" applyBorder="1"/>
    <xf numFmtId="0" fontId="16" fillId="10" borderId="21" xfId="0" applyFont="1" applyFill="1" applyBorder="1"/>
    <xf numFmtId="0" fontId="16" fillId="10" borderId="7" xfId="0" applyFont="1" applyFill="1" applyBorder="1"/>
    <xf numFmtId="0" fontId="16" fillId="10" borderId="8" xfId="0" applyFont="1" applyFill="1" applyBorder="1"/>
    <xf numFmtId="0" fontId="16" fillId="10" borderId="22" xfId="0" applyFont="1" applyFill="1" applyBorder="1"/>
    <xf numFmtId="0" fontId="15" fillId="0" borderId="30" xfId="0" applyFont="1" applyBorder="1"/>
    <xf numFmtId="2" fontId="15" fillId="0" borderId="30" xfId="0" applyNumberFormat="1" applyFont="1" applyBorder="1" applyAlignment="1">
      <alignment horizontal="center" vertical="center"/>
    </xf>
    <xf numFmtId="0" fontId="7" fillId="10" borderId="33" xfId="0" applyFont="1" applyFill="1" applyBorder="1" applyAlignment="1">
      <alignment horizontal="center" vertical="center"/>
    </xf>
    <xf numFmtId="0" fontId="7" fillId="10" borderId="41" xfId="0" applyFont="1" applyFill="1" applyBorder="1" applyAlignment="1">
      <alignment horizontal="center" vertical="center" wrapText="1"/>
    </xf>
    <xf numFmtId="0" fontId="7" fillId="0" borderId="30" xfId="0" applyFont="1" applyBorder="1" applyAlignment="1">
      <alignment horizontal="center" vertical="center"/>
    </xf>
    <xf numFmtId="0" fontId="7" fillId="0" borderId="33" xfId="0" applyFont="1" applyBorder="1" applyAlignment="1">
      <alignment horizontal="center" vertical="center"/>
    </xf>
    <xf numFmtId="0" fontId="18" fillId="18" borderId="19" xfId="0" applyFont="1" applyFill="1" applyBorder="1" applyAlignment="1">
      <alignment horizontal="center" vertical="center"/>
    </xf>
    <xf numFmtId="0" fontId="17" fillId="3" borderId="24" xfId="0" applyFont="1" applyFill="1" applyBorder="1" applyAlignment="1">
      <alignment horizontal="center" vertical="center"/>
    </xf>
    <xf numFmtId="0" fontId="17" fillId="3" borderId="23" xfId="0" applyFont="1" applyFill="1" applyBorder="1" applyAlignment="1">
      <alignment horizontal="center" vertical="center"/>
    </xf>
    <xf numFmtId="0" fontId="17" fillId="3" borderId="25" xfId="0" applyFont="1" applyFill="1" applyBorder="1" applyAlignment="1">
      <alignment horizontal="center" vertical="center"/>
    </xf>
    <xf numFmtId="0" fontId="16" fillId="13" borderId="30" xfId="0" applyFont="1" applyFill="1" applyBorder="1" applyAlignment="1">
      <alignment horizontal="center" vertical="center" wrapText="1"/>
    </xf>
    <xf numFmtId="0" fontId="16" fillId="10" borderId="30" xfId="0" applyFont="1" applyFill="1" applyBorder="1"/>
    <xf numFmtId="0" fontId="16" fillId="13" borderId="4" xfId="0" applyFont="1" applyFill="1" applyBorder="1" applyAlignment="1">
      <alignment horizontal="center" vertical="center" wrapText="1"/>
    </xf>
    <xf numFmtId="0" fontId="16" fillId="13" borderId="3" xfId="0" applyFont="1" applyFill="1" applyBorder="1" applyAlignment="1">
      <alignment horizontal="center" vertical="center"/>
    </xf>
    <xf numFmtId="0" fontId="16" fillId="10" borderId="6" xfId="0" applyFont="1" applyFill="1" applyBorder="1"/>
    <xf numFmtId="0" fontId="21" fillId="20" borderId="19" xfId="0" applyFont="1" applyFill="1" applyBorder="1" applyAlignment="1">
      <alignment horizontal="center" vertical="center" wrapText="1"/>
    </xf>
    <xf numFmtId="0" fontId="21" fillId="20" borderId="19" xfId="0" applyFont="1" applyFill="1" applyBorder="1" applyAlignment="1">
      <alignment horizontal="center" vertical="center"/>
    </xf>
    <xf numFmtId="0" fontId="7" fillId="11" borderId="30" xfId="0" applyFont="1" applyFill="1" applyBorder="1" applyAlignment="1">
      <alignment horizontal="center" vertical="center"/>
    </xf>
    <xf numFmtId="10" fontId="0" fillId="0" borderId="19" xfId="0" applyNumberFormat="1" applyBorder="1" applyAlignment="1">
      <alignment horizontal="center"/>
    </xf>
    <xf numFmtId="0" fontId="15" fillId="0" borderId="30" xfId="0" applyFont="1" applyBorder="1" applyAlignment="1">
      <alignment horizontal="center" vertical="center"/>
    </xf>
    <xf numFmtId="0" fontId="22" fillId="21" borderId="12" xfId="0" applyFont="1" applyFill="1" applyBorder="1" applyAlignment="1">
      <alignment horizontal="center"/>
    </xf>
    <xf numFmtId="0" fontId="22" fillId="21" borderId="11" xfId="0" applyFont="1" applyFill="1" applyBorder="1" applyAlignment="1">
      <alignment horizontal="center"/>
    </xf>
    <xf numFmtId="0" fontId="11" fillId="5" borderId="35" xfId="0" applyFont="1" applyFill="1" applyBorder="1" applyAlignment="1">
      <alignment horizontal="left" vertical="center"/>
    </xf>
    <xf numFmtId="0" fontId="11" fillId="6" borderId="35" xfId="0" applyFont="1" applyFill="1" applyBorder="1"/>
    <xf numFmtId="0" fontId="11" fillId="5" borderId="19" xfId="0" applyFont="1" applyFill="1" applyBorder="1" applyAlignment="1">
      <alignment horizontal="left" vertical="center"/>
    </xf>
    <xf numFmtId="0" fontId="11" fillId="6" borderId="19" xfId="0" applyFont="1" applyFill="1" applyBorder="1"/>
    <xf numFmtId="0" fontId="20" fillId="19" borderId="34" xfId="0" applyFont="1" applyFill="1" applyBorder="1" applyAlignment="1">
      <alignment horizontal="center" vertical="center" wrapText="1"/>
    </xf>
    <xf numFmtId="0" fontId="20" fillId="19" borderId="35" xfId="0" applyFont="1" applyFill="1" applyBorder="1" applyAlignment="1">
      <alignment horizontal="center" vertical="center" wrapText="1"/>
    </xf>
    <xf numFmtId="0" fontId="20" fillId="19" borderId="36" xfId="0" applyFont="1" applyFill="1" applyBorder="1" applyAlignment="1">
      <alignment horizontal="center" vertical="center" wrapText="1"/>
    </xf>
    <xf numFmtId="0" fontId="20" fillId="19" borderId="37" xfId="0" applyFont="1" applyFill="1" applyBorder="1" applyAlignment="1">
      <alignment horizontal="center" vertical="center" wrapText="1"/>
    </xf>
    <xf numFmtId="0" fontId="20" fillId="19" borderId="19" xfId="0" applyFont="1" applyFill="1" applyBorder="1" applyAlignment="1">
      <alignment horizontal="center" vertical="center" wrapText="1"/>
    </xf>
    <xf numFmtId="0" fontId="20" fillId="19" borderId="38" xfId="0" applyFont="1" applyFill="1" applyBorder="1" applyAlignment="1">
      <alignment horizontal="center" vertical="center" wrapText="1"/>
    </xf>
    <xf numFmtId="0" fontId="20" fillId="19" borderId="39" xfId="0" applyFont="1" applyFill="1" applyBorder="1" applyAlignment="1">
      <alignment horizontal="center" vertical="center" wrapText="1"/>
    </xf>
    <xf numFmtId="0" fontId="20" fillId="19" borderId="40" xfId="0" applyFont="1" applyFill="1" applyBorder="1" applyAlignment="1">
      <alignment horizontal="center" vertical="center" wrapText="1"/>
    </xf>
    <xf numFmtId="0" fontId="20" fillId="19" borderId="32" xfId="0" applyFont="1" applyFill="1" applyBorder="1" applyAlignment="1">
      <alignment horizontal="center" vertical="center" wrapText="1"/>
    </xf>
    <xf numFmtId="164" fontId="7" fillId="0" borderId="33" xfId="0" applyNumberFormat="1" applyFont="1" applyBorder="1" applyAlignment="1">
      <alignment horizontal="center" vertical="center"/>
    </xf>
    <xf numFmtId="164" fontId="7" fillId="0" borderId="41" xfId="0" applyNumberFormat="1" applyFont="1" applyBorder="1" applyAlignment="1">
      <alignment horizontal="center" vertical="center"/>
    </xf>
    <xf numFmtId="0" fontId="8" fillId="10" borderId="30" xfId="0" applyFont="1" applyFill="1" applyBorder="1" applyAlignment="1">
      <alignment horizontal="center" vertical="center"/>
    </xf>
    <xf numFmtId="0" fontId="9" fillId="10" borderId="30" xfId="0" applyFont="1" applyFill="1" applyBorder="1" applyAlignment="1">
      <alignment horizontal="center" vertical="center"/>
    </xf>
    <xf numFmtId="0" fontId="19" fillId="22" borderId="28" xfId="0" applyFont="1" applyFill="1" applyBorder="1" applyAlignment="1">
      <alignment horizontal="center" vertical="center"/>
    </xf>
    <xf numFmtId="0" fontId="19" fillId="22" borderId="19"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144991</xdr:colOff>
      <xdr:row>37</xdr:row>
      <xdr:rowOff>133349</xdr:rowOff>
    </xdr:from>
    <xdr:to>
      <xdr:col>17</xdr:col>
      <xdr:colOff>392641</xdr:colOff>
      <xdr:row>57</xdr:row>
      <xdr:rowOff>71670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1074" y="9457266"/>
          <a:ext cx="8354484" cy="386473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997"/>
  <sheetViews>
    <sheetView tabSelected="1" zoomScale="61" zoomScaleNormal="90" workbookViewId="0">
      <selection activeCell="I14" sqref="I14"/>
    </sheetView>
  </sheetViews>
  <sheetFormatPr defaultColWidth="14.44140625" defaultRowHeight="15" customHeight="1" x14ac:dyDescent="0.3"/>
  <cols>
    <col min="1" max="1" width="5.88671875" customWidth="1"/>
    <col min="2" max="2" width="7.6640625" customWidth="1"/>
    <col min="3" max="3" width="8.88671875" customWidth="1"/>
    <col min="4" max="4" width="21.88671875" customWidth="1"/>
    <col min="5" max="5" width="5.109375" customWidth="1"/>
    <col min="6" max="6" width="12" customWidth="1"/>
    <col min="7" max="7" width="6" customWidth="1"/>
    <col min="8" max="8" width="6.5546875" customWidth="1"/>
    <col min="9" max="9" width="15.44140625" customWidth="1"/>
    <col min="10" max="10" width="13.33203125" customWidth="1"/>
    <col min="11" max="11" width="9.109375" customWidth="1"/>
    <col min="12" max="12" width="19.6640625" customWidth="1"/>
    <col min="13" max="13" width="16.6640625" customWidth="1"/>
    <col min="14" max="14" width="15.44140625" customWidth="1"/>
    <col min="15" max="15" width="18.6640625" customWidth="1"/>
    <col min="16" max="16" width="14" customWidth="1"/>
    <col min="17" max="17" width="22.6640625" customWidth="1"/>
    <col min="18" max="18" width="13.33203125" customWidth="1"/>
    <col min="19" max="21" width="8.88671875" customWidth="1"/>
    <col min="22" max="22" width="11.44140625" customWidth="1"/>
    <col min="23" max="26" width="8.6640625" customWidth="1"/>
  </cols>
  <sheetData>
    <row r="1" spans="2:18" ht="14.25" customHeight="1" x14ac:dyDescent="0.3"/>
    <row r="2" spans="2:18" ht="15" customHeight="1" x14ac:dyDescent="0.3">
      <c r="D2" s="149" t="s">
        <v>93</v>
      </c>
      <c r="E2" s="150"/>
      <c r="F2" s="150"/>
      <c r="G2" s="150"/>
      <c r="H2" s="150"/>
      <c r="I2" s="150"/>
      <c r="J2" s="150"/>
      <c r="K2" s="150"/>
      <c r="L2" s="150"/>
      <c r="M2" s="150"/>
      <c r="N2" s="150"/>
      <c r="O2" s="150"/>
      <c r="P2" s="150"/>
    </row>
    <row r="3" spans="2:18" ht="15" customHeight="1" x14ac:dyDescent="0.3">
      <c r="D3" s="149"/>
      <c r="E3" s="150"/>
      <c r="F3" s="150"/>
      <c r="G3" s="150"/>
      <c r="H3" s="150"/>
      <c r="I3" s="150"/>
      <c r="J3" s="150"/>
      <c r="K3" s="150"/>
      <c r="L3" s="150"/>
      <c r="M3" s="150"/>
      <c r="N3" s="150"/>
      <c r="O3" s="150"/>
      <c r="P3" s="150"/>
    </row>
    <row r="4" spans="2:18" ht="16.5" customHeight="1" thickBot="1" x14ac:dyDescent="0.35"/>
    <row r="5" spans="2:18" ht="21.75" customHeight="1" x14ac:dyDescent="0.3">
      <c r="B5" s="32"/>
      <c r="C5" s="132"/>
      <c r="D5" s="133"/>
      <c r="E5" s="33"/>
      <c r="F5" s="33"/>
      <c r="G5" s="33"/>
      <c r="H5" s="34"/>
      <c r="I5" s="34"/>
      <c r="J5" s="35"/>
      <c r="L5" s="116" t="s">
        <v>90</v>
      </c>
      <c r="M5" s="116"/>
      <c r="O5" s="116" t="s">
        <v>92</v>
      </c>
      <c r="P5" s="116"/>
    </row>
    <row r="6" spans="2:18" ht="14.25" customHeight="1" x14ac:dyDescent="0.3">
      <c r="B6" s="36"/>
      <c r="C6" s="134"/>
      <c r="D6" s="135"/>
      <c r="E6" s="29"/>
      <c r="F6" s="29"/>
      <c r="G6" s="29"/>
      <c r="H6" s="30"/>
      <c r="I6" s="30"/>
      <c r="J6" s="37"/>
      <c r="L6" s="116"/>
      <c r="M6" s="116"/>
      <c r="O6" s="116"/>
      <c r="P6" s="116"/>
    </row>
    <row r="7" spans="2:18" ht="21.75" customHeight="1" x14ac:dyDescent="0.35">
      <c r="B7" s="40" t="s">
        <v>9</v>
      </c>
      <c r="C7" s="77" t="s">
        <v>10</v>
      </c>
      <c r="D7" s="78"/>
      <c r="E7" s="42" t="s">
        <v>0</v>
      </c>
      <c r="F7" s="43">
        <v>35</v>
      </c>
      <c r="G7" s="42"/>
      <c r="H7" s="44"/>
      <c r="I7" s="44"/>
      <c r="J7" s="45"/>
      <c r="L7" s="123" t="s">
        <v>11</v>
      </c>
      <c r="M7" s="123" t="s">
        <v>12</v>
      </c>
      <c r="N7" s="21"/>
      <c r="O7" s="122" t="s">
        <v>60</v>
      </c>
      <c r="P7" s="120" t="s">
        <v>61</v>
      </c>
      <c r="Q7" s="3"/>
      <c r="R7" s="6"/>
    </row>
    <row r="8" spans="2:18" ht="31.5" customHeight="1" x14ac:dyDescent="0.35">
      <c r="B8" s="40" t="s">
        <v>14</v>
      </c>
      <c r="C8" s="77" t="s">
        <v>15</v>
      </c>
      <c r="D8" s="78"/>
      <c r="E8" s="78"/>
      <c r="F8" s="78"/>
      <c r="G8" s="78"/>
      <c r="H8" s="44" t="s">
        <v>0</v>
      </c>
      <c r="I8" s="46">
        <f>F7+1.65*M12</f>
        <v>43.25</v>
      </c>
      <c r="J8" s="47" t="s">
        <v>89</v>
      </c>
      <c r="L8" s="124"/>
      <c r="M8" s="124"/>
      <c r="N8" s="21"/>
      <c r="O8" s="107"/>
      <c r="P8" s="121"/>
      <c r="Q8" s="3"/>
      <c r="R8" s="7"/>
    </row>
    <row r="9" spans="2:18" ht="17.25" customHeight="1" x14ac:dyDescent="0.35">
      <c r="B9" s="40"/>
      <c r="C9" s="42"/>
      <c r="D9" s="42"/>
      <c r="E9" s="42"/>
      <c r="F9" s="42"/>
      <c r="G9" s="42"/>
      <c r="H9" s="44"/>
      <c r="I9" s="44"/>
      <c r="J9" s="45"/>
      <c r="L9" s="81"/>
      <c r="M9" s="81"/>
      <c r="N9" s="21"/>
      <c r="O9" s="22">
        <v>26.66</v>
      </c>
      <c r="P9" s="23">
        <v>0.62</v>
      </c>
      <c r="Q9" s="4"/>
      <c r="R9" s="4"/>
    </row>
    <row r="10" spans="2:18" ht="20.25" customHeight="1" x14ac:dyDescent="0.35">
      <c r="B10" s="40" t="s">
        <v>16</v>
      </c>
      <c r="C10" s="77" t="s">
        <v>17</v>
      </c>
      <c r="D10" s="78"/>
      <c r="E10" s="42" t="s">
        <v>0</v>
      </c>
      <c r="F10" s="48">
        <f>P12</f>
        <v>0.45</v>
      </c>
      <c r="G10" s="42"/>
      <c r="H10" s="44"/>
      <c r="I10" s="44"/>
      <c r="J10" s="45"/>
      <c r="L10" s="24" t="s">
        <v>18</v>
      </c>
      <c r="M10" s="117">
        <v>4</v>
      </c>
      <c r="N10" s="25">
        <f>(20+1.64*4)</f>
        <v>26.56</v>
      </c>
      <c r="O10" s="22">
        <v>31.56</v>
      </c>
      <c r="P10" s="23">
        <v>0.56999999999999995</v>
      </c>
      <c r="Q10" s="5"/>
      <c r="R10" s="4"/>
    </row>
    <row r="11" spans="2:18" ht="19.5" customHeight="1" x14ac:dyDescent="0.35">
      <c r="B11" s="40"/>
      <c r="C11" s="42"/>
      <c r="D11" s="42"/>
      <c r="E11" s="42"/>
      <c r="F11" s="42"/>
      <c r="G11" s="42"/>
      <c r="H11" s="44"/>
      <c r="I11" s="44"/>
      <c r="J11" s="45"/>
      <c r="L11" s="24" t="s">
        <v>19</v>
      </c>
      <c r="M11" s="119"/>
      <c r="N11" s="25">
        <f>(25+1.64*4)</f>
        <v>31.56</v>
      </c>
      <c r="O11" s="22">
        <v>38.200000000000003</v>
      </c>
      <c r="P11" s="23">
        <v>0.48</v>
      </c>
      <c r="Q11" s="4"/>
      <c r="R11" s="4"/>
    </row>
    <row r="12" spans="2:18" ht="16.5" customHeight="1" x14ac:dyDescent="0.35">
      <c r="B12" s="40"/>
      <c r="C12" s="42"/>
      <c r="D12" s="42"/>
      <c r="E12" s="42"/>
      <c r="F12" s="42"/>
      <c r="G12" s="42"/>
      <c r="H12" s="44"/>
      <c r="I12" s="44"/>
      <c r="J12" s="45"/>
      <c r="L12" s="24" t="s">
        <v>20</v>
      </c>
      <c r="M12" s="117">
        <v>5</v>
      </c>
      <c r="N12" s="26">
        <f>(30+1.64*5)</f>
        <v>38.200000000000003</v>
      </c>
      <c r="O12" s="22">
        <v>43.2</v>
      </c>
      <c r="P12" s="23">
        <v>0.45</v>
      </c>
      <c r="Q12" s="4"/>
      <c r="R12" s="4"/>
    </row>
    <row r="13" spans="2:18" ht="21" customHeight="1" x14ac:dyDescent="0.35">
      <c r="B13" s="40"/>
      <c r="C13" s="42"/>
      <c r="D13" s="42"/>
      <c r="E13" s="42"/>
      <c r="F13" s="42"/>
      <c r="G13" s="42"/>
      <c r="H13" s="44"/>
      <c r="I13" s="44"/>
      <c r="J13" s="45"/>
      <c r="L13" s="24" t="s">
        <v>21</v>
      </c>
      <c r="M13" s="118"/>
      <c r="N13" s="26">
        <f>(35+1.64*5)</f>
        <v>43.2</v>
      </c>
      <c r="O13" s="22">
        <v>48.2</v>
      </c>
      <c r="P13" s="23">
        <v>0.4</v>
      </c>
      <c r="Q13" s="4"/>
      <c r="R13" s="4"/>
    </row>
    <row r="14" spans="2:18" ht="18" customHeight="1" x14ac:dyDescent="0.35">
      <c r="B14" s="40" t="s">
        <v>22</v>
      </c>
      <c r="C14" s="77" t="s">
        <v>23</v>
      </c>
      <c r="D14" s="78"/>
      <c r="E14" s="78"/>
      <c r="F14" s="78"/>
      <c r="G14" s="78"/>
      <c r="H14" s="44" t="s">
        <v>0</v>
      </c>
      <c r="I14" s="48">
        <v>20</v>
      </c>
      <c r="J14" s="45" t="s">
        <v>1</v>
      </c>
      <c r="L14" s="24" t="s">
        <v>24</v>
      </c>
      <c r="M14" s="118"/>
      <c r="N14" s="26">
        <f>(40+1.64*5)</f>
        <v>48.2</v>
      </c>
      <c r="O14" s="21"/>
      <c r="P14" s="21"/>
    </row>
    <row r="15" spans="2:18" ht="27" customHeight="1" x14ac:dyDescent="0.35">
      <c r="B15" s="40"/>
      <c r="C15" s="42"/>
      <c r="D15" s="42"/>
      <c r="E15" s="42"/>
      <c r="F15" s="42"/>
      <c r="G15" s="42"/>
      <c r="H15" s="44"/>
      <c r="I15" s="44"/>
      <c r="J15" s="45"/>
      <c r="L15" s="24" t="s">
        <v>25</v>
      </c>
      <c r="M15" s="119"/>
      <c r="N15" s="26">
        <f>(45+1.64*5)</f>
        <v>53.2</v>
      </c>
      <c r="O15" s="116" t="s">
        <v>91</v>
      </c>
      <c r="P15" s="116"/>
    </row>
    <row r="16" spans="2:18" ht="14.25" customHeight="1" x14ac:dyDescent="0.35">
      <c r="B16" s="40"/>
      <c r="C16" s="42"/>
      <c r="D16" s="42"/>
      <c r="E16" s="42"/>
      <c r="F16" s="42"/>
      <c r="G16" s="42"/>
      <c r="H16" s="44"/>
      <c r="I16" s="44"/>
      <c r="J16" s="45"/>
      <c r="L16" s="21"/>
      <c r="M16" s="21"/>
      <c r="N16" s="21"/>
      <c r="O16" s="122" t="s">
        <v>28</v>
      </c>
      <c r="P16" s="120" t="s">
        <v>3</v>
      </c>
    </row>
    <row r="17" spans="2:26" ht="20.25" customHeight="1" x14ac:dyDescent="0.35">
      <c r="B17" s="40"/>
      <c r="C17" s="42"/>
      <c r="D17" s="42"/>
      <c r="E17" s="42"/>
      <c r="F17" s="42"/>
      <c r="G17" s="42"/>
      <c r="H17" s="44"/>
      <c r="I17" s="44"/>
      <c r="J17" s="45"/>
      <c r="L17" s="125"/>
      <c r="M17" s="126"/>
      <c r="N17" s="126"/>
      <c r="O17" s="107"/>
      <c r="P17" s="121"/>
    </row>
    <row r="18" spans="2:26" ht="17.25" customHeight="1" x14ac:dyDescent="0.35">
      <c r="B18" s="40" t="s">
        <v>26</v>
      </c>
      <c r="C18" s="77" t="s">
        <v>27</v>
      </c>
      <c r="D18" s="78"/>
      <c r="E18" s="78"/>
      <c r="F18" s="78"/>
      <c r="G18" s="78"/>
      <c r="H18" s="44" t="s">
        <v>0</v>
      </c>
      <c r="I18" s="46" t="str">
        <f>IF(I14=20,"186",IF(I14=10,"208",IF(I14=40,"165")))</f>
        <v>186</v>
      </c>
      <c r="J18" s="45" t="s">
        <v>87</v>
      </c>
      <c r="L18" s="126"/>
      <c r="M18" s="126"/>
      <c r="N18" s="126"/>
      <c r="O18" s="27">
        <v>10</v>
      </c>
      <c r="P18" s="28">
        <v>208</v>
      </c>
    </row>
    <row r="19" spans="2:26" ht="19.5" customHeight="1" x14ac:dyDescent="0.35">
      <c r="B19" s="40"/>
      <c r="C19" s="42"/>
      <c r="D19" s="42"/>
      <c r="E19" s="42"/>
      <c r="F19" s="42"/>
      <c r="G19" s="42"/>
      <c r="H19" s="44"/>
      <c r="I19" s="44"/>
      <c r="J19" s="45"/>
      <c r="L19" s="126"/>
      <c r="M19" s="126"/>
      <c r="N19" s="126"/>
      <c r="O19" s="27">
        <v>20</v>
      </c>
      <c r="P19" s="28">
        <v>186</v>
      </c>
    </row>
    <row r="20" spans="2:26" ht="21" customHeight="1" x14ac:dyDescent="0.35">
      <c r="B20" s="40"/>
      <c r="C20" s="42"/>
      <c r="D20" s="42"/>
      <c r="E20" s="42"/>
      <c r="F20" s="42"/>
      <c r="G20" s="42"/>
      <c r="H20" s="44"/>
      <c r="I20" s="42"/>
      <c r="J20" s="45"/>
      <c r="L20" s="126"/>
      <c r="M20" s="126"/>
      <c r="N20" s="126"/>
      <c r="O20" s="27">
        <v>40</v>
      </c>
      <c r="P20" s="28">
        <v>165</v>
      </c>
    </row>
    <row r="21" spans="2:26" ht="14.25" customHeight="1" thickBot="1" x14ac:dyDescent="0.4">
      <c r="B21" s="40"/>
      <c r="C21" s="42"/>
      <c r="D21" s="42"/>
      <c r="E21" s="42"/>
      <c r="F21" s="42"/>
      <c r="G21" s="42"/>
      <c r="H21" s="44"/>
      <c r="I21" s="44"/>
      <c r="J21" s="45"/>
      <c r="L21" s="126"/>
      <c r="M21" s="126"/>
      <c r="N21" s="126"/>
    </row>
    <row r="22" spans="2:26" ht="18" customHeight="1" x14ac:dyDescent="0.35">
      <c r="B22" s="40"/>
      <c r="C22" s="42"/>
      <c r="D22" s="42"/>
      <c r="E22" s="42"/>
      <c r="F22" s="42"/>
      <c r="G22" s="42"/>
      <c r="H22" s="44"/>
      <c r="I22" s="44"/>
      <c r="J22" s="45"/>
      <c r="N22" s="8"/>
      <c r="O22" s="57" t="s">
        <v>17</v>
      </c>
      <c r="Q22" s="39">
        <f>(O23-P24)</f>
        <v>-4.9999999999999989E-2</v>
      </c>
      <c r="R22" s="136" t="s">
        <v>64</v>
      </c>
      <c r="S22" s="137"/>
      <c r="T22" s="137"/>
      <c r="U22" s="137"/>
      <c r="V22" s="137"/>
      <c r="W22" s="137"/>
      <c r="X22" s="137"/>
      <c r="Y22" s="137"/>
      <c r="Z22" s="138"/>
    </row>
    <row r="23" spans="2:26" ht="21" customHeight="1" x14ac:dyDescent="0.35">
      <c r="B23" s="40" t="s">
        <v>29</v>
      </c>
      <c r="C23" s="79" t="s">
        <v>63</v>
      </c>
      <c r="D23" s="79"/>
      <c r="E23" s="79"/>
      <c r="F23" s="79"/>
      <c r="G23" s="79"/>
      <c r="H23" s="44" t="s">
        <v>0</v>
      </c>
      <c r="I23" s="48">
        <v>0.58499999999999996</v>
      </c>
      <c r="J23" s="45" t="s">
        <v>88</v>
      </c>
      <c r="L23" s="147" t="s">
        <v>71</v>
      </c>
      <c r="M23" s="148"/>
      <c r="N23" s="148"/>
      <c r="O23" s="38">
        <f>F10</f>
        <v>0.45</v>
      </c>
      <c r="P23" s="112" t="s">
        <v>66</v>
      </c>
      <c r="Q23" s="113"/>
      <c r="R23" s="139"/>
      <c r="S23" s="140"/>
      <c r="T23" s="140"/>
      <c r="U23" s="140"/>
      <c r="V23" s="140"/>
      <c r="W23" s="140"/>
      <c r="X23" s="140"/>
      <c r="Y23" s="140"/>
      <c r="Z23" s="141"/>
    </row>
    <row r="24" spans="2:26" ht="18.75" customHeight="1" x14ac:dyDescent="0.35">
      <c r="B24" s="40"/>
      <c r="C24" s="79"/>
      <c r="D24" s="79"/>
      <c r="E24" s="79"/>
      <c r="F24" s="79"/>
      <c r="G24" s="79"/>
      <c r="H24" s="44"/>
      <c r="I24" s="44"/>
      <c r="J24" s="45"/>
      <c r="L24" s="69" t="s">
        <v>65</v>
      </c>
      <c r="M24" s="69"/>
      <c r="N24" s="69"/>
      <c r="O24" s="127">
        <v>0.64</v>
      </c>
      <c r="P24" s="114">
        <v>0.5</v>
      </c>
      <c r="Q24" s="115"/>
      <c r="R24" s="139"/>
      <c r="S24" s="140"/>
      <c r="T24" s="140"/>
      <c r="U24" s="140"/>
      <c r="V24" s="140"/>
      <c r="W24" s="140"/>
      <c r="X24" s="140"/>
      <c r="Y24" s="140"/>
      <c r="Z24" s="141"/>
    </row>
    <row r="25" spans="2:26" ht="16.5" customHeight="1" x14ac:dyDescent="0.35">
      <c r="B25" s="40"/>
      <c r="C25" s="42"/>
      <c r="D25" s="42"/>
      <c r="E25" s="42"/>
      <c r="F25" s="42"/>
      <c r="G25" s="42"/>
      <c r="H25" s="44"/>
      <c r="I25" s="44"/>
      <c r="J25" s="45"/>
      <c r="L25" s="69"/>
      <c r="M25" s="69"/>
      <c r="N25" s="69"/>
      <c r="O25" s="127"/>
      <c r="P25" s="114"/>
      <c r="Q25" s="115"/>
      <c r="R25" s="139"/>
      <c r="S25" s="140"/>
      <c r="T25" s="140"/>
      <c r="U25" s="140"/>
      <c r="V25" s="140"/>
      <c r="W25" s="140"/>
      <c r="X25" s="140"/>
      <c r="Y25" s="140"/>
      <c r="Z25" s="141"/>
    </row>
    <row r="26" spans="2:26" ht="30.75" customHeight="1" x14ac:dyDescent="0.35">
      <c r="B26" s="40"/>
      <c r="C26" s="77" t="s">
        <v>30</v>
      </c>
      <c r="D26" s="78"/>
      <c r="E26" s="78"/>
      <c r="F26" s="78"/>
      <c r="G26" s="78"/>
      <c r="H26" s="44" t="s">
        <v>0</v>
      </c>
      <c r="I26" s="48">
        <v>3</v>
      </c>
      <c r="J26" s="45"/>
      <c r="L26" s="69"/>
      <c r="M26" s="69"/>
      <c r="N26" s="69"/>
      <c r="O26" s="127"/>
      <c r="P26" s="114"/>
      <c r="Q26" s="115"/>
      <c r="R26" s="139"/>
      <c r="S26" s="140"/>
      <c r="T26" s="140"/>
      <c r="U26" s="140"/>
      <c r="V26" s="140"/>
      <c r="W26" s="140"/>
      <c r="X26" s="140"/>
      <c r="Y26" s="140"/>
      <c r="Z26" s="141"/>
    </row>
    <row r="27" spans="2:26" ht="34.5" customHeight="1" x14ac:dyDescent="0.35">
      <c r="B27" s="40"/>
      <c r="C27" s="42"/>
      <c r="D27" s="42"/>
      <c r="E27" s="42"/>
      <c r="F27" s="42"/>
      <c r="G27" s="42"/>
      <c r="H27" s="42"/>
      <c r="I27" s="44"/>
      <c r="J27" s="45"/>
      <c r="L27" s="69" t="s">
        <v>67</v>
      </c>
      <c r="M27" s="69"/>
      <c r="N27" s="69"/>
      <c r="O27" s="56">
        <f>(Q22/0.05)</f>
        <v>-0.99999999999999978</v>
      </c>
      <c r="P27" s="145">
        <f>(O24)-((O24)*(O27/100))</f>
        <v>0.64639999999999997</v>
      </c>
      <c r="Q27" s="146"/>
      <c r="R27" s="139"/>
      <c r="S27" s="140"/>
      <c r="T27" s="140"/>
      <c r="U27" s="140"/>
      <c r="V27" s="140"/>
      <c r="W27" s="140"/>
      <c r="X27" s="140"/>
      <c r="Y27" s="140"/>
      <c r="Z27" s="141"/>
    </row>
    <row r="28" spans="2:26" ht="22.5" customHeight="1" thickBot="1" x14ac:dyDescent="0.4">
      <c r="B28" s="40"/>
      <c r="C28" s="42" t="s">
        <v>68</v>
      </c>
      <c r="D28" s="42"/>
      <c r="E28" s="42"/>
      <c r="F28" s="42"/>
      <c r="G28" s="42"/>
      <c r="H28" s="44" t="s">
        <v>0</v>
      </c>
      <c r="I28" s="61">
        <f>1-I23</f>
        <v>0.41500000000000004</v>
      </c>
      <c r="J28" s="45" t="s">
        <v>88</v>
      </c>
      <c r="L28" s="12"/>
      <c r="M28" s="12"/>
      <c r="N28" s="12"/>
      <c r="O28" s="13"/>
      <c r="P28" s="13"/>
      <c r="Q28" s="4"/>
      <c r="R28" s="142"/>
      <c r="S28" s="143"/>
      <c r="T28" s="143"/>
      <c r="U28" s="143"/>
      <c r="V28" s="143"/>
      <c r="W28" s="143"/>
      <c r="X28" s="143"/>
      <c r="Y28" s="143"/>
      <c r="Z28" s="144"/>
    </row>
    <row r="29" spans="2:26" ht="19.5" customHeight="1" x14ac:dyDescent="0.35">
      <c r="B29" s="40"/>
      <c r="C29" s="42"/>
      <c r="D29" s="42"/>
      <c r="E29" s="42"/>
      <c r="F29" s="42"/>
      <c r="G29" s="42"/>
      <c r="H29" s="44"/>
      <c r="I29" s="50"/>
      <c r="J29" s="45"/>
      <c r="L29" s="71" t="s">
        <v>62</v>
      </c>
      <c r="M29" s="72"/>
      <c r="N29" s="72"/>
      <c r="O29" s="69" t="s">
        <v>96</v>
      </c>
      <c r="P29" s="70"/>
      <c r="Q29" s="70"/>
      <c r="R29" s="11"/>
      <c r="S29" s="11"/>
      <c r="T29" s="11"/>
      <c r="U29" s="11"/>
      <c r="V29" s="11"/>
      <c r="W29" s="11"/>
      <c r="X29" s="11"/>
      <c r="Y29" s="11"/>
    </row>
    <row r="30" spans="2:26" ht="15.75" customHeight="1" x14ac:dyDescent="0.35">
      <c r="B30" s="40"/>
      <c r="C30" s="42"/>
      <c r="D30" s="42"/>
      <c r="E30" s="42"/>
      <c r="F30" s="42"/>
      <c r="G30" s="42"/>
      <c r="H30" s="44"/>
      <c r="I30" s="50"/>
      <c r="J30" s="45"/>
      <c r="K30" s="14"/>
      <c r="L30" s="60" t="s">
        <v>72</v>
      </c>
      <c r="M30" s="63" t="s">
        <v>73</v>
      </c>
      <c r="N30" s="63"/>
      <c r="O30" s="70"/>
      <c r="P30" s="70"/>
      <c r="Q30" s="70"/>
      <c r="R30" s="11"/>
      <c r="S30" s="11"/>
      <c r="T30" s="11"/>
      <c r="U30" s="11"/>
      <c r="V30" s="11"/>
      <c r="W30" s="11"/>
      <c r="X30" s="11"/>
      <c r="Y30" s="11"/>
    </row>
    <row r="31" spans="2:26" ht="24" customHeight="1" x14ac:dyDescent="0.35">
      <c r="B31" s="40"/>
      <c r="C31" s="42" t="s">
        <v>69</v>
      </c>
      <c r="D31" s="42"/>
      <c r="E31" s="42"/>
      <c r="F31" s="42"/>
      <c r="G31" s="42"/>
      <c r="H31" s="44" t="s">
        <v>0</v>
      </c>
      <c r="I31" s="48">
        <v>175</v>
      </c>
      <c r="J31" s="45" t="s">
        <v>1</v>
      </c>
      <c r="K31" s="14"/>
      <c r="L31" s="58" t="s">
        <v>74</v>
      </c>
      <c r="M31" s="63" t="s">
        <v>75</v>
      </c>
      <c r="N31" s="63"/>
      <c r="O31" s="70"/>
      <c r="P31" s="70"/>
      <c r="Q31" s="70"/>
      <c r="R31" s="11"/>
      <c r="S31" s="11"/>
      <c r="T31" s="11"/>
      <c r="U31" s="11"/>
      <c r="V31" s="11"/>
      <c r="W31" s="11"/>
      <c r="X31" s="11"/>
      <c r="Y31" s="11"/>
    </row>
    <row r="32" spans="2:26" ht="21" customHeight="1" x14ac:dyDescent="0.35">
      <c r="B32" s="40"/>
      <c r="C32" s="42" t="s">
        <v>70</v>
      </c>
      <c r="D32" s="42"/>
      <c r="E32" s="42"/>
      <c r="F32" s="42"/>
      <c r="G32" s="42"/>
      <c r="H32" s="44"/>
      <c r="I32" s="44"/>
      <c r="J32" s="45"/>
      <c r="K32" s="15">
        <f>I18+(I18*M32)</f>
        <v>191.58</v>
      </c>
      <c r="L32" s="58" t="s">
        <v>76</v>
      </c>
      <c r="M32" s="63">
        <v>0.03</v>
      </c>
      <c r="N32" s="63"/>
      <c r="O32" s="70"/>
      <c r="P32" s="70"/>
      <c r="Q32" s="70"/>
      <c r="R32" s="11"/>
      <c r="S32" s="11"/>
      <c r="T32" s="11"/>
      <c r="U32" s="11"/>
      <c r="V32" s="11"/>
      <c r="W32" s="11"/>
      <c r="X32" s="11"/>
      <c r="Y32" s="11"/>
    </row>
    <row r="33" spans="2:25" ht="24" customHeight="1" x14ac:dyDescent="0.35">
      <c r="B33" s="40"/>
      <c r="C33" s="42"/>
      <c r="D33" s="42"/>
      <c r="E33" s="42"/>
      <c r="F33" s="42"/>
      <c r="G33" s="42"/>
      <c r="H33" s="44"/>
      <c r="I33" s="44"/>
      <c r="J33" s="45"/>
      <c r="K33" s="15">
        <f>I18+(I18*M33)</f>
        <v>197.16</v>
      </c>
      <c r="L33" s="58" t="s">
        <v>77</v>
      </c>
      <c r="M33" s="63">
        <v>0.06</v>
      </c>
      <c r="N33" s="63"/>
      <c r="O33" s="70"/>
      <c r="P33" s="70"/>
      <c r="Q33" s="70"/>
      <c r="R33" s="11"/>
      <c r="S33" s="11"/>
      <c r="T33" s="11"/>
      <c r="U33" s="11"/>
      <c r="V33" s="11"/>
      <c r="W33" s="11"/>
      <c r="X33" s="11"/>
      <c r="Y33" s="11"/>
    </row>
    <row r="34" spans="2:25" ht="27" customHeight="1" x14ac:dyDescent="0.35">
      <c r="B34" s="40"/>
      <c r="C34" s="42"/>
      <c r="D34" s="42"/>
      <c r="E34" s="42"/>
      <c r="F34" s="42"/>
      <c r="G34" s="42"/>
      <c r="H34" s="44"/>
      <c r="I34" s="44"/>
      <c r="J34" s="45"/>
      <c r="K34" s="15">
        <f>I18+(I18*M34)</f>
        <v>202.74</v>
      </c>
      <c r="L34" s="58" t="s">
        <v>78</v>
      </c>
      <c r="M34" s="63">
        <v>0.09</v>
      </c>
      <c r="N34" s="63"/>
      <c r="O34" s="70"/>
      <c r="P34" s="70"/>
      <c r="Q34" s="70"/>
      <c r="R34" s="11"/>
      <c r="S34" s="11"/>
      <c r="T34" s="11"/>
      <c r="U34" s="11"/>
      <c r="V34" s="11"/>
      <c r="W34" s="11"/>
      <c r="X34" s="11"/>
      <c r="Y34" s="11"/>
    </row>
    <row r="35" spans="2:25" ht="20.25" customHeight="1" thickBot="1" x14ac:dyDescent="0.4">
      <c r="B35" s="40"/>
      <c r="C35" s="42"/>
      <c r="D35" s="42"/>
      <c r="E35" s="42"/>
      <c r="F35" s="42"/>
      <c r="G35" s="42"/>
      <c r="H35" s="44"/>
      <c r="I35" s="44"/>
      <c r="J35" s="45"/>
      <c r="L35" s="59" t="s">
        <v>79</v>
      </c>
      <c r="M35" s="63">
        <v>0.12</v>
      </c>
      <c r="N35" s="63"/>
      <c r="R35" s="11"/>
      <c r="S35" s="11"/>
      <c r="T35" s="11"/>
      <c r="U35" s="11"/>
      <c r="V35" s="11"/>
      <c r="W35" s="11"/>
      <c r="X35" s="11"/>
      <c r="Y35" s="11"/>
    </row>
    <row r="36" spans="2:25" ht="21" customHeight="1" thickBot="1" x14ac:dyDescent="0.4">
      <c r="B36" s="40"/>
      <c r="C36" s="42"/>
      <c r="D36" s="42"/>
      <c r="E36" s="42"/>
      <c r="F36" s="42"/>
      <c r="G36" s="42"/>
      <c r="H36" s="44"/>
      <c r="I36" s="44"/>
      <c r="J36" s="45"/>
      <c r="L36" s="59" t="s">
        <v>98</v>
      </c>
      <c r="M36" s="63">
        <v>0.15</v>
      </c>
      <c r="N36" s="63"/>
      <c r="O36" s="7"/>
      <c r="R36" s="11"/>
      <c r="S36" s="11"/>
      <c r="T36" s="11"/>
      <c r="U36" s="11"/>
      <c r="V36" s="11"/>
      <c r="W36" s="11"/>
      <c r="X36" s="11"/>
      <c r="Y36" s="11"/>
    </row>
    <row r="37" spans="2:25" ht="15.75" customHeight="1" x14ac:dyDescent="0.35">
      <c r="B37" s="40" t="s">
        <v>31</v>
      </c>
      <c r="C37" s="77" t="s">
        <v>99</v>
      </c>
      <c r="D37" s="78"/>
      <c r="E37" s="78"/>
      <c r="F37" s="78"/>
      <c r="G37" s="78"/>
      <c r="H37" s="44" t="s">
        <v>0</v>
      </c>
      <c r="I37" s="49" t="str">
        <f>IF(I31=50,"186",IF(I31=75,"191.58",IF(I31=100,"197.16",IF(I31=125,"202.74",IF(I31=150,"208.32",IF(I31=175,"213.9"))))))</f>
        <v>213.9</v>
      </c>
      <c r="J37" s="45" t="s">
        <v>87</v>
      </c>
      <c r="L37" s="7"/>
      <c r="M37" s="7"/>
      <c r="N37" s="8"/>
      <c r="O37" s="7"/>
      <c r="R37" s="11"/>
      <c r="S37" s="11"/>
      <c r="T37" s="11"/>
      <c r="U37" s="11"/>
      <c r="V37" s="11"/>
      <c r="W37" s="11"/>
      <c r="X37" s="11"/>
      <c r="Y37" s="11"/>
    </row>
    <row r="38" spans="2:25" ht="14.25" customHeight="1" x14ac:dyDescent="0.35">
      <c r="B38" s="40"/>
      <c r="C38" s="42"/>
      <c r="D38" s="42"/>
      <c r="E38" s="42"/>
      <c r="F38" s="42"/>
      <c r="G38" s="42"/>
      <c r="H38" s="44"/>
      <c r="I38" s="44"/>
      <c r="J38" s="45"/>
      <c r="L38" s="9"/>
      <c r="M38" s="10"/>
      <c r="N38" s="10"/>
      <c r="O38" s="10"/>
    </row>
    <row r="39" spans="2:25" ht="14.25" customHeight="1" x14ac:dyDescent="0.35">
      <c r="B39" s="40" t="s">
        <v>100</v>
      </c>
      <c r="C39" s="42" t="s">
        <v>101</v>
      </c>
      <c r="D39" s="42"/>
      <c r="E39" s="42"/>
      <c r="F39" s="42"/>
      <c r="G39" s="42"/>
      <c r="H39" s="44" t="s">
        <v>0</v>
      </c>
      <c r="I39" s="49">
        <f>I37- M36*I37</f>
        <v>181.815</v>
      </c>
      <c r="J39" s="45" t="s">
        <v>87</v>
      </c>
      <c r="L39" s="7"/>
      <c r="M39" s="7"/>
      <c r="N39" s="10"/>
      <c r="O39" s="10"/>
      <c r="T39" s="95" t="s">
        <v>32</v>
      </c>
      <c r="U39" s="95"/>
      <c r="V39" s="95" t="s">
        <v>13</v>
      </c>
    </row>
    <row r="40" spans="2:25" ht="14.25" customHeight="1" x14ac:dyDescent="0.35">
      <c r="B40" s="40"/>
      <c r="C40" s="42"/>
      <c r="D40" s="42"/>
      <c r="E40" s="42"/>
      <c r="F40" s="42"/>
      <c r="G40" s="42"/>
      <c r="H40" s="44"/>
      <c r="I40" s="44"/>
      <c r="J40" s="45"/>
      <c r="L40" s="7"/>
      <c r="M40" s="7"/>
      <c r="N40" s="10"/>
      <c r="O40" s="10"/>
      <c r="T40" s="87"/>
      <c r="U40" s="87"/>
      <c r="V40" s="87"/>
    </row>
    <row r="41" spans="2:25" ht="14.25" customHeight="1" x14ac:dyDescent="0.35">
      <c r="B41" s="40"/>
      <c r="C41" s="42"/>
      <c r="D41" s="42"/>
      <c r="E41" s="42"/>
      <c r="F41" s="42"/>
      <c r="G41" s="42"/>
      <c r="H41" s="44"/>
      <c r="I41" s="44"/>
      <c r="J41" s="45"/>
      <c r="L41" s="9"/>
      <c r="M41" s="10"/>
      <c r="N41" s="10"/>
      <c r="O41" s="10"/>
      <c r="T41" s="1">
        <v>0.35</v>
      </c>
      <c r="U41" s="1">
        <v>20</v>
      </c>
      <c r="V41" s="1">
        <v>46</v>
      </c>
    </row>
    <row r="42" spans="2:25" ht="14.25" customHeight="1" x14ac:dyDescent="0.35">
      <c r="B42" s="40" t="s">
        <v>33</v>
      </c>
      <c r="C42" s="77" t="s">
        <v>4</v>
      </c>
      <c r="D42" s="78"/>
      <c r="E42" s="78"/>
      <c r="F42" s="78"/>
      <c r="G42" s="78"/>
      <c r="H42" s="44" t="s">
        <v>0</v>
      </c>
      <c r="I42" s="49">
        <f>I39/F10</f>
        <v>404.0333333333333</v>
      </c>
      <c r="J42" s="45" t="s">
        <v>47</v>
      </c>
      <c r="L42" s="7"/>
      <c r="M42" s="7"/>
      <c r="N42" s="10"/>
      <c r="O42" s="10"/>
      <c r="T42" s="1">
        <v>0.4</v>
      </c>
      <c r="U42" s="1">
        <v>30</v>
      </c>
      <c r="V42" s="1">
        <v>37</v>
      </c>
    </row>
    <row r="43" spans="2:25" ht="14.25" customHeight="1" x14ac:dyDescent="0.35">
      <c r="B43" s="40"/>
      <c r="C43" s="42"/>
      <c r="D43" s="42"/>
      <c r="E43" s="42"/>
      <c r="F43" s="42"/>
      <c r="G43" s="42"/>
      <c r="H43" s="44"/>
      <c r="I43" s="44"/>
      <c r="J43" s="45"/>
      <c r="L43" s="7"/>
      <c r="M43" s="7"/>
      <c r="N43" s="10"/>
      <c r="O43" s="10"/>
      <c r="T43" s="1">
        <v>0.45</v>
      </c>
      <c r="U43" s="1">
        <v>40</v>
      </c>
      <c r="V43" s="1">
        <v>31</v>
      </c>
    </row>
    <row r="44" spans="2:25" ht="14.25" customHeight="1" x14ac:dyDescent="0.35">
      <c r="B44" s="40" t="s">
        <v>34</v>
      </c>
      <c r="C44" s="77" t="s">
        <v>35</v>
      </c>
      <c r="D44" s="78"/>
      <c r="E44" s="78"/>
      <c r="F44" s="78"/>
      <c r="G44" s="78"/>
      <c r="H44" s="44" t="s">
        <v>0</v>
      </c>
      <c r="I44" s="48">
        <v>2.93</v>
      </c>
      <c r="J44" s="45"/>
      <c r="L44" s="7"/>
      <c r="M44" s="7"/>
      <c r="N44" s="10"/>
      <c r="O44" s="10"/>
      <c r="T44" s="1">
        <v>0.5</v>
      </c>
      <c r="U44" s="1">
        <v>50</v>
      </c>
      <c r="V44" s="1">
        <v>26</v>
      </c>
    </row>
    <row r="45" spans="2:25" ht="14.25" customHeight="1" x14ac:dyDescent="0.35">
      <c r="B45" s="40"/>
      <c r="C45" s="42"/>
      <c r="D45" s="42"/>
      <c r="E45" s="42"/>
      <c r="F45" s="42"/>
      <c r="G45" s="42"/>
      <c r="H45" s="44"/>
      <c r="I45" s="44"/>
      <c r="J45" s="45"/>
      <c r="L45" s="8"/>
      <c r="M45" s="8"/>
      <c r="N45" s="128"/>
      <c r="O45" s="128"/>
      <c r="T45" s="1">
        <v>0.55000000000000004</v>
      </c>
      <c r="U45" s="1">
        <v>60</v>
      </c>
      <c r="V45" s="1">
        <v>21</v>
      </c>
    </row>
    <row r="46" spans="2:25" ht="14.25" customHeight="1" x14ac:dyDescent="0.35">
      <c r="B46" s="40" t="s">
        <v>36</v>
      </c>
      <c r="C46" s="77" t="s">
        <v>37</v>
      </c>
      <c r="D46" s="78"/>
      <c r="E46" s="44"/>
      <c r="F46" s="44"/>
      <c r="G46" s="44"/>
      <c r="H46" s="44"/>
      <c r="I46" s="44"/>
      <c r="J46" s="45"/>
      <c r="T46" s="1">
        <v>0.6</v>
      </c>
      <c r="U46" s="1">
        <v>70</v>
      </c>
      <c r="V46" s="1">
        <v>18</v>
      </c>
    </row>
    <row r="47" spans="2:25" ht="22.5" customHeight="1" x14ac:dyDescent="0.35">
      <c r="B47" s="40"/>
      <c r="C47" s="82" t="s">
        <v>38</v>
      </c>
      <c r="D47" s="78"/>
      <c r="E47" s="78"/>
      <c r="F47" s="78"/>
      <c r="G47" s="78"/>
      <c r="H47" s="44" t="s">
        <v>0</v>
      </c>
      <c r="I47" s="52">
        <v>2.65</v>
      </c>
      <c r="J47" s="45"/>
    </row>
    <row r="48" spans="2:25" ht="12" customHeight="1" x14ac:dyDescent="0.35">
      <c r="B48" s="40"/>
      <c r="C48" s="51"/>
      <c r="D48" s="41"/>
      <c r="E48" s="41"/>
      <c r="F48" s="41"/>
      <c r="G48" s="41"/>
      <c r="H48" s="44"/>
      <c r="I48" s="44"/>
      <c r="J48" s="45"/>
    </row>
    <row r="49" spans="2:14" ht="19.5" customHeight="1" x14ac:dyDescent="0.35">
      <c r="B49" s="40"/>
      <c r="C49" s="82" t="s">
        <v>39</v>
      </c>
      <c r="D49" s="78"/>
      <c r="E49" s="78"/>
      <c r="F49" s="78"/>
      <c r="G49" s="78"/>
      <c r="H49" s="44" t="s">
        <v>0</v>
      </c>
      <c r="I49" s="52">
        <v>2.82</v>
      </c>
      <c r="J49" s="45"/>
    </row>
    <row r="50" spans="2:14" ht="14.25" customHeight="1" x14ac:dyDescent="0.35">
      <c r="B50" s="40"/>
      <c r="C50" s="44"/>
      <c r="D50" s="44"/>
      <c r="E50" s="44"/>
      <c r="F50" s="44"/>
      <c r="G50" s="44"/>
      <c r="H50" s="44"/>
      <c r="I50" s="44"/>
      <c r="J50" s="45"/>
    </row>
    <row r="51" spans="2:14" ht="14.25" customHeight="1" x14ac:dyDescent="0.35">
      <c r="B51" s="40"/>
      <c r="C51" s="44"/>
      <c r="D51" s="44"/>
      <c r="E51" s="44"/>
      <c r="F51" s="44"/>
      <c r="G51" s="44"/>
      <c r="H51" s="44"/>
      <c r="I51" s="44"/>
      <c r="J51" s="45"/>
    </row>
    <row r="52" spans="2:14" ht="17.100000000000001" customHeight="1" x14ac:dyDescent="0.35">
      <c r="B52" s="40"/>
      <c r="C52" s="42"/>
      <c r="D52" s="42"/>
      <c r="E52" s="42"/>
      <c r="F52" s="42"/>
      <c r="G52" s="42"/>
      <c r="H52" s="44"/>
      <c r="I52" s="44"/>
      <c r="J52" s="45"/>
    </row>
    <row r="53" spans="2:14" ht="17.100000000000001" customHeight="1" x14ac:dyDescent="0.35">
      <c r="B53" s="40" t="s">
        <v>42</v>
      </c>
      <c r="C53" s="77" t="s">
        <v>86</v>
      </c>
      <c r="D53" s="78"/>
      <c r="E53" s="78"/>
      <c r="F53" s="78"/>
      <c r="G53" s="78"/>
      <c r="H53" s="44" t="s">
        <v>0</v>
      </c>
      <c r="I53" s="48">
        <v>1</v>
      </c>
      <c r="J53" s="45"/>
    </row>
    <row r="54" spans="2:14" ht="17.100000000000001" customHeight="1" x14ac:dyDescent="0.35">
      <c r="B54" s="40"/>
      <c r="C54" s="42"/>
      <c r="D54" s="42"/>
      <c r="E54" s="42"/>
      <c r="F54" s="42"/>
      <c r="G54" s="42"/>
      <c r="H54" s="44"/>
      <c r="I54" s="44"/>
      <c r="J54" s="45"/>
    </row>
    <row r="55" spans="2:14" ht="17.100000000000001" customHeight="1" x14ac:dyDescent="0.35">
      <c r="B55" s="40" t="s">
        <v>43</v>
      </c>
      <c r="C55" s="77" t="s">
        <v>83</v>
      </c>
      <c r="D55" s="78"/>
      <c r="E55" s="78"/>
      <c r="F55" s="78"/>
      <c r="G55" s="78"/>
      <c r="H55" s="44" t="s">
        <v>0</v>
      </c>
      <c r="I55" s="49">
        <f>2/100*1</f>
        <v>0.02</v>
      </c>
      <c r="J55" s="45" t="s">
        <v>88</v>
      </c>
      <c r="K55" s="1" t="s">
        <v>2</v>
      </c>
      <c r="L55" s="1">
        <f>(I55-(I53/100))*1000</f>
        <v>10</v>
      </c>
      <c r="M55" s="1"/>
      <c r="N55" s="1"/>
    </row>
    <row r="56" spans="2:14" ht="17.100000000000001" customHeight="1" x14ac:dyDescent="0.35">
      <c r="B56" s="40"/>
      <c r="C56" s="42"/>
      <c r="D56" s="42"/>
      <c r="E56" s="42"/>
      <c r="F56" s="42"/>
      <c r="G56" s="42"/>
      <c r="H56" s="44"/>
      <c r="I56" s="44"/>
      <c r="J56" s="45"/>
      <c r="K56" s="1" t="s">
        <v>44</v>
      </c>
      <c r="L56" s="1">
        <f>(I42/I44)</f>
        <v>137.89533560864618</v>
      </c>
      <c r="M56" s="1"/>
      <c r="N56" s="1"/>
    </row>
    <row r="57" spans="2:14" ht="17.100000000000001" customHeight="1" x14ac:dyDescent="0.35">
      <c r="B57" s="40" t="s">
        <v>102</v>
      </c>
      <c r="C57" s="42" t="s">
        <v>105</v>
      </c>
      <c r="D57" s="42"/>
      <c r="E57" s="42"/>
      <c r="F57" s="42"/>
      <c r="G57" s="42"/>
      <c r="H57" s="44" t="s">
        <v>0</v>
      </c>
      <c r="I57" s="61">
        <f>(1.2/100*I42)/(1.21*1000)</f>
        <v>4.0069421487603308E-3</v>
      </c>
      <c r="J57" s="45"/>
      <c r="K57" s="1"/>
      <c r="L57" s="1"/>
      <c r="M57" s="1"/>
      <c r="N57" s="1"/>
    </row>
    <row r="58" spans="2:14" ht="17.100000000000001" customHeight="1" x14ac:dyDescent="0.35">
      <c r="B58" s="40"/>
      <c r="C58" s="42"/>
      <c r="D58" s="42"/>
      <c r="E58" s="42"/>
      <c r="F58" s="42"/>
      <c r="G58" s="42"/>
      <c r="H58" s="44"/>
      <c r="I58" s="44"/>
      <c r="J58" s="45"/>
      <c r="K58" s="1" t="s">
        <v>45</v>
      </c>
      <c r="L58" s="1" t="e">
        <f>1/(#REF!/100)</f>
        <v>#REF!</v>
      </c>
      <c r="M58" s="1" t="s">
        <v>46</v>
      </c>
      <c r="N58" s="1" t="e">
        <f>1/(1-(#REF!/100))</f>
        <v>#REF!</v>
      </c>
    </row>
    <row r="59" spans="2:14" ht="17.100000000000001" customHeight="1" x14ac:dyDescent="0.35">
      <c r="B59" s="40" t="s">
        <v>103</v>
      </c>
      <c r="C59" s="77" t="s">
        <v>80</v>
      </c>
      <c r="D59" s="78"/>
      <c r="E59" s="78"/>
      <c r="F59" s="78"/>
      <c r="G59" s="78"/>
      <c r="H59" s="44" t="s">
        <v>0</v>
      </c>
      <c r="I59" s="61">
        <f>I42/(I44*1000)</f>
        <v>0.13789533560864617</v>
      </c>
      <c r="J59" s="45" t="s">
        <v>88</v>
      </c>
      <c r="K59" s="1" t="s">
        <v>48</v>
      </c>
      <c r="L59" s="1">
        <f>1/I47</f>
        <v>0.37735849056603776</v>
      </c>
      <c r="M59" s="1" t="s">
        <v>49</v>
      </c>
      <c r="N59" s="1">
        <f>1/I49</f>
        <v>0.3546099290780142</v>
      </c>
    </row>
    <row r="60" spans="2:14" ht="17.100000000000001" customHeight="1" x14ac:dyDescent="0.35">
      <c r="B60" s="40"/>
      <c r="C60" s="42"/>
      <c r="D60" s="42"/>
      <c r="E60" s="42"/>
      <c r="F60" s="42"/>
      <c r="G60" s="42"/>
      <c r="H60" s="44"/>
      <c r="I60" s="44"/>
      <c r="J60" s="45"/>
    </row>
    <row r="61" spans="2:14" ht="17.100000000000001" customHeight="1" x14ac:dyDescent="0.35">
      <c r="B61" s="40" t="s">
        <v>50</v>
      </c>
      <c r="C61" s="77" t="s">
        <v>81</v>
      </c>
      <c r="D61" s="78"/>
      <c r="E61" s="78"/>
      <c r="F61" s="78"/>
      <c r="G61" s="78"/>
      <c r="H61" s="44" t="s">
        <v>0</v>
      </c>
      <c r="I61" s="61">
        <f>I39/(1*1000)</f>
        <v>0.181815</v>
      </c>
      <c r="J61" s="45" t="s">
        <v>88</v>
      </c>
    </row>
    <row r="62" spans="2:14" ht="17.100000000000001" customHeight="1" x14ac:dyDescent="0.35">
      <c r="B62" s="40"/>
      <c r="C62" s="42"/>
      <c r="D62" s="42"/>
      <c r="E62" s="42"/>
      <c r="F62" s="42"/>
      <c r="G62" s="42"/>
      <c r="H62" s="44"/>
      <c r="I62" s="44"/>
      <c r="J62" s="45"/>
    </row>
    <row r="63" spans="2:14" ht="17.100000000000001" customHeight="1" x14ac:dyDescent="0.35">
      <c r="B63" s="40" t="s">
        <v>51</v>
      </c>
      <c r="C63" s="77" t="s">
        <v>82</v>
      </c>
      <c r="D63" s="78"/>
      <c r="E63" s="78"/>
      <c r="F63" s="78"/>
      <c r="G63" s="78"/>
      <c r="H63" s="44" t="s">
        <v>0</v>
      </c>
      <c r="I63" s="61">
        <f>I53-I59-I61-I55-I57</f>
        <v>0.65628272224259354</v>
      </c>
      <c r="J63" s="45" t="s">
        <v>88</v>
      </c>
    </row>
    <row r="64" spans="2:14" ht="17.100000000000001" customHeight="1" x14ac:dyDescent="0.35">
      <c r="B64" s="40"/>
      <c r="C64" s="42"/>
      <c r="D64" s="42"/>
      <c r="E64" s="42"/>
      <c r="F64" s="42"/>
      <c r="G64" s="42"/>
      <c r="H64" s="44"/>
      <c r="I64" s="44"/>
      <c r="J64" s="45"/>
    </row>
    <row r="65" spans="2:19" ht="17.100000000000001" customHeight="1" x14ac:dyDescent="0.35">
      <c r="B65" s="40" t="s">
        <v>52</v>
      </c>
      <c r="C65" s="77" t="s">
        <v>94</v>
      </c>
      <c r="D65" s="78"/>
      <c r="E65" s="78"/>
      <c r="F65" s="78"/>
      <c r="G65" s="78"/>
      <c r="H65" s="44" t="s">
        <v>0</v>
      </c>
      <c r="I65" s="49">
        <f>I63*I23*I49*1000</f>
        <v>1082.6696068836063</v>
      </c>
      <c r="J65" s="45" t="s">
        <v>47</v>
      </c>
    </row>
    <row r="66" spans="2:19" ht="17.100000000000001" customHeight="1" x14ac:dyDescent="0.35">
      <c r="B66" s="40"/>
      <c r="C66" s="42"/>
      <c r="D66" s="42"/>
      <c r="E66" s="42"/>
      <c r="F66" s="42"/>
      <c r="G66" s="42"/>
      <c r="H66" s="44"/>
      <c r="I66" s="44"/>
      <c r="J66" s="45"/>
    </row>
    <row r="67" spans="2:19" ht="17.100000000000001" customHeight="1" x14ac:dyDescent="0.35">
      <c r="B67" s="40" t="s">
        <v>104</v>
      </c>
      <c r="C67" s="77" t="s">
        <v>95</v>
      </c>
      <c r="D67" s="78"/>
      <c r="E67" s="78"/>
      <c r="F67" s="78"/>
      <c r="G67" s="78"/>
      <c r="H67" s="44" t="s">
        <v>0</v>
      </c>
      <c r="I67" s="49">
        <f>I63*I28*I47*1000</f>
        <v>721.7469237862922</v>
      </c>
      <c r="J67" s="45" t="s">
        <v>97</v>
      </c>
    </row>
    <row r="68" spans="2:19" ht="17.100000000000001" customHeight="1" thickBot="1" x14ac:dyDescent="0.4">
      <c r="B68" s="53"/>
      <c r="C68" s="54"/>
      <c r="D68" s="54"/>
      <c r="E68" s="54"/>
      <c r="F68" s="54"/>
      <c r="G68" s="54"/>
      <c r="H68" s="54"/>
      <c r="I68" s="54"/>
      <c r="J68" s="55"/>
    </row>
    <row r="69" spans="2:19" ht="21" customHeight="1" x14ac:dyDescent="0.3">
      <c r="M69" s="92" t="s">
        <v>84</v>
      </c>
      <c r="N69" s="93"/>
      <c r="O69" s="94"/>
    </row>
    <row r="70" spans="2:19" ht="23.25" customHeight="1" x14ac:dyDescent="0.4">
      <c r="B70" s="80" t="s">
        <v>53</v>
      </c>
      <c r="C70" s="104" t="s">
        <v>54</v>
      </c>
      <c r="D70" s="105"/>
      <c r="E70" s="105"/>
      <c r="F70" s="105"/>
      <c r="G70" s="106"/>
      <c r="H70" s="104" t="s">
        <v>55</v>
      </c>
      <c r="I70" s="106"/>
      <c r="L70" s="17" t="s">
        <v>8</v>
      </c>
      <c r="M70" s="100" t="s">
        <v>5</v>
      </c>
      <c r="N70" s="101"/>
      <c r="O70" s="100" t="s">
        <v>40</v>
      </c>
      <c r="P70" s="101"/>
      <c r="Q70" s="100" t="s">
        <v>41</v>
      </c>
      <c r="R70" s="101"/>
    </row>
    <row r="71" spans="2:19" ht="21" customHeight="1" x14ac:dyDescent="0.35">
      <c r="B71" s="81"/>
      <c r="C71" s="107"/>
      <c r="D71" s="108"/>
      <c r="E71" s="108"/>
      <c r="F71" s="108"/>
      <c r="G71" s="109"/>
      <c r="H71" s="107"/>
      <c r="I71" s="109"/>
      <c r="L71" s="18">
        <f>H73</f>
        <v>181.815</v>
      </c>
      <c r="M71" s="102">
        <f>H72</f>
        <v>404.0333333333333</v>
      </c>
      <c r="N71" s="110"/>
      <c r="O71" s="102">
        <f>H74</f>
        <v>721.7469237862922</v>
      </c>
      <c r="P71" s="110"/>
      <c r="Q71" s="102">
        <f>H75</f>
        <v>1082.6696068836063</v>
      </c>
      <c r="R71" s="110"/>
    </row>
    <row r="72" spans="2:19" ht="20.25" customHeight="1" x14ac:dyDescent="0.35">
      <c r="B72" s="24">
        <v>1</v>
      </c>
      <c r="C72" s="76" t="s">
        <v>4</v>
      </c>
      <c r="D72" s="65"/>
      <c r="E72" s="65"/>
      <c r="F72" s="65"/>
      <c r="G72" s="66"/>
      <c r="H72" s="98">
        <f>I42</f>
        <v>404.0333333333333</v>
      </c>
      <c r="I72" s="99"/>
      <c r="L72" s="19">
        <f>F10</f>
        <v>0.45</v>
      </c>
      <c r="M72" s="129">
        <f>M71/M71</f>
        <v>1</v>
      </c>
      <c r="N72" s="110"/>
      <c r="O72" s="111">
        <f>O71/M71</f>
        <v>1.7863548975817811</v>
      </c>
      <c r="P72" s="110"/>
      <c r="Q72" s="111">
        <f>Q71/M71</f>
        <v>2.679654170984918</v>
      </c>
      <c r="R72" s="110"/>
    </row>
    <row r="73" spans="2:19" ht="18.75" customHeight="1" x14ac:dyDescent="0.35">
      <c r="B73" s="24">
        <v>2</v>
      </c>
      <c r="C73" s="76" t="s">
        <v>56</v>
      </c>
      <c r="D73" s="65"/>
      <c r="E73" s="65"/>
      <c r="F73" s="65"/>
      <c r="G73" s="66"/>
      <c r="H73" s="98">
        <f>I39</f>
        <v>181.815</v>
      </c>
      <c r="I73" s="99"/>
    </row>
    <row r="74" spans="2:19" ht="20.25" customHeight="1" x14ac:dyDescent="0.35">
      <c r="B74" s="31">
        <v>3</v>
      </c>
      <c r="C74" s="76" t="s">
        <v>6</v>
      </c>
      <c r="D74" s="65"/>
      <c r="E74" s="65"/>
      <c r="F74" s="65"/>
      <c r="G74" s="66"/>
      <c r="H74" s="98">
        <f>I67</f>
        <v>721.7469237862922</v>
      </c>
      <c r="I74" s="99"/>
    </row>
    <row r="75" spans="2:19" ht="21.75" customHeight="1" x14ac:dyDescent="0.35">
      <c r="B75" s="73">
        <v>4</v>
      </c>
      <c r="C75" s="76" t="s">
        <v>7</v>
      </c>
      <c r="D75" s="65"/>
      <c r="E75" s="65"/>
      <c r="F75" s="65"/>
      <c r="G75" s="66"/>
      <c r="H75" s="98">
        <f>I65</f>
        <v>1082.6696068836063</v>
      </c>
      <c r="I75" s="99"/>
      <c r="M75" s="92" t="s">
        <v>57</v>
      </c>
      <c r="N75" s="93"/>
      <c r="O75" s="94"/>
    </row>
    <row r="76" spans="2:19" ht="21" customHeight="1" x14ac:dyDescent="0.4">
      <c r="B76" s="74"/>
      <c r="C76" s="76" t="s">
        <v>58</v>
      </c>
      <c r="D76" s="65"/>
      <c r="E76" s="65"/>
      <c r="F76" s="65"/>
      <c r="G76" s="66"/>
      <c r="H76" s="98">
        <f>H75*0.6</f>
        <v>649.60176413016382</v>
      </c>
      <c r="I76" s="99"/>
      <c r="L76" s="16" t="s">
        <v>8</v>
      </c>
      <c r="M76" s="96" t="s">
        <v>5</v>
      </c>
      <c r="N76" s="97"/>
      <c r="O76" s="96" t="s">
        <v>40</v>
      </c>
      <c r="P76" s="97"/>
      <c r="Q76" s="96" t="s">
        <v>41</v>
      </c>
      <c r="R76" s="97"/>
    </row>
    <row r="77" spans="2:19" ht="20.25" customHeight="1" x14ac:dyDescent="0.35">
      <c r="B77" s="75"/>
      <c r="C77" s="76" t="s">
        <v>107</v>
      </c>
      <c r="D77" s="65"/>
      <c r="E77" s="65"/>
      <c r="F77" s="65"/>
      <c r="G77" s="66"/>
      <c r="H77" s="98">
        <f>H75*0.4</f>
        <v>433.06784275344256</v>
      </c>
      <c r="I77" s="99"/>
      <c r="L77" s="20">
        <f>L72*M77</f>
        <v>22.5</v>
      </c>
      <c r="M77" s="102">
        <v>50</v>
      </c>
      <c r="N77" s="103"/>
      <c r="O77" s="102">
        <f>O72*M77</f>
        <v>89.317744879089062</v>
      </c>
      <c r="P77" s="103"/>
      <c r="Q77" s="102">
        <f>Q72*M77</f>
        <v>133.9827085492459</v>
      </c>
      <c r="R77" s="103"/>
    </row>
    <row r="78" spans="2:19" ht="21" customHeight="1" x14ac:dyDescent="0.35">
      <c r="B78" s="24">
        <v>5</v>
      </c>
      <c r="C78" s="64" t="s">
        <v>106</v>
      </c>
      <c r="D78" s="65"/>
      <c r="E78" s="65"/>
      <c r="F78" s="65"/>
      <c r="G78" s="66"/>
      <c r="H78" s="67">
        <f>I31</f>
        <v>175</v>
      </c>
      <c r="I78" s="68"/>
      <c r="S78" s="2"/>
    </row>
    <row r="79" spans="2:19" ht="25.5" customHeight="1" x14ac:dyDescent="0.35">
      <c r="B79" s="24">
        <v>5</v>
      </c>
      <c r="C79" s="64" t="s">
        <v>108</v>
      </c>
      <c r="D79" s="65"/>
      <c r="E79" s="65"/>
      <c r="F79" s="65"/>
      <c r="G79" s="66"/>
      <c r="H79" s="67">
        <f>1.2%*H72</f>
        <v>4.8483999999999998</v>
      </c>
      <c r="I79" s="68"/>
    </row>
    <row r="80" spans="2:19" ht="14.25" customHeight="1" x14ac:dyDescent="0.3"/>
    <row r="81" spans="7:18" ht="21" customHeight="1" x14ac:dyDescent="0.3">
      <c r="M81" s="92" t="s">
        <v>59</v>
      </c>
      <c r="N81" s="93"/>
      <c r="O81" s="94"/>
    </row>
    <row r="82" spans="7:18" ht="21.75" customHeight="1" x14ac:dyDescent="0.4">
      <c r="L82" s="16" t="s">
        <v>8</v>
      </c>
      <c r="M82" s="96" t="s">
        <v>5</v>
      </c>
      <c r="N82" s="97"/>
      <c r="O82" s="96" t="s">
        <v>40</v>
      </c>
      <c r="P82" s="97"/>
      <c r="Q82" s="96" t="s">
        <v>41</v>
      </c>
      <c r="R82" s="97"/>
    </row>
    <row r="83" spans="7:18" ht="20.25" customHeight="1" x14ac:dyDescent="0.35">
      <c r="L83" s="20">
        <f>L77/3</f>
        <v>7.5</v>
      </c>
      <c r="M83" s="102">
        <f t="shared" ref="M83" si="0">M77/3</f>
        <v>16.666666666666668</v>
      </c>
      <c r="N83" s="103"/>
      <c r="O83" s="102">
        <f>O77/3</f>
        <v>29.772581626363021</v>
      </c>
      <c r="P83" s="103"/>
      <c r="Q83" s="102">
        <f>Q77/3</f>
        <v>44.660902849748631</v>
      </c>
      <c r="R83" s="103"/>
    </row>
    <row r="84" spans="7:18" ht="14.25" customHeight="1" x14ac:dyDescent="0.3"/>
    <row r="85" spans="7:18" ht="14.25" customHeight="1" x14ac:dyDescent="0.3"/>
    <row r="86" spans="7:18" ht="21.75" customHeight="1" x14ac:dyDescent="0.45">
      <c r="L86" s="62"/>
      <c r="M86" s="130"/>
      <c r="N86" s="131"/>
    </row>
    <row r="87" spans="7:18" ht="14.25" customHeight="1" thickBot="1" x14ac:dyDescent="0.35"/>
    <row r="88" spans="7:18" ht="15" customHeight="1" x14ac:dyDescent="0.3">
      <c r="G88" s="83" t="s">
        <v>85</v>
      </c>
      <c r="H88" s="84"/>
      <c r="I88" s="84"/>
      <c r="J88" s="84"/>
      <c r="K88" s="84"/>
      <c r="L88" s="85"/>
    </row>
    <row r="89" spans="7:18" ht="14.25" customHeight="1" x14ac:dyDescent="0.3">
      <c r="G89" s="86"/>
      <c r="H89" s="87"/>
      <c r="I89" s="87"/>
      <c r="J89" s="87"/>
      <c r="K89" s="87"/>
      <c r="L89" s="88"/>
    </row>
    <row r="90" spans="7:18" ht="15" customHeight="1" x14ac:dyDescent="0.3">
      <c r="G90" s="89"/>
      <c r="H90" s="90"/>
      <c r="I90" s="90"/>
      <c r="J90" s="90"/>
      <c r="K90" s="90"/>
      <c r="L90" s="91"/>
    </row>
    <row r="91" spans="7:18" ht="14.25" customHeight="1" x14ac:dyDescent="0.3"/>
    <row r="92" spans="7:18" ht="14.25" customHeight="1" x14ac:dyDescent="0.3"/>
    <row r="93" spans="7:18" ht="14.25" customHeight="1" x14ac:dyDescent="0.3"/>
    <row r="94" spans="7:18" ht="14.25" customHeight="1" x14ac:dyDescent="0.3"/>
    <row r="95" spans="7:18" ht="14.25" customHeight="1" x14ac:dyDescent="0.3"/>
    <row r="96" spans="7:18"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sheetData>
  <sheetProtection selectLockedCells="1" selectUnlockedCells="1"/>
  <mergeCells count="102">
    <mergeCell ref="M86:N86"/>
    <mergeCell ref="D2:P3"/>
    <mergeCell ref="C5:D5"/>
    <mergeCell ref="C6:D6"/>
    <mergeCell ref="R22:Z28"/>
    <mergeCell ref="L27:N27"/>
    <mergeCell ref="P27:Q27"/>
    <mergeCell ref="L7:L9"/>
    <mergeCell ref="C8:G8"/>
    <mergeCell ref="C7:D7"/>
    <mergeCell ref="C10:D10"/>
    <mergeCell ref="C18:G18"/>
    <mergeCell ref="C14:G14"/>
    <mergeCell ref="O5:P6"/>
    <mergeCell ref="L23:N23"/>
    <mergeCell ref="L24:N26"/>
    <mergeCell ref="M83:N83"/>
    <mergeCell ref="Q82:R82"/>
    <mergeCell ref="M71:N71"/>
    <mergeCell ref="M75:O75"/>
    <mergeCell ref="N45:O45"/>
    <mergeCell ref="Q76:R76"/>
    <mergeCell ref="Q72:R72"/>
    <mergeCell ref="O83:P83"/>
    <mergeCell ref="Q83:R83"/>
    <mergeCell ref="M82:N82"/>
    <mergeCell ref="O82:P82"/>
    <mergeCell ref="M77:N77"/>
    <mergeCell ref="M72:N72"/>
    <mergeCell ref="M69:O69"/>
    <mergeCell ref="P23:Q23"/>
    <mergeCell ref="P24:Q26"/>
    <mergeCell ref="L5:M6"/>
    <mergeCell ref="O15:P15"/>
    <mergeCell ref="M12:M15"/>
    <mergeCell ref="P7:P8"/>
    <mergeCell ref="O7:O8"/>
    <mergeCell ref="O16:O17"/>
    <mergeCell ref="P16:P17"/>
    <mergeCell ref="M10:M11"/>
    <mergeCell ref="M7:M9"/>
    <mergeCell ref="L17:N21"/>
    <mergeCell ref="O24:O26"/>
    <mergeCell ref="G88:L90"/>
    <mergeCell ref="M81:O81"/>
    <mergeCell ref="T39:T40"/>
    <mergeCell ref="U39:U40"/>
    <mergeCell ref="V39:V40"/>
    <mergeCell ref="C44:G44"/>
    <mergeCell ref="M76:N76"/>
    <mergeCell ref="C76:G76"/>
    <mergeCell ref="H76:I76"/>
    <mergeCell ref="C74:G74"/>
    <mergeCell ref="H74:I74"/>
    <mergeCell ref="M70:N70"/>
    <mergeCell ref="C73:G73"/>
    <mergeCell ref="H73:I73"/>
    <mergeCell ref="C42:G42"/>
    <mergeCell ref="H72:I72"/>
    <mergeCell ref="C78:G78"/>
    <mergeCell ref="Q77:R77"/>
    <mergeCell ref="H78:I78"/>
    <mergeCell ref="C72:G72"/>
    <mergeCell ref="C70:G71"/>
    <mergeCell ref="O70:P70"/>
    <mergeCell ref="O76:P76"/>
    <mergeCell ref="O71:P71"/>
    <mergeCell ref="B75:B77"/>
    <mergeCell ref="C75:G75"/>
    <mergeCell ref="C37:G37"/>
    <mergeCell ref="C26:G26"/>
    <mergeCell ref="C23:G24"/>
    <mergeCell ref="B70:B71"/>
    <mergeCell ref="C61:G61"/>
    <mergeCell ref="C67:G67"/>
    <mergeCell ref="C65:G65"/>
    <mergeCell ref="C63:G63"/>
    <mergeCell ref="C59:G59"/>
    <mergeCell ref="C53:G53"/>
    <mergeCell ref="C55:G55"/>
    <mergeCell ref="C47:G47"/>
    <mergeCell ref="C46:D46"/>
    <mergeCell ref="C49:G49"/>
    <mergeCell ref="C77:G77"/>
    <mergeCell ref="M35:N35"/>
    <mergeCell ref="M36:N36"/>
    <mergeCell ref="C79:G79"/>
    <mergeCell ref="H79:I79"/>
    <mergeCell ref="O29:Q34"/>
    <mergeCell ref="L29:N29"/>
    <mergeCell ref="M30:N30"/>
    <mergeCell ref="M31:N31"/>
    <mergeCell ref="M32:N32"/>
    <mergeCell ref="M33:N33"/>
    <mergeCell ref="M34:N34"/>
    <mergeCell ref="Q70:R70"/>
    <mergeCell ref="Q71:R71"/>
    <mergeCell ref="O77:P77"/>
    <mergeCell ref="H77:I77"/>
    <mergeCell ref="O72:P72"/>
    <mergeCell ref="H75:I75"/>
    <mergeCell ref="H70:I71"/>
  </mergeCells>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Concrete Mix Design (IS 10262)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 mahajan</dc:creator>
  <cp:lastModifiedBy>keshav sikhwal</cp:lastModifiedBy>
  <cp:lastPrinted>2024-08-18T18:35:00Z</cp:lastPrinted>
  <dcterms:created xsi:type="dcterms:W3CDTF">2020-11-03T03:31:52Z</dcterms:created>
  <dcterms:modified xsi:type="dcterms:W3CDTF">2024-08-19T00:36:47Z</dcterms:modified>
</cp:coreProperties>
</file>